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GIGABYTE\OneDrive\Dokumen\PPRKD\INDONESIA TENGAH\TIMBILAN LIMBAH\JAWA BARAT 2015\"/>
    </mc:Choice>
  </mc:AlternateContent>
  <xr:revisionPtr revIDLastSave="52" documentId="8_{FB4B896F-961B-4185-9107-3BCBADE67BE8}" xr6:coauthVersionLast="45" xr6:coauthVersionMax="45" xr10:uidLastSave="{B37D7E21-2715-4E53-BF47-CB747B953BAB}"/>
  <bookViews>
    <workbookView xWindow="-120" yWindow="-120" windowWidth="21840" windowHeight="13140" xr2:uid="{47C1DD80-4DE2-4647-869C-31CFACD296DD}"/>
  </bookViews>
  <sheets>
    <sheet name="LIMBAH PADAT" sheetId="1" r:id="rId1"/>
    <sheet name="LIMBAH CAIR" sheetId="3" r:id="rId2"/>
    <sheet name="DETAIL HITUNGA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" i="1"/>
  <c r="T4" i="1"/>
  <c r="J55" i="1"/>
  <c r="J54" i="1"/>
  <c r="J53" i="1"/>
  <c r="J52" i="1"/>
  <c r="J51" i="1"/>
  <c r="J50" i="1"/>
  <c r="J49" i="1"/>
  <c r="J48" i="1"/>
  <c r="J47" i="1"/>
  <c r="J46" i="1"/>
  <c r="J45" i="1"/>
  <c r="J44" i="1"/>
  <c r="J41" i="1"/>
  <c r="J39" i="1"/>
  <c r="J35" i="1"/>
  <c r="J34" i="1"/>
  <c r="J33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2" i="1"/>
  <c r="J11" i="1"/>
  <c r="J8" i="1"/>
  <c r="T4" i="2"/>
  <c r="T9" i="2"/>
  <c r="T14" i="2"/>
  <c r="T18" i="2"/>
  <c r="T20" i="2"/>
  <c r="T19" i="2"/>
  <c r="T16" i="2"/>
  <c r="T17" i="2"/>
  <c r="T15" i="2"/>
  <c r="T11" i="2"/>
  <c r="T12" i="2"/>
  <c r="T13" i="2"/>
  <c r="T10" i="2"/>
  <c r="T6" i="2"/>
  <c r="T7" i="2"/>
  <c r="T8" i="2"/>
  <c r="T5" i="2"/>
  <c r="J20" i="2"/>
  <c r="C20" i="2" l="1"/>
  <c r="C29" i="3"/>
  <c r="C32" i="3"/>
  <c r="C33" i="3"/>
  <c r="C34" i="3"/>
  <c r="C40" i="3"/>
  <c r="C35" i="3"/>
  <c r="C36" i="3"/>
  <c r="C37" i="3"/>
  <c r="C38" i="3"/>
  <c r="C39" i="3"/>
  <c r="C41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M43" i="3"/>
  <c r="L43" i="3"/>
  <c r="K43" i="3"/>
  <c r="J43" i="3"/>
  <c r="I43" i="3"/>
  <c r="H43" i="3"/>
  <c r="G43" i="3"/>
  <c r="F43" i="3"/>
  <c r="E43" i="3"/>
  <c r="M40" i="3"/>
  <c r="L40" i="3"/>
  <c r="K40" i="3"/>
  <c r="J40" i="3"/>
  <c r="I40" i="3"/>
  <c r="H40" i="3"/>
  <c r="G40" i="3"/>
  <c r="F40" i="3"/>
  <c r="E40" i="3"/>
  <c r="M38" i="3"/>
  <c r="L38" i="3"/>
  <c r="K38" i="3"/>
  <c r="J38" i="3"/>
  <c r="I38" i="3"/>
  <c r="H38" i="3"/>
  <c r="G38" i="3"/>
  <c r="F38" i="3"/>
  <c r="E38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M32" i="3"/>
  <c r="L32" i="3"/>
  <c r="K32" i="3"/>
  <c r="J32" i="3"/>
  <c r="I32" i="3"/>
  <c r="H32" i="3"/>
  <c r="G32" i="3"/>
  <c r="F32" i="3"/>
  <c r="E32" i="3"/>
  <c r="M30" i="3"/>
  <c r="L30" i="3"/>
  <c r="K30" i="3"/>
  <c r="J30" i="3"/>
  <c r="I30" i="3"/>
  <c r="H30" i="3"/>
  <c r="G30" i="3"/>
  <c r="F30" i="3"/>
  <c r="E30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M7" i="3"/>
  <c r="L7" i="3"/>
  <c r="K7" i="3"/>
  <c r="J7" i="3"/>
  <c r="I7" i="3"/>
  <c r="H7" i="3"/>
  <c r="G7" i="3"/>
  <c r="F7" i="3"/>
  <c r="E7" i="3"/>
  <c r="M4" i="3"/>
  <c r="L4" i="3"/>
  <c r="K4" i="3"/>
  <c r="J4" i="3"/>
  <c r="I4" i="3"/>
  <c r="H4" i="3"/>
  <c r="G4" i="3"/>
  <c r="F4" i="3"/>
  <c r="E4" i="3"/>
  <c r="F3" i="3"/>
  <c r="G3" i="3"/>
  <c r="H3" i="3"/>
  <c r="I3" i="3"/>
  <c r="J3" i="3"/>
  <c r="K3" i="3"/>
  <c r="L3" i="3"/>
  <c r="M3" i="3"/>
  <c r="E3" i="3"/>
  <c r="C13" i="1"/>
  <c r="M45" i="1"/>
  <c r="M46" i="1"/>
  <c r="M47" i="1"/>
  <c r="M48" i="1"/>
  <c r="M49" i="1"/>
  <c r="M50" i="1"/>
  <c r="M51" i="1"/>
  <c r="M52" i="1"/>
  <c r="M53" i="1"/>
  <c r="M54" i="1"/>
  <c r="M55" i="1"/>
  <c r="M44" i="1"/>
  <c r="M41" i="1"/>
  <c r="M39" i="1"/>
  <c r="M35" i="1"/>
  <c r="M34" i="1"/>
  <c r="M3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4" i="1"/>
  <c r="M12" i="1"/>
  <c r="M11" i="1"/>
  <c r="M8" i="1"/>
  <c r="C38" i="1"/>
  <c r="C40" i="1"/>
  <c r="O11" i="2"/>
  <c r="P11" i="2"/>
  <c r="Q11" i="2"/>
  <c r="R11" i="2"/>
  <c r="S11" i="2"/>
  <c r="U11" i="2"/>
  <c r="V11" i="2"/>
  <c r="W11" i="2"/>
  <c r="O12" i="2"/>
  <c r="P12" i="2"/>
  <c r="Q12" i="2"/>
  <c r="R12" i="2"/>
  <c r="S12" i="2"/>
  <c r="U12" i="2"/>
  <c r="V12" i="2"/>
  <c r="W12" i="2"/>
  <c r="P10" i="2"/>
  <c r="Q10" i="2"/>
  <c r="R10" i="2"/>
  <c r="S10" i="2"/>
  <c r="U10" i="2"/>
  <c r="V10" i="2"/>
  <c r="W10" i="2"/>
  <c r="O6" i="2"/>
  <c r="P6" i="2"/>
  <c r="Q6" i="2"/>
  <c r="R6" i="2"/>
  <c r="S6" i="2"/>
  <c r="U6" i="2"/>
  <c r="V6" i="2"/>
  <c r="W6" i="2"/>
  <c r="O10" i="2"/>
  <c r="AA20" i="2" l="1"/>
  <c r="AK13" i="2"/>
  <c r="AU13" i="2" s="1"/>
  <c r="AK17" i="2"/>
  <c r="AU17" i="2" s="1"/>
  <c r="AK19" i="2"/>
  <c r="AA12" i="2"/>
  <c r="AA11" i="2"/>
  <c r="C31" i="1"/>
  <c r="AO11" i="2" l="1"/>
  <c r="AS11" i="2"/>
  <c r="AM11" i="2"/>
  <c r="AQ11" i="2"/>
  <c r="AN11" i="2"/>
  <c r="AT11" i="2"/>
  <c r="AP11" i="2"/>
  <c r="AU11" i="2"/>
  <c r="AU9" i="2" s="1"/>
  <c r="W5" i="3" s="1"/>
  <c r="AR11" i="2"/>
  <c r="AP12" i="2"/>
  <c r="AT12" i="2"/>
  <c r="AM12" i="2"/>
  <c r="AR12" i="2"/>
  <c r="AO12" i="2"/>
  <c r="AU12" i="2"/>
  <c r="AQ12" i="2"/>
  <c r="AS12" i="2"/>
  <c r="AN12" i="2"/>
  <c r="C15" i="2"/>
  <c r="C16" i="2"/>
  <c r="C17" i="2"/>
  <c r="C13" i="2"/>
  <c r="AA16" i="2" l="1"/>
  <c r="R16" i="2"/>
  <c r="W16" i="2"/>
  <c r="S16" i="2"/>
  <c r="P16" i="2"/>
  <c r="V16" i="2"/>
  <c r="Q16" i="2"/>
  <c r="O16" i="2"/>
  <c r="U16" i="2"/>
  <c r="AA15" i="2"/>
  <c r="S15" i="2"/>
  <c r="U15" i="2"/>
  <c r="Q15" i="2"/>
  <c r="Q14" i="2" s="1"/>
  <c r="Q7" i="1" s="1"/>
  <c r="W15" i="2"/>
  <c r="P15" i="2"/>
  <c r="R15" i="2"/>
  <c r="O15" i="2"/>
  <c r="V15" i="2"/>
  <c r="O13" i="2"/>
  <c r="O9" i="2" s="1"/>
  <c r="O6" i="1" s="1"/>
  <c r="S13" i="2"/>
  <c r="S9" i="2" s="1"/>
  <c r="S6" i="1" s="1"/>
  <c r="Q13" i="2"/>
  <c r="Q9" i="2" s="1"/>
  <c r="Q6" i="1" s="1"/>
  <c r="W13" i="2"/>
  <c r="W9" i="2" s="1"/>
  <c r="W6" i="1" s="1"/>
  <c r="U13" i="2"/>
  <c r="U9" i="2" s="1"/>
  <c r="U6" i="1" s="1"/>
  <c r="P13" i="2"/>
  <c r="P9" i="2" s="1"/>
  <c r="P6" i="1" s="1"/>
  <c r="V13" i="2"/>
  <c r="V9" i="2" s="1"/>
  <c r="V6" i="1" s="1"/>
  <c r="R13" i="2"/>
  <c r="R9" i="2" s="1"/>
  <c r="R6" i="1" s="1"/>
  <c r="R17" i="2"/>
  <c r="W17" i="2"/>
  <c r="P17" i="2"/>
  <c r="V17" i="2"/>
  <c r="S17" i="2"/>
  <c r="U17" i="2"/>
  <c r="O17" i="2"/>
  <c r="Q17" i="2"/>
  <c r="AF20" i="2"/>
  <c r="AC20" i="2"/>
  <c r="K20" i="2"/>
  <c r="G20" i="2"/>
  <c r="F20" i="2"/>
  <c r="E20" i="2"/>
  <c r="B18" i="2"/>
  <c r="A18" i="2"/>
  <c r="R14" i="2" l="1"/>
  <c r="R7" i="1" s="1"/>
  <c r="O14" i="2"/>
  <c r="O7" i="1" s="1"/>
  <c r="E44" i="1"/>
  <c r="E41" i="1"/>
  <c r="E39" i="1"/>
  <c r="E35" i="1"/>
  <c r="E34" i="1"/>
  <c r="E33" i="1"/>
  <c r="E14" i="1"/>
  <c r="E12" i="1"/>
  <c r="E11" i="1"/>
  <c r="E8" i="1"/>
  <c r="E45" i="1"/>
  <c r="E46" i="1"/>
  <c r="E50" i="1"/>
  <c r="E54" i="1"/>
  <c r="E17" i="1"/>
  <c r="E21" i="1"/>
  <c r="E25" i="1"/>
  <c r="E29" i="1"/>
  <c r="E48" i="1"/>
  <c r="E52" i="1"/>
  <c r="E15" i="1"/>
  <c r="E19" i="1"/>
  <c r="E23" i="1"/>
  <c r="E27" i="1"/>
  <c r="E47" i="1"/>
  <c r="E51" i="1"/>
  <c r="E53" i="1"/>
  <c r="E55" i="1"/>
  <c r="E16" i="1"/>
  <c r="E18" i="1"/>
  <c r="E20" i="1"/>
  <c r="E22" i="1"/>
  <c r="E24" i="1"/>
  <c r="E26" i="1"/>
  <c r="E28" i="1"/>
  <c r="E49" i="1"/>
  <c r="AC19" i="2"/>
  <c r="AC13" i="2"/>
  <c r="AM13" i="2" s="1"/>
  <c r="AM9" i="2" s="1"/>
  <c r="O5" i="3" s="1"/>
  <c r="AC17" i="2"/>
  <c r="AM17" i="2" s="1"/>
  <c r="P14" i="2"/>
  <c r="P7" i="1" s="1"/>
  <c r="S14" i="2"/>
  <c r="S7" i="1" s="1"/>
  <c r="F47" i="1"/>
  <c r="F51" i="1"/>
  <c r="F55" i="1"/>
  <c r="F18" i="1"/>
  <c r="F22" i="1"/>
  <c r="F26" i="1"/>
  <c r="F14" i="1"/>
  <c r="F11" i="1"/>
  <c r="F45" i="1"/>
  <c r="F46" i="1"/>
  <c r="F49" i="1"/>
  <c r="F53" i="1"/>
  <c r="F16" i="1"/>
  <c r="F20" i="1"/>
  <c r="F24" i="1"/>
  <c r="F28" i="1"/>
  <c r="F12" i="1"/>
  <c r="F48" i="1"/>
  <c r="F52" i="1"/>
  <c r="F54" i="1"/>
  <c r="F15" i="1"/>
  <c r="F17" i="1"/>
  <c r="F19" i="1"/>
  <c r="F21" i="1"/>
  <c r="F23" i="1"/>
  <c r="F25" i="1"/>
  <c r="F27" i="1"/>
  <c r="F29" i="1"/>
  <c r="F50" i="1"/>
  <c r="F44" i="1"/>
  <c r="F41" i="1"/>
  <c r="F39" i="1"/>
  <c r="F35" i="1"/>
  <c r="F34" i="1"/>
  <c r="F33" i="1"/>
  <c r="F8" i="1"/>
  <c r="AF17" i="2"/>
  <c r="AP17" i="2" s="1"/>
  <c r="AF19" i="2"/>
  <c r="AF13" i="2"/>
  <c r="AP13" i="2" s="1"/>
  <c r="AP9" i="2" s="1"/>
  <c r="R5" i="3" s="1"/>
  <c r="V14" i="2"/>
  <c r="V7" i="1" s="1"/>
  <c r="AQ15" i="2"/>
  <c r="AU15" i="2"/>
  <c r="AP15" i="2"/>
  <c r="AM15" i="2"/>
  <c r="AN15" i="2"/>
  <c r="AS15" i="2"/>
  <c r="AT15" i="2"/>
  <c r="AO15" i="2"/>
  <c r="AR15" i="2"/>
  <c r="W14" i="2"/>
  <c r="W7" i="1" s="1"/>
  <c r="G48" i="1"/>
  <c r="G52" i="1"/>
  <c r="G41" i="1"/>
  <c r="G35" i="1"/>
  <c r="G33" i="1"/>
  <c r="G15" i="1"/>
  <c r="G19" i="1"/>
  <c r="G23" i="1"/>
  <c r="G27" i="1"/>
  <c r="G47" i="1"/>
  <c r="G45" i="1"/>
  <c r="G50" i="1"/>
  <c r="G54" i="1"/>
  <c r="G44" i="1"/>
  <c r="G39" i="1"/>
  <c r="G34" i="1"/>
  <c r="G17" i="1"/>
  <c r="G21" i="1"/>
  <c r="G25" i="1"/>
  <c r="G29" i="1"/>
  <c r="G8" i="1"/>
  <c r="G46" i="1"/>
  <c r="G49" i="1"/>
  <c r="G11" i="1"/>
  <c r="G51" i="1"/>
  <c r="G53" i="1"/>
  <c r="G55" i="1"/>
  <c r="G16" i="1"/>
  <c r="G18" i="1"/>
  <c r="G20" i="1"/>
  <c r="G22" i="1"/>
  <c r="G24" i="1"/>
  <c r="G26" i="1"/>
  <c r="G12" i="1"/>
  <c r="G14" i="1"/>
  <c r="G28" i="1"/>
  <c r="K46" i="1"/>
  <c r="K50" i="1"/>
  <c r="K54" i="1"/>
  <c r="K44" i="1"/>
  <c r="K39" i="1"/>
  <c r="K34" i="1"/>
  <c r="K17" i="1"/>
  <c r="K21" i="1"/>
  <c r="K25" i="1"/>
  <c r="K29" i="1"/>
  <c r="K8" i="1"/>
  <c r="K48" i="1"/>
  <c r="K52" i="1"/>
  <c r="K41" i="1"/>
  <c r="K35" i="1"/>
  <c r="K33" i="1"/>
  <c r="K15" i="1"/>
  <c r="K19" i="1"/>
  <c r="K23" i="1"/>
  <c r="K27" i="1"/>
  <c r="K45" i="1"/>
  <c r="K47" i="1"/>
  <c r="K12" i="1"/>
  <c r="K51" i="1"/>
  <c r="K53" i="1"/>
  <c r="K55" i="1"/>
  <c r="K16" i="1"/>
  <c r="K18" i="1"/>
  <c r="K20" i="1"/>
  <c r="K22" i="1"/>
  <c r="K24" i="1"/>
  <c r="K26" i="1"/>
  <c r="K28" i="1"/>
  <c r="K49" i="1"/>
  <c r="K11" i="1"/>
  <c r="K14" i="1"/>
  <c r="U14" i="2"/>
  <c r="U7" i="1" s="1"/>
  <c r="AN16" i="2"/>
  <c r="AR16" i="2"/>
  <c r="AQ16" i="2"/>
  <c r="AO16" i="2"/>
  <c r="AT16" i="2"/>
  <c r="AP16" i="2"/>
  <c r="AU16" i="2"/>
  <c r="AM16" i="2"/>
  <c r="AS16" i="2"/>
  <c r="C5" i="1"/>
  <c r="C5" i="2"/>
  <c r="C7" i="2"/>
  <c r="C8" i="2"/>
  <c r="AM14" i="2" l="1"/>
  <c r="O6" i="3" s="1"/>
  <c r="O8" i="2"/>
  <c r="S8" i="2"/>
  <c r="W8" i="2"/>
  <c r="Q8" i="2"/>
  <c r="U8" i="2"/>
  <c r="R8" i="2"/>
  <c r="V8" i="2"/>
  <c r="P8" i="2"/>
  <c r="Q5" i="2"/>
  <c r="V5" i="2"/>
  <c r="V4" i="2" s="1"/>
  <c r="V4" i="1" s="1"/>
  <c r="O5" i="2"/>
  <c r="P5" i="2"/>
  <c r="W5" i="2"/>
  <c r="W4" i="2" s="1"/>
  <c r="W4" i="1" s="1"/>
  <c r="S5" i="2"/>
  <c r="S4" i="2" s="1"/>
  <c r="S4" i="1" s="1"/>
  <c r="R5" i="2"/>
  <c r="U5" i="2"/>
  <c r="AU14" i="2"/>
  <c r="W6" i="3" s="1"/>
  <c r="O7" i="2"/>
  <c r="S7" i="2"/>
  <c r="U7" i="2"/>
  <c r="Q7" i="2"/>
  <c r="W7" i="2"/>
  <c r="V7" i="2"/>
  <c r="P7" i="2"/>
  <c r="R7" i="2"/>
  <c r="AP14" i="2"/>
  <c r="R6" i="3" s="1"/>
  <c r="AJ20" i="2"/>
  <c r="AI20" i="2"/>
  <c r="AH20" i="2"/>
  <c r="AE20" i="2"/>
  <c r="AD20" i="2"/>
  <c r="I20" i="2"/>
  <c r="H20" i="2"/>
  <c r="I44" i="1" l="1"/>
  <c r="I41" i="1"/>
  <c r="I39" i="1"/>
  <c r="I35" i="1"/>
  <c r="I34" i="1"/>
  <c r="I33" i="1"/>
  <c r="I14" i="1"/>
  <c r="I12" i="1"/>
  <c r="I11" i="1"/>
  <c r="I8" i="1"/>
  <c r="I45" i="1"/>
  <c r="I46" i="1"/>
  <c r="I49" i="1"/>
  <c r="I53" i="1"/>
  <c r="I16" i="1"/>
  <c r="I20" i="1"/>
  <c r="I24" i="1"/>
  <c r="I28" i="1"/>
  <c r="I47" i="1"/>
  <c r="I51" i="1"/>
  <c r="I55" i="1"/>
  <c r="I18" i="1"/>
  <c r="I22" i="1"/>
  <c r="I26" i="1"/>
  <c r="I50" i="1"/>
  <c r="I48" i="1"/>
  <c r="I52" i="1"/>
  <c r="I54" i="1"/>
  <c r="I15" i="1"/>
  <c r="I29" i="1"/>
  <c r="I17" i="1"/>
  <c r="I19" i="1"/>
  <c r="I21" i="1"/>
  <c r="I23" i="1"/>
  <c r="I25" i="1"/>
  <c r="I27" i="1"/>
  <c r="AD19" i="2"/>
  <c r="AD13" i="2"/>
  <c r="AN13" i="2" s="1"/>
  <c r="AN9" i="2" s="1"/>
  <c r="P5" i="3" s="1"/>
  <c r="AD17" i="2"/>
  <c r="AN17" i="2" s="1"/>
  <c r="AN14" i="2" s="1"/>
  <c r="P6" i="3" s="1"/>
  <c r="AJ19" i="2"/>
  <c r="AJ17" i="2"/>
  <c r="AT17" i="2" s="1"/>
  <c r="AT14" i="2" s="1"/>
  <c r="V6" i="3" s="1"/>
  <c r="AJ13" i="2"/>
  <c r="AT13" i="2" s="1"/>
  <c r="AT9" i="2" s="1"/>
  <c r="V5" i="3" s="1"/>
  <c r="Q4" i="2"/>
  <c r="Q4" i="1" s="1"/>
  <c r="AE13" i="2"/>
  <c r="AO13" i="2" s="1"/>
  <c r="AO9" i="2" s="1"/>
  <c r="Q5" i="3" s="1"/>
  <c r="AE17" i="2"/>
  <c r="AO17" i="2" s="1"/>
  <c r="AO14" i="2" s="1"/>
  <c r="Q6" i="3" s="1"/>
  <c r="AE19" i="2"/>
  <c r="U4" i="2"/>
  <c r="U4" i="1" s="1"/>
  <c r="P4" i="2"/>
  <c r="P4" i="1" s="1"/>
  <c r="H45" i="1"/>
  <c r="H46" i="1"/>
  <c r="H47" i="1"/>
  <c r="H48" i="1"/>
  <c r="H49" i="1"/>
  <c r="H50" i="1"/>
  <c r="H51" i="1"/>
  <c r="H52" i="1"/>
  <c r="H53" i="1"/>
  <c r="H54" i="1"/>
  <c r="H5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2" i="1"/>
  <c r="H14" i="1"/>
  <c r="H11" i="1"/>
  <c r="H44" i="1"/>
  <c r="H41" i="1"/>
  <c r="H39" i="1"/>
  <c r="H35" i="1"/>
  <c r="H34" i="1"/>
  <c r="H33" i="1"/>
  <c r="H8" i="1"/>
  <c r="AH17" i="2"/>
  <c r="AR17" i="2" s="1"/>
  <c r="AR14" i="2" s="1"/>
  <c r="T6" i="3" s="1"/>
  <c r="AH19" i="2"/>
  <c r="AH13" i="2"/>
  <c r="AR13" i="2" s="1"/>
  <c r="AR9" i="2" s="1"/>
  <c r="T5" i="3" s="1"/>
  <c r="R4" i="2"/>
  <c r="R4" i="1" s="1"/>
  <c r="O4" i="2"/>
  <c r="O4" i="1" s="1"/>
  <c r="AI13" i="2"/>
  <c r="AS13" i="2" s="1"/>
  <c r="AS9" i="2" s="1"/>
  <c r="U5" i="3" s="1"/>
  <c r="AI17" i="2"/>
  <c r="AS17" i="2" s="1"/>
  <c r="AS14" i="2" s="1"/>
  <c r="U6" i="3" s="1"/>
  <c r="AI19" i="2"/>
  <c r="AG20" i="2"/>
  <c r="L20" i="2"/>
  <c r="L45" i="1" l="1"/>
  <c r="L47" i="1"/>
  <c r="L51" i="1"/>
  <c r="L55" i="1"/>
  <c r="L18" i="1"/>
  <c r="L22" i="1"/>
  <c r="L26" i="1"/>
  <c r="L14" i="1"/>
  <c r="L11" i="1"/>
  <c r="L46" i="1"/>
  <c r="L49" i="1"/>
  <c r="L53" i="1"/>
  <c r="L16" i="1"/>
  <c r="L20" i="1"/>
  <c r="L24" i="1"/>
  <c r="L28" i="1"/>
  <c r="L12" i="1"/>
  <c r="L48" i="1"/>
  <c r="L44" i="1"/>
  <c r="L41" i="1"/>
  <c r="L39" i="1"/>
  <c r="L35" i="1"/>
  <c r="L33" i="1"/>
  <c r="L50" i="1"/>
  <c r="L52" i="1"/>
  <c r="L54" i="1"/>
  <c r="L15" i="1"/>
  <c r="L17" i="1"/>
  <c r="L19" i="1"/>
  <c r="L21" i="1"/>
  <c r="L23" i="1"/>
  <c r="L25" i="1"/>
  <c r="L27" i="1"/>
  <c r="L29" i="1"/>
  <c r="L8" i="1"/>
  <c r="L34" i="1"/>
  <c r="AG13" i="2"/>
  <c r="AQ13" i="2" s="1"/>
  <c r="AQ9" i="2" s="1"/>
  <c r="S5" i="3" s="1"/>
  <c r="AG17" i="2"/>
  <c r="AQ17" i="2" s="1"/>
  <c r="AQ14" i="2" s="1"/>
  <c r="S6" i="3" s="1"/>
  <c r="AG19" i="2"/>
  <c r="AM19" i="2"/>
  <c r="Z18" i="2"/>
  <c r="Y18" i="2"/>
  <c r="O36" i="3" l="1"/>
  <c r="P36" i="3"/>
  <c r="Q36" i="3"/>
  <c r="R36" i="3"/>
  <c r="S36" i="3"/>
  <c r="T36" i="3"/>
  <c r="U36" i="3"/>
  <c r="V36" i="3"/>
  <c r="W36" i="3"/>
  <c r="O37" i="1"/>
  <c r="P37" i="1"/>
  <c r="Q37" i="1"/>
  <c r="R37" i="1"/>
  <c r="S37" i="1"/>
  <c r="U37" i="1"/>
  <c r="V37" i="1"/>
  <c r="W37" i="1"/>
  <c r="W20" i="2" l="1"/>
  <c r="P40" i="3"/>
  <c r="Q41" i="3"/>
  <c r="R42" i="3"/>
  <c r="Q43" i="3"/>
  <c r="P44" i="3"/>
  <c r="O39" i="3"/>
  <c r="R15" i="3"/>
  <c r="R14" i="3"/>
  <c r="P19" i="1"/>
  <c r="S19" i="1"/>
  <c r="U19" i="1"/>
  <c r="O19" i="1"/>
  <c r="P28" i="1"/>
  <c r="R28" i="1"/>
  <c r="S28" i="1"/>
  <c r="U28" i="1"/>
  <c r="O28" i="1"/>
  <c r="O27" i="1"/>
  <c r="U19" i="2"/>
  <c r="R16" i="1"/>
  <c r="Q12" i="1"/>
  <c r="O13" i="1"/>
  <c r="P4" i="3"/>
  <c r="Q4" i="3"/>
  <c r="R4" i="3"/>
  <c r="T4" i="3"/>
  <c r="U4" i="3"/>
  <c r="V4" i="3"/>
  <c r="W4" i="3"/>
  <c r="P7" i="3"/>
  <c r="Q7" i="3"/>
  <c r="T7" i="3"/>
  <c r="U7" i="3"/>
  <c r="V7" i="3"/>
  <c r="W7" i="3"/>
  <c r="P8" i="3"/>
  <c r="Q8" i="3"/>
  <c r="R8" i="3"/>
  <c r="T8" i="3"/>
  <c r="U8" i="3"/>
  <c r="V8" i="3"/>
  <c r="W8" i="3"/>
  <c r="P9" i="3"/>
  <c r="Q9" i="3"/>
  <c r="R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P11" i="3"/>
  <c r="Q11" i="3"/>
  <c r="R11" i="3"/>
  <c r="T11" i="3"/>
  <c r="U11" i="3"/>
  <c r="V11" i="3"/>
  <c r="W11" i="3"/>
  <c r="P12" i="3"/>
  <c r="Q12" i="3"/>
  <c r="T12" i="3"/>
  <c r="U12" i="3"/>
  <c r="V12" i="3"/>
  <c r="W12" i="3"/>
  <c r="P13" i="3"/>
  <c r="Q13" i="3"/>
  <c r="T13" i="3"/>
  <c r="U13" i="3"/>
  <c r="V13" i="3"/>
  <c r="W13" i="3"/>
  <c r="Q14" i="3"/>
  <c r="W14" i="3"/>
  <c r="P16" i="3"/>
  <c r="Q16" i="3"/>
  <c r="T16" i="3"/>
  <c r="U16" i="3"/>
  <c r="V16" i="3"/>
  <c r="W16" i="3"/>
  <c r="O17" i="3"/>
  <c r="P17" i="3"/>
  <c r="Q17" i="3"/>
  <c r="T17" i="3"/>
  <c r="U17" i="3"/>
  <c r="V17" i="3"/>
  <c r="W17" i="3"/>
  <c r="O18" i="3"/>
  <c r="P18" i="3"/>
  <c r="Q18" i="3"/>
  <c r="T18" i="3"/>
  <c r="U18" i="3"/>
  <c r="V18" i="3"/>
  <c r="W18" i="3"/>
  <c r="P19" i="3"/>
  <c r="Q19" i="3"/>
  <c r="T19" i="3"/>
  <c r="U19" i="3"/>
  <c r="V19" i="3"/>
  <c r="W19" i="3"/>
  <c r="P20" i="3"/>
  <c r="Q20" i="3"/>
  <c r="R20" i="3"/>
  <c r="T20" i="3"/>
  <c r="U20" i="3"/>
  <c r="V20" i="3"/>
  <c r="W20" i="3"/>
  <c r="P21" i="3"/>
  <c r="Q21" i="3"/>
  <c r="R21" i="3"/>
  <c r="T21" i="3"/>
  <c r="U21" i="3"/>
  <c r="V21" i="3"/>
  <c r="W21" i="3"/>
  <c r="O22" i="3"/>
  <c r="P22" i="3"/>
  <c r="Q22" i="3"/>
  <c r="T22" i="3"/>
  <c r="U22" i="3"/>
  <c r="V22" i="3"/>
  <c r="W22" i="3"/>
  <c r="P23" i="3"/>
  <c r="Q23" i="3"/>
  <c r="T23" i="3"/>
  <c r="U23" i="3"/>
  <c r="V23" i="3"/>
  <c r="W23" i="3"/>
  <c r="P24" i="3"/>
  <c r="Q24" i="3"/>
  <c r="R24" i="3"/>
  <c r="T24" i="3"/>
  <c r="U24" i="3"/>
  <c r="V24" i="3"/>
  <c r="W24" i="3"/>
  <c r="P25" i="3"/>
  <c r="Q25" i="3"/>
  <c r="R25" i="3"/>
  <c r="T25" i="3"/>
  <c r="U25" i="3"/>
  <c r="V25" i="3"/>
  <c r="W25" i="3"/>
  <c r="O26" i="3"/>
  <c r="P26" i="3"/>
  <c r="Q26" i="3"/>
  <c r="T26" i="3"/>
  <c r="U26" i="3"/>
  <c r="V26" i="3"/>
  <c r="W26" i="3"/>
  <c r="P27" i="3"/>
  <c r="Q27" i="3"/>
  <c r="T27" i="3"/>
  <c r="U27" i="3"/>
  <c r="V27" i="3"/>
  <c r="W27" i="3"/>
  <c r="P28" i="3"/>
  <c r="Q28" i="3"/>
  <c r="T28" i="3"/>
  <c r="U28" i="3"/>
  <c r="V28" i="3"/>
  <c r="W28" i="3"/>
  <c r="O29" i="3"/>
  <c r="P29" i="3"/>
  <c r="Q29" i="3"/>
  <c r="T29" i="3"/>
  <c r="U29" i="3"/>
  <c r="V29" i="3"/>
  <c r="W29" i="3"/>
  <c r="P30" i="3"/>
  <c r="Q30" i="3"/>
  <c r="T30" i="3"/>
  <c r="U30" i="3"/>
  <c r="V30" i="3"/>
  <c r="W30" i="3"/>
  <c r="P32" i="3"/>
  <c r="Q32" i="3"/>
  <c r="R32" i="3"/>
  <c r="T32" i="3"/>
  <c r="U32" i="3"/>
  <c r="V32" i="3"/>
  <c r="W32" i="3"/>
  <c r="O33" i="3"/>
  <c r="P33" i="3"/>
  <c r="Q33" i="3"/>
  <c r="R33" i="3"/>
  <c r="T33" i="3"/>
  <c r="U33" i="3"/>
  <c r="V33" i="3"/>
  <c r="W33" i="3"/>
  <c r="O34" i="3"/>
  <c r="P34" i="3"/>
  <c r="Q34" i="3"/>
  <c r="T34" i="3"/>
  <c r="U34" i="3"/>
  <c r="V34" i="3"/>
  <c r="W34" i="3"/>
  <c r="P35" i="3"/>
  <c r="Q35" i="3"/>
  <c r="T35" i="3"/>
  <c r="U35" i="3"/>
  <c r="V35" i="3"/>
  <c r="W35" i="3"/>
  <c r="P37" i="3"/>
  <c r="Q37" i="3"/>
  <c r="R37" i="3"/>
  <c r="T37" i="3"/>
  <c r="U37" i="3"/>
  <c r="V37" i="3"/>
  <c r="W37" i="3"/>
  <c r="P38" i="3"/>
  <c r="Q38" i="3"/>
  <c r="R38" i="3"/>
  <c r="T38" i="3"/>
  <c r="U38" i="3"/>
  <c r="V38" i="3"/>
  <c r="W38" i="3"/>
  <c r="P39" i="3"/>
  <c r="Q39" i="3"/>
  <c r="R39" i="3"/>
  <c r="T39" i="3"/>
  <c r="U39" i="3"/>
  <c r="V39" i="3"/>
  <c r="O40" i="3"/>
  <c r="S40" i="3"/>
  <c r="W40" i="3"/>
  <c r="O41" i="3"/>
  <c r="P41" i="3"/>
  <c r="R41" i="3"/>
  <c r="S41" i="3"/>
  <c r="T41" i="3"/>
  <c r="V41" i="3"/>
  <c r="W41" i="3"/>
  <c r="O42" i="3"/>
  <c r="S42" i="3"/>
  <c r="T42" i="3"/>
  <c r="P43" i="3"/>
  <c r="O44" i="3"/>
  <c r="S44" i="3"/>
  <c r="W44" i="3"/>
  <c r="P45" i="3"/>
  <c r="Q45" i="3"/>
  <c r="T45" i="3"/>
  <c r="U45" i="3"/>
  <c r="V45" i="3"/>
  <c r="W45" i="3"/>
  <c r="P46" i="3"/>
  <c r="Q46" i="3"/>
  <c r="R46" i="3"/>
  <c r="T46" i="3"/>
  <c r="U46" i="3"/>
  <c r="V46" i="3"/>
  <c r="W46" i="3"/>
  <c r="P47" i="3"/>
  <c r="Q47" i="3"/>
  <c r="R47" i="3"/>
  <c r="T47" i="3"/>
  <c r="U47" i="3"/>
  <c r="V47" i="3"/>
  <c r="W47" i="3"/>
  <c r="P48" i="3"/>
  <c r="Q48" i="3"/>
  <c r="T48" i="3"/>
  <c r="U48" i="3"/>
  <c r="V48" i="3"/>
  <c r="W48" i="3"/>
  <c r="P49" i="3"/>
  <c r="Q49" i="3"/>
  <c r="T49" i="3"/>
  <c r="U49" i="3"/>
  <c r="V49" i="3"/>
  <c r="W49" i="3"/>
  <c r="P50" i="3"/>
  <c r="Q50" i="3"/>
  <c r="R50" i="3"/>
  <c r="T50" i="3"/>
  <c r="U50" i="3"/>
  <c r="V50" i="3"/>
  <c r="W50" i="3"/>
  <c r="P51" i="3"/>
  <c r="Q51" i="3"/>
  <c r="R51" i="3"/>
  <c r="T51" i="3"/>
  <c r="U51" i="3"/>
  <c r="V51" i="3"/>
  <c r="W51" i="3"/>
  <c r="P52" i="3"/>
  <c r="Q52" i="3"/>
  <c r="T52" i="3"/>
  <c r="U52" i="3"/>
  <c r="V52" i="3"/>
  <c r="W52" i="3"/>
  <c r="P53" i="3"/>
  <c r="Q53" i="3"/>
  <c r="T53" i="3"/>
  <c r="U53" i="3"/>
  <c r="V53" i="3"/>
  <c r="W53" i="3"/>
  <c r="P54" i="3"/>
  <c r="Q54" i="3"/>
  <c r="R54" i="3"/>
  <c r="T54" i="3"/>
  <c r="U54" i="3"/>
  <c r="V54" i="3"/>
  <c r="W54" i="3"/>
  <c r="P3" i="3"/>
  <c r="Q3" i="3"/>
  <c r="T3" i="3"/>
  <c r="U3" i="3"/>
  <c r="V3" i="3"/>
  <c r="W3" i="3"/>
  <c r="R3" i="3"/>
  <c r="R7" i="3"/>
  <c r="R12" i="3"/>
  <c r="R13" i="3"/>
  <c r="R16" i="3"/>
  <c r="R17" i="3"/>
  <c r="R18" i="3"/>
  <c r="R19" i="3"/>
  <c r="R22" i="3"/>
  <c r="R23" i="3"/>
  <c r="R26" i="3"/>
  <c r="R27" i="3"/>
  <c r="R28" i="3"/>
  <c r="R29" i="3"/>
  <c r="R30" i="3"/>
  <c r="R34" i="3"/>
  <c r="R35" i="3"/>
  <c r="R45" i="3"/>
  <c r="R48" i="3"/>
  <c r="R49" i="3"/>
  <c r="R52" i="3"/>
  <c r="R53" i="3"/>
  <c r="O53" i="3"/>
  <c r="O52" i="3"/>
  <c r="O51" i="3"/>
  <c r="O49" i="3"/>
  <c r="O48" i="3"/>
  <c r="O47" i="3"/>
  <c r="O45" i="3"/>
  <c r="O38" i="3"/>
  <c r="O37" i="3"/>
  <c r="O32" i="3"/>
  <c r="O30" i="3"/>
  <c r="O28" i="3"/>
  <c r="O25" i="3"/>
  <c r="O24" i="3"/>
  <c r="O21" i="3"/>
  <c r="O20" i="3"/>
  <c r="O16" i="3"/>
  <c r="O12" i="3"/>
  <c r="O11" i="3"/>
  <c r="O9" i="3"/>
  <c r="O7" i="3"/>
  <c r="O3" i="3"/>
  <c r="O5" i="1"/>
  <c r="P5" i="1"/>
  <c r="Q5" i="1"/>
  <c r="R5" i="1"/>
  <c r="S5" i="1"/>
  <c r="U5" i="1"/>
  <c r="V5" i="1"/>
  <c r="W5" i="1"/>
  <c r="O8" i="1"/>
  <c r="P8" i="1"/>
  <c r="Q8" i="1"/>
  <c r="R8" i="1"/>
  <c r="S8" i="1"/>
  <c r="U8" i="1"/>
  <c r="V8" i="1"/>
  <c r="W8" i="1"/>
  <c r="O9" i="1"/>
  <c r="P9" i="1"/>
  <c r="Q9" i="1"/>
  <c r="R9" i="1"/>
  <c r="S9" i="1"/>
  <c r="U9" i="1"/>
  <c r="V9" i="1"/>
  <c r="W9" i="1"/>
  <c r="O10" i="1"/>
  <c r="P10" i="1"/>
  <c r="Q10" i="1"/>
  <c r="R10" i="1"/>
  <c r="S10" i="1"/>
  <c r="U10" i="1"/>
  <c r="V10" i="1"/>
  <c r="W10" i="1"/>
  <c r="O11" i="1"/>
  <c r="P11" i="1"/>
  <c r="Q11" i="1"/>
  <c r="R11" i="1"/>
  <c r="S11" i="1"/>
  <c r="U11" i="1"/>
  <c r="V11" i="1"/>
  <c r="W11" i="1"/>
  <c r="P12" i="1"/>
  <c r="U12" i="1"/>
  <c r="P13" i="1"/>
  <c r="Q13" i="1"/>
  <c r="R13" i="1"/>
  <c r="U13" i="1"/>
  <c r="V13" i="1"/>
  <c r="W13" i="1"/>
  <c r="O14" i="1"/>
  <c r="P14" i="1"/>
  <c r="Q14" i="1"/>
  <c r="R14" i="1"/>
  <c r="S14" i="1"/>
  <c r="U14" i="1"/>
  <c r="V14" i="1"/>
  <c r="W14" i="1"/>
  <c r="O15" i="1"/>
  <c r="P15" i="1"/>
  <c r="Q15" i="1"/>
  <c r="R15" i="1"/>
  <c r="S15" i="1"/>
  <c r="U15" i="1"/>
  <c r="V15" i="1"/>
  <c r="W15" i="1"/>
  <c r="P16" i="1"/>
  <c r="Q16" i="1"/>
  <c r="U16" i="1"/>
  <c r="V16" i="1"/>
  <c r="Q17" i="1"/>
  <c r="R17" i="1"/>
  <c r="S17" i="1"/>
  <c r="W17" i="1"/>
  <c r="O18" i="1"/>
  <c r="P18" i="1"/>
  <c r="Q18" i="1"/>
  <c r="R18" i="1"/>
  <c r="S18" i="1"/>
  <c r="U18" i="1"/>
  <c r="V18" i="1"/>
  <c r="W18" i="1"/>
  <c r="Q19" i="1"/>
  <c r="R19" i="1"/>
  <c r="V19" i="1"/>
  <c r="W19" i="1"/>
  <c r="O20" i="1"/>
  <c r="P20" i="1"/>
  <c r="Q20" i="1"/>
  <c r="R20" i="1"/>
  <c r="S20" i="1"/>
  <c r="U20" i="1"/>
  <c r="V20" i="1"/>
  <c r="W20" i="1"/>
  <c r="R21" i="1"/>
  <c r="S21" i="1"/>
  <c r="W21" i="1"/>
  <c r="R22" i="1"/>
  <c r="S22" i="1"/>
  <c r="U22" i="1"/>
  <c r="W22" i="1"/>
  <c r="R23" i="1"/>
  <c r="S23" i="1"/>
  <c r="W23" i="1"/>
  <c r="Q24" i="1"/>
  <c r="R24" i="1"/>
  <c r="S24" i="1"/>
  <c r="W24" i="1"/>
  <c r="R25" i="1"/>
  <c r="S25" i="1"/>
  <c r="W25" i="1"/>
  <c r="R26" i="1"/>
  <c r="S26" i="1"/>
  <c r="W26" i="1"/>
  <c r="R27" i="1"/>
  <c r="S27" i="1"/>
  <c r="W27" i="1"/>
  <c r="Q28" i="1"/>
  <c r="V28" i="1"/>
  <c r="W28" i="1"/>
  <c r="Q29" i="1"/>
  <c r="R29" i="1"/>
  <c r="S29" i="1"/>
  <c r="U29" i="1"/>
  <c r="W29" i="1"/>
  <c r="R30" i="1"/>
  <c r="S30" i="1"/>
  <c r="W30" i="1"/>
  <c r="R31" i="1"/>
  <c r="S31" i="1"/>
  <c r="U31" i="1"/>
  <c r="W31" i="1"/>
  <c r="Q33" i="1"/>
  <c r="R33" i="1"/>
  <c r="S33" i="1"/>
  <c r="U33" i="1"/>
  <c r="W33" i="1"/>
  <c r="R34" i="1"/>
  <c r="S34" i="1"/>
  <c r="W34" i="1"/>
  <c r="R35" i="1"/>
  <c r="S35" i="1"/>
  <c r="U35" i="1"/>
  <c r="W35" i="1"/>
  <c r="R36" i="1"/>
  <c r="S36" i="1"/>
  <c r="W36" i="1"/>
  <c r="Q38" i="1"/>
  <c r="R38" i="1"/>
  <c r="S38" i="1"/>
  <c r="U38" i="1"/>
  <c r="W38" i="1"/>
  <c r="R39" i="1"/>
  <c r="S39" i="1"/>
  <c r="W39" i="1"/>
  <c r="O40" i="1"/>
  <c r="P40" i="1"/>
  <c r="Q40" i="1"/>
  <c r="R40" i="1"/>
  <c r="S40" i="1"/>
  <c r="U40" i="1"/>
  <c r="V40" i="1"/>
  <c r="W40" i="1"/>
  <c r="O41" i="1"/>
  <c r="P41" i="1"/>
  <c r="Q41" i="1"/>
  <c r="R41" i="1"/>
  <c r="S41" i="1"/>
  <c r="U41" i="1"/>
  <c r="V41" i="1"/>
  <c r="W41" i="1"/>
  <c r="O42" i="1"/>
  <c r="P42" i="1"/>
  <c r="Q42" i="1"/>
  <c r="R42" i="1"/>
  <c r="S42" i="1"/>
  <c r="U42" i="1"/>
  <c r="V42" i="1"/>
  <c r="W42" i="1"/>
  <c r="O43" i="1"/>
  <c r="P43" i="1"/>
  <c r="Q43" i="1"/>
  <c r="R43" i="1"/>
  <c r="S43" i="1"/>
  <c r="U43" i="1"/>
  <c r="V43" i="1"/>
  <c r="W43" i="1"/>
  <c r="O44" i="1"/>
  <c r="P44" i="1"/>
  <c r="Q44" i="1"/>
  <c r="R44" i="1"/>
  <c r="S44" i="1"/>
  <c r="U44" i="1"/>
  <c r="V44" i="1"/>
  <c r="W44" i="1"/>
  <c r="O45" i="1"/>
  <c r="P45" i="1"/>
  <c r="Q45" i="1"/>
  <c r="R45" i="1"/>
  <c r="S45" i="1"/>
  <c r="U45" i="1"/>
  <c r="V45" i="1"/>
  <c r="W45" i="1"/>
  <c r="R46" i="1"/>
  <c r="S46" i="1"/>
  <c r="U46" i="1"/>
  <c r="W46" i="1"/>
  <c r="R47" i="1"/>
  <c r="S47" i="1"/>
  <c r="W47" i="1"/>
  <c r="Q48" i="1"/>
  <c r="R48" i="1"/>
  <c r="S48" i="1"/>
  <c r="W48" i="1"/>
  <c r="R49" i="1"/>
  <c r="S49" i="1"/>
  <c r="W49" i="1"/>
  <c r="R50" i="1"/>
  <c r="S50" i="1"/>
  <c r="W50" i="1"/>
  <c r="R51" i="1"/>
  <c r="S51" i="1"/>
  <c r="W51" i="1"/>
  <c r="Q52" i="1"/>
  <c r="R52" i="1"/>
  <c r="S52" i="1"/>
  <c r="U52" i="1"/>
  <c r="W52" i="1"/>
  <c r="R53" i="1"/>
  <c r="S53" i="1"/>
  <c r="W53" i="1"/>
  <c r="R54" i="1"/>
  <c r="S54" i="1"/>
  <c r="U54" i="1"/>
  <c r="W54" i="1"/>
  <c r="R55" i="1"/>
  <c r="S55" i="1"/>
  <c r="W55" i="1"/>
  <c r="P22" i="1"/>
  <c r="Q22" i="1"/>
  <c r="P23" i="1"/>
  <c r="Q23" i="1"/>
  <c r="U23" i="1"/>
  <c r="P24" i="1"/>
  <c r="U24" i="1"/>
  <c r="P25" i="1"/>
  <c r="Q25" i="1"/>
  <c r="U25" i="1"/>
  <c r="P26" i="1"/>
  <c r="Q26" i="1"/>
  <c r="U26" i="1"/>
  <c r="P27" i="1"/>
  <c r="Q27" i="1"/>
  <c r="U27" i="1"/>
  <c r="P38" i="1"/>
  <c r="P39" i="1"/>
  <c r="Q39" i="1"/>
  <c r="U39" i="1"/>
  <c r="P29" i="1"/>
  <c r="P30" i="1"/>
  <c r="Q30" i="1"/>
  <c r="U30" i="1"/>
  <c r="P31" i="1"/>
  <c r="Q31" i="1"/>
  <c r="P33" i="1"/>
  <c r="P34" i="1"/>
  <c r="Q34" i="1"/>
  <c r="U34" i="1"/>
  <c r="P35" i="1"/>
  <c r="Q35" i="1"/>
  <c r="P36" i="1"/>
  <c r="Q36" i="1"/>
  <c r="U36" i="1"/>
  <c r="P46" i="1"/>
  <c r="Q46" i="1"/>
  <c r="P47" i="1"/>
  <c r="Q47" i="1"/>
  <c r="U47" i="1"/>
  <c r="P48" i="1"/>
  <c r="U48" i="1"/>
  <c r="P49" i="1"/>
  <c r="Q49" i="1"/>
  <c r="U49" i="1"/>
  <c r="P50" i="1"/>
  <c r="Q50" i="1"/>
  <c r="U50" i="1"/>
  <c r="P51" i="1"/>
  <c r="Q51" i="1"/>
  <c r="U51" i="1"/>
  <c r="P52" i="1"/>
  <c r="P53" i="1"/>
  <c r="Q53" i="1"/>
  <c r="U53" i="1"/>
  <c r="P54" i="1"/>
  <c r="Q54" i="1"/>
  <c r="P55" i="1"/>
  <c r="Q55" i="1"/>
  <c r="U55" i="1"/>
  <c r="O54" i="1"/>
  <c r="O51" i="1"/>
  <c r="O50" i="1"/>
  <c r="O48" i="1"/>
  <c r="O46" i="1"/>
  <c r="O36" i="1"/>
  <c r="O35" i="1"/>
  <c r="O31" i="1"/>
  <c r="O26" i="1"/>
  <c r="O23" i="1"/>
  <c r="O22" i="1"/>
  <c r="P21" i="1"/>
  <c r="Q21" i="1"/>
  <c r="U21" i="1"/>
  <c r="P17" i="1"/>
  <c r="U17" i="1"/>
  <c r="O17" i="1"/>
  <c r="AN19" i="2"/>
  <c r="AP19" i="2"/>
  <c r="AR19" i="2"/>
  <c r="AT19" i="2"/>
  <c r="AU19" i="2"/>
  <c r="AO20" i="2"/>
  <c r="AN20" i="2"/>
  <c r="AU20" i="2"/>
  <c r="AS19" i="2"/>
  <c r="AO19" i="2"/>
  <c r="V19" i="2"/>
  <c r="Q19" i="2"/>
  <c r="AS20" i="2" l="1"/>
  <c r="AS18" i="2" s="1"/>
  <c r="U31" i="3" s="1"/>
  <c r="O20" i="2"/>
  <c r="W43" i="3"/>
  <c r="O43" i="3"/>
  <c r="T43" i="3"/>
  <c r="W42" i="3"/>
  <c r="Q42" i="3"/>
  <c r="S43" i="3"/>
  <c r="U42" i="3"/>
  <c r="P42" i="3"/>
  <c r="U41" i="3"/>
  <c r="U14" i="3"/>
  <c r="P14" i="3"/>
  <c r="U15" i="3"/>
  <c r="T14" i="3"/>
  <c r="O14" i="3"/>
  <c r="Q15" i="3"/>
  <c r="S14" i="3"/>
  <c r="R20" i="2"/>
  <c r="V44" i="3"/>
  <c r="R44" i="3"/>
  <c r="V40" i="3"/>
  <c r="R40" i="3"/>
  <c r="U44" i="3"/>
  <c r="Q44" i="3"/>
  <c r="V43" i="3"/>
  <c r="R43" i="3"/>
  <c r="U40" i="3"/>
  <c r="Q40" i="3"/>
  <c r="T44" i="3"/>
  <c r="U43" i="3"/>
  <c r="V42" i="3"/>
  <c r="T40" i="3"/>
  <c r="W39" i="3"/>
  <c r="S39" i="3"/>
  <c r="T15" i="3"/>
  <c r="P15" i="3"/>
  <c r="W15" i="3"/>
  <c r="S15" i="3"/>
  <c r="O15" i="3"/>
  <c r="V15" i="3"/>
  <c r="V14" i="3"/>
  <c r="R19" i="2"/>
  <c r="W19" i="2"/>
  <c r="W18" i="2" s="1"/>
  <c r="W32" i="1" s="1"/>
  <c r="O19" i="2"/>
  <c r="S19" i="2"/>
  <c r="P19" i="2"/>
  <c r="AN18" i="2"/>
  <c r="P31" i="3" s="1"/>
  <c r="S16" i="1"/>
  <c r="O16" i="1"/>
  <c r="W16" i="1"/>
  <c r="S12" i="1"/>
  <c r="O12" i="1"/>
  <c r="W12" i="1"/>
  <c r="R12" i="1"/>
  <c r="V12" i="1"/>
  <c r="S13" i="1"/>
  <c r="O54" i="3"/>
  <c r="O50" i="3"/>
  <c r="O46" i="3"/>
  <c r="O35" i="3"/>
  <c r="O27" i="3"/>
  <c r="O23" i="3"/>
  <c r="O19" i="3"/>
  <c r="O13" i="3"/>
  <c r="O8" i="3"/>
  <c r="O4" i="3"/>
  <c r="O24" i="1"/>
  <c r="O29" i="1"/>
  <c r="O33" i="1"/>
  <c r="O38" i="1"/>
  <c r="O47" i="1"/>
  <c r="O52" i="1"/>
  <c r="O55" i="1"/>
  <c r="O21" i="1"/>
  <c r="O25" i="1"/>
  <c r="O30" i="1"/>
  <c r="O34" i="1"/>
  <c r="O39" i="1"/>
  <c r="O49" i="1"/>
  <c r="O53" i="1"/>
  <c r="AO18" i="2"/>
  <c r="Q31" i="3" s="1"/>
  <c r="AU18" i="2"/>
  <c r="W31" i="3" s="1"/>
  <c r="AR20" i="2"/>
  <c r="AP20" i="2"/>
  <c r="AT20" i="2"/>
  <c r="AT18" i="2" s="1"/>
  <c r="V31" i="3" s="1"/>
  <c r="AM20" i="2"/>
  <c r="AM18" i="2" s="1"/>
  <c r="O31" i="3" s="1"/>
  <c r="S20" i="2"/>
  <c r="P20" i="2"/>
  <c r="U20" i="2"/>
  <c r="U18" i="2" s="1"/>
  <c r="U32" i="1" s="1"/>
  <c r="Q20" i="2"/>
  <c r="Q18" i="2" s="1"/>
  <c r="Q32" i="1" s="1"/>
  <c r="O18" i="2" l="1"/>
  <c r="O32" i="1" s="1"/>
  <c r="R18" i="2"/>
  <c r="R32" i="1" s="1"/>
  <c r="P18" i="2"/>
  <c r="P32" i="1" s="1"/>
  <c r="S18" i="2"/>
  <c r="S32" i="1" s="1"/>
  <c r="AP18" i="2"/>
  <c r="R31" i="3" s="1"/>
  <c r="AR18" i="2"/>
  <c r="T31" i="3" s="1"/>
  <c r="AQ20" i="2"/>
  <c r="S3" i="3"/>
  <c r="S4" i="3"/>
  <c r="S7" i="3"/>
  <c r="S8" i="3"/>
  <c r="S9" i="3"/>
  <c r="S11" i="3"/>
  <c r="S12" i="3"/>
  <c r="S13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2" i="3"/>
  <c r="S33" i="3"/>
  <c r="S34" i="3"/>
  <c r="S35" i="3"/>
  <c r="S37" i="3"/>
  <c r="S38" i="3"/>
  <c r="S45" i="3"/>
  <c r="S46" i="3"/>
  <c r="S47" i="3"/>
  <c r="S48" i="3"/>
  <c r="S49" i="3"/>
  <c r="S50" i="3"/>
  <c r="S51" i="3"/>
  <c r="S52" i="3"/>
  <c r="S53" i="3"/>
  <c r="S54" i="3"/>
  <c r="AQ19" i="2"/>
  <c r="V20" i="2"/>
  <c r="V18" i="2" s="1"/>
  <c r="V32" i="1" s="1"/>
  <c r="V23" i="1"/>
  <c r="V27" i="1"/>
  <c r="V30" i="1"/>
  <c r="V34" i="1"/>
  <c r="V47" i="1"/>
  <c r="V51" i="1"/>
  <c r="V55" i="1"/>
  <c r="V25" i="1"/>
  <c r="V49" i="1"/>
  <c r="V53" i="1"/>
  <c r="V38" i="1"/>
  <c r="V35" i="1"/>
  <c r="V48" i="1"/>
  <c r="V22" i="1"/>
  <c r="V26" i="1"/>
  <c r="V29" i="1"/>
  <c r="V33" i="1"/>
  <c r="V46" i="1"/>
  <c r="V50" i="1"/>
  <c r="V54" i="1"/>
  <c r="V39" i="1"/>
  <c r="V36" i="1"/>
  <c r="V24" i="1"/>
  <c r="V31" i="1"/>
  <c r="V52" i="1"/>
  <c r="AQ18" i="2" l="1"/>
  <c r="S31" i="3" s="1"/>
  <c r="V17" i="1"/>
  <c r="V21" i="1"/>
</calcChain>
</file>

<file path=xl/sharedStrings.xml><?xml version="1.0" encoding="utf-8"?>
<sst xmlns="http://schemas.openxmlformats.org/spreadsheetml/2006/main" count="487" uniqueCount="151">
  <si>
    <t>Sektor</t>
  </si>
  <si>
    <t>Padi</t>
  </si>
  <si>
    <t>Jagung</t>
  </si>
  <si>
    <t>Tenaga Kerja</t>
  </si>
  <si>
    <t>No Sektor</t>
  </si>
  <si>
    <t>Data Aktivitas</t>
  </si>
  <si>
    <t xml:space="preserve">Distribusi Satuan Timbulan Limbah Padat (Sampah) </t>
  </si>
  <si>
    <t>Distribusi Timbulan Limbah Padat (Sampah), ton limbah padat/tahun</t>
  </si>
  <si>
    <t>Besaran</t>
  </si>
  <si>
    <t>Satuan (/tahun)</t>
  </si>
  <si>
    <t xml:space="preserve">Pengolahan biologi (kompos) </t>
  </si>
  <si>
    <t>3R (material daur ulang)</t>
  </si>
  <si>
    <t xml:space="preserve">Dibakar terbuka </t>
  </si>
  <si>
    <t xml:space="preserve">Tidak terkelola </t>
  </si>
  <si>
    <t>Total</t>
  </si>
  <si>
    <t>Satuan</t>
  </si>
  <si>
    <t>Ha Luas Panen</t>
  </si>
  <si>
    <t>kg limbah padat /Ha Luas Panen</t>
  </si>
  <si>
    <t>pegawai</t>
  </si>
  <si>
    <t>kg limbah padat /Pegawai</t>
  </si>
  <si>
    <t>penumpang</t>
  </si>
  <si>
    <t>m3 Air Baku Yang Diolah</t>
  </si>
  <si>
    <t>kg limbah padat /m3 air baku yang diolah</t>
  </si>
  <si>
    <t xml:space="preserve">Ditimbun </t>
  </si>
  <si>
    <t>TPA</t>
  </si>
  <si>
    <t>Lubang/ Open Dumping</t>
  </si>
  <si>
    <t xml:space="preserve">Ton Umbi Yang Dipanen </t>
  </si>
  <si>
    <t>kg limbah padat /ton umbi  yang dipanen</t>
  </si>
  <si>
    <t xml:space="preserve">Ton Tanaman Yang Dipanen </t>
  </si>
  <si>
    <t>kg limbah padat /ton tanaman yang dipanen</t>
  </si>
  <si>
    <t xml:space="preserve">Ton Kacang Yang Dipanen </t>
  </si>
  <si>
    <t>kg limbah padat /ton kacang yang dipanen</t>
  </si>
  <si>
    <t>Air</t>
  </si>
  <si>
    <t>Sampah Domestik</t>
  </si>
  <si>
    <t>penduduk</t>
  </si>
  <si>
    <t>kg limbah padat /Penduduk</t>
  </si>
  <si>
    <t>Ditimbun</t>
  </si>
  <si>
    <t>Distribusi Satuan Timbulan Limbah Cair</t>
  </si>
  <si>
    <t>Distribusi Timbulan Limbah Cair (m3/tahun)</t>
  </si>
  <si>
    <t>septic tank/-cubluk individu/MCK biasa</t>
  </si>
  <si>
    <t>MCK ++</t>
  </si>
  <si>
    <t>IPAL Aerob</t>
  </si>
  <si>
    <t>IPAL Anaerob</t>
  </si>
  <si>
    <t>Dibuang ke saluran/-sungai (tidak terkelola)</t>
  </si>
  <si>
    <t>Biogas</t>
  </si>
  <si>
    <t>Pengolahan KIMIA</t>
  </si>
  <si>
    <t>TOTAL</t>
  </si>
  <si>
    <t>m3/pegawai</t>
  </si>
  <si>
    <t>Limbah Domestik</t>
  </si>
  <si>
    <t>m3/orang</t>
  </si>
  <si>
    <t>TENAGA KERJA</t>
  </si>
  <si>
    <t>m3/ penumpang</t>
  </si>
  <si>
    <t>Real Estate</t>
  </si>
  <si>
    <t>Jasa lainnya</t>
  </si>
  <si>
    <t>Angkutan Darat</t>
  </si>
  <si>
    <t xml:space="preserve">Tanaman Pangan </t>
  </si>
  <si>
    <t>Tanaman Hortikultura</t>
  </si>
  <si>
    <t>Perkebunan</t>
  </si>
  <si>
    <t xml:space="preserve">Peternakan </t>
  </si>
  <si>
    <t xml:space="preserve">Jasa Pertanian, dan Perburuan  </t>
  </si>
  <si>
    <t>Kehutanan dan Penebangan Kayu</t>
  </si>
  <si>
    <t xml:space="preserve">Perikanan </t>
  </si>
  <si>
    <t>Pertambangan Minyak, Gas dan Panas Bumi</t>
  </si>
  <si>
    <t>Pertambangan Bijih Logam</t>
  </si>
  <si>
    <t>Pertambangan dan Penggalian Lainnya</t>
  </si>
  <si>
    <t>Industri Batubara dan Pengilangan Migas</t>
  </si>
  <si>
    <t xml:space="preserve">Industri Makanan dan Minuman </t>
  </si>
  <si>
    <t>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</si>
  <si>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</si>
  <si>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</si>
  <si>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</si>
  <si>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Kertas,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</si>
  <si>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</si>
  <si>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</si>
  <si>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</si>
  <si>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</si>
  <si>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</si>
  <si>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</si>
  <si>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</si>
  <si>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</si>
  <si>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</si>
  <si>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 xml:space="preserve">Ketenagalistrikan </t>
  </si>
  <si>
    <t>Pengadaan Gas dan Produksi Es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</si>
  <si>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</si>
  <si>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</si>
  <si>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</si>
  <si>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</si>
  <si>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 xml:space="preserve">Angkutan Rel </t>
  </si>
  <si>
    <t xml:space="preserve">Angkutan Laut </t>
  </si>
  <si>
    <t>Angkutan Sungai Danau dan Penyeberangan</t>
  </si>
  <si>
    <t>Angkutan Udara</t>
  </si>
  <si>
    <t>Pergudangan dan Jasa Penunjang Angkutan, Pos dan Kurir</t>
  </si>
  <si>
    <t xml:space="preserve">Penyediaan Akomodasi 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</si>
  <si>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</si>
  <si>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</si>
  <si>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</si>
  <si>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</si>
  <si>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</si>
  <si>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</si>
  <si>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Jasa Perusahaan</t>
  </si>
  <si>
    <t>Administrasi Pemerintahan, Pertahanan dan Jaminan Sosial Wajib</t>
  </si>
  <si>
    <t>Jasa Pendidikan</t>
  </si>
  <si>
    <t>Jasa Kesehatan dan Kegiatan Sosial</t>
  </si>
  <si>
    <t>Lainnya</t>
  </si>
  <si>
    <t>Umbi</t>
  </si>
  <si>
    <t>Kacang</t>
  </si>
  <si>
    <t>Karet</t>
  </si>
  <si>
    <t>Kelapa</t>
  </si>
  <si>
    <t>Kelapa Sawit</t>
  </si>
  <si>
    <t>Tanaman Perkebunan Lain</t>
  </si>
  <si>
    <t>Ton Produksi Kelapa</t>
  </si>
  <si>
    <t>kg limbah padat /ton Produksi Kelapa</t>
  </si>
  <si>
    <t>Ton Produksi Karet</t>
  </si>
  <si>
    <t>kg limbah padat /ton Produksi Karet</t>
  </si>
  <si>
    <t>Ton Produksi Kelapa Sawit</t>
  </si>
  <si>
    <t>kg limbah padat /ton produksi minyak sawit</t>
  </si>
  <si>
    <t>Ekor Ternak</t>
  </si>
  <si>
    <t>kg Berat Basah  limbah padat /Ekor Sapi</t>
  </si>
  <si>
    <t>kg limbah padat/ ekor ternak</t>
  </si>
  <si>
    <t>Ternak Besar</t>
  </si>
  <si>
    <t>Ternak Kecil</t>
  </si>
  <si>
    <t>Unggas</t>
  </si>
  <si>
    <t>LIHAT WORKSHEET 'DETAIL HITUNGAN'</t>
  </si>
  <si>
    <t>Ton Produksi Ikan</t>
  </si>
  <si>
    <t>kg limbah padat /ton Produksi Ikan</t>
  </si>
  <si>
    <t>m3 Kayu Bulat</t>
  </si>
  <si>
    <t>kg  limbah padat /m3 kayu bulat</t>
  </si>
  <si>
    <t>Ton Produk yang ditambang</t>
  </si>
  <si>
    <t>kg limbah padat /ton produk yang ditambang</t>
  </si>
  <si>
    <t>MWh Produksi Listrik</t>
  </si>
  <si>
    <t>kg limbah padat /MWh Produksi Listrik</t>
  </si>
  <si>
    <t>m3 LNG dan LPG</t>
  </si>
  <si>
    <t>kg limbah padat /m3 LNG dan LPG</t>
  </si>
  <si>
    <t>Kamar</t>
  </si>
  <si>
    <t>kg limbah padat /Kamar</t>
  </si>
  <si>
    <t>Kursi</t>
  </si>
  <si>
    <t>kg limbah padat /Kursi</t>
  </si>
  <si>
    <t>kg limbah padat /Penumpang/tahun</t>
  </si>
  <si>
    <t xml:space="preserve">m3/kamar/hari </t>
  </si>
  <si>
    <t>Pengunjung</t>
  </si>
  <si>
    <t>m3/ pengunjung</t>
  </si>
  <si>
    <t>m3/MWh</t>
  </si>
  <si>
    <t>m3 air limbah kelapa/ton panen</t>
  </si>
  <si>
    <t xml:space="preserve">m3 POME (limbah cair)/ton tandan buah segar yang diolah </t>
  </si>
  <si>
    <t>Ton Produksi Minyak Sawit</t>
  </si>
  <si>
    <t>m3/ ekor ternak</t>
  </si>
  <si>
    <t>LIHAT WORSHEET 'DETAIL HITUNGAN'</t>
  </si>
  <si>
    <t>Pegawai</t>
  </si>
  <si>
    <t>Waste to energy/Insinerasi</t>
  </si>
  <si>
    <t>Insinerasi Sampah Domestik</t>
  </si>
  <si>
    <t>Insinerasi Sampah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</si>
</sst>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4" fontId="0" fillId="6" borderId="1" xfId="0" applyNumberFormat="1" applyFill="1" applyBorder="1"/>
    <xf numFmtId="3" fontId="0" fillId="5" borderId="1" xfId="0" applyNumberFormat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0" fontId="0" fillId="0" borderId="0" xfId="0" applyFill="1" applyBorder="1"/>
    <xf numFmtId="3" fontId="1" fillId="4" borderId="1" xfId="0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/>
    <xf numFmtId="165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164" fontId="3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" fontId="2" fillId="0" borderId="1" xfId="0" applyNumberFormat="1" applyFont="1" applyBorder="1"/>
    <xf numFmtId="0" fontId="4" fillId="0" borderId="1" xfId="0" applyFont="1" applyFill="1" applyBorder="1"/>
    <xf numFmtId="3" fontId="4" fillId="0" borderId="1" xfId="0" applyNumberFormat="1" applyFont="1" applyFill="1" applyBorder="1"/>
    <xf numFmtId="4" fontId="4" fillId="0" borderId="1" xfId="0" applyNumberFormat="1" applyFont="1" applyFill="1" applyBorder="1"/>
    <xf numFmtId="0" fontId="4" fillId="0" borderId="0" xfId="0" applyFont="1" applyFill="1" applyBorder="1"/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left" vertical="center" wrapText="1"/>
    </xf>
    <xf numFmtId="3" fontId="4" fillId="0" borderId="4" xfId="0" applyNumberFormat="1" applyFont="1" applyFill="1" applyBorder="1" applyAlignment="1">
      <alignment horizontal="right" vertical="center" wrapText="1"/>
    </xf>
    <xf numFmtId="2" fontId="0" fillId="6" borderId="1" xfId="0" applyNumberFormat="1" applyFill="1" applyBorder="1"/>
    <xf numFmtId="3" fontId="0" fillId="7" borderId="1" xfId="0" applyNumberFormat="1" applyFill="1" applyBorder="1"/>
    <xf numFmtId="0" fontId="4" fillId="0" borderId="1" xfId="0" applyFont="1" applyFill="1" applyBorder="1" applyAlignment="1"/>
    <xf numFmtId="165" fontId="4" fillId="0" borderId="1" xfId="0" applyNumberFormat="1" applyFont="1" applyFill="1" applyBorder="1" applyAlignment="1">
      <alignment horizontal="center" vertical="center"/>
    </xf>
    <xf numFmtId="3" fontId="0" fillId="8" borderId="5" xfId="0" applyNumberFormat="1" applyFill="1" applyBorder="1" applyAlignment="1">
      <alignment horizontal="center"/>
    </xf>
    <xf numFmtId="3" fontId="0" fillId="8" borderId="7" xfId="0" applyNumberFormat="1" applyFill="1" applyBorder="1" applyAlignment="1">
      <alignment horizontal="center"/>
    </xf>
    <xf numFmtId="3" fontId="0" fillId="8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921F-C7A0-4924-A822-82095B3196CC}">
  <dimension ref="A1:Y55"/>
  <sheetViews>
    <sheetView tabSelected="1" zoomScale="55" zoomScaleNormal="55" workbookViewId="0">
      <pane ySplit="3" topLeftCell="A4" activePane="bottomLeft" state="frozen"/>
      <selection pane="bottomLeft" activeCell="D30" sqref="D30"/>
    </sheetView>
  </sheetViews>
  <sheetFormatPr defaultRowHeight="15" x14ac:dyDescent="0.25"/>
  <cols>
    <col min="2" max="2" width="30.42578125" customWidth="1"/>
    <col min="3" max="3" width="16" style="22" customWidth="1"/>
    <col min="4" max="4" width="14.140625" customWidth="1"/>
    <col min="5" max="5" width="14.28515625" customWidth="1"/>
    <col min="6" max="6" width="9.140625" customWidth="1"/>
    <col min="7" max="7" width="11.5703125" customWidth="1"/>
    <col min="8" max="8" width="9.28515625" customWidth="1"/>
    <col min="9" max="10" width="10.5703125" customWidth="1"/>
    <col min="11" max="11" width="8.5703125" customWidth="1"/>
    <col min="12" max="12" width="9" customWidth="1"/>
    <col min="13" max="13" width="7.85546875" customWidth="1"/>
    <col min="14" max="14" width="26.28515625" customWidth="1"/>
    <col min="15" max="23" width="12.42578125" customWidth="1"/>
    <col min="24" max="24" width="11.42578125" customWidth="1"/>
    <col min="25" max="25" width="12.7109375" customWidth="1"/>
  </cols>
  <sheetData>
    <row r="1" spans="1:25" ht="15" customHeight="1" x14ac:dyDescent="0.25">
      <c r="A1" s="54" t="s">
        <v>4</v>
      </c>
      <c r="B1" s="54" t="s">
        <v>0</v>
      </c>
      <c r="C1" s="48" t="s">
        <v>5</v>
      </c>
      <c r="D1" s="48"/>
      <c r="E1" s="49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50" t="s">
        <v>7</v>
      </c>
      <c r="P1" s="50"/>
      <c r="Q1" s="50"/>
      <c r="R1" s="50"/>
      <c r="S1" s="50"/>
      <c r="T1" s="50"/>
      <c r="U1" s="50"/>
      <c r="V1" s="50"/>
      <c r="W1" s="50"/>
      <c r="X1" s="1"/>
      <c r="Y1" s="47" t="s">
        <v>3</v>
      </c>
    </row>
    <row r="2" spans="1:25" ht="15" customHeight="1" x14ac:dyDescent="0.25">
      <c r="A2" s="55"/>
      <c r="B2" s="55"/>
      <c r="C2" s="57" t="s">
        <v>8</v>
      </c>
      <c r="D2" s="54" t="s">
        <v>9</v>
      </c>
      <c r="E2" s="49" t="s">
        <v>23</v>
      </c>
      <c r="F2" s="49"/>
      <c r="G2" s="49" t="s">
        <v>10</v>
      </c>
      <c r="H2" s="49" t="s">
        <v>11</v>
      </c>
      <c r="I2" s="49" t="s">
        <v>148</v>
      </c>
      <c r="J2" s="49"/>
      <c r="K2" s="49" t="s">
        <v>12</v>
      </c>
      <c r="L2" s="49" t="s">
        <v>13</v>
      </c>
      <c r="M2" s="49" t="s">
        <v>14</v>
      </c>
      <c r="N2" s="49" t="s">
        <v>15</v>
      </c>
      <c r="O2" s="53" t="s">
        <v>23</v>
      </c>
      <c r="P2" s="53"/>
      <c r="Q2" s="53" t="s">
        <v>10</v>
      </c>
      <c r="R2" s="51" t="s">
        <v>11</v>
      </c>
      <c r="S2" s="50" t="s">
        <v>148</v>
      </c>
      <c r="T2" s="50"/>
      <c r="U2" s="51" t="s">
        <v>12</v>
      </c>
      <c r="V2" s="51" t="s">
        <v>13</v>
      </c>
      <c r="W2" s="51" t="s">
        <v>14</v>
      </c>
      <c r="X2" s="1"/>
      <c r="Y2" s="47"/>
    </row>
    <row r="3" spans="1:25" ht="45" x14ac:dyDescent="0.25">
      <c r="A3" s="56"/>
      <c r="B3" s="56"/>
      <c r="C3" s="58"/>
      <c r="D3" s="56"/>
      <c r="E3" s="5" t="s">
        <v>24</v>
      </c>
      <c r="F3" s="5" t="s">
        <v>25</v>
      </c>
      <c r="G3" s="49"/>
      <c r="H3" s="49"/>
      <c r="I3" s="31" t="s">
        <v>149</v>
      </c>
      <c r="J3" s="31" t="s">
        <v>150</v>
      </c>
      <c r="K3" s="49"/>
      <c r="L3" s="49"/>
      <c r="M3" s="49"/>
      <c r="N3" s="49"/>
      <c r="O3" s="10" t="s">
        <v>24</v>
      </c>
      <c r="P3" s="10" t="s">
        <v>25</v>
      </c>
      <c r="Q3" s="53"/>
      <c r="R3" s="52"/>
      <c r="S3" s="32" t="s">
        <v>149</v>
      </c>
      <c r="T3" s="32" t="s">
        <v>150</v>
      </c>
      <c r="U3" s="52"/>
      <c r="V3" s="52"/>
      <c r="W3" s="52"/>
      <c r="X3" s="1"/>
      <c r="Y3" s="2"/>
    </row>
    <row r="4" spans="1:25" x14ac:dyDescent="0.25">
      <c r="A4" s="6">
        <v>1</v>
      </c>
      <c r="B4" s="6" t="s">
        <v>55</v>
      </c>
      <c r="C4" s="44" t="s">
        <v>122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20">
        <f>'DETAIL HITUNGAN'!O4</f>
        <v>0</v>
      </c>
      <c r="P4" s="20">
        <f>'DETAIL HITUNGAN'!P4</f>
        <v>0</v>
      </c>
      <c r="Q4" s="20">
        <f>'DETAIL HITUNGAN'!Q4</f>
        <v>6729199.4699999997</v>
      </c>
      <c r="R4" s="20">
        <f>'DETAIL HITUNGAN'!R4</f>
        <v>176284.236</v>
      </c>
      <c r="S4" s="20">
        <f>'DETAIL HITUNGAN'!S4</f>
        <v>0</v>
      </c>
      <c r="T4" s="20">
        <f>'DETAIL HITUNGAN'!T4</f>
        <v>0</v>
      </c>
      <c r="U4" s="20">
        <f>'DETAIL HITUNGAN'!U4</f>
        <v>6729199.4699999997</v>
      </c>
      <c r="V4" s="20">
        <f>'DETAIL HITUNGAN'!V4</f>
        <v>8315468.9439999992</v>
      </c>
      <c r="W4" s="20">
        <f>'DETAIL HITUNGAN'!W4</f>
        <v>21950152.120000001</v>
      </c>
      <c r="Y4">
        <v>55063</v>
      </c>
    </row>
    <row r="5" spans="1:25" x14ac:dyDescent="0.25">
      <c r="A5" s="6">
        <v>2</v>
      </c>
      <c r="B5" s="6" t="s">
        <v>56</v>
      </c>
      <c r="C5" s="9">
        <f>1291477+2408686+2592283+2707699+1951293+33225733+3133681+1071721+541271+13088014+866356+1875542+6157598+5968665+251555+1481070+256112+4413509+212481265+13912319+56251+84983+3555131+658168+6451826+66410519+5381494+4363883+10067604+231701+31944+152153+4463+62923534+102733+1674823+76630+1382518</f>
        <v>473286207</v>
      </c>
      <c r="D5" s="6" t="s">
        <v>28</v>
      </c>
      <c r="E5" s="7">
        <v>0</v>
      </c>
      <c r="F5" s="7">
        <v>0</v>
      </c>
      <c r="G5" s="7">
        <v>0</v>
      </c>
      <c r="H5" s="7">
        <v>45</v>
      </c>
      <c r="I5" s="7">
        <v>0</v>
      </c>
      <c r="J5" s="7">
        <v>0</v>
      </c>
      <c r="K5" s="7">
        <v>0</v>
      </c>
      <c r="L5" s="8">
        <v>105</v>
      </c>
      <c r="M5" s="7">
        <v>150</v>
      </c>
      <c r="N5" s="7" t="s">
        <v>29</v>
      </c>
      <c r="O5" s="20">
        <f t="shared" ref="O5:O55" si="0">$C5*E5/1000</f>
        <v>0</v>
      </c>
      <c r="P5" s="20">
        <f t="shared" ref="P5:P55" si="1">$C5*F5/1000</f>
        <v>0</v>
      </c>
      <c r="Q5" s="20">
        <f t="shared" ref="Q5:Q55" si="2">$C5*G5/1000</f>
        <v>0</v>
      </c>
      <c r="R5" s="20">
        <f t="shared" ref="R5:R55" si="3">$C5*H5/1000</f>
        <v>21297879.315000001</v>
      </c>
      <c r="S5" s="20">
        <f t="shared" ref="S5:T55" si="4">$C5*I5/1000</f>
        <v>0</v>
      </c>
      <c r="T5" s="20">
        <f t="shared" si="4"/>
        <v>0</v>
      </c>
      <c r="U5" s="20">
        <f t="shared" ref="U5:U55" si="5">$C5*K5/1000</f>
        <v>0</v>
      </c>
      <c r="V5" s="20">
        <f t="shared" ref="V5:V55" si="6">$C5*L5/1000</f>
        <v>49695051.734999999</v>
      </c>
      <c r="W5" s="20">
        <f t="shared" ref="W5:W55" si="7">$C5*M5/1000</f>
        <v>70992931.049999997</v>
      </c>
      <c r="Y5">
        <v>39030</v>
      </c>
    </row>
    <row r="6" spans="1:25" x14ac:dyDescent="0.25">
      <c r="A6" s="6">
        <v>3</v>
      </c>
      <c r="B6" s="6" t="s">
        <v>57</v>
      </c>
      <c r="C6" s="44" t="s">
        <v>122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6"/>
      <c r="O6" s="20">
        <f>'DETAIL HITUNGAN'!O9</f>
        <v>0</v>
      </c>
      <c r="P6" s="20">
        <f>'DETAIL HITUNGAN'!P9</f>
        <v>0</v>
      </c>
      <c r="Q6" s="20">
        <f>'DETAIL HITUNGAN'!Q9</f>
        <v>0</v>
      </c>
      <c r="R6" s="20">
        <f>'DETAIL HITUNGAN'!R9</f>
        <v>52201.02</v>
      </c>
      <c r="S6" s="20">
        <f>'DETAIL HITUNGAN'!S9</f>
        <v>0</v>
      </c>
      <c r="T6" s="20">
        <f>'DETAIL HITUNGAN'!T9</f>
        <v>0</v>
      </c>
      <c r="U6" s="20">
        <f>'DETAIL HITUNGAN'!U9</f>
        <v>0</v>
      </c>
      <c r="V6" s="20">
        <f>'DETAIL HITUNGAN'!V9</f>
        <v>106124.04000000001</v>
      </c>
      <c r="W6" s="20">
        <f>'DETAIL HITUNGAN'!W9</f>
        <v>158325.06</v>
      </c>
      <c r="Y6">
        <v>41408</v>
      </c>
    </row>
    <row r="7" spans="1:25" x14ac:dyDescent="0.25">
      <c r="A7" s="6">
        <v>4</v>
      </c>
      <c r="B7" s="6" t="s">
        <v>58</v>
      </c>
      <c r="C7" s="44" t="s">
        <v>122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  <c r="O7" s="20">
        <f>'DETAIL HITUNGAN'!O14</f>
        <v>0</v>
      </c>
      <c r="P7" s="20">
        <f>'DETAIL HITUNGAN'!P14</f>
        <v>0</v>
      </c>
      <c r="Q7" s="20">
        <f>'DETAIL HITUNGAN'!Q14</f>
        <v>0</v>
      </c>
      <c r="R7" s="20">
        <f>'DETAIL HITUNGAN'!R14</f>
        <v>27175.655415000001</v>
      </c>
      <c r="S7" s="20">
        <f>'DETAIL HITUNGAN'!S14</f>
        <v>0</v>
      </c>
      <c r="T7" s="20">
        <f>'DETAIL HITUNGAN'!T14</f>
        <v>0</v>
      </c>
      <c r="U7" s="20">
        <f>'DETAIL HITUNGAN'!U14</f>
        <v>0</v>
      </c>
      <c r="V7" s="20">
        <f>'DETAIL HITUNGAN'!V14</f>
        <v>53094.537435000006</v>
      </c>
      <c r="W7" s="20">
        <f>'DETAIL HITUNGAN'!W14</f>
        <v>80270.192850000007</v>
      </c>
      <c r="Y7">
        <v>179986</v>
      </c>
    </row>
    <row r="8" spans="1:25" x14ac:dyDescent="0.25">
      <c r="A8" s="6">
        <v>5</v>
      </c>
      <c r="B8" s="6" t="s">
        <v>59</v>
      </c>
      <c r="C8" s="9">
        <v>0</v>
      </c>
      <c r="D8" s="6" t="s">
        <v>147</v>
      </c>
      <c r="E8" s="7">
        <f>'DETAIL HITUNGAN'!E$20</f>
        <v>0.11259999999999999</v>
      </c>
      <c r="F8" s="7">
        <f>'DETAIL HITUNGAN'!F$20</f>
        <v>5.2400000000000002E-2</v>
      </c>
      <c r="G8" s="7">
        <f>'DETAIL HITUNGAN'!G$20</f>
        <v>1.0749999999999999E-2</v>
      </c>
      <c r="H8" s="7">
        <f>'DETAIL HITUNGAN'!H$20</f>
        <v>0</v>
      </c>
      <c r="I8" s="7">
        <f>'DETAIL HITUNGAN'!I$20</f>
        <v>0</v>
      </c>
      <c r="J8" s="7">
        <f>'DETAIL HITUNGAN'!J$20</f>
        <v>0</v>
      </c>
      <c r="K8" s="7">
        <f>'DETAIL HITUNGAN'!K$20</f>
        <v>0.2336</v>
      </c>
      <c r="L8" s="7">
        <f>'DETAIL HITUNGAN'!L$20</f>
        <v>9.0650000000000036E-2</v>
      </c>
      <c r="M8" s="7">
        <f>'DETAIL HITUNGAN'!M$20</f>
        <v>0.5</v>
      </c>
      <c r="N8" s="7" t="s">
        <v>19</v>
      </c>
      <c r="O8" s="20">
        <f t="shared" si="0"/>
        <v>0</v>
      </c>
      <c r="P8" s="20">
        <f t="shared" si="1"/>
        <v>0</v>
      </c>
      <c r="Q8" s="20">
        <f t="shared" si="2"/>
        <v>0</v>
      </c>
      <c r="R8" s="20">
        <f t="shared" si="3"/>
        <v>0</v>
      </c>
      <c r="S8" s="20">
        <f t="shared" si="4"/>
        <v>0</v>
      </c>
      <c r="T8" s="20">
        <f t="shared" si="4"/>
        <v>0</v>
      </c>
      <c r="U8" s="20">
        <f t="shared" si="5"/>
        <v>0</v>
      </c>
      <c r="V8" s="20">
        <f t="shared" si="6"/>
        <v>0</v>
      </c>
      <c r="W8" s="20">
        <f t="shared" si="7"/>
        <v>0</v>
      </c>
      <c r="Y8">
        <v>0</v>
      </c>
    </row>
    <row r="9" spans="1:25" x14ac:dyDescent="0.25">
      <c r="A9" s="6">
        <v>6</v>
      </c>
      <c r="B9" s="6" t="s">
        <v>60</v>
      </c>
      <c r="C9" s="9">
        <v>91202.559999999998</v>
      </c>
      <c r="D9" s="6" t="s">
        <v>125</v>
      </c>
      <c r="E9" s="7">
        <v>0</v>
      </c>
      <c r="F9" s="7">
        <v>0</v>
      </c>
      <c r="G9" s="7">
        <v>0</v>
      </c>
      <c r="H9" s="7">
        <v>46.17</v>
      </c>
      <c r="I9" s="7">
        <v>0</v>
      </c>
      <c r="J9" s="7">
        <v>0</v>
      </c>
      <c r="K9" s="7">
        <v>0</v>
      </c>
      <c r="L9" s="7">
        <v>115.83</v>
      </c>
      <c r="M9" s="7">
        <v>162</v>
      </c>
      <c r="N9" s="7" t="s">
        <v>126</v>
      </c>
      <c r="O9" s="20">
        <f t="shared" si="0"/>
        <v>0</v>
      </c>
      <c r="P9" s="20">
        <f t="shared" si="1"/>
        <v>0</v>
      </c>
      <c r="Q9" s="20">
        <f t="shared" si="2"/>
        <v>0</v>
      </c>
      <c r="R9" s="20">
        <f t="shared" si="3"/>
        <v>4210.8221952000004</v>
      </c>
      <c r="S9" s="20">
        <f t="shared" si="4"/>
        <v>0</v>
      </c>
      <c r="T9" s="20">
        <f t="shared" si="4"/>
        <v>0</v>
      </c>
      <c r="U9" s="20">
        <f t="shared" si="5"/>
        <v>0</v>
      </c>
      <c r="V9" s="20">
        <f t="shared" si="6"/>
        <v>10563.992524799998</v>
      </c>
      <c r="W9" s="20">
        <f t="shared" si="7"/>
        <v>14774.814719999998</v>
      </c>
      <c r="Y9">
        <v>679</v>
      </c>
    </row>
    <row r="10" spans="1:25" x14ac:dyDescent="0.25">
      <c r="A10" s="6">
        <v>7</v>
      </c>
      <c r="B10" s="6" t="s">
        <v>61</v>
      </c>
      <c r="C10" s="9">
        <v>1225021.81</v>
      </c>
      <c r="D10" s="6" t="s">
        <v>123</v>
      </c>
      <c r="E10" s="7">
        <v>0</v>
      </c>
      <c r="F10" s="7">
        <v>0</v>
      </c>
      <c r="G10" s="7">
        <v>0</v>
      </c>
      <c r="H10" s="7">
        <v>19.14</v>
      </c>
      <c r="I10" s="7">
        <v>0</v>
      </c>
      <c r="J10" s="7">
        <v>0</v>
      </c>
      <c r="K10" s="7">
        <v>0</v>
      </c>
      <c r="L10" s="7">
        <v>19.14</v>
      </c>
      <c r="M10" s="7">
        <v>38.28</v>
      </c>
      <c r="N10" s="7" t="s">
        <v>124</v>
      </c>
      <c r="O10" s="20">
        <f t="shared" si="0"/>
        <v>0</v>
      </c>
      <c r="P10" s="20">
        <f t="shared" si="1"/>
        <v>0</v>
      </c>
      <c r="Q10" s="20">
        <f t="shared" si="2"/>
        <v>0</v>
      </c>
      <c r="R10" s="20">
        <f t="shared" si="3"/>
        <v>23446.917443400002</v>
      </c>
      <c r="S10" s="20">
        <f t="shared" si="4"/>
        <v>0</v>
      </c>
      <c r="T10" s="20">
        <f t="shared" si="4"/>
        <v>0</v>
      </c>
      <c r="U10" s="20">
        <f t="shared" si="5"/>
        <v>0</v>
      </c>
      <c r="V10" s="20">
        <f t="shared" si="6"/>
        <v>23446.917443400002</v>
      </c>
      <c r="W10" s="20">
        <f t="shared" si="7"/>
        <v>46893.834886800003</v>
      </c>
      <c r="Y10">
        <v>52987</v>
      </c>
    </row>
    <row r="11" spans="1:25" x14ac:dyDescent="0.25">
      <c r="A11" s="6">
        <v>8</v>
      </c>
      <c r="B11" s="6" t="s">
        <v>62</v>
      </c>
      <c r="C11" s="9">
        <v>78507</v>
      </c>
      <c r="D11" s="6" t="s">
        <v>147</v>
      </c>
      <c r="E11" s="7">
        <f>'DETAIL HITUNGAN'!E$20</f>
        <v>0.11259999999999999</v>
      </c>
      <c r="F11" s="7">
        <f>'DETAIL HITUNGAN'!F$20</f>
        <v>5.2400000000000002E-2</v>
      </c>
      <c r="G11" s="7">
        <f>'DETAIL HITUNGAN'!G$20</f>
        <v>1.0749999999999999E-2</v>
      </c>
      <c r="H11" s="7">
        <f>'DETAIL HITUNGAN'!H$20</f>
        <v>0</v>
      </c>
      <c r="I11" s="7">
        <f>'DETAIL HITUNGAN'!I$20</f>
        <v>0</v>
      </c>
      <c r="J11" s="7">
        <f>'DETAIL HITUNGAN'!J$20</f>
        <v>0</v>
      </c>
      <c r="K11" s="7">
        <f>'DETAIL HITUNGAN'!K$20</f>
        <v>0.2336</v>
      </c>
      <c r="L11" s="7">
        <f>'DETAIL HITUNGAN'!L$20</f>
        <v>9.0650000000000036E-2</v>
      </c>
      <c r="M11" s="7">
        <f>'DETAIL HITUNGAN'!M$20</f>
        <v>0.5</v>
      </c>
      <c r="N11" s="7" t="s">
        <v>19</v>
      </c>
      <c r="O11" s="20">
        <f>$C11*E11/1000</f>
        <v>8.839888199999999</v>
      </c>
      <c r="P11" s="20">
        <f>$C11*F11/1000</f>
        <v>4.1137668000000005</v>
      </c>
      <c r="Q11" s="20">
        <f>$C11*G11/1000</f>
        <v>0.84395025000000001</v>
      </c>
      <c r="R11" s="20">
        <f>$C11*H11/1000</f>
        <v>0</v>
      </c>
      <c r="S11" s="20">
        <f>$C11*I11/1000</f>
        <v>0</v>
      </c>
      <c r="T11" s="20">
        <f>$C11*J11/1000</f>
        <v>0</v>
      </c>
      <c r="U11" s="20">
        <f t="shared" ref="U11:W12" si="8">$C11*K11/1000</f>
        <v>18.339235199999997</v>
      </c>
      <c r="V11" s="20">
        <f t="shared" si="8"/>
        <v>7.1166595500000032</v>
      </c>
      <c r="W11" s="20">
        <f t="shared" si="8"/>
        <v>39.253500000000003</v>
      </c>
      <c r="Y11">
        <v>78507</v>
      </c>
    </row>
    <row r="12" spans="1:25" x14ac:dyDescent="0.25">
      <c r="A12" s="6">
        <v>9</v>
      </c>
      <c r="B12" s="6" t="s">
        <v>63</v>
      </c>
      <c r="C12" s="9">
        <v>3121</v>
      </c>
      <c r="D12" s="6" t="s">
        <v>147</v>
      </c>
      <c r="E12" s="7">
        <f>'DETAIL HITUNGAN'!E$20</f>
        <v>0.11259999999999999</v>
      </c>
      <c r="F12" s="7">
        <f>'DETAIL HITUNGAN'!F$20</f>
        <v>5.2400000000000002E-2</v>
      </c>
      <c r="G12" s="7">
        <f>'DETAIL HITUNGAN'!G$20</f>
        <v>1.0749999999999999E-2</v>
      </c>
      <c r="H12" s="7">
        <f>'DETAIL HITUNGAN'!H$20</f>
        <v>0</v>
      </c>
      <c r="I12" s="7">
        <f>'DETAIL HITUNGAN'!I$20</f>
        <v>0</v>
      </c>
      <c r="J12" s="7">
        <f>'DETAIL HITUNGAN'!J$20</f>
        <v>0</v>
      </c>
      <c r="K12" s="7">
        <f>'DETAIL HITUNGAN'!K$20</f>
        <v>0.2336</v>
      </c>
      <c r="L12" s="7">
        <f>'DETAIL HITUNGAN'!L$20</f>
        <v>9.0650000000000036E-2</v>
      </c>
      <c r="M12" s="7">
        <f>'DETAIL HITUNGAN'!M$20</f>
        <v>0.5</v>
      </c>
      <c r="N12" s="7" t="s">
        <v>19</v>
      </c>
      <c r="O12" s="20">
        <f>$C12*E12/1000</f>
        <v>0.35142459999999998</v>
      </c>
      <c r="P12" s="20">
        <f>$C12*F12/1000</f>
        <v>0.1635404</v>
      </c>
      <c r="Q12" s="20">
        <f>$C12*G12/1000</f>
        <v>3.3550750000000004E-2</v>
      </c>
      <c r="R12" s="20">
        <f>$C12*H12/1000</f>
        <v>0</v>
      </c>
      <c r="S12" s="20">
        <f>$C12*I12/1000</f>
        <v>0</v>
      </c>
      <c r="T12" s="20">
        <f>$C12*J12/1000</f>
        <v>0</v>
      </c>
      <c r="U12" s="20">
        <f t="shared" si="8"/>
        <v>0.72906559999999998</v>
      </c>
      <c r="V12" s="20">
        <f t="shared" si="8"/>
        <v>0.2829186500000001</v>
      </c>
      <c r="W12" s="20">
        <f t="shared" si="8"/>
        <v>1.5605</v>
      </c>
      <c r="Y12">
        <v>3121</v>
      </c>
    </row>
    <row r="13" spans="1:25" x14ac:dyDescent="0.25">
      <c r="A13" s="6">
        <v>10</v>
      </c>
      <c r="B13" s="6" t="s">
        <v>64</v>
      </c>
      <c r="C13" s="9">
        <f>20480467.41+23202444.87+108251.91+16667.76+164093.34+770928.4+38745.43+3747646.59+3102275.54+3110394.57+1067837.18+28389.04+647803.49+168630.06+900</f>
        <v>56655475.589999996</v>
      </c>
      <c r="D13" s="6" t="s">
        <v>127</v>
      </c>
      <c r="E13" s="7">
        <v>0</v>
      </c>
      <c r="F13" s="7">
        <v>2006.7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2006.7</v>
      </c>
      <c r="N13" s="7" t="s">
        <v>128</v>
      </c>
      <c r="O13" s="20">
        <f t="shared" si="0"/>
        <v>0</v>
      </c>
      <c r="P13" s="20">
        <f t="shared" si="1"/>
        <v>113690542.86645299</v>
      </c>
      <c r="Q13" s="20">
        <f t="shared" si="2"/>
        <v>0</v>
      </c>
      <c r="R13" s="20">
        <f t="shared" si="3"/>
        <v>0</v>
      </c>
      <c r="S13" s="20">
        <f t="shared" si="4"/>
        <v>0</v>
      </c>
      <c r="T13" s="20">
        <f t="shared" si="4"/>
        <v>0</v>
      </c>
      <c r="U13" s="20">
        <f t="shared" si="5"/>
        <v>0</v>
      </c>
      <c r="V13" s="20">
        <f t="shared" si="6"/>
        <v>0</v>
      </c>
      <c r="W13" s="20">
        <f t="shared" si="7"/>
        <v>113690542.86645299</v>
      </c>
      <c r="Y13">
        <v>22744</v>
      </c>
    </row>
    <row r="14" spans="1:25" x14ac:dyDescent="0.25">
      <c r="A14" s="6">
        <v>11</v>
      </c>
      <c r="B14" s="6" t="s">
        <v>65</v>
      </c>
      <c r="C14" s="9">
        <v>1412703</v>
      </c>
      <c r="D14" s="6" t="s">
        <v>147</v>
      </c>
      <c r="E14" s="7">
        <f>'DETAIL HITUNGAN'!E$20</f>
        <v>0.11259999999999999</v>
      </c>
      <c r="F14" s="7">
        <f>'DETAIL HITUNGAN'!F$20</f>
        <v>5.2400000000000002E-2</v>
      </c>
      <c r="G14" s="7">
        <f>'DETAIL HITUNGAN'!G$20</f>
        <v>1.0749999999999999E-2</v>
      </c>
      <c r="H14" s="7">
        <f>'DETAIL HITUNGAN'!H$20</f>
        <v>0</v>
      </c>
      <c r="I14" s="7">
        <f>'DETAIL HITUNGAN'!I$20</f>
        <v>0</v>
      </c>
      <c r="J14" s="7">
        <f>'DETAIL HITUNGAN'!J$20</f>
        <v>0</v>
      </c>
      <c r="K14" s="7">
        <f>'DETAIL HITUNGAN'!K$20</f>
        <v>0.2336</v>
      </c>
      <c r="L14" s="7">
        <f>'DETAIL HITUNGAN'!L$20</f>
        <v>9.0650000000000036E-2</v>
      </c>
      <c r="M14" s="7">
        <f>'DETAIL HITUNGAN'!M$20</f>
        <v>0.5</v>
      </c>
      <c r="N14" s="7" t="s">
        <v>19</v>
      </c>
      <c r="O14" s="20">
        <f t="shared" si="0"/>
        <v>159.07035780000001</v>
      </c>
      <c r="P14" s="20">
        <f t="shared" si="1"/>
        <v>74.025637199999991</v>
      </c>
      <c r="Q14" s="20">
        <f t="shared" si="2"/>
        <v>15.186557249999998</v>
      </c>
      <c r="R14" s="20">
        <f t="shared" si="3"/>
        <v>0</v>
      </c>
      <c r="S14" s="20">
        <f t="shared" si="4"/>
        <v>0</v>
      </c>
      <c r="T14" s="20">
        <f t="shared" si="4"/>
        <v>0</v>
      </c>
      <c r="U14" s="20">
        <f t="shared" si="5"/>
        <v>330.00742080000003</v>
      </c>
      <c r="V14" s="20">
        <f t="shared" si="6"/>
        <v>128.06152695000006</v>
      </c>
      <c r="W14" s="20">
        <f t="shared" si="7"/>
        <v>706.35149999999999</v>
      </c>
      <c r="Y14">
        <v>1412703</v>
      </c>
    </row>
    <row r="15" spans="1:25" x14ac:dyDescent="0.25">
      <c r="A15" s="6">
        <v>12</v>
      </c>
      <c r="B15" s="6" t="s">
        <v>66</v>
      </c>
      <c r="C15" s="9">
        <v>601232</v>
      </c>
      <c r="D15" s="6" t="s">
        <v>147</v>
      </c>
      <c r="E15" s="7">
        <f>'DETAIL HITUNGAN'!E$20</f>
        <v>0.11259999999999999</v>
      </c>
      <c r="F15" s="7">
        <f>'DETAIL HITUNGAN'!F$20</f>
        <v>5.2400000000000002E-2</v>
      </c>
      <c r="G15" s="7">
        <f>'DETAIL HITUNGAN'!G$20</f>
        <v>1.0749999999999999E-2</v>
      </c>
      <c r="H15" s="7">
        <f>'DETAIL HITUNGAN'!H$20</f>
        <v>0</v>
      </c>
      <c r="I15" s="7">
        <f>'DETAIL HITUNGAN'!I$20</f>
        <v>0</v>
      </c>
      <c r="J15" s="7">
        <f>'DETAIL HITUNGAN'!J$20</f>
        <v>0</v>
      </c>
      <c r="K15" s="7">
        <f>'DETAIL HITUNGAN'!K$20</f>
        <v>0.2336</v>
      </c>
      <c r="L15" s="7">
        <f>'DETAIL HITUNGAN'!L$20</f>
        <v>9.0650000000000036E-2</v>
      </c>
      <c r="M15" s="7">
        <f>'DETAIL HITUNGAN'!M$20</f>
        <v>0.5</v>
      </c>
      <c r="N15" s="7" t="s">
        <v>19</v>
      </c>
      <c r="O15" s="20">
        <f t="shared" si="0"/>
        <v>67.698723199999989</v>
      </c>
      <c r="P15" s="20">
        <f t="shared" si="1"/>
        <v>31.504556800000003</v>
      </c>
      <c r="Q15" s="20">
        <f t="shared" si="2"/>
        <v>6.4632439999999995</v>
      </c>
      <c r="R15" s="20">
        <f t="shared" si="3"/>
        <v>0</v>
      </c>
      <c r="S15" s="20">
        <f t="shared" si="4"/>
        <v>0</v>
      </c>
      <c r="T15" s="20">
        <f t="shared" si="4"/>
        <v>0</v>
      </c>
      <c r="U15" s="20">
        <f t="shared" si="5"/>
        <v>140.4477952</v>
      </c>
      <c r="V15" s="20">
        <f t="shared" si="6"/>
        <v>54.501680800000024</v>
      </c>
      <c r="W15" s="20">
        <f t="shared" si="7"/>
        <v>300.61599999999999</v>
      </c>
      <c r="Y15">
        <v>601232</v>
      </c>
    </row>
    <row r="16" spans="1:25" x14ac:dyDescent="0.25">
      <c r="A16" s="6">
        <v>13</v>
      </c>
      <c r="B16" s="6" t="s">
        <v>67</v>
      </c>
      <c r="C16" s="9">
        <v>17809</v>
      </c>
      <c r="D16" s="6" t="s">
        <v>147</v>
      </c>
      <c r="E16" s="7">
        <f>'DETAIL HITUNGAN'!E$20</f>
        <v>0.11259999999999999</v>
      </c>
      <c r="F16" s="7">
        <f>'DETAIL HITUNGAN'!F$20</f>
        <v>5.2400000000000002E-2</v>
      </c>
      <c r="G16" s="7">
        <f>'DETAIL HITUNGAN'!G$20</f>
        <v>1.0749999999999999E-2</v>
      </c>
      <c r="H16" s="7">
        <f>'DETAIL HITUNGAN'!H$20</f>
        <v>0</v>
      </c>
      <c r="I16" s="7">
        <f>'DETAIL HITUNGAN'!I$20</f>
        <v>0</v>
      </c>
      <c r="J16" s="7">
        <f>'DETAIL HITUNGAN'!J$20</f>
        <v>0</v>
      </c>
      <c r="K16" s="7">
        <f>'DETAIL HITUNGAN'!K$20</f>
        <v>0.2336</v>
      </c>
      <c r="L16" s="7">
        <f>'DETAIL HITUNGAN'!L$20</f>
        <v>9.0650000000000036E-2</v>
      </c>
      <c r="M16" s="7">
        <f>'DETAIL HITUNGAN'!M$20</f>
        <v>0.5</v>
      </c>
      <c r="N16" s="7" t="s">
        <v>19</v>
      </c>
      <c r="O16" s="20">
        <f t="shared" si="0"/>
        <v>2.0052933999999998</v>
      </c>
      <c r="P16" s="20">
        <f t="shared" si="1"/>
        <v>0.93319160000000001</v>
      </c>
      <c r="Q16" s="20">
        <f t="shared" si="2"/>
        <v>0.19144674999999997</v>
      </c>
      <c r="R16" s="20">
        <f t="shared" si="3"/>
        <v>0</v>
      </c>
      <c r="S16" s="20">
        <f t="shared" si="4"/>
        <v>0</v>
      </c>
      <c r="T16" s="20">
        <f t="shared" si="4"/>
        <v>0</v>
      </c>
      <c r="U16" s="20">
        <f t="shared" si="5"/>
        <v>4.1601824000000001</v>
      </c>
      <c r="V16" s="20">
        <f t="shared" si="6"/>
        <v>1.6143858500000006</v>
      </c>
      <c r="W16" s="20">
        <f t="shared" si="7"/>
        <v>8.9045000000000005</v>
      </c>
      <c r="Y16">
        <v>17809</v>
      </c>
    </row>
    <row r="17" spans="1:25" x14ac:dyDescent="0.25">
      <c r="A17" s="6">
        <v>14</v>
      </c>
      <c r="B17" s="6" t="s">
        <v>68</v>
      </c>
      <c r="C17" s="9">
        <v>1126111</v>
      </c>
      <c r="D17" s="6" t="s">
        <v>147</v>
      </c>
      <c r="E17" s="7">
        <f>'DETAIL HITUNGAN'!E$20</f>
        <v>0.11259999999999999</v>
      </c>
      <c r="F17" s="7">
        <f>'DETAIL HITUNGAN'!F$20</f>
        <v>5.2400000000000002E-2</v>
      </c>
      <c r="G17" s="7">
        <f>'DETAIL HITUNGAN'!G$20</f>
        <v>1.0749999999999999E-2</v>
      </c>
      <c r="H17" s="7">
        <f>'DETAIL HITUNGAN'!H$20</f>
        <v>0</v>
      </c>
      <c r="I17" s="7">
        <f>'DETAIL HITUNGAN'!I$20</f>
        <v>0</v>
      </c>
      <c r="J17" s="7">
        <f>'DETAIL HITUNGAN'!J$20</f>
        <v>0</v>
      </c>
      <c r="K17" s="7">
        <f>'DETAIL HITUNGAN'!K$20</f>
        <v>0.2336</v>
      </c>
      <c r="L17" s="7">
        <f>'DETAIL HITUNGAN'!L$20</f>
        <v>9.0650000000000036E-2</v>
      </c>
      <c r="M17" s="7">
        <f>'DETAIL HITUNGAN'!M$20</f>
        <v>0.5</v>
      </c>
      <c r="N17" s="7" t="s">
        <v>19</v>
      </c>
      <c r="O17" s="20">
        <f t="shared" si="0"/>
        <v>126.8000986</v>
      </c>
      <c r="P17" s="20">
        <f t="shared" si="1"/>
        <v>59.008216400000002</v>
      </c>
      <c r="Q17" s="20">
        <f t="shared" si="2"/>
        <v>12.105693249999998</v>
      </c>
      <c r="R17" s="20">
        <f t="shared" si="3"/>
        <v>0</v>
      </c>
      <c r="S17" s="20">
        <f t="shared" si="4"/>
        <v>0</v>
      </c>
      <c r="T17" s="20">
        <f t="shared" si="4"/>
        <v>0</v>
      </c>
      <c r="U17" s="20">
        <f t="shared" si="5"/>
        <v>263.05952960000002</v>
      </c>
      <c r="V17" s="20">
        <f t="shared" si="6"/>
        <v>102.08196215000004</v>
      </c>
      <c r="W17" s="20">
        <f t="shared" si="7"/>
        <v>563.05550000000005</v>
      </c>
      <c r="Y17">
        <v>1126111</v>
      </c>
    </row>
    <row r="18" spans="1:25" x14ac:dyDescent="0.25">
      <c r="A18" s="6">
        <v>15</v>
      </c>
      <c r="B18" s="6" t="s">
        <v>69</v>
      </c>
      <c r="C18" s="9">
        <v>142194</v>
      </c>
      <c r="D18" s="6" t="s">
        <v>147</v>
      </c>
      <c r="E18" s="7">
        <f>'DETAIL HITUNGAN'!E$20</f>
        <v>0.11259999999999999</v>
      </c>
      <c r="F18" s="7">
        <f>'DETAIL HITUNGAN'!F$20</f>
        <v>5.2400000000000002E-2</v>
      </c>
      <c r="G18" s="7">
        <f>'DETAIL HITUNGAN'!G$20</f>
        <v>1.0749999999999999E-2</v>
      </c>
      <c r="H18" s="7">
        <f>'DETAIL HITUNGAN'!H$20</f>
        <v>0</v>
      </c>
      <c r="I18" s="7">
        <f>'DETAIL HITUNGAN'!I$20</f>
        <v>0</v>
      </c>
      <c r="J18" s="7">
        <f>'DETAIL HITUNGAN'!J$20</f>
        <v>0</v>
      </c>
      <c r="K18" s="7">
        <f>'DETAIL HITUNGAN'!K$20</f>
        <v>0.2336</v>
      </c>
      <c r="L18" s="7">
        <f>'DETAIL HITUNGAN'!L$20</f>
        <v>9.0650000000000036E-2</v>
      </c>
      <c r="M18" s="7">
        <f>'DETAIL HITUNGAN'!M$20</f>
        <v>0.5</v>
      </c>
      <c r="N18" s="7" t="s">
        <v>19</v>
      </c>
      <c r="O18" s="20">
        <f t="shared" si="0"/>
        <v>16.011044399999999</v>
      </c>
      <c r="P18" s="20">
        <f t="shared" si="1"/>
        <v>7.4509656000000009</v>
      </c>
      <c r="Q18" s="20">
        <f t="shared" si="2"/>
        <v>1.5285854999999999</v>
      </c>
      <c r="R18" s="20">
        <f t="shared" si="3"/>
        <v>0</v>
      </c>
      <c r="S18" s="20">
        <f t="shared" si="4"/>
        <v>0</v>
      </c>
      <c r="T18" s="20">
        <f t="shared" si="4"/>
        <v>0</v>
      </c>
      <c r="U18" s="20">
        <f t="shared" si="5"/>
        <v>33.216518399999998</v>
      </c>
      <c r="V18" s="20">
        <f t="shared" si="6"/>
        <v>12.889886100000005</v>
      </c>
      <c r="W18" s="20">
        <f t="shared" si="7"/>
        <v>71.096999999999994</v>
      </c>
      <c r="Y18">
        <v>142194</v>
      </c>
    </row>
    <row r="19" spans="1:25" x14ac:dyDescent="0.25">
      <c r="A19" s="6">
        <v>16</v>
      </c>
      <c r="B19" s="6" t="s">
        <v>70</v>
      </c>
      <c r="C19" s="9">
        <v>221142</v>
      </c>
      <c r="D19" s="6" t="s">
        <v>147</v>
      </c>
      <c r="E19" s="7">
        <f>'DETAIL HITUNGAN'!E$20</f>
        <v>0.11259999999999999</v>
      </c>
      <c r="F19" s="7">
        <f>'DETAIL HITUNGAN'!F$20</f>
        <v>5.2400000000000002E-2</v>
      </c>
      <c r="G19" s="7">
        <f>'DETAIL HITUNGAN'!G$20</f>
        <v>1.0749999999999999E-2</v>
      </c>
      <c r="H19" s="7">
        <f>'DETAIL HITUNGAN'!H$20</f>
        <v>0</v>
      </c>
      <c r="I19" s="7">
        <f>'DETAIL HITUNGAN'!I$20</f>
        <v>0</v>
      </c>
      <c r="J19" s="7">
        <f>'DETAIL HITUNGAN'!J$20</f>
        <v>0</v>
      </c>
      <c r="K19" s="7">
        <f>'DETAIL HITUNGAN'!K$20</f>
        <v>0.2336</v>
      </c>
      <c r="L19" s="7">
        <f>'DETAIL HITUNGAN'!L$20</f>
        <v>9.0650000000000036E-2</v>
      </c>
      <c r="M19" s="7">
        <f>'DETAIL HITUNGAN'!M$20</f>
        <v>0.5</v>
      </c>
      <c r="N19" s="7" t="s">
        <v>19</v>
      </c>
      <c r="O19" s="20">
        <f t="shared" si="0"/>
        <v>24.900589199999999</v>
      </c>
      <c r="P19" s="20">
        <f t="shared" si="1"/>
        <v>11.5878408</v>
      </c>
      <c r="Q19" s="20">
        <f t="shared" si="2"/>
        <v>2.3772764999999998</v>
      </c>
      <c r="R19" s="20">
        <f t="shared" si="3"/>
        <v>0</v>
      </c>
      <c r="S19" s="20">
        <f t="shared" si="4"/>
        <v>0</v>
      </c>
      <c r="T19" s="20">
        <f t="shared" si="4"/>
        <v>0</v>
      </c>
      <c r="U19" s="20">
        <f t="shared" si="5"/>
        <v>51.658771200000004</v>
      </c>
      <c r="V19" s="20">
        <f t="shared" si="6"/>
        <v>20.046522300000007</v>
      </c>
      <c r="W19" s="20">
        <f t="shared" si="7"/>
        <v>110.571</v>
      </c>
      <c r="Y19">
        <v>221142</v>
      </c>
    </row>
    <row r="20" spans="1:25" x14ac:dyDescent="0.25">
      <c r="A20" s="6">
        <v>17</v>
      </c>
      <c r="B20" s="6" t="s">
        <v>71</v>
      </c>
      <c r="C20" s="9">
        <v>241691</v>
      </c>
      <c r="D20" s="6" t="s">
        <v>147</v>
      </c>
      <c r="E20" s="7">
        <f>'DETAIL HITUNGAN'!E$20</f>
        <v>0.11259999999999999</v>
      </c>
      <c r="F20" s="7">
        <f>'DETAIL HITUNGAN'!F$20</f>
        <v>5.2400000000000002E-2</v>
      </c>
      <c r="G20" s="7">
        <f>'DETAIL HITUNGAN'!G$20</f>
        <v>1.0749999999999999E-2</v>
      </c>
      <c r="H20" s="7">
        <f>'DETAIL HITUNGAN'!H$20</f>
        <v>0</v>
      </c>
      <c r="I20" s="7">
        <f>'DETAIL HITUNGAN'!I$20</f>
        <v>0</v>
      </c>
      <c r="J20" s="7">
        <f>'DETAIL HITUNGAN'!J$20</f>
        <v>0</v>
      </c>
      <c r="K20" s="7">
        <f>'DETAIL HITUNGAN'!K$20</f>
        <v>0.2336</v>
      </c>
      <c r="L20" s="7">
        <f>'DETAIL HITUNGAN'!L$20</f>
        <v>9.0650000000000036E-2</v>
      </c>
      <c r="M20" s="7">
        <f>'DETAIL HITUNGAN'!M$20</f>
        <v>0.5</v>
      </c>
      <c r="N20" s="7" t="s">
        <v>19</v>
      </c>
      <c r="O20" s="20">
        <f t="shared" si="0"/>
        <v>27.214406599999997</v>
      </c>
      <c r="P20" s="20">
        <f t="shared" si="1"/>
        <v>12.664608400000001</v>
      </c>
      <c r="Q20" s="20">
        <f t="shared" si="2"/>
        <v>2.5981782500000001</v>
      </c>
      <c r="R20" s="20">
        <f t="shared" si="3"/>
        <v>0</v>
      </c>
      <c r="S20" s="20">
        <f t="shared" si="4"/>
        <v>0</v>
      </c>
      <c r="T20" s="20">
        <f t="shared" si="4"/>
        <v>0</v>
      </c>
      <c r="U20" s="20">
        <f t="shared" si="5"/>
        <v>56.459017599999996</v>
      </c>
      <c r="V20" s="20">
        <f t="shared" si="6"/>
        <v>21.909289150000006</v>
      </c>
      <c r="W20" s="20">
        <f t="shared" si="7"/>
        <v>120.8455</v>
      </c>
      <c r="Y20">
        <v>241691</v>
      </c>
    </row>
    <row r="21" spans="1:25" x14ac:dyDescent="0.25">
      <c r="A21" s="6">
        <v>18</v>
      </c>
      <c r="B21" s="6" t="s">
        <v>72</v>
      </c>
      <c r="C21" s="9">
        <v>900574</v>
      </c>
      <c r="D21" s="6" t="s">
        <v>147</v>
      </c>
      <c r="E21" s="7">
        <f>'DETAIL HITUNGAN'!E$20</f>
        <v>0.11259999999999999</v>
      </c>
      <c r="F21" s="7">
        <f>'DETAIL HITUNGAN'!F$20</f>
        <v>5.2400000000000002E-2</v>
      </c>
      <c r="G21" s="7">
        <f>'DETAIL HITUNGAN'!G$20</f>
        <v>1.0749999999999999E-2</v>
      </c>
      <c r="H21" s="7">
        <f>'DETAIL HITUNGAN'!H$20</f>
        <v>0</v>
      </c>
      <c r="I21" s="7">
        <f>'DETAIL HITUNGAN'!I$20</f>
        <v>0</v>
      </c>
      <c r="J21" s="7">
        <f>'DETAIL HITUNGAN'!J$20</f>
        <v>0</v>
      </c>
      <c r="K21" s="7">
        <f>'DETAIL HITUNGAN'!K$20</f>
        <v>0.2336</v>
      </c>
      <c r="L21" s="7">
        <f>'DETAIL HITUNGAN'!L$20</f>
        <v>9.0650000000000036E-2</v>
      </c>
      <c r="M21" s="7">
        <f>'DETAIL HITUNGAN'!M$20</f>
        <v>0.5</v>
      </c>
      <c r="N21" s="7" t="s">
        <v>19</v>
      </c>
      <c r="O21" s="20">
        <f t="shared" si="0"/>
        <v>101.40463239999998</v>
      </c>
      <c r="P21" s="20">
        <f t="shared" si="1"/>
        <v>47.190077600000002</v>
      </c>
      <c r="Q21" s="20">
        <f t="shared" si="2"/>
        <v>9.6811704999999986</v>
      </c>
      <c r="R21" s="20">
        <f t="shared" si="3"/>
        <v>0</v>
      </c>
      <c r="S21" s="20">
        <f t="shared" si="4"/>
        <v>0</v>
      </c>
      <c r="T21" s="20">
        <f t="shared" si="4"/>
        <v>0</v>
      </c>
      <c r="U21" s="20">
        <f t="shared" si="5"/>
        <v>210.37408640000001</v>
      </c>
      <c r="V21" s="20">
        <f t="shared" si="6"/>
        <v>81.637033100000025</v>
      </c>
      <c r="W21" s="20">
        <f t="shared" si="7"/>
        <v>450.28699999999998</v>
      </c>
      <c r="Y21">
        <v>900574</v>
      </c>
    </row>
    <row r="22" spans="1:25" x14ac:dyDescent="0.25">
      <c r="A22" s="6">
        <v>19</v>
      </c>
      <c r="B22" s="6" t="s">
        <v>73</v>
      </c>
      <c r="C22" s="9">
        <v>307785</v>
      </c>
      <c r="D22" s="6" t="s">
        <v>147</v>
      </c>
      <c r="E22" s="7">
        <f>'DETAIL HITUNGAN'!E$20</f>
        <v>0.11259999999999999</v>
      </c>
      <c r="F22" s="7">
        <f>'DETAIL HITUNGAN'!F$20</f>
        <v>5.2400000000000002E-2</v>
      </c>
      <c r="G22" s="7">
        <f>'DETAIL HITUNGAN'!G$20</f>
        <v>1.0749999999999999E-2</v>
      </c>
      <c r="H22" s="7">
        <f>'DETAIL HITUNGAN'!H$20</f>
        <v>0</v>
      </c>
      <c r="I22" s="7">
        <f>'DETAIL HITUNGAN'!I$20</f>
        <v>0</v>
      </c>
      <c r="J22" s="7">
        <f>'DETAIL HITUNGAN'!J$20</f>
        <v>0</v>
      </c>
      <c r="K22" s="7">
        <f>'DETAIL HITUNGAN'!K$20</f>
        <v>0.2336</v>
      </c>
      <c r="L22" s="7">
        <f>'DETAIL HITUNGAN'!L$20</f>
        <v>9.0650000000000036E-2</v>
      </c>
      <c r="M22" s="7">
        <f>'DETAIL HITUNGAN'!M$20</f>
        <v>0.5</v>
      </c>
      <c r="N22" s="7" t="s">
        <v>19</v>
      </c>
      <c r="O22" s="20">
        <f t="shared" si="0"/>
        <v>34.656590999999999</v>
      </c>
      <c r="P22" s="20">
        <f t="shared" si="1"/>
        <v>16.127934</v>
      </c>
      <c r="Q22" s="20">
        <f t="shared" si="2"/>
        <v>3.30868875</v>
      </c>
      <c r="R22" s="20">
        <f t="shared" si="3"/>
        <v>0</v>
      </c>
      <c r="S22" s="20">
        <f t="shared" si="4"/>
        <v>0</v>
      </c>
      <c r="T22" s="20">
        <f t="shared" si="4"/>
        <v>0</v>
      </c>
      <c r="U22" s="20">
        <f t="shared" si="5"/>
        <v>71.898576000000006</v>
      </c>
      <c r="V22" s="20">
        <f t="shared" si="6"/>
        <v>27.90071025000001</v>
      </c>
      <c r="W22" s="20">
        <f t="shared" si="7"/>
        <v>153.89250000000001</v>
      </c>
      <c r="Y22">
        <v>307785</v>
      </c>
    </row>
    <row r="23" spans="1:25" x14ac:dyDescent="0.25">
      <c r="A23" s="6">
        <v>20</v>
      </c>
      <c r="B23" s="6" t="s">
        <v>74</v>
      </c>
      <c r="C23" s="9">
        <v>119731</v>
      </c>
      <c r="D23" s="6" t="s">
        <v>147</v>
      </c>
      <c r="E23" s="7">
        <f>'DETAIL HITUNGAN'!E$20</f>
        <v>0.11259999999999999</v>
      </c>
      <c r="F23" s="7">
        <f>'DETAIL HITUNGAN'!F$20</f>
        <v>5.2400000000000002E-2</v>
      </c>
      <c r="G23" s="7">
        <f>'DETAIL HITUNGAN'!G$20</f>
        <v>1.0749999999999999E-2</v>
      </c>
      <c r="H23" s="7">
        <f>'DETAIL HITUNGAN'!H$20</f>
        <v>0</v>
      </c>
      <c r="I23" s="7">
        <f>'DETAIL HITUNGAN'!I$20</f>
        <v>0</v>
      </c>
      <c r="J23" s="7">
        <f>'DETAIL HITUNGAN'!J$20</f>
        <v>0</v>
      </c>
      <c r="K23" s="7">
        <f>'DETAIL HITUNGAN'!K$20</f>
        <v>0.2336</v>
      </c>
      <c r="L23" s="7">
        <f>'DETAIL HITUNGAN'!L$20</f>
        <v>9.0650000000000036E-2</v>
      </c>
      <c r="M23" s="7">
        <f>'DETAIL HITUNGAN'!M$20</f>
        <v>0.5</v>
      </c>
      <c r="N23" s="7" t="s">
        <v>19</v>
      </c>
      <c r="O23" s="20">
        <f t="shared" si="0"/>
        <v>13.481710599999998</v>
      </c>
      <c r="P23" s="20">
        <f t="shared" si="1"/>
        <v>6.2739044000000002</v>
      </c>
      <c r="Q23" s="20">
        <f t="shared" si="2"/>
        <v>1.28710825</v>
      </c>
      <c r="R23" s="20">
        <f t="shared" si="3"/>
        <v>0</v>
      </c>
      <c r="S23" s="20">
        <f t="shared" si="4"/>
        <v>0</v>
      </c>
      <c r="T23" s="20">
        <f t="shared" si="4"/>
        <v>0</v>
      </c>
      <c r="U23" s="20">
        <f t="shared" si="5"/>
        <v>27.9691616</v>
      </c>
      <c r="V23" s="20">
        <f t="shared" si="6"/>
        <v>10.853615150000005</v>
      </c>
      <c r="W23" s="20">
        <f t="shared" si="7"/>
        <v>59.865499999999997</v>
      </c>
      <c r="Y23">
        <v>119731</v>
      </c>
    </row>
    <row r="24" spans="1:25" x14ac:dyDescent="0.25">
      <c r="A24" s="6">
        <v>21</v>
      </c>
      <c r="B24" s="6" t="s">
        <v>75</v>
      </c>
      <c r="C24" s="9">
        <v>216182</v>
      </c>
      <c r="D24" s="6" t="s">
        <v>147</v>
      </c>
      <c r="E24" s="7">
        <f>'DETAIL HITUNGAN'!E$20</f>
        <v>0.11259999999999999</v>
      </c>
      <c r="F24" s="7">
        <f>'DETAIL HITUNGAN'!F$20</f>
        <v>5.2400000000000002E-2</v>
      </c>
      <c r="G24" s="7">
        <f>'DETAIL HITUNGAN'!G$20</f>
        <v>1.0749999999999999E-2</v>
      </c>
      <c r="H24" s="7">
        <f>'DETAIL HITUNGAN'!H$20</f>
        <v>0</v>
      </c>
      <c r="I24" s="7">
        <f>'DETAIL HITUNGAN'!I$20</f>
        <v>0</v>
      </c>
      <c r="J24" s="7">
        <f>'DETAIL HITUNGAN'!J$20</f>
        <v>0</v>
      </c>
      <c r="K24" s="7">
        <f>'DETAIL HITUNGAN'!K$20</f>
        <v>0.2336</v>
      </c>
      <c r="L24" s="7">
        <f>'DETAIL HITUNGAN'!L$20</f>
        <v>9.0650000000000036E-2</v>
      </c>
      <c r="M24" s="7">
        <f>'DETAIL HITUNGAN'!M$20</f>
        <v>0.5</v>
      </c>
      <c r="N24" s="7" t="s">
        <v>19</v>
      </c>
      <c r="O24" s="20">
        <f t="shared" si="0"/>
        <v>24.342093200000001</v>
      </c>
      <c r="P24" s="20">
        <f t="shared" si="1"/>
        <v>11.327936800000002</v>
      </c>
      <c r="Q24" s="20">
        <f t="shared" si="2"/>
        <v>2.3239565</v>
      </c>
      <c r="R24" s="20">
        <f t="shared" si="3"/>
        <v>0</v>
      </c>
      <c r="S24" s="20">
        <f t="shared" si="4"/>
        <v>0</v>
      </c>
      <c r="T24" s="20">
        <f t="shared" si="4"/>
        <v>0</v>
      </c>
      <c r="U24" s="20">
        <f t="shared" si="5"/>
        <v>50.500115200000003</v>
      </c>
      <c r="V24" s="20">
        <f t="shared" si="6"/>
        <v>19.596898300000007</v>
      </c>
      <c r="W24" s="20">
        <f t="shared" si="7"/>
        <v>108.09099999999999</v>
      </c>
      <c r="Y24">
        <v>216182</v>
      </c>
    </row>
    <row r="25" spans="1:25" x14ac:dyDescent="0.25">
      <c r="A25" s="6">
        <v>22</v>
      </c>
      <c r="B25" s="6" t="s">
        <v>76</v>
      </c>
      <c r="C25" s="9">
        <v>7316530</v>
      </c>
      <c r="D25" s="6" t="s">
        <v>147</v>
      </c>
      <c r="E25" s="7">
        <f>'DETAIL HITUNGAN'!E$20</f>
        <v>0.11259999999999999</v>
      </c>
      <c r="F25" s="7">
        <f>'DETAIL HITUNGAN'!F$20</f>
        <v>5.2400000000000002E-2</v>
      </c>
      <c r="G25" s="7">
        <f>'DETAIL HITUNGAN'!G$20</f>
        <v>1.0749999999999999E-2</v>
      </c>
      <c r="H25" s="7">
        <f>'DETAIL HITUNGAN'!H$20</f>
        <v>0</v>
      </c>
      <c r="I25" s="7">
        <f>'DETAIL HITUNGAN'!I$20</f>
        <v>0</v>
      </c>
      <c r="J25" s="7">
        <f>'DETAIL HITUNGAN'!J$20</f>
        <v>0</v>
      </c>
      <c r="K25" s="7">
        <f>'DETAIL HITUNGAN'!K$20</f>
        <v>0.2336</v>
      </c>
      <c r="L25" s="7">
        <f>'DETAIL HITUNGAN'!L$20</f>
        <v>9.0650000000000036E-2</v>
      </c>
      <c r="M25" s="7">
        <f>'DETAIL HITUNGAN'!M$20</f>
        <v>0.5</v>
      </c>
      <c r="N25" s="7" t="s">
        <v>19</v>
      </c>
      <c r="O25" s="20">
        <f t="shared" si="0"/>
        <v>823.84127799999999</v>
      </c>
      <c r="P25" s="20">
        <f t="shared" si="1"/>
        <v>383.38617200000004</v>
      </c>
      <c r="Q25" s="20">
        <f t="shared" si="2"/>
        <v>78.652697499999988</v>
      </c>
      <c r="R25" s="20">
        <f t="shared" si="3"/>
        <v>0</v>
      </c>
      <c r="S25" s="20">
        <f t="shared" si="4"/>
        <v>0</v>
      </c>
      <c r="T25" s="20">
        <f t="shared" si="4"/>
        <v>0</v>
      </c>
      <c r="U25" s="20">
        <f t="shared" si="5"/>
        <v>1709.141408</v>
      </c>
      <c r="V25" s="20">
        <f t="shared" si="6"/>
        <v>663.24344450000024</v>
      </c>
      <c r="W25" s="20">
        <f t="shared" si="7"/>
        <v>3658.2649999999999</v>
      </c>
      <c r="Y25">
        <v>7316530</v>
      </c>
    </row>
    <row r="26" spans="1:25" x14ac:dyDescent="0.25">
      <c r="A26" s="6">
        <v>23</v>
      </c>
      <c r="B26" s="6" t="s">
        <v>77</v>
      </c>
      <c r="C26" s="9">
        <v>1488937</v>
      </c>
      <c r="D26" s="6" t="s">
        <v>147</v>
      </c>
      <c r="E26" s="7">
        <f>'DETAIL HITUNGAN'!E$20</f>
        <v>0.11259999999999999</v>
      </c>
      <c r="F26" s="7">
        <f>'DETAIL HITUNGAN'!F$20</f>
        <v>5.2400000000000002E-2</v>
      </c>
      <c r="G26" s="7">
        <f>'DETAIL HITUNGAN'!G$20</f>
        <v>1.0749999999999999E-2</v>
      </c>
      <c r="H26" s="7">
        <f>'DETAIL HITUNGAN'!H$20</f>
        <v>0</v>
      </c>
      <c r="I26" s="7">
        <f>'DETAIL HITUNGAN'!I$20</f>
        <v>0</v>
      </c>
      <c r="J26" s="7">
        <f>'DETAIL HITUNGAN'!J$20</f>
        <v>0</v>
      </c>
      <c r="K26" s="7">
        <f>'DETAIL HITUNGAN'!K$20</f>
        <v>0.2336</v>
      </c>
      <c r="L26" s="7">
        <f>'DETAIL HITUNGAN'!L$20</f>
        <v>9.0650000000000036E-2</v>
      </c>
      <c r="M26" s="7">
        <f>'DETAIL HITUNGAN'!M$20</f>
        <v>0.5</v>
      </c>
      <c r="N26" s="7" t="s">
        <v>19</v>
      </c>
      <c r="O26" s="20">
        <f t="shared" si="0"/>
        <v>167.65430619999998</v>
      </c>
      <c r="P26" s="20">
        <f t="shared" si="1"/>
        <v>78.020298800000006</v>
      </c>
      <c r="Q26" s="20">
        <f t="shared" si="2"/>
        <v>16.006072749999998</v>
      </c>
      <c r="R26" s="20">
        <f t="shared" si="3"/>
        <v>0</v>
      </c>
      <c r="S26" s="20">
        <f t="shared" si="4"/>
        <v>0</v>
      </c>
      <c r="T26" s="20">
        <f t="shared" si="4"/>
        <v>0</v>
      </c>
      <c r="U26" s="20">
        <f t="shared" si="5"/>
        <v>347.81568320000002</v>
      </c>
      <c r="V26" s="20">
        <f t="shared" si="6"/>
        <v>134.97213905000007</v>
      </c>
      <c r="W26" s="20">
        <f t="shared" si="7"/>
        <v>744.46849999999995</v>
      </c>
      <c r="Y26">
        <v>1488937</v>
      </c>
    </row>
    <row r="27" spans="1:25" x14ac:dyDescent="0.25">
      <c r="A27" s="6">
        <v>24</v>
      </c>
      <c r="B27" s="6" t="s">
        <v>78</v>
      </c>
      <c r="C27" s="9">
        <v>1231934</v>
      </c>
      <c r="D27" s="6" t="s">
        <v>147</v>
      </c>
      <c r="E27" s="7">
        <f>'DETAIL HITUNGAN'!E$20</f>
        <v>0.11259999999999999</v>
      </c>
      <c r="F27" s="7">
        <f>'DETAIL HITUNGAN'!F$20</f>
        <v>5.2400000000000002E-2</v>
      </c>
      <c r="G27" s="7">
        <f>'DETAIL HITUNGAN'!G$20</f>
        <v>1.0749999999999999E-2</v>
      </c>
      <c r="H27" s="7">
        <f>'DETAIL HITUNGAN'!H$20</f>
        <v>0</v>
      </c>
      <c r="I27" s="7">
        <f>'DETAIL HITUNGAN'!I$20</f>
        <v>0</v>
      </c>
      <c r="J27" s="7">
        <f>'DETAIL HITUNGAN'!J$20</f>
        <v>0</v>
      </c>
      <c r="K27" s="7">
        <f>'DETAIL HITUNGAN'!K$20</f>
        <v>0.2336</v>
      </c>
      <c r="L27" s="7">
        <f>'DETAIL HITUNGAN'!L$20</f>
        <v>9.0650000000000036E-2</v>
      </c>
      <c r="M27" s="7">
        <f>'DETAIL HITUNGAN'!M$20</f>
        <v>0.5</v>
      </c>
      <c r="N27" s="7" t="s">
        <v>19</v>
      </c>
      <c r="O27" s="20">
        <f t="shared" si="0"/>
        <v>138.7157684</v>
      </c>
      <c r="P27" s="20">
        <f t="shared" si="1"/>
        <v>64.553341599999996</v>
      </c>
      <c r="Q27" s="20">
        <f t="shared" si="2"/>
        <v>13.243290499999999</v>
      </c>
      <c r="R27" s="20">
        <f t="shared" si="3"/>
        <v>0</v>
      </c>
      <c r="S27" s="20">
        <f t="shared" si="4"/>
        <v>0</v>
      </c>
      <c r="T27" s="20">
        <f t="shared" si="4"/>
        <v>0</v>
      </c>
      <c r="U27" s="20">
        <f t="shared" si="5"/>
        <v>287.77978240000004</v>
      </c>
      <c r="V27" s="20">
        <f t="shared" si="6"/>
        <v>111.67481710000004</v>
      </c>
      <c r="W27" s="20">
        <f t="shared" si="7"/>
        <v>615.96699999999998</v>
      </c>
      <c r="Y27">
        <v>1231934</v>
      </c>
    </row>
    <row r="28" spans="1:25" x14ac:dyDescent="0.25">
      <c r="A28" s="6">
        <v>25</v>
      </c>
      <c r="B28" s="6" t="s">
        <v>79</v>
      </c>
      <c r="C28" s="9">
        <v>65841</v>
      </c>
      <c r="D28" s="6" t="s">
        <v>147</v>
      </c>
      <c r="E28" s="7">
        <f>'DETAIL HITUNGAN'!E$20</f>
        <v>0.11259999999999999</v>
      </c>
      <c r="F28" s="7">
        <f>'DETAIL HITUNGAN'!F$20</f>
        <v>5.2400000000000002E-2</v>
      </c>
      <c r="G28" s="7">
        <f>'DETAIL HITUNGAN'!G$20</f>
        <v>1.0749999999999999E-2</v>
      </c>
      <c r="H28" s="7">
        <f>'DETAIL HITUNGAN'!H$20</f>
        <v>0</v>
      </c>
      <c r="I28" s="7">
        <f>'DETAIL HITUNGAN'!I$20</f>
        <v>0</v>
      </c>
      <c r="J28" s="7">
        <f>'DETAIL HITUNGAN'!J$20</f>
        <v>0</v>
      </c>
      <c r="K28" s="7">
        <f>'DETAIL HITUNGAN'!K$20</f>
        <v>0.2336</v>
      </c>
      <c r="L28" s="7">
        <f>'DETAIL HITUNGAN'!L$20</f>
        <v>9.0650000000000036E-2</v>
      </c>
      <c r="M28" s="7">
        <f>'DETAIL HITUNGAN'!M$20</f>
        <v>0.5</v>
      </c>
      <c r="N28" s="7" t="s">
        <v>19</v>
      </c>
      <c r="O28" s="20">
        <f t="shared" si="0"/>
        <v>7.4136965999999997</v>
      </c>
      <c r="P28" s="20">
        <f t="shared" si="1"/>
        <v>3.4500684000000001</v>
      </c>
      <c r="Q28" s="20">
        <f t="shared" si="2"/>
        <v>0.70779074999999991</v>
      </c>
      <c r="R28" s="20">
        <f t="shared" si="3"/>
        <v>0</v>
      </c>
      <c r="S28" s="20">
        <f t="shared" si="4"/>
        <v>0</v>
      </c>
      <c r="T28" s="20">
        <f t="shared" si="4"/>
        <v>0</v>
      </c>
      <c r="U28" s="20">
        <f t="shared" si="5"/>
        <v>15.3804576</v>
      </c>
      <c r="V28" s="20">
        <f t="shared" si="6"/>
        <v>5.9684866500000027</v>
      </c>
      <c r="W28" s="20">
        <f t="shared" si="7"/>
        <v>32.920499999999997</v>
      </c>
      <c r="Y28">
        <v>65841</v>
      </c>
    </row>
    <row r="29" spans="1:25" x14ac:dyDescent="0.25">
      <c r="A29" s="6">
        <v>26</v>
      </c>
      <c r="B29" s="6" t="s">
        <v>80</v>
      </c>
      <c r="C29" s="9">
        <v>122085</v>
      </c>
      <c r="D29" s="6" t="s">
        <v>147</v>
      </c>
      <c r="E29" s="7">
        <f>'DETAIL HITUNGAN'!E$20</f>
        <v>0.11259999999999999</v>
      </c>
      <c r="F29" s="7">
        <f>'DETAIL HITUNGAN'!F$20</f>
        <v>5.2400000000000002E-2</v>
      </c>
      <c r="G29" s="7">
        <f>'DETAIL HITUNGAN'!G$20</f>
        <v>1.0749999999999999E-2</v>
      </c>
      <c r="H29" s="7">
        <f>'DETAIL HITUNGAN'!H$20</f>
        <v>0</v>
      </c>
      <c r="I29" s="7">
        <f>'DETAIL HITUNGAN'!I$20</f>
        <v>0</v>
      </c>
      <c r="J29" s="7">
        <f>'DETAIL HITUNGAN'!J$20</f>
        <v>0</v>
      </c>
      <c r="K29" s="7">
        <f>'DETAIL HITUNGAN'!K$20</f>
        <v>0.2336</v>
      </c>
      <c r="L29" s="7">
        <f>'DETAIL HITUNGAN'!L$20</f>
        <v>9.0650000000000036E-2</v>
      </c>
      <c r="M29" s="7">
        <f>'DETAIL HITUNGAN'!M$20</f>
        <v>0.5</v>
      </c>
      <c r="N29" s="7" t="s">
        <v>19</v>
      </c>
      <c r="O29" s="20">
        <f t="shared" si="0"/>
        <v>13.746770999999999</v>
      </c>
      <c r="P29" s="20">
        <f t="shared" si="1"/>
        <v>6.3972540000000002</v>
      </c>
      <c r="Q29" s="20">
        <f t="shared" si="2"/>
        <v>1.3124137499999999</v>
      </c>
      <c r="R29" s="20">
        <f t="shared" si="3"/>
        <v>0</v>
      </c>
      <c r="S29" s="20">
        <f t="shared" si="4"/>
        <v>0</v>
      </c>
      <c r="T29" s="20">
        <f t="shared" si="4"/>
        <v>0</v>
      </c>
      <c r="U29" s="20">
        <f t="shared" si="5"/>
        <v>28.519055999999999</v>
      </c>
      <c r="V29" s="20">
        <f t="shared" si="6"/>
        <v>11.067005250000005</v>
      </c>
      <c r="W29" s="20">
        <f t="shared" si="7"/>
        <v>61.042499999999997</v>
      </c>
      <c r="Y29">
        <v>122085</v>
      </c>
    </row>
    <row r="30" spans="1:25" x14ac:dyDescent="0.25">
      <c r="A30" s="6">
        <v>27</v>
      </c>
      <c r="B30" s="6" t="s">
        <v>81</v>
      </c>
      <c r="C30" s="9">
        <v>43558913.965000004</v>
      </c>
      <c r="D30" s="6" t="s">
        <v>129</v>
      </c>
      <c r="E30" s="7">
        <v>0</v>
      </c>
      <c r="F30" s="7">
        <v>0</v>
      </c>
      <c r="G30" s="7">
        <v>2.3E-5</v>
      </c>
      <c r="H30" s="7">
        <v>3.009E-3</v>
      </c>
      <c r="I30" s="7">
        <v>0</v>
      </c>
      <c r="J30" s="7">
        <v>0</v>
      </c>
      <c r="K30" s="7">
        <v>0</v>
      </c>
      <c r="L30" s="7">
        <v>4.5000000000000003E-5</v>
      </c>
      <c r="M30" s="7">
        <v>3.0769999999999999E-3</v>
      </c>
      <c r="N30" s="7" t="s">
        <v>130</v>
      </c>
      <c r="O30" s="20">
        <f t="shared" si="0"/>
        <v>0</v>
      </c>
      <c r="P30" s="20">
        <f t="shared" si="1"/>
        <v>0</v>
      </c>
      <c r="Q30" s="20">
        <f t="shared" si="2"/>
        <v>1.0018550211950001</v>
      </c>
      <c r="R30" s="20">
        <f t="shared" si="3"/>
        <v>131.068772120685</v>
      </c>
      <c r="S30" s="20">
        <f t="shared" si="4"/>
        <v>0</v>
      </c>
      <c r="T30" s="20">
        <f t="shared" si="4"/>
        <v>0</v>
      </c>
      <c r="U30" s="20">
        <f t="shared" si="5"/>
        <v>0</v>
      </c>
      <c r="V30" s="20">
        <f t="shared" si="6"/>
        <v>1.9601511284250002</v>
      </c>
      <c r="W30" s="20">
        <f t="shared" si="7"/>
        <v>134.03077827030501</v>
      </c>
      <c r="Y30">
        <v>286047</v>
      </c>
    </row>
    <row r="31" spans="1:25" x14ac:dyDescent="0.25">
      <c r="A31" s="6">
        <v>28</v>
      </c>
      <c r="B31" s="6" t="s">
        <v>82</v>
      </c>
      <c r="C31" s="9">
        <f>378838563*3</f>
        <v>1136515689</v>
      </c>
      <c r="D31" s="6" t="s">
        <v>131</v>
      </c>
      <c r="E31" s="7">
        <v>3.6881827716109983E-2</v>
      </c>
      <c r="F31" s="7">
        <v>0</v>
      </c>
      <c r="G31" s="7">
        <v>9.6924261874197695E-3</v>
      </c>
      <c r="H31" s="7">
        <v>9.7494223363286271E-3</v>
      </c>
      <c r="I31" s="7">
        <v>0</v>
      </c>
      <c r="J31" s="7">
        <v>0</v>
      </c>
      <c r="K31" s="7">
        <v>0</v>
      </c>
      <c r="L31" s="7">
        <v>0</v>
      </c>
      <c r="M31" s="7">
        <v>5.6323676239858379E-2</v>
      </c>
      <c r="N31" s="7" t="s">
        <v>132</v>
      </c>
      <c r="O31" s="20">
        <f t="shared" si="0"/>
        <v>41916.775838354035</v>
      </c>
      <c r="P31" s="20">
        <f t="shared" si="1"/>
        <v>0</v>
      </c>
      <c r="Q31" s="20">
        <f t="shared" si="2"/>
        <v>11015.594426477022</v>
      </c>
      <c r="R31" s="20">
        <f t="shared" si="3"/>
        <v>11080.37144392452</v>
      </c>
      <c r="S31" s="20">
        <f t="shared" si="4"/>
        <v>0</v>
      </c>
      <c r="T31" s="20">
        <f t="shared" si="4"/>
        <v>0</v>
      </c>
      <c r="U31" s="20">
        <f t="shared" si="5"/>
        <v>0</v>
      </c>
      <c r="V31" s="20">
        <f t="shared" si="6"/>
        <v>0</v>
      </c>
      <c r="W31" s="20">
        <f t="shared" si="7"/>
        <v>64012.741708755573</v>
      </c>
      <c r="Y31">
        <v>7273</v>
      </c>
    </row>
    <row r="32" spans="1:25" x14ac:dyDescent="0.25">
      <c r="A32" s="6">
        <v>29</v>
      </c>
      <c r="B32" s="6" t="s">
        <v>83</v>
      </c>
      <c r="C32" s="44" t="s">
        <v>122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6"/>
      <c r="O32" s="20">
        <f>'DETAIL HITUNGAN'!O18</f>
        <v>3169.3126773999998</v>
      </c>
      <c r="P32" s="20">
        <f>'DETAIL HITUNGAN'!P18</f>
        <v>1474.8844076</v>
      </c>
      <c r="Q32" s="20">
        <f>'DETAIL HITUNGAN'!Q18</f>
        <v>302.57647674999998</v>
      </c>
      <c r="R32" s="20">
        <f>'DETAIL HITUNGAN'!R18</f>
        <v>47641.685700000002</v>
      </c>
      <c r="S32" s="20">
        <f>'DETAIL HITUNGAN'!S18</f>
        <v>0</v>
      </c>
      <c r="T32" s="20">
        <f>'DETAIL HITUNGAN'!T18</f>
        <v>0</v>
      </c>
      <c r="U32" s="20">
        <f>'DETAIL HITUNGAN'!U18</f>
        <v>6575.0572064000007</v>
      </c>
      <c r="V32" s="20">
        <f>'DETAIL HITUNGAN'!V18</f>
        <v>2551.493731850001</v>
      </c>
      <c r="W32" s="20">
        <f>'DETAIL HITUNGAN'!W18</f>
        <v>61715.010200000004</v>
      </c>
      <c r="Y32">
        <v>15615</v>
      </c>
    </row>
    <row r="33" spans="1:25" x14ac:dyDescent="0.25">
      <c r="A33" s="6">
        <v>30</v>
      </c>
      <c r="B33" s="6" t="s">
        <v>84</v>
      </c>
      <c r="C33" s="9">
        <v>1263443</v>
      </c>
      <c r="D33" s="6" t="s">
        <v>147</v>
      </c>
      <c r="E33" s="7">
        <f>'DETAIL HITUNGAN'!E$20</f>
        <v>0.11259999999999999</v>
      </c>
      <c r="F33" s="7">
        <f>'DETAIL HITUNGAN'!F$20</f>
        <v>5.2400000000000002E-2</v>
      </c>
      <c r="G33" s="7">
        <f>'DETAIL HITUNGAN'!G$20</f>
        <v>1.0749999999999999E-2</v>
      </c>
      <c r="H33" s="7">
        <f>'DETAIL HITUNGAN'!H$20</f>
        <v>0</v>
      </c>
      <c r="I33" s="7">
        <f>'DETAIL HITUNGAN'!I$20</f>
        <v>0</v>
      </c>
      <c r="J33" s="7">
        <f>'DETAIL HITUNGAN'!J$20</f>
        <v>0</v>
      </c>
      <c r="K33" s="7">
        <f>'DETAIL HITUNGAN'!K$20</f>
        <v>0.2336</v>
      </c>
      <c r="L33" s="7">
        <f>'DETAIL HITUNGAN'!L$20</f>
        <v>9.0650000000000036E-2</v>
      </c>
      <c r="M33" s="7">
        <f>'DETAIL HITUNGAN'!M$20</f>
        <v>0.5</v>
      </c>
      <c r="N33" s="7" t="s">
        <v>19</v>
      </c>
      <c r="O33" s="20">
        <f t="shared" si="0"/>
        <v>142.2636818</v>
      </c>
      <c r="P33" s="20">
        <f t="shared" si="1"/>
        <v>66.204413200000005</v>
      </c>
      <c r="Q33" s="20">
        <f t="shared" si="2"/>
        <v>13.58201225</v>
      </c>
      <c r="R33" s="20">
        <f t="shared" si="3"/>
        <v>0</v>
      </c>
      <c r="S33" s="20">
        <f t="shared" si="4"/>
        <v>0</v>
      </c>
      <c r="T33" s="20">
        <f t="shared" si="4"/>
        <v>0</v>
      </c>
      <c r="U33" s="20">
        <f t="shared" si="5"/>
        <v>295.14028480000002</v>
      </c>
      <c r="V33" s="20">
        <f t="shared" si="6"/>
        <v>114.53110795000005</v>
      </c>
      <c r="W33" s="20">
        <f t="shared" si="7"/>
        <v>631.72149999999999</v>
      </c>
      <c r="Y33">
        <v>1263443</v>
      </c>
    </row>
    <row r="34" spans="1:25" x14ac:dyDescent="0.25">
      <c r="A34" s="6">
        <v>31</v>
      </c>
      <c r="B34" s="6" t="s">
        <v>85</v>
      </c>
      <c r="C34" s="9">
        <v>90736</v>
      </c>
      <c r="D34" s="6" t="s">
        <v>147</v>
      </c>
      <c r="E34" s="7">
        <f>'DETAIL HITUNGAN'!E$20</f>
        <v>0.11259999999999999</v>
      </c>
      <c r="F34" s="7">
        <f>'DETAIL HITUNGAN'!F$20</f>
        <v>5.2400000000000002E-2</v>
      </c>
      <c r="G34" s="7">
        <f>'DETAIL HITUNGAN'!G$20</f>
        <v>1.0749999999999999E-2</v>
      </c>
      <c r="H34" s="7">
        <f>'DETAIL HITUNGAN'!H$20</f>
        <v>0</v>
      </c>
      <c r="I34" s="7">
        <f>'DETAIL HITUNGAN'!I$20</f>
        <v>0</v>
      </c>
      <c r="J34" s="7">
        <f>'DETAIL HITUNGAN'!J$20</f>
        <v>0</v>
      </c>
      <c r="K34" s="7">
        <f>'DETAIL HITUNGAN'!K$20</f>
        <v>0.2336</v>
      </c>
      <c r="L34" s="7">
        <f>'DETAIL HITUNGAN'!L$20</f>
        <v>9.0650000000000036E-2</v>
      </c>
      <c r="M34" s="7">
        <f>'DETAIL HITUNGAN'!M$20</f>
        <v>0.5</v>
      </c>
      <c r="N34" s="7" t="s">
        <v>19</v>
      </c>
      <c r="O34" s="20">
        <f t="shared" si="0"/>
        <v>10.2168736</v>
      </c>
      <c r="P34" s="20">
        <f t="shared" si="1"/>
        <v>4.7545664000000007</v>
      </c>
      <c r="Q34" s="20">
        <f t="shared" si="2"/>
        <v>0.97541199999999995</v>
      </c>
      <c r="R34" s="20">
        <f t="shared" si="3"/>
        <v>0</v>
      </c>
      <c r="S34" s="20">
        <f t="shared" si="4"/>
        <v>0</v>
      </c>
      <c r="T34" s="20">
        <f t="shared" si="4"/>
        <v>0</v>
      </c>
      <c r="U34" s="20">
        <f t="shared" si="5"/>
        <v>21.195929599999999</v>
      </c>
      <c r="V34" s="20">
        <f t="shared" si="6"/>
        <v>8.2252184000000028</v>
      </c>
      <c r="W34" s="20">
        <f t="shared" si="7"/>
        <v>45.368000000000002</v>
      </c>
      <c r="Y34">
        <v>90736</v>
      </c>
    </row>
    <row r="35" spans="1:25" x14ac:dyDescent="0.25">
      <c r="A35" s="6">
        <v>32</v>
      </c>
      <c r="B35" s="6" t="s">
        <v>86</v>
      </c>
      <c r="C35" s="9">
        <v>979907</v>
      </c>
      <c r="D35" s="6" t="s">
        <v>147</v>
      </c>
      <c r="E35" s="7">
        <f>'DETAIL HITUNGAN'!E$20</f>
        <v>0.11259999999999999</v>
      </c>
      <c r="F35" s="7">
        <f>'DETAIL HITUNGAN'!F$20</f>
        <v>5.2400000000000002E-2</v>
      </c>
      <c r="G35" s="7">
        <f>'DETAIL HITUNGAN'!G$20</f>
        <v>1.0749999999999999E-2</v>
      </c>
      <c r="H35" s="7">
        <f>'DETAIL HITUNGAN'!H$20</f>
        <v>0</v>
      </c>
      <c r="I35" s="7">
        <f>'DETAIL HITUNGAN'!I$20</f>
        <v>0</v>
      </c>
      <c r="J35" s="7">
        <f>'DETAIL HITUNGAN'!J$20</f>
        <v>0</v>
      </c>
      <c r="K35" s="7">
        <f>'DETAIL HITUNGAN'!K$20</f>
        <v>0.2336</v>
      </c>
      <c r="L35" s="7">
        <f>'DETAIL HITUNGAN'!L$20</f>
        <v>9.0650000000000036E-2</v>
      </c>
      <c r="M35" s="7">
        <f>'DETAIL HITUNGAN'!M$20</f>
        <v>0.5</v>
      </c>
      <c r="N35" s="7" t="s">
        <v>19</v>
      </c>
      <c r="O35" s="20">
        <f t="shared" si="0"/>
        <v>110.33752819999998</v>
      </c>
      <c r="P35" s="20">
        <f t="shared" si="1"/>
        <v>51.347126800000005</v>
      </c>
      <c r="Q35" s="20">
        <f t="shared" si="2"/>
        <v>10.534000249999998</v>
      </c>
      <c r="R35" s="20">
        <f t="shared" si="3"/>
        <v>0</v>
      </c>
      <c r="S35" s="20">
        <f t="shared" si="4"/>
        <v>0</v>
      </c>
      <c r="T35" s="20">
        <f t="shared" si="4"/>
        <v>0</v>
      </c>
      <c r="U35" s="20">
        <f t="shared" si="5"/>
        <v>228.90627520000001</v>
      </c>
      <c r="V35" s="20">
        <f t="shared" si="6"/>
        <v>88.828569550000026</v>
      </c>
      <c r="W35" s="20">
        <f t="shared" si="7"/>
        <v>489.95350000000002</v>
      </c>
      <c r="Y35">
        <v>979907</v>
      </c>
    </row>
    <row r="36" spans="1:25" x14ac:dyDescent="0.25">
      <c r="A36" s="6">
        <v>33</v>
      </c>
      <c r="B36" s="6" t="s">
        <v>87</v>
      </c>
      <c r="C36" s="9">
        <v>15066912</v>
      </c>
      <c r="D36" s="6" t="s">
        <v>20</v>
      </c>
      <c r="E36" s="7">
        <v>0.12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0.12</v>
      </c>
      <c r="N36" s="7" t="s">
        <v>137</v>
      </c>
      <c r="O36" s="20">
        <f t="shared" si="0"/>
        <v>1808.02944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20">
        <f t="shared" si="4"/>
        <v>0</v>
      </c>
      <c r="U36" s="20">
        <f t="shared" si="5"/>
        <v>0</v>
      </c>
      <c r="V36" s="20">
        <f t="shared" si="6"/>
        <v>0</v>
      </c>
      <c r="W36" s="20">
        <f t="shared" si="7"/>
        <v>1808.02944</v>
      </c>
      <c r="Y36">
        <v>47305</v>
      </c>
    </row>
    <row r="37" spans="1:25" x14ac:dyDescent="0.25">
      <c r="A37" s="6">
        <v>34</v>
      </c>
      <c r="B37" s="6" t="s">
        <v>54</v>
      </c>
      <c r="C37" s="9">
        <v>6753479</v>
      </c>
      <c r="D37" s="6" t="s">
        <v>20</v>
      </c>
      <c r="E37" s="7">
        <v>0.12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0.12</v>
      </c>
      <c r="N37" s="7" t="s">
        <v>137</v>
      </c>
      <c r="O37" s="20">
        <f t="shared" ref="O37" si="9">$C37*E37/1000</f>
        <v>810.41747999999995</v>
      </c>
      <c r="P37" s="20">
        <f t="shared" ref="P37" si="10">$C37*F37/1000</f>
        <v>0</v>
      </c>
      <c r="Q37" s="20">
        <f t="shared" ref="Q37" si="11">$C37*G37/1000</f>
        <v>0</v>
      </c>
      <c r="R37" s="20">
        <f t="shared" ref="R37" si="12">$C37*H37/1000</f>
        <v>0</v>
      </c>
      <c r="S37" s="20">
        <f t="shared" ref="S37:T37" si="13">$C37*I37/1000</f>
        <v>0</v>
      </c>
      <c r="T37" s="20">
        <f t="shared" si="13"/>
        <v>0</v>
      </c>
      <c r="U37" s="20">
        <f t="shared" ref="U37" si="14">$C37*K37/1000</f>
        <v>0</v>
      </c>
      <c r="V37" s="20">
        <f t="shared" ref="V37" si="15">$C37*L37/1000</f>
        <v>0</v>
      </c>
      <c r="W37" s="20">
        <f t="shared" ref="W37" si="16">$C37*M37/1000</f>
        <v>810.41747999999995</v>
      </c>
      <c r="Y37">
        <v>722150</v>
      </c>
    </row>
    <row r="38" spans="1:25" x14ac:dyDescent="0.25">
      <c r="A38" s="6">
        <v>35</v>
      </c>
      <c r="B38" s="6" t="s">
        <v>88</v>
      </c>
      <c r="C38" s="9">
        <f>1012+1012+1012+1012</f>
        <v>4048</v>
      </c>
      <c r="D38" s="6" t="s">
        <v>20</v>
      </c>
      <c r="E38" s="7">
        <v>0.12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0.12</v>
      </c>
      <c r="N38" s="7" t="s">
        <v>137</v>
      </c>
      <c r="O38" s="20">
        <f t="shared" si="0"/>
        <v>0.48575999999999997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20">
        <f t="shared" si="4"/>
        <v>0</v>
      </c>
      <c r="U38" s="20">
        <f t="shared" si="5"/>
        <v>0</v>
      </c>
      <c r="V38" s="20">
        <f t="shared" si="6"/>
        <v>0</v>
      </c>
      <c r="W38" s="20">
        <f t="shared" si="7"/>
        <v>0.48575999999999997</v>
      </c>
      <c r="Y38">
        <v>7219</v>
      </c>
    </row>
    <row r="39" spans="1:25" x14ac:dyDescent="0.25">
      <c r="A39" s="6">
        <v>36</v>
      </c>
      <c r="B39" s="6" t="s">
        <v>89</v>
      </c>
      <c r="C39" s="9">
        <v>7</v>
      </c>
      <c r="D39" s="6" t="s">
        <v>147</v>
      </c>
      <c r="E39" s="7">
        <f>'DETAIL HITUNGAN'!E$20</f>
        <v>0.11259999999999999</v>
      </c>
      <c r="F39" s="7">
        <f>'DETAIL HITUNGAN'!F$20</f>
        <v>5.2400000000000002E-2</v>
      </c>
      <c r="G39" s="7">
        <f>'DETAIL HITUNGAN'!G$20</f>
        <v>1.0749999999999999E-2</v>
      </c>
      <c r="H39" s="7">
        <f>'DETAIL HITUNGAN'!H$20</f>
        <v>0</v>
      </c>
      <c r="I39" s="7">
        <f>'DETAIL HITUNGAN'!I$20</f>
        <v>0</v>
      </c>
      <c r="J39" s="7">
        <f>'DETAIL HITUNGAN'!J$20</f>
        <v>0</v>
      </c>
      <c r="K39" s="7">
        <f>'DETAIL HITUNGAN'!K$20</f>
        <v>0.2336</v>
      </c>
      <c r="L39" s="7">
        <f>'DETAIL HITUNGAN'!L$20</f>
        <v>9.0650000000000036E-2</v>
      </c>
      <c r="M39" s="7">
        <f>'DETAIL HITUNGAN'!M$20</f>
        <v>0.5</v>
      </c>
      <c r="N39" s="7" t="s">
        <v>19</v>
      </c>
      <c r="O39" s="20">
        <f t="shared" si="0"/>
        <v>7.8819999999999986E-4</v>
      </c>
      <c r="P39" s="20">
        <f t="shared" si="1"/>
        <v>3.6680000000000003E-4</v>
      </c>
      <c r="Q39" s="20">
        <f t="shared" si="2"/>
        <v>7.525E-5</v>
      </c>
      <c r="R39" s="20">
        <f t="shared" si="3"/>
        <v>0</v>
      </c>
      <c r="S39" s="20">
        <f t="shared" si="4"/>
        <v>0</v>
      </c>
      <c r="T39" s="20">
        <f t="shared" si="4"/>
        <v>0</v>
      </c>
      <c r="U39" s="20">
        <f t="shared" si="5"/>
        <v>1.6352000000000001E-3</v>
      </c>
      <c r="V39" s="20">
        <f t="shared" si="6"/>
        <v>6.3455000000000033E-4</v>
      </c>
      <c r="W39" s="20">
        <f t="shared" si="7"/>
        <v>3.5000000000000001E-3</v>
      </c>
      <c r="Y39">
        <v>7</v>
      </c>
    </row>
    <row r="40" spans="1:25" x14ac:dyDescent="0.25">
      <c r="A40" s="6">
        <v>37</v>
      </c>
      <c r="B40" s="6" t="s">
        <v>90</v>
      </c>
      <c r="C40" s="9">
        <f>1627767+1614735</f>
        <v>3242502</v>
      </c>
      <c r="D40" s="6" t="s">
        <v>20</v>
      </c>
      <c r="E40" s="7">
        <v>0.12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0.12</v>
      </c>
      <c r="N40" s="7" t="s">
        <v>137</v>
      </c>
      <c r="O40" s="20">
        <f t="shared" si="0"/>
        <v>389.10023999999999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20">
        <f t="shared" si="4"/>
        <v>0</v>
      </c>
      <c r="U40" s="20">
        <f t="shared" si="5"/>
        <v>0</v>
      </c>
      <c r="V40" s="20">
        <f t="shared" si="6"/>
        <v>0</v>
      </c>
      <c r="W40" s="20">
        <f t="shared" si="7"/>
        <v>389.10023999999999</v>
      </c>
      <c r="Y40">
        <v>124238</v>
      </c>
    </row>
    <row r="41" spans="1:25" x14ac:dyDescent="0.25">
      <c r="A41" s="6">
        <v>38</v>
      </c>
      <c r="B41" s="6" t="s">
        <v>91</v>
      </c>
      <c r="C41" s="9">
        <v>8862</v>
      </c>
      <c r="D41" s="6" t="s">
        <v>147</v>
      </c>
      <c r="E41" s="7">
        <f>'DETAIL HITUNGAN'!E$20</f>
        <v>0.11259999999999999</v>
      </c>
      <c r="F41" s="7">
        <f>'DETAIL HITUNGAN'!F$20</f>
        <v>5.2400000000000002E-2</v>
      </c>
      <c r="G41" s="7">
        <f>'DETAIL HITUNGAN'!G$20</f>
        <v>1.0749999999999999E-2</v>
      </c>
      <c r="H41" s="7">
        <f>'DETAIL HITUNGAN'!H$20</f>
        <v>0</v>
      </c>
      <c r="I41" s="7">
        <f>'DETAIL HITUNGAN'!I$20</f>
        <v>0</v>
      </c>
      <c r="J41" s="7">
        <f>'DETAIL HITUNGAN'!J$20</f>
        <v>0</v>
      </c>
      <c r="K41" s="7">
        <f>'DETAIL HITUNGAN'!K$20</f>
        <v>0.2336</v>
      </c>
      <c r="L41" s="7">
        <f>'DETAIL HITUNGAN'!L$20</f>
        <v>9.0650000000000036E-2</v>
      </c>
      <c r="M41" s="7">
        <f>'DETAIL HITUNGAN'!M$20</f>
        <v>0.5</v>
      </c>
      <c r="N41" s="7" t="s">
        <v>19</v>
      </c>
      <c r="O41" s="20">
        <f t="shared" si="0"/>
        <v>0.99786119999999989</v>
      </c>
      <c r="P41" s="20">
        <f t="shared" si="1"/>
        <v>0.46436880000000003</v>
      </c>
      <c r="Q41" s="20">
        <f t="shared" si="2"/>
        <v>9.526649999999999E-2</v>
      </c>
      <c r="R41" s="20">
        <f t="shared" si="3"/>
        <v>0</v>
      </c>
      <c r="S41" s="20">
        <f t="shared" si="4"/>
        <v>0</v>
      </c>
      <c r="T41" s="20">
        <f t="shared" si="4"/>
        <v>0</v>
      </c>
      <c r="U41" s="20">
        <f t="shared" si="5"/>
        <v>2.0701632000000001</v>
      </c>
      <c r="V41" s="20">
        <f t="shared" si="6"/>
        <v>0.80334030000000034</v>
      </c>
      <c r="W41" s="20">
        <f t="shared" si="7"/>
        <v>4.431</v>
      </c>
      <c r="Y41">
        <v>8862</v>
      </c>
    </row>
    <row r="42" spans="1:25" x14ac:dyDescent="0.25">
      <c r="A42" s="6">
        <v>39</v>
      </c>
      <c r="B42" s="6" t="s">
        <v>92</v>
      </c>
      <c r="C42" s="9">
        <v>60571</v>
      </c>
      <c r="D42" s="6" t="s">
        <v>133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1.31</v>
      </c>
      <c r="N42" s="7" t="s">
        <v>134</v>
      </c>
      <c r="O42" s="20">
        <f t="shared" si="0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20">
        <f t="shared" si="4"/>
        <v>0</v>
      </c>
      <c r="U42" s="20">
        <f t="shared" si="5"/>
        <v>0</v>
      </c>
      <c r="V42" s="20">
        <f t="shared" si="6"/>
        <v>0</v>
      </c>
      <c r="W42" s="20">
        <f t="shared" si="7"/>
        <v>79.348010000000016</v>
      </c>
      <c r="Y42">
        <v>23663</v>
      </c>
    </row>
    <row r="43" spans="1:25" x14ac:dyDescent="0.25">
      <c r="A43" s="6">
        <v>40</v>
      </c>
      <c r="B43" s="6" t="s">
        <v>93</v>
      </c>
      <c r="C43" s="9">
        <v>566272</v>
      </c>
      <c r="D43" s="6" t="s">
        <v>135</v>
      </c>
      <c r="E43" s="40">
        <v>0.57999999999999996</v>
      </c>
      <c r="F43" s="40">
        <v>0</v>
      </c>
      <c r="G43" s="40">
        <v>0</v>
      </c>
      <c r="H43" s="40">
        <v>0.1</v>
      </c>
      <c r="I43" s="40">
        <v>0</v>
      </c>
      <c r="J43" s="40">
        <v>0</v>
      </c>
      <c r="K43" s="40">
        <v>0.23</v>
      </c>
      <c r="L43" s="40">
        <v>0.24</v>
      </c>
      <c r="M43" s="40">
        <v>1.17</v>
      </c>
      <c r="N43" s="7" t="s">
        <v>136</v>
      </c>
      <c r="O43" s="20">
        <f t="shared" si="0"/>
        <v>328.43775999999997</v>
      </c>
      <c r="P43" s="20">
        <f t="shared" si="1"/>
        <v>0</v>
      </c>
      <c r="Q43" s="20">
        <f t="shared" si="2"/>
        <v>0</v>
      </c>
      <c r="R43" s="20">
        <f t="shared" si="3"/>
        <v>56.627200000000002</v>
      </c>
      <c r="S43" s="20">
        <f t="shared" si="4"/>
        <v>0</v>
      </c>
      <c r="T43" s="20">
        <f t="shared" si="4"/>
        <v>0</v>
      </c>
      <c r="U43" s="20">
        <f t="shared" si="5"/>
        <v>130.24256000000003</v>
      </c>
      <c r="V43" s="20">
        <f t="shared" si="6"/>
        <v>135.90528</v>
      </c>
      <c r="W43" s="20">
        <f t="shared" si="7"/>
        <v>662.53823999999997</v>
      </c>
      <c r="Y43">
        <v>271674</v>
      </c>
    </row>
    <row r="44" spans="1:25" x14ac:dyDescent="0.25">
      <c r="A44" s="6">
        <v>41</v>
      </c>
      <c r="B44" s="6" t="s">
        <v>94</v>
      </c>
      <c r="C44" s="9">
        <v>79634</v>
      </c>
      <c r="D44" s="6" t="s">
        <v>147</v>
      </c>
      <c r="E44" s="7">
        <f>'DETAIL HITUNGAN'!E$20</f>
        <v>0.11259999999999999</v>
      </c>
      <c r="F44" s="7">
        <f>'DETAIL HITUNGAN'!F$20</f>
        <v>5.2400000000000002E-2</v>
      </c>
      <c r="G44" s="7">
        <f>'DETAIL HITUNGAN'!G$20</f>
        <v>1.0749999999999999E-2</v>
      </c>
      <c r="H44" s="7">
        <f>'DETAIL HITUNGAN'!H$20</f>
        <v>0</v>
      </c>
      <c r="I44" s="7">
        <f>'DETAIL HITUNGAN'!I$20</f>
        <v>0</v>
      </c>
      <c r="J44" s="7">
        <f>'DETAIL HITUNGAN'!J$20</f>
        <v>0</v>
      </c>
      <c r="K44" s="7">
        <f>'DETAIL HITUNGAN'!K$20</f>
        <v>0.2336</v>
      </c>
      <c r="L44" s="7">
        <f>'DETAIL HITUNGAN'!L$20</f>
        <v>9.0650000000000036E-2</v>
      </c>
      <c r="M44" s="7">
        <f>'DETAIL HITUNGAN'!M$20</f>
        <v>0.5</v>
      </c>
      <c r="N44" s="7" t="s">
        <v>19</v>
      </c>
      <c r="O44" s="20">
        <f t="shared" si="0"/>
        <v>8.9667883999999987</v>
      </c>
      <c r="P44" s="20">
        <f t="shared" si="1"/>
        <v>4.1728215999999998</v>
      </c>
      <c r="Q44" s="20">
        <f t="shared" si="2"/>
        <v>0.85606549999999992</v>
      </c>
      <c r="R44" s="20">
        <f t="shared" si="3"/>
        <v>0</v>
      </c>
      <c r="S44" s="20">
        <f t="shared" si="4"/>
        <v>0</v>
      </c>
      <c r="T44" s="20">
        <f t="shared" si="4"/>
        <v>0</v>
      </c>
      <c r="U44" s="20">
        <f t="shared" si="5"/>
        <v>18.602502400000002</v>
      </c>
      <c r="V44" s="20">
        <f t="shared" si="6"/>
        <v>7.2188221000000032</v>
      </c>
      <c r="W44" s="20">
        <f t="shared" si="7"/>
        <v>39.817</v>
      </c>
      <c r="Y44">
        <v>79634</v>
      </c>
    </row>
    <row r="45" spans="1:25" x14ac:dyDescent="0.25">
      <c r="A45" s="6">
        <v>42</v>
      </c>
      <c r="B45" s="6" t="s">
        <v>95</v>
      </c>
      <c r="C45" s="9">
        <v>54080</v>
      </c>
      <c r="D45" s="6" t="s">
        <v>147</v>
      </c>
      <c r="E45" s="7">
        <f>'DETAIL HITUNGAN'!E$20</f>
        <v>0.11259999999999999</v>
      </c>
      <c r="F45" s="7">
        <f>'DETAIL HITUNGAN'!F$20</f>
        <v>5.2400000000000002E-2</v>
      </c>
      <c r="G45" s="7">
        <f>'DETAIL HITUNGAN'!G$20</f>
        <v>1.0749999999999999E-2</v>
      </c>
      <c r="H45" s="7">
        <f>'DETAIL HITUNGAN'!H$20</f>
        <v>0</v>
      </c>
      <c r="I45" s="7">
        <f>'DETAIL HITUNGAN'!I$20</f>
        <v>0</v>
      </c>
      <c r="J45" s="7">
        <f>'DETAIL HITUNGAN'!J$20</f>
        <v>0</v>
      </c>
      <c r="K45" s="7">
        <f>'DETAIL HITUNGAN'!K$20</f>
        <v>0.2336</v>
      </c>
      <c r="L45" s="7">
        <f>'DETAIL HITUNGAN'!L$20</f>
        <v>9.0650000000000036E-2</v>
      </c>
      <c r="M45" s="7">
        <f>'DETAIL HITUNGAN'!M$20</f>
        <v>0.5</v>
      </c>
      <c r="N45" s="7" t="s">
        <v>19</v>
      </c>
      <c r="O45" s="20">
        <f t="shared" si="0"/>
        <v>6.0894079999999997</v>
      </c>
      <c r="P45" s="20">
        <f t="shared" si="1"/>
        <v>2.8337919999999999</v>
      </c>
      <c r="Q45" s="20">
        <f t="shared" si="2"/>
        <v>0.58135999999999988</v>
      </c>
      <c r="R45" s="20">
        <f t="shared" si="3"/>
        <v>0</v>
      </c>
      <c r="S45" s="20">
        <f t="shared" si="4"/>
        <v>0</v>
      </c>
      <c r="T45" s="20">
        <f t="shared" si="4"/>
        <v>0</v>
      </c>
      <c r="U45" s="20">
        <f t="shared" si="5"/>
        <v>12.633087999999999</v>
      </c>
      <c r="V45" s="20">
        <f t="shared" si="6"/>
        <v>4.9023520000000014</v>
      </c>
      <c r="W45" s="20">
        <f t="shared" si="7"/>
        <v>27.04</v>
      </c>
      <c r="Y45">
        <v>54080</v>
      </c>
    </row>
    <row r="46" spans="1:25" x14ac:dyDescent="0.25">
      <c r="A46" s="6">
        <v>43</v>
      </c>
      <c r="B46" s="6" t="s">
        <v>96</v>
      </c>
      <c r="C46" s="9">
        <v>5610</v>
      </c>
      <c r="D46" s="6" t="s">
        <v>147</v>
      </c>
      <c r="E46" s="7">
        <f>'DETAIL HITUNGAN'!E$20</f>
        <v>0.11259999999999999</v>
      </c>
      <c r="F46" s="7">
        <f>'DETAIL HITUNGAN'!F$20</f>
        <v>5.2400000000000002E-2</v>
      </c>
      <c r="G46" s="7">
        <f>'DETAIL HITUNGAN'!G$20</f>
        <v>1.0749999999999999E-2</v>
      </c>
      <c r="H46" s="7">
        <f>'DETAIL HITUNGAN'!H$20</f>
        <v>0</v>
      </c>
      <c r="I46" s="7">
        <f>'DETAIL HITUNGAN'!I$20</f>
        <v>0</v>
      </c>
      <c r="J46" s="7">
        <f>'DETAIL HITUNGAN'!J$20</f>
        <v>0</v>
      </c>
      <c r="K46" s="7">
        <f>'DETAIL HITUNGAN'!K$20</f>
        <v>0.2336</v>
      </c>
      <c r="L46" s="7">
        <f>'DETAIL HITUNGAN'!L$20</f>
        <v>9.0650000000000036E-2</v>
      </c>
      <c r="M46" s="7">
        <f>'DETAIL HITUNGAN'!M$20</f>
        <v>0.5</v>
      </c>
      <c r="N46" s="7" t="s">
        <v>19</v>
      </c>
      <c r="O46" s="20">
        <f t="shared" si="0"/>
        <v>0.63168599999999997</v>
      </c>
      <c r="P46" s="20">
        <f t="shared" si="1"/>
        <v>0.293964</v>
      </c>
      <c r="Q46" s="20">
        <f t="shared" si="2"/>
        <v>6.03075E-2</v>
      </c>
      <c r="R46" s="20">
        <f t="shared" si="3"/>
        <v>0</v>
      </c>
      <c r="S46" s="20">
        <f t="shared" si="4"/>
        <v>0</v>
      </c>
      <c r="T46" s="20">
        <f t="shared" si="4"/>
        <v>0</v>
      </c>
      <c r="U46" s="20">
        <f t="shared" si="5"/>
        <v>1.3104960000000001</v>
      </c>
      <c r="V46" s="20">
        <f t="shared" si="6"/>
        <v>0.50854650000000023</v>
      </c>
      <c r="W46" s="20">
        <f t="shared" si="7"/>
        <v>2.8050000000000002</v>
      </c>
      <c r="Y46">
        <v>5610</v>
      </c>
    </row>
    <row r="47" spans="1:25" x14ac:dyDescent="0.25">
      <c r="A47" s="6">
        <v>44</v>
      </c>
      <c r="B47" s="6" t="s">
        <v>97</v>
      </c>
      <c r="C47" s="9">
        <v>5925</v>
      </c>
      <c r="D47" s="6" t="s">
        <v>147</v>
      </c>
      <c r="E47" s="7">
        <f>'DETAIL HITUNGAN'!E$20</f>
        <v>0.11259999999999999</v>
      </c>
      <c r="F47" s="7">
        <f>'DETAIL HITUNGAN'!F$20</f>
        <v>5.2400000000000002E-2</v>
      </c>
      <c r="G47" s="7">
        <f>'DETAIL HITUNGAN'!G$20</f>
        <v>1.0749999999999999E-2</v>
      </c>
      <c r="H47" s="7">
        <f>'DETAIL HITUNGAN'!H$20</f>
        <v>0</v>
      </c>
      <c r="I47" s="7">
        <f>'DETAIL HITUNGAN'!I$20</f>
        <v>0</v>
      </c>
      <c r="J47" s="7">
        <f>'DETAIL HITUNGAN'!J$20</f>
        <v>0</v>
      </c>
      <c r="K47" s="7">
        <f>'DETAIL HITUNGAN'!K$20</f>
        <v>0.2336</v>
      </c>
      <c r="L47" s="7">
        <f>'DETAIL HITUNGAN'!L$20</f>
        <v>9.0650000000000036E-2</v>
      </c>
      <c r="M47" s="7">
        <f>'DETAIL HITUNGAN'!M$20</f>
        <v>0.5</v>
      </c>
      <c r="N47" s="7" t="s">
        <v>19</v>
      </c>
      <c r="O47" s="20">
        <f t="shared" si="0"/>
        <v>0.66715499999999994</v>
      </c>
      <c r="P47" s="20">
        <f t="shared" si="1"/>
        <v>0.31047000000000002</v>
      </c>
      <c r="Q47" s="20">
        <f t="shared" si="2"/>
        <v>6.3693749999999993E-2</v>
      </c>
      <c r="R47" s="20">
        <f t="shared" si="3"/>
        <v>0</v>
      </c>
      <c r="S47" s="20">
        <f t="shared" si="4"/>
        <v>0</v>
      </c>
      <c r="T47" s="20">
        <f t="shared" si="4"/>
        <v>0</v>
      </c>
      <c r="U47" s="20">
        <f t="shared" si="5"/>
        <v>1.38408</v>
      </c>
      <c r="V47" s="20">
        <f t="shared" si="6"/>
        <v>0.5371012500000002</v>
      </c>
      <c r="W47" s="20">
        <f t="shared" si="7"/>
        <v>2.9624999999999999</v>
      </c>
      <c r="Y47">
        <v>5925</v>
      </c>
    </row>
    <row r="48" spans="1:25" x14ac:dyDescent="0.25">
      <c r="A48" s="6">
        <v>45</v>
      </c>
      <c r="B48" s="6" t="s">
        <v>98</v>
      </c>
      <c r="C48" s="9">
        <v>932</v>
      </c>
      <c r="D48" s="6" t="s">
        <v>147</v>
      </c>
      <c r="E48" s="7">
        <f>'DETAIL HITUNGAN'!E$20</f>
        <v>0.11259999999999999</v>
      </c>
      <c r="F48" s="7">
        <f>'DETAIL HITUNGAN'!F$20</f>
        <v>5.2400000000000002E-2</v>
      </c>
      <c r="G48" s="7">
        <f>'DETAIL HITUNGAN'!G$20</f>
        <v>1.0749999999999999E-2</v>
      </c>
      <c r="H48" s="7">
        <f>'DETAIL HITUNGAN'!H$20</f>
        <v>0</v>
      </c>
      <c r="I48" s="7">
        <f>'DETAIL HITUNGAN'!I$20</f>
        <v>0</v>
      </c>
      <c r="J48" s="7">
        <f>'DETAIL HITUNGAN'!J$20</f>
        <v>0</v>
      </c>
      <c r="K48" s="7">
        <f>'DETAIL HITUNGAN'!K$20</f>
        <v>0.2336</v>
      </c>
      <c r="L48" s="7">
        <f>'DETAIL HITUNGAN'!L$20</f>
        <v>9.0650000000000036E-2</v>
      </c>
      <c r="M48" s="7">
        <f>'DETAIL HITUNGAN'!M$20</f>
        <v>0.5</v>
      </c>
      <c r="N48" s="7" t="s">
        <v>19</v>
      </c>
      <c r="O48" s="20">
        <f t="shared" si="0"/>
        <v>0.10494319999999999</v>
      </c>
      <c r="P48" s="20">
        <f t="shared" si="1"/>
        <v>4.8836800000000007E-2</v>
      </c>
      <c r="Q48" s="20">
        <f t="shared" si="2"/>
        <v>1.0018999999999998E-2</v>
      </c>
      <c r="R48" s="20">
        <f t="shared" si="3"/>
        <v>0</v>
      </c>
      <c r="S48" s="20">
        <f t="shared" si="4"/>
        <v>0</v>
      </c>
      <c r="T48" s="20">
        <f t="shared" si="4"/>
        <v>0</v>
      </c>
      <c r="U48" s="20">
        <f t="shared" si="5"/>
        <v>0.2177152</v>
      </c>
      <c r="V48" s="20">
        <f t="shared" si="6"/>
        <v>8.4485800000000041E-2</v>
      </c>
      <c r="W48" s="20">
        <f t="shared" si="7"/>
        <v>0.46600000000000003</v>
      </c>
      <c r="Y48">
        <v>932</v>
      </c>
    </row>
    <row r="49" spans="1:25" x14ac:dyDescent="0.25">
      <c r="A49" s="6">
        <v>46</v>
      </c>
      <c r="B49" s="6" t="s">
        <v>52</v>
      </c>
      <c r="C49" s="9">
        <v>12766</v>
      </c>
      <c r="D49" s="6" t="s">
        <v>147</v>
      </c>
      <c r="E49" s="7">
        <f>'DETAIL HITUNGAN'!E$20</f>
        <v>0.11259999999999999</v>
      </c>
      <c r="F49" s="7">
        <f>'DETAIL HITUNGAN'!F$20</f>
        <v>5.2400000000000002E-2</v>
      </c>
      <c r="G49" s="7">
        <f>'DETAIL HITUNGAN'!G$20</f>
        <v>1.0749999999999999E-2</v>
      </c>
      <c r="H49" s="7">
        <f>'DETAIL HITUNGAN'!H$20</f>
        <v>0</v>
      </c>
      <c r="I49" s="7">
        <f>'DETAIL HITUNGAN'!I$20</f>
        <v>0</v>
      </c>
      <c r="J49" s="7">
        <f>'DETAIL HITUNGAN'!J$20</f>
        <v>0</v>
      </c>
      <c r="K49" s="7">
        <f>'DETAIL HITUNGAN'!K$20</f>
        <v>0.2336</v>
      </c>
      <c r="L49" s="7">
        <f>'DETAIL HITUNGAN'!L$20</f>
        <v>9.0650000000000036E-2</v>
      </c>
      <c r="M49" s="7">
        <f>'DETAIL HITUNGAN'!M$20</f>
        <v>0.5</v>
      </c>
      <c r="N49" s="7" t="s">
        <v>19</v>
      </c>
      <c r="O49" s="20">
        <f t="shared" si="0"/>
        <v>1.4374515999999999</v>
      </c>
      <c r="P49" s="20">
        <f t="shared" si="1"/>
        <v>0.66893840000000004</v>
      </c>
      <c r="Q49" s="20">
        <f t="shared" si="2"/>
        <v>0.13723450000000001</v>
      </c>
      <c r="R49" s="20">
        <f t="shared" si="3"/>
        <v>0</v>
      </c>
      <c r="S49" s="20">
        <f t="shared" si="4"/>
        <v>0</v>
      </c>
      <c r="T49" s="20">
        <f t="shared" si="4"/>
        <v>0</v>
      </c>
      <c r="U49" s="20">
        <f t="shared" si="5"/>
        <v>2.9821376000000002</v>
      </c>
      <c r="V49" s="20">
        <f t="shared" si="6"/>
        <v>1.1572379000000006</v>
      </c>
      <c r="W49" s="20">
        <f t="shared" si="7"/>
        <v>6.383</v>
      </c>
      <c r="Y49">
        <v>12766</v>
      </c>
    </row>
    <row r="50" spans="1:25" x14ac:dyDescent="0.25">
      <c r="A50" s="6">
        <v>47</v>
      </c>
      <c r="B50" s="6" t="s">
        <v>99</v>
      </c>
      <c r="C50" s="9">
        <v>23735</v>
      </c>
      <c r="D50" s="6" t="s">
        <v>147</v>
      </c>
      <c r="E50" s="7">
        <f>'DETAIL HITUNGAN'!E$20</f>
        <v>0.11259999999999999</v>
      </c>
      <c r="F50" s="7">
        <f>'DETAIL HITUNGAN'!F$20</f>
        <v>5.2400000000000002E-2</v>
      </c>
      <c r="G50" s="7">
        <f>'DETAIL HITUNGAN'!G$20</f>
        <v>1.0749999999999999E-2</v>
      </c>
      <c r="H50" s="7">
        <f>'DETAIL HITUNGAN'!H$20</f>
        <v>0</v>
      </c>
      <c r="I50" s="7">
        <f>'DETAIL HITUNGAN'!I$20</f>
        <v>0</v>
      </c>
      <c r="J50" s="7">
        <f>'DETAIL HITUNGAN'!J$20</f>
        <v>0</v>
      </c>
      <c r="K50" s="7">
        <f>'DETAIL HITUNGAN'!K$20</f>
        <v>0.2336</v>
      </c>
      <c r="L50" s="7">
        <f>'DETAIL HITUNGAN'!L$20</f>
        <v>9.0650000000000036E-2</v>
      </c>
      <c r="M50" s="7">
        <f>'DETAIL HITUNGAN'!M$20</f>
        <v>0.5</v>
      </c>
      <c r="N50" s="7" t="s">
        <v>19</v>
      </c>
      <c r="O50" s="20">
        <f t="shared" si="0"/>
        <v>2.6725609999999995</v>
      </c>
      <c r="P50" s="20">
        <f t="shared" si="1"/>
        <v>1.243714</v>
      </c>
      <c r="Q50" s="20">
        <f t="shared" si="2"/>
        <v>0.25515125</v>
      </c>
      <c r="R50" s="20">
        <f t="shared" si="3"/>
        <v>0</v>
      </c>
      <c r="S50" s="20">
        <f t="shared" si="4"/>
        <v>0</v>
      </c>
      <c r="T50" s="20">
        <f t="shared" si="4"/>
        <v>0</v>
      </c>
      <c r="U50" s="20">
        <f t="shared" si="5"/>
        <v>5.5444960000000005</v>
      </c>
      <c r="V50" s="20">
        <f t="shared" si="6"/>
        <v>2.1515777500000008</v>
      </c>
      <c r="W50" s="20">
        <f t="shared" si="7"/>
        <v>11.8675</v>
      </c>
      <c r="Y50">
        <v>23735</v>
      </c>
    </row>
    <row r="51" spans="1:25" x14ac:dyDescent="0.25">
      <c r="A51" s="6">
        <v>48</v>
      </c>
      <c r="B51" s="6" t="s">
        <v>100</v>
      </c>
      <c r="C51" s="9">
        <v>86919</v>
      </c>
      <c r="D51" s="6" t="s">
        <v>147</v>
      </c>
      <c r="E51" s="7">
        <f>'DETAIL HITUNGAN'!E$20</f>
        <v>0.11259999999999999</v>
      </c>
      <c r="F51" s="7">
        <f>'DETAIL HITUNGAN'!F$20</f>
        <v>5.2400000000000002E-2</v>
      </c>
      <c r="G51" s="7">
        <f>'DETAIL HITUNGAN'!G$20</f>
        <v>1.0749999999999999E-2</v>
      </c>
      <c r="H51" s="7">
        <f>'DETAIL HITUNGAN'!H$20</f>
        <v>0</v>
      </c>
      <c r="I51" s="7">
        <f>'DETAIL HITUNGAN'!I$20</f>
        <v>0</v>
      </c>
      <c r="J51" s="7">
        <f>'DETAIL HITUNGAN'!J$20</f>
        <v>0</v>
      </c>
      <c r="K51" s="7">
        <f>'DETAIL HITUNGAN'!K$20</f>
        <v>0.2336</v>
      </c>
      <c r="L51" s="7">
        <f>'DETAIL HITUNGAN'!L$20</f>
        <v>9.0650000000000036E-2</v>
      </c>
      <c r="M51" s="7">
        <f>'DETAIL HITUNGAN'!M$20</f>
        <v>0.5</v>
      </c>
      <c r="N51" s="7" t="s">
        <v>19</v>
      </c>
      <c r="O51" s="20">
        <f t="shared" si="0"/>
        <v>9.7870793999999979</v>
      </c>
      <c r="P51" s="20">
        <f t="shared" si="1"/>
        <v>4.5545556000000005</v>
      </c>
      <c r="Q51" s="20">
        <f t="shared" si="2"/>
        <v>0.93437924999999999</v>
      </c>
      <c r="R51" s="20">
        <f t="shared" si="3"/>
        <v>0</v>
      </c>
      <c r="S51" s="20">
        <f t="shared" si="4"/>
        <v>0</v>
      </c>
      <c r="T51" s="20">
        <f t="shared" si="4"/>
        <v>0</v>
      </c>
      <c r="U51" s="20">
        <f t="shared" si="5"/>
        <v>20.304278399999998</v>
      </c>
      <c r="V51" s="20">
        <f t="shared" si="6"/>
        <v>7.8792073500000033</v>
      </c>
      <c r="W51" s="20">
        <f t="shared" si="7"/>
        <v>43.459499999999998</v>
      </c>
      <c r="Y51">
        <v>86919</v>
      </c>
    </row>
    <row r="52" spans="1:25" x14ac:dyDescent="0.25">
      <c r="A52" s="6">
        <v>49</v>
      </c>
      <c r="B52" s="6" t="s">
        <v>101</v>
      </c>
      <c r="C52" s="9">
        <v>139704</v>
      </c>
      <c r="D52" s="6" t="s">
        <v>147</v>
      </c>
      <c r="E52" s="7">
        <f>'DETAIL HITUNGAN'!E$20</f>
        <v>0.11259999999999999</v>
      </c>
      <c r="F52" s="7">
        <f>'DETAIL HITUNGAN'!F$20</f>
        <v>5.2400000000000002E-2</v>
      </c>
      <c r="G52" s="7">
        <f>'DETAIL HITUNGAN'!G$20</f>
        <v>1.0749999999999999E-2</v>
      </c>
      <c r="H52" s="7">
        <f>'DETAIL HITUNGAN'!H$20</f>
        <v>0</v>
      </c>
      <c r="I52" s="7">
        <f>'DETAIL HITUNGAN'!I$20</f>
        <v>0</v>
      </c>
      <c r="J52" s="7">
        <f>'DETAIL HITUNGAN'!J$20</f>
        <v>0</v>
      </c>
      <c r="K52" s="7">
        <f>'DETAIL HITUNGAN'!K$20</f>
        <v>0.2336</v>
      </c>
      <c r="L52" s="7">
        <f>'DETAIL HITUNGAN'!L$20</f>
        <v>9.0650000000000036E-2</v>
      </c>
      <c r="M52" s="7">
        <f>'DETAIL HITUNGAN'!M$20</f>
        <v>0.5</v>
      </c>
      <c r="N52" s="7" t="s">
        <v>19</v>
      </c>
      <c r="O52" s="20">
        <f t="shared" si="0"/>
        <v>15.730670399999999</v>
      </c>
      <c r="P52" s="20">
        <f t="shared" si="1"/>
        <v>7.3204896000000002</v>
      </c>
      <c r="Q52" s="20">
        <f t="shared" si="2"/>
        <v>1.5018179999999999</v>
      </c>
      <c r="R52" s="20">
        <f t="shared" si="3"/>
        <v>0</v>
      </c>
      <c r="S52" s="20">
        <f t="shared" si="4"/>
        <v>0</v>
      </c>
      <c r="T52" s="20">
        <f t="shared" si="4"/>
        <v>0</v>
      </c>
      <c r="U52" s="20">
        <f t="shared" si="5"/>
        <v>32.634854400000002</v>
      </c>
      <c r="V52" s="20">
        <f t="shared" si="6"/>
        <v>12.664167600000004</v>
      </c>
      <c r="W52" s="20">
        <f t="shared" si="7"/>
        <v>69.852000000000004</v>
      </c>
      <c r="Y52">
        <v>139704</v>
      </c>
    </row>
    <row r="53" spans="1:25" x14ac:dyDescent="0.25">
      <c r="A53" s="6">
        <v>50</v>
      </c>
      <c r="B53" s="6" t="s">
        <v>102</v>
      </c>
      <c r="C53" s="9">
        <v>162639</v>
      </c>
      <c r="D53" s="6" t="s">
        <v>147</v>
      </c>
      <c r="E53" s="7">
        <f>'DETAIL HITUNGAN'!E$20</f>
        <v>0.11259999999999999</v>
      </c>
      <c r="F53" s="7">
        <f>'DETAIL HITUNGAN'!F$20</f>
        <v>5.2400000000000002E-2</v>
      </c>
      <c r="G53" s="7">
        <f>'DETAIL HITUNGAN'!G$20</f>
        <v>1.0749999999999999E-2</v>
      </c>
      <c r="H53" s="7">
        <f>'DETAIL HITUNGAN'!H$20</f>
        <v>0</v>
      </c>
      <c r="I53" s="7">
        <f>'DETAIL HITUNGAN'!I$20</f>
        <v>0</v>
      </c>
      <c r="J53" s="7">
        <f>'DETAIL HITUNGAN'!J$20</f>
        <v>0</v>
      </c>
      <c r="K53" s="7">
        <f>'DETAIL HITUNGAN'!K$20</f>
        <v>0.2336</v>
      </c>
      <c r="L53" s="7">
        <f>'DETAIL HITUNGAN'!L$20</f>
        <v>9.0650000000000036E-2</v>
      </c>
      <c r="M53" s="7">
        <f>'DETAIL HITUNGAN'!M$20</f>
        <v>0.5</v>
      </c>
      <c r="N53" s="7" t="s">
        <v>19</v>
      </c>
      <c r="O53" s="20">
        <f t="shared" si="0"/>
        <v>18.313151399999999</v>
      </c>
      <c r="P53" s="20">
        <f t="shared" si="1"/>
        <v>8.5222836000000015</v>
      </c>
      <c r="Q53" s="20">
        <f t="shared" si="2"/>
        <v>1.7483692499999999</v>
      </c>
      <c r="R53" s="20">
        <f t="shared" si="3"/>
        <v>0</v>
      </c>
      <c r="S53" s="20">
        <f t="shared" si="4"/>
        <v>0</v>
      </c>
      <c r="T53" s="20">
        <f t="shared" si="4"/>
        <v>0</v>
      </c>
      <c r="U53" s="20">
        <f t="shared" si="5"/>
        <v>37.992470399999995</v>
      </c>
      <c r="V53" s="20">
        <f t="shared" si="6"/>
        <v>14.743225350000007</v>
      </c>
      <c r="W53" s="20">
        <f t="shared" si="7"/>
        <v>81.319500000000005</v>
      </c>
      <c r="Y53">
        <v>162639</v>
      </c>
    </row>
    <row r="54" spans="1:25" x14ac:dyDescent="0.25">
      <c r="A54" s="6">
        <v>51</v>
      </c>
      <c r="B54" s="6" t="s">
        <v>53</v>
      </c>
      <c r="C54" s="9">
        <v>33318</v>
      </c>
      <c r="D54" s="6" t="s">
        <v>147</v>
      </c>
      <c r="E54" s="7">
        <f>'DETAIL HITUNGAN'!E$20</f>
        <v>0.11259999999999999</v>
      </c>
      <c r="F54" s="7">
        <f>'DETAIL HITUNGAN'!F$20</f>
        <v>5.2400000000000002E-2</v>
      </c>
      <c r="G54" s="7">
        <f>'DETAIL HITUNGAN'!G$20</f>
        <v>1.0749999999999999E-2</v>
      </c>
      <c r="H54" s="7">
        <f>'DETAIL HITUNGAN'!H$20</f>
        <v>0</v>
      </c>
      <c r="I54" s="7">
        <f>'DETAIL HITUNGAN'!I$20</f>
        <v>0</v>
      </c>
      <c r="J54" s="7">
        <f>'DETAIL HITUNGAN'!J$20</f>
        <v>0</v>
      </c>
      <c r="K54" s="7">
        <f>'DETAIL HITUNGAN'!K$20</f>
        <v>0.2336</v>
      </c>
      <c r="L54" s="7">
        <f>'DETAIL HITUNGAN'!L$20</f>
        <v>9.0650000000000036E-2</v>
      </c>
      <c r="M54" s="7">
        <f>'DETAIL HITUNGAN'!M$20</f>
        <v>0.5</v>
      </c>
      <c r="N54" s="7" t="s">
        <v>19</v>
      </c>
      <c r="O54" s="20">
        <f t="shared" si="0"/>
        <v>3.7516067999999994</v>
      </c>
      <c r="P54" s="20">
        <f t="shared" si="1"/>
        <v>1.7458632000000001</v>
      </c>
      <c r="Q54" s="20">
        <f t="shared" si="2"/>
        <v>0.3581685</v>
      </c>
      <c r="R54" s="20">
        <f t="shared" si="3"/>
        <v>0</v>
      </c>
      <c r="S54" s="20">
        <f t="shared" si="4"/>
        <v>0</v>
      </c>
      <c r="T54" s="20">
        <f t="shared" si="4"/>
        <v>0</v>
      </c>
      <c r="U54" s="20">
        <f t="shared" si="5"/>
        <v>7.7830847999999992</v>
      </c>
      <c r="V54" s="20">
        <f t="shared" si="6"/>
        <v>3.020276700000001</v>
      </c>
      <c r="W54" s="20">
        <f t="shared" si="7"/>
        <v>16.658999999999999</v>
      </c>
      <c r="Y54">
        <v>33318</v>
      </c>
    </row>
    <row r="55" spans="1:25" x14ac:dyDescent="0.25">
      <c r="A55" s="6">
        <v>52</v>
      </c>
      <c r="B55" s="6" t="s">
        <v>103</v>
      </c>
      <c r="C55" s="9">
        <v>594</v>
      </c>
      <c r="D55" s="6" t="s">
        <v>147</v>
      </c>
      <c r="E55" s="7">
        <f>'DETAIL HITUNGAN'!E$20</f>
        <v>0.11259999999999999</v>
      </c>
      <c r="F55" s="7">
        <f>'DETAIL HITUNGAN'!F$20</f>
        <v>5.2400000000000002E-2</v>
      </c>
      <c r="G55" s="7">
        <f>'DETAIL HITUNGAN'!G$20</f>
        <v>1.0749999999999999E-2</v>
      </c>
      <c r="H55" s="7">
        <f>'DETAIL HITUNGAN'!H$20</f>
        <v>0</v>
      </c>
      <c r="I55" s="7">
        <f>'DETAIL HITUNGAN'!I$20</f>
        <v>0</v>
      </c>
      <c r="J55" s="7">
        <f>'DETAIL HITUNGAN'!J$20</f>
        <v>0</v>
      </c>
      <c r="K55" s="7">
        <f>'DETAIL HITUNGAN'!K$20</f>
        <v>0.2336</v>
      </c>
      <c r="L55" s="7">
        <f>'DETAIL HITUNGAN'!L$20</f>
        <v>9.0650000000000036E-2</v>
      </c>
      <c r="M55" s="7">
        <f>'DETAIL HITUNGAN'!M$20</f>
        <v>0.5</v>
      </c>
      <c r="N55" s="7" t="s">
        <v>19</v>
      </c>
      <c r="O55" s="20">
        <f t="shared" si="0"/>
        <v>6.6884399999999997E-2</v>
      </c>
      <c r="P55" s="20">
        <f t="shared" si="1"/>
        <v>3.1125600000000003E-2</v>
      </c>
      <c r="Q55" s="20">
        <f t="shared" si="2"/>
        <v>6.3854999999999997E-3</v>
      </c>
      <c r="R55" s="20">
        <f t="shared" si="3"/>
        <v>0</v>
      </c>
      <c r="S55" s="20">
        <f t="shared" si="4"/>
        <v>0</v>
      </c>
      <c r="T55" s="20">
        <f t="shared" si="4"/>
        <v>0</v>
      </c>
      <c r="U55" s="20">
        <f t="shared" si="5"/>
        <v>0.1387584</v>
      </c>
      <c r="V55" s="20">
        <f t="shared" si="6"/>
        <v>5.3846100000000022E-2</v>
      </c>
      <c r="W55" s="20">
        <f t="shared" si="7"/>
        <v>0.29699999999999999</v>
      </c>
      <c r="Y55">
        <v>594</v>
      </c>
    </row>
  </sheetData>
  <mergeCells count="27">
    <mergeCell ref="I2:J2"/>
    <mergeCell ref="S2:T2"/>
    <mergeCell ref="A1:A3"/>
    <mergeCell ref="B1:B3"/>
    <mergeCell ref="C2:C3"/>
    <mergeCell ref="D2:D3"/>
    <mergeCell ref="E2:F2"/>
    <mergeCell ref="W2:W3"/>
    <mergeCell ref="M2:M3"/>
    <mergeCell ref="N2:N3"/>
    <mergeCell ref="O2:P2"/>
    <mergeCell ref="Q2:Q3"/>
    <mergeCell ref="R2:R3"/>
    <mergeCell ref="C4:N4"/>
    <mergeCell ref="C6:N6"/>
    <mergeCell ref="C7:N7"/>
    <mergeCell ref="C32:N32"/>
    <mergeCell ref="Y1:Y2"/>
    <mergeCell ref="C1:D1"/>
    <mergeCell ref="E1:N1"/>
    <mergeCell ref="O1:W1"/>
    <mergeCell ref="G2:G3"/>
    <mergeCell ref="H2:H3"/>
    <mergeCell ref="K2:K3"/>
    <mergeCell ref="L2:L3"/>
    <mergeCell ref="U2:U3"/>
    <mergeCell ref="V2:V3"/>
  </mergeCells>
  <pageMargins left="0.7" right="0.7" top="0.75" bottom="0.75" header="0.3" footer="0.3"/>
  <pageSetup paperSize="9" orientation="portrait" horizontalDpi="0" verticalDpi="0" r:id="rId1"/>
  <ignoredErrors>
    <ignoredError sqref="T32:W32 O32:S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1A3A-E285-49F0-BC88-BAA5FF2C16DC}">
  <dimension ref="A1:Y54"/>
  <sheetViews>
    <sheetView zoomScale="70" zoomScaleNormal="70" workbookViewId="0">
      <pane ySplit="2" topLeftCell="A3" activePane="bottomLeft" state="frozen"/>
      <selection pane="bottomLeft" activeCell="J22" sqref="J22"/>
    </sheetView>
  </sheetViews>
  <sheetFormatPr defaultRowHeight="15" x14ac:dyDescent="0.25"/>
  <cols>
    <col min="2" max="2" width="18.7109375" customWidth="1"/>
    <col min="3" max="3" width="12.85546875" customWidth="1"/>
  </cols>
  <sheetData>
    <row r="1" spans="1:25" x14ac:dyDescent="0.25">
      <c r="A1" s="48" t="s">
        <v>4</v>
      </c>
      <c r="B1" s="48" t="s">
        <v>0</v>
      </c>
      <c r="C1" s="48" t="s">
        <v>5</v>
      </c>
      <c r="D1" s="48"/>
      <c r="E1" s="63" t="s">
        <v>37</v>
      </c>
      <c r="F1" s="63"/>
      <c r="G1" s="63"/>
      <c r="H1" s="63"/>
      <c r="I1" s="63"/>
      <c r="J1" s="63"/>
      <c r="K1" s="63"/>
      <c r="L1" s="63"/>
      <c r="M1" s="63"/>
      <c r="N1" s="64" t="s">
        <v>15</v>
      </c>
      <c r="O1" s="65" t="s">
        <v>38</v>
      </c>
      <c r="P1" s="65"/>
      <c r="Q1" s="65"/>
      <c r="R1" s="65"/>
      <c r="S1" s="65"/>
      <c r="T1" s="65"/>
      <c r="U1" s="65"/>
      <c r="V1" s="65"/>
      <c r="W1" s="65"/>
      <c r="Y1" s="62" t="s">
        <v>50</v>
      </c>
    </row>
    <row r="2" spans="1:25" ht="105" x14ac:dyDescent="0.25">
      <c r="A2" s="48"/>
      <c r="B2" s="48"/>
      <c r="C2" s="3" t="s">
        <v>8</v>
      </c>
      <c r="D2" s="4" t="s">
        <v>9</v>
      </c>
      <c r="E2" s="17" t="s">
        <v>39</v>
      </c>
      <c r="F2" s="17" t="s">
        <v>40</v>
      </c>
      <c r="G2" s="17" t="s">
        <v>41</v>
      </c>
      <c r="H2" s="17" t="s">
        <v>42</v>
      </c>
      <c r="I2" s="17" t="s">
        <v>43</v>
      </c>
      <c r="J2" s="17" t="s">
        <v>44</v>
      </c>
      <c r="K2" s="17" t="s">
        <v>45</v>
      </c>
      <c r="L2" s="17" t="s">
        <v>11</v>
      </c>
      <c r="M2" s="18" t="s">
        <v>46</v>
      </c>
      <c r="N2" s="64"/>
      <c r="O2" s="21" t="s">
        <v>39</v>
      </c>
      <c r="P2" s="21" t="s">
        <v>40</v>
      </c>
      <c r="Q2" s="21" t="s">
        <v>41</v>
      </c>
      <c r="R2" s="21" t="s">
        <v>42</v>
      </c>
      <c r="S2" s="21" t="s">
        <v>43</v>
      </c>
      <c r="T2" s="21" t="s">
        <v>44</v>
      </c>
      <c r="U2" s="21" t="s">
        <v>45</v>
      </c>
      <c r="V2" s="21" t="s">
        <v>11</v>
      </c>
      <c r="W2" s="21" t="s">
        <v>46</v>
      </c>
      <c r="Y2" s="62"/>
    </row>
    <row r="3" spans="1:25" x14ac:dyDescent="0.25">
      <c r="A3" s="6">
        <v>1</v>
      </c>
      <c r="B3" s="6" t="s">
        <v>55</v>
      </c>
      <c r="C3" s="6">
        <v>55063</v>
      </c>
      <c r="D3" s="6" t="s">
        <v>147</v>
      </c>
      <c r="E3" s="7">
        <f>'DETAIL HITUNGAN'!AC$20</f>
        <v>8.8331999999999994E-2</v>
      </c>
      <c r="F3" s="7">
        <f>'DETAIL HITUNGAN'!AD$20</f>
        <v>0</v>
      </c>
      <c r="G3" s="7">
        <f>'DETAIL HITUNGAN'!AE$20</f>
        <v>0</v>
      </c>
      <c r="H3" s="7">
        <f>'DETAIL HITUNGAN'!AF$20</f>
        <v>1.1519999999999998E-3</v>
      </c>
      <c r="I3" s="7">
        <f>'DETAIL HITUNGAN'!AG$20</f>
        <v>3.0516000000000001E-2</v>
      </c>
      <c r="J3" s="7">
        <f>'DETAIL HITUNGAN'!AH$20</f>
        <v>0</v>
      </c>
      <c r="K3" s="7">
        <f>'DETAIL HITUNGAN'!AI$20</f>
        <v>0</v>
      </c>
      <c r="L3" s="7">
        <f>'DETAIL HITUNGAN'!AJ$20</f>
        <v>0</v>
      </c>
      <c r="M3" s="7">
        <f>'DETAIL HITUNGAN'!AK$20</f>
        <v>0.12</v>
      </c>
      <c r="N3" s="7" t="s">
        <v>47</v>
      </c>
      <c r="O3" s="20">
        <f>$C3*E3</f>
        <v>4863.8249159999996</v>
      </c>
      <c r="P3" s="20">
        <f t="shared" ref="P3:W3" si="0">$C3*F3</f>
        <v>0</v>
      </c>
      <c r="Q3" s="20">
        <f t="shared" si="0"/>
        <v>0</v>
      </c>
      <c r="R3" s="20">
        <f t="shared" si="0"/>
        <v>63.43257599999999</v>
      </c>
      <c r="S3" s="20">
        <f t="shared" si="0"/>
        <v>1680.302508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6607.5599999999995</v>
      </c>
      <c r="Y3">
        <v>55063</v>
      </c>
    </row>
    <row r="4" spans="1:25" x14ac:dyDescent="0.25">
      <c r="A4" s="6">
        <v>2</v>
      </c>
      <c r="B4" s="6" t="s">
        <v>56</v>
      </c>
      <c r="C4" s="6">
        <v>39030</v>
      </c>
      <c r="D4" s="6" t="s">
        <v>147</v>
      </c>
      <c r="E4" s="7">
        <f>'DETAIL HITUNGAN'!AC$20</f>
        <v>8.8331999999999994E-2</v>
      </c>
      <c r="F4" s="7">
        <f>'DETAIL HITUNGAN'!AD$20</f>
        <v>0</v>
      </c>
      <c r="G4" s="7">
        <f>'DETAIL HITUNGAN'!AE$20</f>
        <v>0</v>
      </c>
      <c r="H4" s="7">
        <f>'DETAIL HITUNGAN'!AF$20</f>
        <v>1.1519999999999998E-3</v>
      </c>
      <c r="I4" s="7">
        <f>'DETAIL HITUNGAN'!AG$20</f>
        <v>3.0516000000000001E-2</v>
      </c>
      <c r="J4" s="7">
        <f>'DETAIL HITUNGAN'!AH$20</f>
        <v>0</v>
      </c>
      <c r="K4" s="7">
        <f>'DETAIL HITUNGAN'!AI$20</f>
        <v>0</v>
      </c>
      <c r="L4" s="7">
        <f>'DETAIL HITUNGAN'!AJ$20</f>
        <v>0</v>
      </c>
      <c r="M4" s="7">
        <f>'DETAIL HITUNGAN'!AK$20</f>
        <v>0.12</v>
      </c>
      <c r="N4" s="7" t="s">
        <v>47</v>
      </c>
      <c r="O4" s="20">
        <f t="shared" ref="O4:O54" si="1">$C4*E4</f>
        <v>3447.5979599999996</v>
      </c>
      <c r="P4" s="20">
        <f t="shared" ref="P4:P54" si="2">$C4*F4</f>
        <v>0</v>
      </c>
      <c r="Q4" s="20">
        <f t="shared" ref="Q4:Q54" si="3">$C4*G4</f>
        <v>0</v>
      </c>
      <c r="R4" s="20">
        <f t="shared" ref="R4:R54" si="4">$C4*H4</f>
        <v>44.962559999999989</v>
      </c>
      <c r="S4" s="20">
        <f t="shared" ref="S4:S54" si="5">$C4*I4</f>
        <v>1191.0394800000001</v>
      </c>
      <c r="T4" s="20">
        <f t="shared" ref="T4:T54" si="6">$C4*J4</f>
        <v>0</v>
      </c>
      <c r="U4" s="20">
        <f t="shared" ref="U4:U54" si="7">$C4*K4</f>
        <v>0</v>
      </c>
      <c r="V4" s="20">
        <f t="shared" ref="V4:V54" si="8">$C4*L4</f>
        <v>0</v>
      </c>
      <c r="W4" s="20">
        <f t="shared" ref="W4:W54" si="9">$C4*M4</f>
        <v>4683.5999999999995</v>
      </c>
      <c r="Y4">
        <v>39030</v>
      </c>
    </row>
    <row r="5" spans="1:25" x14ac:dyDescent="0.25">
      <c r="A5" s="6">
        <v>3</v>
      </c>
      <c r="B5" s="6" t="s">
        <v>57</v>
      </c>
      <c r="C5" s="59" t="s">
        <v>146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41">
        <f>'DETAIL HITUNGAN'!AM9</f>
        <v>3657.6514559999996</v>
      </c>
      <c r="P5" s="41">
        <f>'DETAIL HITUNGAN'!AN9</f>
        <v>0</v>
      </c>
      <c r="Q5" s="41">
        <f>'DETAIL HITUNGAN'!AO9</f>
        <v>0</v>
      </c>
      <c r="R5" s="41">
        <f>'DETAIL HITUNGAN'!AP9</f>
        <v>67288.079215999984</v>
      </c>
      <c r="S5" s="41">
        <f>'DETAIL HITUNGAN'!AQ9</f>
        <v>104397.22932799999</v>
      </c>
      <c r="T5" s="41">
        <f>'DETAIL HITUNGAN'!AR9</f>
        <v>0</v>
      </c>
      <c r="U5" s="41">
        <f>'DETAIL HITUNGAN'!AS9</f>
        <v>0</v>
      </c>
      <c r="V5" s="41">
        <f>'DETAIL HITUNGAN'!AT9</f>
        <v>0</v>
      </c>
      <c r="W5" s="41">
        <f>'DETAIL HITUNGAN'!AU9</f>
        <v>175342.96</v>
      </c>
      <c r="Y5">
        <v>41408</v>
      </c>
    </row>
    <row r="6" spans="1:25" x14ac:dyDescent="0.25">
      <c r="A6" s="6">
        <v>4</v>
      </c>
      <c r="B6" s="6" t="s">
        <v>58</v>
      </c>
      <c r="C6" s="59" t="s">
        <v>146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1"/>
      <c r="O6" s="41">
        <f>'DETAIL HITUNGAN'!AM14</f>
        <v>15898.523351999998</v>
      </c>
      <c r="P6" s="41">
        <f>'DETAIL HITUNGAN'!AN14</f>
        <v>0</v>
      </c>
      <c r="Q6" s="41">
        <f>'DETAIL HITUNGAN'!AO14</f>
        <v>0</v>
      </c>
      <c r="R6" s="41">
        <f>'DETAIL HITUNGAN'!AP14</f>
        <v>207.34387199999998</v>
      </c>
      <c r="S6" s="41">
        <f>'DETAIL HITUNGAN'!AQ14</f>
        <v>110788.89767600001</v>
      </c>
      <c r="T6" s="41">
        <f>'DETAIL HITUNGAN'!AR14</f>
        <v>0</v>
      </c>
      <c r="U6" s="41">
        <f>'DETAIL HITUNGAN'!AS14</f>
        <v>0</v>
      </c>
      <c r="V6" s="41">
        <f>'DETAIL HITUNGAN'!AT14</f>
        <v>0</v>
      </c>
      <c r="W6" s="41">
        <f>'DETAIL HITUNGAN'!AU14</f>
        <v>130226.42990000002</v>
      </c>
      <c r="Y6">
        <v>179986</v>
      </c>
    </row>
    <row r="7" spans="1:25" x14ac:dyDescent="0.25">
      <c r="A7" s="6">
        <v>5</v>
      </c>
      <c r="B7" s="6" t="s">
        <v>59</v>
      </c>
      <c r="C7" s="6">
        <v>0</v>
      </c>
      <c r="D7" s="6" t="s">
        <v>147</v>
      </c>
      <c r="E7" s="7">
        <f>'DETAIL HITUNGAN'!AC$20</f>
        <v>8.8331999999999994E-2</v>
      </c>
      <c r="F7" s="7">
        <f>'DETAIL HITUNGAN'!AD$20</f>
        <v>0</v>
      </c>
      <c r="G7" s="7">
        <f>'DETAIL HITUNGAN'!AE$20</f>
        <v>0</v>
      </c>
      <c r="H7" s="7">
        <f>'DETAIL HITUNGAN'!AF$20</f>
        <v>1.1519999999999998E-3</v>
      </c>
      <c r="I7" s="7">
        <f>'DETAIL HITUNGAN'!AG$20</f>
        <v>3.0516000000000001E-2</v>
      </c>
      <c r="J7" s="7">
        <f>'DETAIL HITUNGAN'!AH$20</f>
        <v>0</v>
      </c>
      <c r="K7" s="7">
        <f>'DETAIL HITUNGAN'!AI$20</f>
        <v>0</v>
      </c>
      <c r="L7" s="7">
        <f>'DETAIL HITUNGAN'!AJ$20</f>
        <v>0</v>
      </c>
      <c r="M7" s="7">
        <f>'DETAIL HITUNGAN'!AK$20</f>
        <v>0.12</v>
      </c>
      <c r="N7" s="7" t="s">
        <v>47</v>
      </c>
      <c r="O7" s="20">
        <f t="shared" si="1"/>
        <v>0</v>
      </c>
      <c r="P7" s="20">
        <f t="shared" si="2"/>
        <v>0</v>
      </c>
      <c r="Q7" s="20">
        <f t="shared" si="3"/>
        <v>0</v>
      </c>
      <c r="R7" s="20">
        <f t="shared" si="4"/>
        <v>0</v>
      </c>
      <c r="S7" s="20">
        <f t="shared" si="5"/>
        <v>0</v>
      </c>
      <c r="T7" s="20">
        <f t="shared" si="6"/>
        <v>0</v>
      </c>
      <c r="U7" s="20">
        <f t="shared" si="7"/>
        <v>0</v>
      </c>
      <c r="V7" s="20">
        <f t="shared" si="8"/>
        <v>0</v>
      </c>
      <c r="W7" s="20">
        <f t="shared" si="9"/>
        <v>0</v>
      </c>
      <c r="Y7">
        <v>0</v>
      </c>
    </row>
    <row r="8" spans="1:25" x14ac:dyDescent="0.25">
      <c r="A8" s="6">
        <v>6</v>
      </c>
      <c r="B8" s="6" t="s">
        <v>60</v>
      </c>
      <c r="C8" s="6">
        <v>679</v>
      </c>
      <c r="D8" s="6" t="s">
        <v>147</v>
      </c>
      <c r="E8" s="7">
        <f>'DETAIL HITUNGAN'!AC$20</f>
        <v>8.8331999999999994E-2</v>
      </c>
      <c r="F8" s="7">
        <f>'DETAIL HITUNGAN'!AD$20</f>
        <v>0</v>
      </c>
      <c r="G8" s="7">
        <f>'DETAIL HITUNGAN'!AE$20</f>
        <v>0</v>
      </c>
      <c r="H8" s="7">
        <f>'DETAIL HITUNGAN'!AF$20</f>
        <v>1.1519999999999998E-3</v>
      </c>
      <c r="I8" s="7">
        <f>'DETAIL HITUNGAN'!AG$20</f>
        <v>3.0516000000000001E-2</v>
      </c>
      <c r="J8" s="7">
        <f>'DETAIL HITUNGAN'!AH$20</f>
        <v>0</v>
      </c>
      <c r="K8" s="7">
        <f>'DETAIL HITUNGAN'!AI$20</f>
        <v>0</v>
      </c>
      <c r="L8" s="7">
        <f>'DETAIL HITUNGAN'!AJ$20</f>
        <v>0</v>
      </c>
      <c r="M8" s="7">
        <f>'DETAIL HITUNGAN'!AK$20</f>
        <v>0.12</v>
      </c>
      <c r="N8" s="7" t="s">
        <v>47</v>
      </c>
      <c r="O8" s="20">
        <f t="shared" si="1"/>
        <v>59.977427999999996</v>
      </c>
      <c r="P8" s="20">
        <f t="shared" si="2"/>
        <v>0</v>
      </c>
      <c r="Q8" s="20">
        <f t="shared" si="3"/>
        <v>0</v>
      </c>
      <c r="R8" s="20">
        <f t="shared" si="4"/>
        <v>0.7822079999999999</v>
      </c>
      <c r="S8" s="20">
        <f t="shared" si="5"/>
        <v>20.720364</v>
      </c>
      <c r="T8" s="20">
        <f t="shared" si="6"/>
        <v>0</v>
      </c>
      <c r="U8" s="20">
        <f t="shared" si="7"/>
        <v>0</v>
      </c>
      <c r="V8" s="20">
        <f t="shared" si="8"/>
        <v>0</v>
      </c>
      <c r="W8" s="20">
        <f t="shared" si="9"/>
        <v>81.48</v>
      </c>
      <c r="Y8">
        <v>679</v>
      </c>
    </row>
    <row r="9" spans="1:25" x14ac:dyDescent="0.25">
      <c r="A9" s="6">
        <v>7</v>
      </c>
      <c r="B9" s="6" t="s">
        <v>61</v>
      </c>
      <c r="C9" s="6">
        <v>52987</v>
      </c>
      <c r="D9" s="6" t="s">
        <v>147</v>
      </c>
      <c r="E9" s="7">
        <f>'DETAIL HITUNGAN'!AC$20</f>
        <v>8.8331999999999994E-2</v>
      </c>
      <c r="F9" s="7">
        <f>'DETAIL HITUNGAN'!AD$20</f>
        <v>0</v>
      </c>
      <c r="G9" s="7">
        <f>'DETAIL HITUNGAN'!AE$20</f>
        <v>0</v>
      </c>
      <c r="H9" s="7">
        <f>'DETAIL HITUNGAN'!AF$20</f>
        <v>1.1519999999999998E-3</v>
      </c>
      <c r="I9" s="7">
        <f>'DETAIL HITUNGAN'!AG$20</f>
        <v>3.0516000000000001E-2</v>
      </c>
      <c r="J9" s="7">
        <f>'DETAIL HITUNGAN'!AH$20</f>
        <v>0</v>
      </c>
      <c r="K9" s="7">
        <f>'DETAIL HITUNGAN'!AI$20</f>
        <v>0</v>
      </c>
      <c r="L9" s="7">
        <f>'DETAIL HITUNGAN'!AJ$20</f>
        <v>0</v>
      </c>
      <c r="M9" s="7">
        <f>'DETAIL HITUNGAN'!AK$20</f>
        <v>0.12</v>
      </c>
      <c r="N9" s="7" t="s">
        <v>47</v>
      </c>
      <c r="O9" s="20">
        <f t="shared" si="1"/>
        <v>4680.4476839999998</v>
      </c>
      <c r="P9" s="20">
        <f t="shared" si="2"/>
        <v>0</v>
      </c>
      <c r="Q9" s="20">
        <f t="shared" si="3"/>
        <v>0</v>
      </c>
      <c r="R9" s="20">
        <f t="shared" si="4"/>
        <v>61.041023999999993</v>
      </c>
      <c r="S9" s="20">
        <f t="shared" si="5"/>
        <v>1616.951292</v>
      </c>
      <c r="T9" s="20">
        <f t="shared" si="6"/>
        <v>0</v>
      </c>
      <c r="U9" s="20">
        <f t="shared" si="7"/>
        <v>0</v>
      </c>
      <c r="V9" s="20">
        <f t="shared" si="8"/>
        <v>0</v>
      </c>
      <c r="W9" s="20">
        <f t="shared" si="9"/>
        <v>6358.44</v>
      </c>
      <c r="Y9">
        <v>52987</v>
      </c>
    </row>
    <row r="10" spans="1:25" x14ac:dyDescent="0.25">
      <c r="A10" s="6">
        <v>8</v>
      </c>
      <c r="B10" s="6" t="s">
        <v>62</v>
      </c>
      <c r="C10" s="9">
        <v>78507</v>
      </c>
      <c r="D10" s="6" t="s">
        <v>147</v>
      </c>
      <c r="E10" s="7">
        <f>'DETAIL HITUNGAN'!AC$20</f>
        <v>8.8331999999999994E-2</v>
      </c>
      <c r="F10" s="7">
        <f>'DETAIL HITUNGAN'!AD$20</f>
        <v>0</v>
      </c>
      <c r="G10" s="7">
        <f>'DETAIL HITUNGAN'!AE$20</f>
        <v>0</v>
      </c>
      <c r="H10" s="7">
        <f>'DETAIL HITUNGAN'!AF$20</f>
        <v>1.1519999999999998E-3</v>
      </c>
      <c r="I10" s="7">
        <f>'DETAIL HITUNGAN'!AG$20</f>
        <v>3.0516000000000001E-2</v>
      </c>
      <c r="J10" s="7">
        <f>'DETAIL HITUNGAN'!AH$20</f>
        <v>0</v>
      </c>
      <c r="K10" s="7">
        <f>'DETAIL HITUNGAN'!AI$20</f>
        <v>0</v>
      </c>
      <c r="L10" s="7">
        <f>'DETAIL HITUNGAN'!AJ$20</f>
        <v>0</v>
      </c>
      <c r="M10" s="7">
        <f>'DETAIL HITUNGAN'!AK$20</f>
        <v>0.12</v>
      </c>
      <c r="N10" s="7" t="s">
        <v>47</v>
      </c>
      <c r="O10" s="20">
        <f t="shared" si="1"/>
        <v>6934.6803239999999</v>
      </c>
      <c r="P10" s="20">
        <f t="shared" si="2"/>
        <v>0</v>
      </c>
      <c r="Q10" s="20">
        <f t="shared" si="3"/>
        <v>0</v>
      </c>
      <c r="R10" s="20">
        <f t="shared" si="4"/>
        <v>90.440063999999978</v>
      </c>
      <c r="S10" s="20">
        <f t="shared" si="5"/>
        <v>2395.7196120000003</v>
      </c>
      <c r="T10" s="20">
        <f t="shared" si="6"/>
        <v>0</v>
      </c>
      <c r="U10" s="20">
        <f t="shared" si="7"/>
        <v>0</v>
      </c>
      <c r="V10" s="20">
        <f t="shared" si="8"/>
        <v>0</v>
      </c>
      <c r="W10" s="20">
        <f t="shared" si="9"/>
        <v>9420.84</v>
      </c>
      <c r="Y10">
        <v>78507</v>
      </c>
    </row>
    <row r="11" spans="1:25" x14ac:dyDescent="0.25">
      <c r="A11" s="6">
        <v>9</v>
      </c>
      <c r="B11" s="6" t="s">
        <v>63</v>
      </c>
      <c r="C11" s="6">
        <v>3121</v>
      </c>
      <c r="D11" s="6" t="s">
        <v>147</v>
      </c>
      <c r="E11" s="7">
        <f>'DETAIL HITUNGAN'!AC$20</f>
        <v>8.8331999999999994E-2</v>
      </c>
      <c r="F11" s="7">
        <f>'DETAIL HITUNGAN'!AD$20</f>
        <v>0</v>
      </c>
      <c r="G11" s="7">
        <f>'DETAIL HITUNGAN'!AE$20</f>
        <v>0</v>
      </c>
      <c r="H11" s="7">
        <f>'DETAIL HITUNGAN'!AF$20</f>
        <v>1.1519999999999998E-3</v>
      </c>
      <c r="I11" s="7">
        <f>'DETAIL HITUNGAN'!AG$20</f>
        <v>3.0516000000000001E-2</v>
      </c>
      <c r="J11" s="7">
        <f>'DETAIL HITUNGAN'!AH$20</f>
        <v>0</v>
      </c>
      <c r="K11" s="7">
        <f>'DETAIL HITUNGAN'!AI$20</f>
        <v>0</v>
      </c>
      <c r="L11" s="7">
        <f>'DETAIL HITUNGAN'!AJ$20</f>
        <v>0</v>
      </c>
      <c r="M11" s="7">
        <f>'DETAIL HITUNGAN'!AK$20</f>
        <v>0.12</v>
      </c>
      <c r="N11" s="7" t="s">
        <v>47</v>
      </c>
      <c r="O11" s="20">
        <f t="shared" si="1"/>
        <v>275.68417199999999</v>
      </c>
      <c r="P11" s="20">
        <f t="shared" si="2"/>
        <v>0</v>
      </c>
      <c r="Q11" s="20">
        <f t="shared" si="3"/>
        <v>0</v>
      </c>
      <c r="R11" s="20">
        <f t="shared" si="4"/>
        <v>3.5953919999999995</v>
      </c>
      <c r="S11" s="20">
        <f t="shared" si="5"/>
        <v>95.240436000000003</v>
      </c>
      <c r="T11" s="20">
        <f t="shared" si="6"/>
        <v>0</v>
      </c>
      <c r="U11" s="20">
        <f t="shared" si="7"/>
        <v>0</v>
      </c>
      <c r="V11" s="20">
        <f t="shared" si="8"/>
        <v>0</v>
      </c>
      <c r="W11" s="20">
        <f t="shared" si="9"/>
        <v>374.52</v>
      </c>
      <c r="Y11">
        <v>3121</v>
      </c>
    </row>
    <row r="12" spans="1:25" x14ac:dyDescent="0.25">
      <c r="A12" s="6">
        <v>10</v>
      </c>
      <c r="B12" s="6" t="s">
        <v>64</v>
      </c>
      <c r="C12" s="9">
        <v>22744</v>
      </c>
      <c r="D12" s="6" t="s">
        <v>147</v>
      </c>
      <c r="E12" s="7">
        <f>'DETAIL HITUNGAN'!AC$20</f>
        <v>8.8331999999999994E-2</v>
      </c>
      <c r="F12" s="7">
        <f>'DETAIL HITUNGAN'!AD$20</f>
        <v>0</v>
      </c>
      <c r="G12" s="7">
        <f>'DETAIL HITUNGAN'!AE$20</f>
        <v>0</v>
      </c>
      <c r="H12" s="7">
        <f>'DETAIL HITUNGAN'!AF$20</f>
        <v>1.1519999999999998E-3</v>
      </c>
      <c r="I12" s="7">
        <f>'DETAIL HITUNGAN'!AG$20</f>
        <v>3.0516000000000001E-2</v>
      </c>
      <c r="J12" s="7">
        <f>'DETAIL HITUNGAN'!AH$20</f>
        <v>0</v>
      </c>
      <c r="K12" s="7">
        <f>'DETAIL HITUNGAN'!AI$20</f>
        <v>0</v>
      </c>
      <c r="L12" s="7">
        <f>'DETAIL HITUNGAN'!AJ$20</f>
        <v>0</v>
      </c>
      <c r="M12" s="7">
        <f>'DETAIL HITUNGAN'!AK$20</f>
        <v>0.12</v>
      </c>
      <c r="N12" s="7" t="s">
        <v>47</v>
      </c>
      <c r="O12" s="20">
        <f t="shared" si="1"/>
        <v>2009.0230079999999</v>
      </c>
      <c r="P12" s="20">
        <f t="shared" si="2"/>
        <v>0</v>
      </c>
      <c r="Q12" s="20">
        <f t="shared" si="3"/>
        <v>0</v>
      </c>
      <c r="R12" s="20">
        <f t="shared" si="4"/>
        <v>26.201087999999995</v>
      </c>
      <c r="S12" s="20">
        <f t="shared" si="5"/>
        <v>694.05590400000006</v>
      </c>
      <c r="T12" s="20">
        <f t="shared" si="6"/>
        <v>0</v>
      </c>
      <c r="U12" s="20">
        <f t="shared" si="7"/>
        <v>0</v>
      </c>
      <c r="V12" s="20">
        <f t="shared" si="8"/>
        <v>0</v>
      </c>
      <c r="W12" s="20">
        <f t="shared" si="9"/>
        <v>2729.2799999999997</v>
      </c>
      <c r="Y12">
        <v>22744</v>
      </c>
    </row>
    <row r="13" spans="1:25" x14ac:dyDescent="0.25">
      <c r="A13" s="6">
        <v>11</v>
      </c>
      <c r="B13" s="6" t="s">
        <v>65</v>
      </c>
      <c r="C13" s="6">
        <v>1412703</v>
      </c>
      <c r="D13" s="6" t="s">
        <v>147</v>
      </c>
      <c r="E13" s="7">
        <f>'DETAIL HITUNGAN'!AC$20</f>
        <v>8.8331999999999994E-2</v>
      </c>
      <c r="F13" s="7">
        <f>'DETAIL HITUNGAN'!AD$20</f>
        <v>0</v>
      </c>
      <c r="G13" s="7">
        <f>'DETAIL HITUNGAN'!AE$20</f>
        <v>0</v>
      </c>
      <c r="H13" s="7">
        <f>'DETAIL HITUNGAN'!AF$20</f>
        <v>1.1519999999999998E-3</v>
      </c>
      <c r="I13" s="7">
        <f>'DETAIL HITUNGAN'!AG$20</f>
        <v>3.0516000000000001E-2</v>
      </c>
      <c r="J13" s="7">
        <f>'DETAIL HITUNGAN'!AH$20</f>
        <v>0</v>
      </c>
      <c r="K13" s="7">
        <f>'DETAIL HITUNGAN'!AI$20</f>
        <v>0</v>
      </c>
      <c r="L13" s="7">
        <f>'DETAIL HITUNGAN'!AJ$20</f>
        <v>0</v>
      </c>
      <c r="M13" s="7">
        <f>'DETAIL HITUNGAN'!AK$20</f>
        <v>0.12</v>
      </c>
      <c r="N13" s="7" t="s">
        <v>47</v>
      </c>
      <c r="O13" s="20">
        <f t="shared" si="1"/>
        <v>124786.881396</v>
      </c>
      <c r="P13" s="20">
        <f t="shared" si="2"/>
        <v>0</v>
      </c>
      <c r="Q13" s="20">
        <f t="shared" si="3"/>
        <v>0</v>
      </c>
      <c r="R13" s="20">
        <f t="shared" si="4"/>
        <v>1627.4338559999997</v>
      </c>
      <c r="S13" s="20">
        <f t="shared" si="5"/>
        <v>43110.044748</v>
      </c>
      <c r="T13" s="20">
        <f t="shared" si="6"/>
        <v>0</v>
      </c>
      <c r="U13" s="20">
        <f t="shared" si="7"/>
        <v>0</v>
      </c>
      <c r="V13" s="20">
        <f t="shared" si="8"/>
        <v>0</v>
      </c>
      <c r="W13" s="20">
        <f t="shared" si="9"/>
        <v>169524.36</v>
      </c>
      <c r="Y13">
        <v>1412703</v>
      </c>
    </row>
    <row r="14" spans="1:25" x14ac:dyDescent="0.25">
      <c r="A14" s="6">
        <v>12</v>
      </c>
      <c r="B14" s="6" t="s">
        <v>66</v>
      </c>
      <c r="C14" s="9">
        <v>601232</v>
      </c>
      <c r="D14" s="6" t="s">
        <v>147</v>
      </c>
      <c r="E14" s="7">
        <f>'DETAIL HITUNGAN'!AC$20</f>
        <v>8.8331999999999994E-2</v>
      </c>
      <c r="F14" s="7">
        <f>'DETAIL HITUNGAN'!AD$20</f>
        <v>0</v>
      </c>
      <c r="G14" s="7">
        <f>'DETAIL HITUNGAN'!AE$20</f>
        <v>0</v>
      </c>
      <c r="H14" s="7">
        <f>'DETAIL HITUNGAN'!AF$20</f>
        <v>1.1519999999999998E-3</v>
      </c>
      <c r="I14" s="7">
        <f>'DETAIL HITUNGAN'!AG$20</f>
        <v>3.0516000000000001E-2</v>
      </c>
      <c r="J14" s="7">
        <f>'DETAIL HITUNGAN'!AH$20</f>
        <v>0</v>
      </c>
      <c r="K14" s="7">
        <f>'DETAIL HITUNGAN'!AI$20</f>
        <v>0</v>
      </c>
      <c r="L14" s="7">
        <f>'DETAIL HITUNGAN'!AJ$20</f>
        <v>0</v>
      </c>
      <c r="M14" s="7">
        <f>'DETAIL HITUNGAN'!AK$20</f>
        <v>0.12</v>
      </c>
      <c r="N14" s="7" t="s">
        <v>47</v>
      </c>
      <c r="O14" s="20">
        <f t="shared" si="1"/>
        <v>53108.025023999995</v>
      </c>
      <c r="P14" s="20">
        <f t="shared" si="2"/>
        <v>0</v>
      </c>
      <c r="Q14" s="20">
        <f t="shared" si="3"/>
        <v>0</v>
      </c>
      <c r="R14" s="20">
        <f t="shared" si="4"/>
        <v>692.61926399999993</v>
      </c>
      <c r="S14" s="20">
        <f t="shared" si="5"/>
        <v>18347.195712000001</v>
      </c>
      <c r="T14" s="20">
        <f t="shared" si="6"/>
        <v>0</v>
      </c>
      <c r="U14" s="20">
        <f t="shared" si="7"/>
        <v>0</v>
      </c>
      <c r="V14" s="20">
        <f t="shared" si="8"/>
        <v>0</v>
      </c>
      <c r="W14" s="20">
        <f t="shared" si="9"/>
        <v>72147.839999999997</v>
      </c>
      <c r="Y14">
        <v>601232</v>
      </c>
    </row>
    <row r="15" spans="1:25" x14ac:dyDescent="0.25">
      <c r="A15" s="6">
        <v>13</v>
      </c>
      <c r="B15" s="6" t="s">
        <v>67</v>
      </c>
      <c r="C15" s="9">
        <v>17809</v>
      </c>
      <c r="D15" s="6" t="s">
        <v>147</v>
      </c>
      <c r="E15" s="7">
        <f>'DETAIL HITUNGAN'!AC$20</f>
        <v>8.8331999999999994E-2</v>
      </c>
      <c r="F15" s="7">
        <f>'DETAIL HITUNGAN'!AD$20</f>
        <v>0</v>
      </c>
      <c r="G15" s="7">
        <f>'DETAIL HITUNGAN'!AE$20</f>
        <v>0</v>
      </c>
      <c r="H15" s="7">
        <f>'DETAIL HITUNGAN'!AF$20</f>
        <v>1.1519999999999998E-3</v>
      </c>
      <c r="I15" s="7">
        <f>'DETAIL HITUNGAN'!AG$20</f>
        <v>3.0516000000000001E-2</v>
      </c>
      <c r="J15" s="7">
        <f>'DETAIL HITUNGAN'!AH$20</f>
        <v>0</v>
      </c>
      <c r="K15" s="7">
        <f>'DETAIL HITUNGAN'!AI$20</f>
        <v>0</v>
      </c>
      <c r="L15" s="7">
        <f>'DETAIL HITUNGAN'!AJ$20</f>
        <v>0</v>
      </c>
      <c r="M15" s="7">
        <f>'DETAIL HITUNGAN'!AK$20</f>
        <v>0.12</v>
      </c>
      <c r="N15" s="7" t="s">
        <v>47</v>
      </c>
      <c r="O15" s="20">
        <f t="shared" si="1"/>
        <v>1573.1045879999999</v>
      </c>
      <c r="P15" s="20">
        <f t="shared" si="2"/>
        <v>0</v>
      </c>
      <c r="Q15" s="20">
        <f t="shared" si="3"/>
        <v>0</v>
      </c>
      <c r="R15" s="20">
        <f t="shared" si="4"/>
        <v>20.515967999999997</v>
      </c>
      <c r="S15" s="20">
        <f t="shared" si="5"/>
        <v>543.45944400000008</v>
      </c>
      <c r="T15" s="20">
        <f t="shared" si="6"/>
        <v>0</v>
      </c>
      <c r="U15" s="20">
        <f t="shared" si="7"/>
        <v>0</v>
      </c>
      <c r="V15" s="20">
        <f t="shared" si="8"/>
        <v>0</v>
      </c>
      <c r="W15" s="20">
        <f t="shared" si="9"/>
        <v>2137.08</v>
      </c>
      <c r="Y15">
        <v>17809</v>
      </c>
    </row>
    <row r="16" spans="1:25" x14ac:dyDescent="0.25">
      <c r="A16" s="6">
        <v>14</v>
      </c>
      <c r="B16" s="6" t="s">
        <v>68</v>
      </c>
      <c r="C16" s="6">
        <v>1126111</v>
      </c>
      <c r="D16" s="6" t="s">
        <v>147</v>
      </c>
      <c r="E16" s="7">
        <f>'DETAIL HITUNGAN'!AC$20</f>
        <v>8.8331999999999994E-2</v>
      </c>
      <c r="F16" s="7">
        <f>'DETAIL HITUNGAN'!AD$20</f>
        <v>0</v>
      </c>
      <c r="G16" s="7">
        <f>'DETAIL HITUNGAN'!AE$20</f>
        <v>0</v>
      </c>
      <c r="H16" s="7">
        <f>'DETAIL HITUNGAN'!AF$20</f>
        <v>1.1519999999999998E-3</v>
      </c>
      <c r="I16" s="7">
        <f>'DETAIL HITUNGAN'!AG$20</f>
        <v>3.0516000000000001E-2</v>
      </c>
      <c r="J16" s="7">
        <f>'DETAIL HITUNGAN'!AH$20</f>
        <v>0</v>
      </c>
      <c r="K16" s="7">
        <f>'DETAIL HITUNGAN'!AI$20</f>
        <v>0</v>
      </c>
      <c r="L16" s="7">
        <f>'DETAIL HITUNGAN'!AJ$20</f>
        <v>0</v>
      </c>
      <c r="M16" s="7">
        <f>'DETAIL HITUNGAN'!AK$20</f>
        <v>0.12</v>
      </c>
      <c r="N16" s="7" t="s">
        <v>47</v>
      </c>
      <c r="O16" s="20">
        <f t="shared" si="1"/>
        <v>99471.636851999996</v>
      </c>
      <c r="P16" s="20">
        <f t="shared" si="2"/>
        <v>0</v>
      </c>
      <c r="Q16" s="20">
        <f t="shared" si="3"/>
        <v>0</v>
      </c>
      <c r="R16" s="20">
        <f t="shared" si="4"/>
        <v>1297.2798719999998</v>
      </c>
      <c r="S16" s="20">
        <f t="shared" si="5"/>
        <v>34364.403276000005</v>
      </c>
      <c r="T16" s="20">
        <f t="shared" si="6"/>
        <v>0</v>
      </c>
      <c r="U16" s="20">
        <f t="shared" si="7"/>
        <v>0</v>
      </c>
      <c r="V16" s="20">
        <f t="shared" si="8"/>
        <v>0</v>
      </c>
      <c r="W16" s="20">
        <f t="shared" si="9"/>
        <v>135133.32</v>
      </c>
      <c r="Y16">
        <v>1126111</v>
      </c>
    </row>
    <row r="17" spans="1:25" x14ac:dyDescent="0.25">
      <c r="A17" s="6">
        <v>15</v>
      </c>
      <c r="B17" s="6" t="s">
        <v>69</v>
      </c>
      <c r="C17" s="6">
        <v>142194</v>
      </c>
      <c r="D17" s="6" t="s">
        <v>147</v>
      </c>
      <c r="E17" s="7">
        <f>'DETAIL HITUNGAN'!AC$20</f>
        <v>8.8331999999999994E-2</v>
      </c>
      <c r="F17" s="7">
        <f>'DETAIL HITUNGAN'!AD$20</f>
        <v>0</v>
      </c>
      <c r="G17" s="7">
        <f>'DETAIL HITUNGAN'!AE$20</f>
        <v>0</v>
      </c>
      <c r="H17" s="7">
        <f>'DETAIL HITUNGAN'!AF$20</f>
        <v>1.1519999999999998E-3</v>
      </c>
      <c r="I17" s="7">
        <f>'DETAIL HITUNGAN'!AG$20</f>
        <v>3.0516000000000001E-2</v>
      </c>
      <c r="J17" s="7">
        <f>'DETAIL HITUNGAN'!AH$20</f>
        <v>0</v>
      </c>
      <c r="K17" s="7">
        <f>'DETAIL HITUNGAN'!AI$20</f>
        <v>0</v>
      </c>
      <c r="L17" s="7">
        <f>'DETAIL HITUNGAN'!AJ$20</f>
        <v>0</v>
      </c>
      <c r="M17" s="7">
        <f>'DETAIL HITUNGAN'!AK$20</f>
        <v>0.12</v>
      </c>
      <c r="N17" s="7" t="s">
        <v>47</v>
      </c>
      <c r="O17" s="20">
        <f t="shared" si="1"/>
        <v>12560.280407999999</v>
      </c>
      <c r="P17" s="20">
        <f t="shared" si="2"/>
        <v>0</v>
      </c>
      <c r="Q17" s="20">
        <f t="shared" si="3"/>
        <v>0</v>
      </c>
      <c r="R17" s="20">
        <f t="shared" si="4"/>
        <v>163.80748799999998</v>
      </c>
      <c r="S17" s="20">
        <f t="shared" si="5"/>
        <v>4339.1921040000007</v>
      </c>
      <c r="T17" s="20">
        <f t="shared" si="6"/>
        <v>0</v>
      </c>
      <c r="U17" s="20">
        <f t="shared" si="7"/>
        <v>0</v>
      </c>
      <c r="V17" s="20">
        <f t="shared" si="8"/>
        <v>0</v>
      </c>
      <c r="W17" s="20">
        <f t="shared" si="9"/>
        <v>17063.28</v>
      </c>
      <c r="Y17">
        <v>142194</v>
      </c>
    </row>
    <row r="18" spans="1:25" x14ac:dyDescent="0.25">
      <c r="A18" s="6">
        <v>16</v>
      </c>
      <c r="B18" s="6" t="s">
        <v>70</v>
      </c>
      <c r="C18" s="6">
        <v>221142</v>
      </c>
      <c r="D18" s="6" t="s">
        <v>147</v>
      </c>
      <c r="E18" s="7">
        <f>'DETAIL HITUNGAN'!AC$20</f>
        <v>8.8331999999999994E-2</v>
      </c>
      <c r="F18" s="7">
        <f>'DETAIL HITUNGAN'!AD$20</f>
        <v>0</v>
      </c>
      <c r="G18" s="7">
        <f>'DETAIL HITUNGAN'!AE$20</f>
        <v>0</v>
      </c>
      <c r="H18" s="7">
        <f>'DETAIL HITUNGAN'!AF$20</f>
        <v>1.1519999999999998E-3</v>
      </c>
      <c r="I18" s="7">
        <f>'DETAIL HITUNGAN'!AG$20</f>
        <v>3.0516000000000001E-2</v>
      </c>
      <c r="J18" s="7">
        <f>'DETAIL HITUNGAN'!AH$20</f>
        <v>0</v>
      </c>
      <c r="K18" s="7">
        <f>'DETAIL HITUNGAN'!AI$20</f>
        <v>0</v>
      </c>
      <c r="L18" s="7">
        <f>'DETAIL HITUNGAN'!AJ$20</f>
        <v>0</v>
      </c>
      <c r="M18" s="7">
        <f>'DETAIL HITUNGAN'!AK$20</f>
        <v>0.12</v>
      </c>
      <c r="N18" s="7" t="s">
        <v>47</v>
      </c>
      <c r="O18" s="20">
        <f t="shared" si="1"/>
        <v>19533.915143999999</v>
      </c>
      <c r="P18" s="20">
        <f t="shared" si="2"/>
        <v>0</v>
      </c>
      <c r="Q18" s="20">
        <f t="shared" si="3"/>
        <v>0</v>
      </c>
      <c r="R18" s="20">
        <f t="shared" si="4"/>
        <v>254.75558399999997</v>
      </c>
      <c r="S18" s="20">
        <f t="shared" si="5"/>
        <v>6748.3692719999999</v>
      </c>
      <c r="T18" s="20">
        <f t="shared" si="6"/>
        <v>0</v>
      </c>
      <c r="U18" s="20">
        <f t="shared" si="7"/>
        <v>0</v>
      </c>
      <c r="V18" s="20">
        <f t="shared" si="8"/>
        <v>0</v>
      </c>
      <c r="W18" s="20">
        <f t="shared" si="9"/>
        <v>26537.039999999997</v>
      </c>
      <c r="Y18">
        <v>221142</v>
      </c>
    </row>
    <row r="19" spans="1:25" x14ac:dyDescent="0.25">
      <c r="A19" s="6">
        <v>17</v>
      </c>
      <c r="B19" s="6" t="s">
        <v>71</v>
      </c>
      <c r="C19" s="6">
        <v>241691</v>
      </c>
      <c r="D19" s="6" t="s">
        <v>147</v>
      </c>
      <c r="E19" s="7">
        <f>'DETAIL HITUNGAN'!AC$20</f>
        <v>8.8331999999999994E-2</v>
      </c>
      <c r="F19" s="7">
        <f>'DETAIL HITUNGAN'!AD$20</f>
        <v>0</v>
      </c>
      <c r="G19" s="7">
        <f>'DETAIL HITUNGAN'!AE$20</f>
        <v>0</v>
      </c>
      <c r="H19" s="7">
        <f>'DETAIL HITUNGAN'!AF$20</f>
        <v>1.1519999999999998E-3</v>
      </c>
      <c r="I19" s="7">
        <f>'DETAIL HITUNGAN'!AG$20</f>
        <v>3.0516000000000001E-2</v>
      </c>
      <c r="J19" s="7">
        <f>'DETAIL HITUNGAN'!AH$20</f>
        <v>0</v>
      </c>
      <c r="K19" s="7">
        <f>'DETAIL HITUNGAN'!AI$20</f>
        <v>0</v>
      </c>
      <c r="L19" s="7">
        <f>'DETAIL HITUNGAN'!AJ$20</f>
        <v>0</v>
      </c>
      <c r="M19" s="7">
        <f>'DETAIL HITUNGAN'!AK$20</f>
        <v>0.12</v>
      </c>
      <c r="N19" s="7" t="s">
        <v>47</v>
      </c>
      <c r="O19" s="20">
        <f t="shared" si="1"/>
        <v>21349.049412</v>
      </c>
      <c r="P19" s="20">
        <f t="shared" si="2"/>
        <v>0</v>
      </c>
      <c r="Q19" s="20">
        <f t="shared" si="3"/>
        <v>0</v>
      </c>
      <c r="R19" s="20">
        <f t="shared" si="4"/>
        <v>278.42803199999997</v>
      </c>
      <c r="S19" s="20">
        <f t="shared" si="5"/>
        <v>7375.442556</v>
      </c>
      <c r="T19" s="20">
        <f t="shared" si="6"/>
        <v>0</v>
      </c>
      <c r="U19" s="20">
        <f t="shared" si="7"/>
        <v>0</v>
      </c>
      <c r="V19" s="20">
        <f t="shared" si="8"/>
        <v>0</v>
      </c>
      <c r="W19" s="20">
        <f t="shared" si="9"/>
        <v>29002.92</v>
      </c>
      <c r="Y19">
        <v>241691</v>
      </c>
    </row>
    <row r="20" spans="1:25" x14ac:dyDescent="0.25">
      <c r="A20" s="6">
        <v>18</v>
      </c>
      <c r="B20" s="6" t="s">
        <v>72</v>
      </c>
      <c r="C20" s="6">
        <v>900574</v>
      </c>
      <c r="D20" s="6" t="s">
        <v>147</v>
      </c>
      <c r="E20" s="7">
        <f>'DETAIL HITUNGAN'!AC$20</f>
        <v>8.8331999999999994E-2</v>
      </c>
      <c r="F20" s="7">
        <f>'DETAIL HITUNGAN'!AD$20</f>
        <v>0</v>
      </c>
      <c r="G20" s="7">
        <f>'DETAIL HITUNGAN'!AE$20</f>
        <v>0</v>
      </c>
      <c r="H20" s="7">
        <f>'DETAIL HITUNGAN'!AF$20</f>
        <v>1.1519999999999998E-3</v>
      </c>
      <c r="I20" s="7">
        <f>'DETAIL HITUNGAN'!AG$20</f>
        <v>3.0516000000000001E-2</v>
      </c>
      <c r="J20" s="7">
        <f>'DETAIL HITUNGAN'!AH$20</f>
        <v>0</v>
      </c>
      <c r="K20" s="7">
        <f>'DETAIL HITUNGAN'!AI$20</f>
        <v>0</v>
      </c>
      <c r="L20" s="7">
        <f>'DETAIL HITUNGAN'!AJ$20</f>
        <v>0</v>
      </c>
      <c r="M20" s="7">
        <f>'DETAIL HITUNGAN'!AK$20</f>
        <v>0.12</v>
      </c>
      <c r="N20" s="7" t="s">
        <v>47</v>
      </c>
      <c r="O20" s="20">
        <f t="shared" si="1"/>
        <v>79549.502567999996</v>
      </c>
      <c r="P20" s="20">
        <f t="shared" si="2"/>
        <v>0</v>
      </c>
      <c r="Q20" s="20">
        <f t="shared" si="3"/>
        <v>0</v>
      </c>
      <c r="R20" s="20">
        <f t="shared" si="4"/>
        <v>1037.4612479999998</v>
      </c>
      <c r="S20" s="20">
        <f t="shared" si="5"/>
        <v>27481.916184000002</v>
      </c>
      <c r="T20" s="20">
        <f t="shared" si="6"/>
        <v>0</v>
      </c>
      <c r="U20" s="20">
        <f t="shared" si="7"/>
        <v>0</v>
      </c>
      <c r="V20" s="20">
        <f t="shared" si="8"/>
        <v>0</v>
      </c>
      <c r="W20" s="20">
        <f t="shared" si="9"/>
        <v>108068.87999999999</v>
      </c>
      <c r="Y20">
        <v>900574</v>
      </c>
    </row>
    <row r="21" spans="1:25" x14ac:dyDescent="0.25">
      <c r="A21" s="6">
        <v>19</v>
      </c>
      <c r="B21" s="6" t="s">
        <v>73</v>
      </c>
      <c r="C21" s="6">
        <v>307785</v>
      </c>
      <c r="D21" s="6" t="s">
        <v>147</v>
      </c>
      <c r="E21" s="7">
        <f>'DETAIL HITUNGAN'!AC$20</f>
        <v>8.8331999999999994E-2</v>
      </c>
      <c r="F21" s="7">
        <f>'DETAIL HITUNGAN'!AD$20</f>
        <v>0</v>
      </c>
      <c r="G21" s="7">
        <f>'DETAIL HITUNGAN'!AE$20</f>
        <v>0</v>
      </c>
      <c r="H21" s="7">
        <f>'DETAIL HITUNGAN'!AF$20</f>
        <v>1.1519999999999998E-3</v>
      </c>
      <c r="I21" s="7">
        <f>'DETAIL HITUNGAN'!AG$20</f>
        <v>3.0516000000000001E-2</v>
      </c>
      <c r="J21" s="7">
        <f>'DETAIL HITUNGAN'!AH$20</f>
        <v>0</v>
      </c>
      <c r="K21" s="7">
        <f>'DETAIL HITUNGAN'!AI$20</f>
        <v>0</v>
      </c>
      <c r="L21" s="7">
        <f>'DETAIL HITUNGAN'!AJ$20</f>
        <v>0</v>
      </c>
      <c r="M21" s="7">
        <f>'DETAIL HITUNGAN'!AK$20</f>
        <v>0.12</v>
      </c>
      <c r="N21" s="7" t="s">
        <v>47</v>
      </c>
      <c r="O21" s="20">
        <f t="shared" si="1"/>
        <v>27187.264619999998</v>
      </c>
      <c r="P21" s="20">
        <f t="shared" si="2"/>
        <v>0</v>
      </c>
      <c r="Q21" s="20">
        <f t="shared" si="3"/>
        <v>0</v>
      </c>
      <c r="R21" s="20">
        <f t="shared" si="4"/>
        <v>354.56831999999991</v>
      </c>
      <c r="S21" s="20">
        <f t="shared" si="5"/>
        <v>9392.3670600000005</v>
      </c>
      <c r="T21" s="20">
        <f t="shared" si="6"/>
        <v>0</v>
      </c>
      <c r="U21" s="20">
        <f t="shared" si="7"/>
        <v>0</v>
      </c>
      <c r="V21" s="20">
        <f t="shared" si="8"/>
        <v>0</v>
      </c>
      <c r="W21" s="20">
        <f t="shared" si="9"/>
        <v>36934.199999999997</v>
      </c>
      <c r="Y21">
        <v>307785</v>
      </c>
    </row>
    <row r="22" spans="1:25" x14ac:dyDescent="0.25">
      <c r="A22" s="6">
        <v>20</v>
      </c>
      <c r="B22" s="6" t="s">
        <v>74</v>
      </c>
      <c r="C22" s="6">
        <v>119731</v>
      </c>
      <c r="D22" s="6" t="s">
        <v>147</v>
      </c>
      <c r="E22" s="7">
        <f>'DETAIL HITUNGAN'!AC$20</f>
        <v>8.8331999999999994E-2</v>
      </c>
      <c r="F22" s="7">
        <f>'DETAIL HITUNGAN'!AD$20</f>
        <v>0</v>
      </c>
      <c r="G22" s="7">
        <f>'DETAIL HITUNGAN'!AE$20</f>
        <v>0</v>
      </c>
      <c r="H22" s="7">
        <f>'DETAIL HITUNGAN'!AF$20</f>
        <v>1.1519999999999998E-3</v>
      </c>
      <c r="I22" s="7">
        <f>'DETAIL HITUNGAN'!AG$20</f>
        <v>3.0516000000000001E-2</v>
      </c>
      <c r="J22" s="7">
        <f>'DETAIL HITUNGAN'!AH$20</f>
        <v>0</v>
      </c>
      <c r="K22" s="7">
        <f>'DETAIL HITUNGAN'!AI$20</f>
        <v>0</v>
      </c>
      <c r="L22" s="7">
        <f>'DETAIL HITUNGAN'!AJ$20</f>
        <v>0</v>
      </c>
      <c r="M22" s="7">
        <f>'DETAIL HITUNGAN'!AK$20</f>
        <v>0.12</v>
      </c>
      <c r="N22" s="7" t="s">
        <v>47</v>
      </c>
      <c r="O22" s="20">
        <f t="shared" si="1"/>
        <v>10576.078691999999</v>
      </c>
      <c r="P22" s="20">
        <f t="shared" si="2"/>
        <v>0</v>
      </c>
      <c r="Q22" s="20">
        <f t="shared" si="3"/>
        <v>0</v>
      </c>
      <c r="R22" s="20">
        <f t="shared" si="4"/>
        <v>137.93011199999998</v>
      </c>
      <c r="S22" s="20">
        <f t="shared" si="5"/>
        <v>3653.7111960000002</v>
      </c>
      <c r="T22" s="20">
        <f t="shared" si="6"/>
        <v>0</v>
      </c>
      <c r="U22" s="20">
        <f t="shared" si="7"/>
        <v>0</v>
      </c>
      <c r="V22" s="20">
        <f t="shared" si="8"/>
        <v>0</v>
      </c>
      <c r="W22" s="20">
        <f t="shared" si="9"/>
        <v>14367.72</v>
      </c>
      <c r="Y22">
        <v>119731</v>
      </c>
    </row>
    <row r="23" spans="1:25" x14ac:dyDescent="0.25">
      <c r="A23" s="6">
        <v>21</v>
      </c>
      <c r="B23" s="6" t="s">
        <v>75</v>
      </c>
      <c r="C23" s="6">
        <v>216182</v>
      </c>
      <c r="D23" s="6" t="s">
        <v>147</v>
      </c>
      <c r="E23" s="7">
        <f>'DETAIL HITUNGAN'!AC$20</f>
        <v>8.8331999999999994E-2</v>
      </c>
      <c r="F23" s="7">
        <f>'DETAIL HITUNGAN'!AD$20</f>
        <v>0</v>
      </c>
      <c r="G23" s="7">
        <f>'DETAIL HITUNGAN'!AE$20</f>
        <v>0</v>
      </c>
      <c r="H23" s="7">
        <f>'DETAIL HITUNGAN'!AF$20</f>
        <v>1.1519999999999998E-3</v>
      </c>
      <c r="I23" s="7">
        <f>'DETAIL HITUNGAN'!AG$20</f>
        <v>3.0516000000000001E-2</v>
      </c>
      <c r="J23" s="7">
        <f>'DETAIL HITUNGAN'!AH$20</f>
        <v>0</v>
      </c>
      <c r="K23" s="7">
        <f>'DETAIL HITUNGAN'!AI$20</f>
        <v>0</v>
      </c>
      <c r="L23" s="7">
        <f>'DETAIL HITUNGAN'!AJ$20</f>
        <v>0</v>
      </c>
      <c r="M23" s="7">
        <f>'DETAIL HITUNGAN'!AK$20</f>
        <v>0.12</v>
      </c>
      <c r="N23" s="7" t="s">
        <v>47</v>
      </c>
      <c r="O23" s="20">
        <f t="shared" si="1"/>
        <v>19095.788423999998</v>
      </c>
      <c r="P23" s="20">
        <f t="shared" si="2"/>
        <v>0</v>
      </c>
      <c r="Q23" s="20">
        <f t="shared" si="3"/>
        <v>0</v>
      </c>
      <c r="R23" s="20">
        <f t="shared" si="4"/>
        <v>249.04166399999997</v>
      </c>
      <c r="S23" s="20">
        <f t="shared" si="5"/>
        <v>6597.0099120000004</v>
      </c>
      <c r="T23" s="20">
        <f t="shared" si="6"/>
        <v>0</v>
      </c>
      <c r="U23" s="20">
        <f t="shared" si="7"/>
        <v>0</v>
      </c>
      <c r="V23" s="20">
        <f t="shared" si="8"/>
        <v>0</v>
      </c>
      <c r="W23" s="20">
        <f t="shared" si="9"/>
        <v>25941.84</v>
      </c>
      <c r="Y23">
        <v>216182</v>
      </c>
    </row>
    <row r="24" spans="1:25" x14ac:dyDescent="0.25">
      <c r="A24" s="6">
        <v>22</v>
      </c>
      <c r="B24" s="6" t="s">
        <v>76</v>
      </c>
      <c r="C24" s="6">
        <v>7316530</v>
      </c>
      <c r="D24" s="6" t="s">
        <v>147</v>
      </c>
      <c r="E24" s="7">
        <f>'DETAIL HITUNGAN'!AC$20</f>
        <v>8.8331999999999994E-2</v>
      </c>
      <c r="F24" s="7">
        <f>'DETAIL HITUNGAN'!AD$20</f>
        <v>0</v>
      </c>
      <c r="G24" s="7">
        <f>'DETAIL HITUNGAN'!AE$20</f>
        <v>0</v>
      </c>
      <c r="H24" s="7">
        <f>'DETAIL HITUNGAN'!AF$20</f>
        <v>1.1519999999999998E-3</v>
      </c>
      <c r="I24" s="7">
        <f>'DETAIL HITUNGAN'!AG$20</f>
        <v>3.0516000000000001E-2</v>
      </c>
      <c r="J24" s="7">
        <f>'DETAIL HITUNGAN'!AH$20</f>
        <v>0</v>
      </c>
      <c r="K24" s="7">
        <f>'DETAIL HITUNGAN'!AI$20</f>
        <v>0</v>
      </c>
      <c r="L24" s="7">
        <f>'DETAIL HITUNGAN'!AJ$20</f>
        <v>0</v>
      </c>
      <c r="M24" s="7">
        <f>'DETAIL HITUNGAN'!AK$20</f>
        <v>0.12</v>
      </c>
      <c r="N24" s="7" t="s">
        <v>47</v>
      </c>
      <c r="O24" s="20">
        <f t="shared" si="1"/>
        <v>646283.72795999993</v>
      </c>
      <c r="P24" s="20">
        <f t="shared" si="2"/>
        <v>0</v>
      </c>
      <c r="Q24" s="20">
        <f t="shared" si="3"/>
        <v>0</v>
      </c>
      <c r="R24" s="20">
        <f t="shared" si="4"/>
        <v>8428.6425599999984</v>
      </c>
      <c r="S24" s="20">
        <f t="shared" si="5"/>
        <v>223271.22948000001</v>
      </c>
      <c r="T24" s="20">
        <f t="shared" si="6"/>
        <v>0</v>
      </c>
      <c r="U24" s="20">
        <f t="shared" si="7"/>
        <v>0</v>
      </c>
      <c r="V24" s="20">
        <f t="shared" si="8"/>
        <v>0</v>
      </c>
      <c r="W24" s="20">
        <f t="shared" si="9"/>
        <v>877983.6</v>
      </c>
      <c r="Y24">
        <v>7316530</v>
      </c>
    </row>
    <row r="25" spans="1:25" x14ac:dyDescent="0.25">
      <c r="A25" s="6">
        <v>23</v>
      </c>
      <c r="B25" s="6" t="s">
        <v>77</v>
      </c>
      <c r="C25" s="6">
        <v>1488937</v>
      </c>
      <c r="D25" s="6" t="s">
        <v>147</v>
      </c>
      <c r="E25" s="7">
        <f>'DETAIL HITUNGAN'!AC$20</f>
        <v>8.8331999999999994E-2</v>
      </c>
      <c r="F25" s="7">
        <f>'DETAIL HITUNGAN'!AD$20</f>
        <v>0</v>
      </c>
      <c r="G25" s="7">
        <f>'DETAIL HITUNGAN'!AE$20</f>
        <v>0</v>
      </c>
      <c r="H25" s="7">
        <f>'DETAIL HITUNGAN'!AF$20</f>
        <v>1.1519999999999998E-3</v>
      </c>
      <c r="I25" s="7">
        <f>'DETAIL HITUNGAN'!AG$20</f>
        <v>3.0516000000000001E-2</v>
      </c>
      <c r="J25" s="7">
        <f>'DETAIL HITUNGAN'!AH$20</f>
        <v>0</v>
      </c>
      <c r="K25" s="7">
        <f>'DETAIL HITUNGAN'!AI$20</f>
        <v>0</v>
      </c>
      <c r="L25" s="7">
        <f>'DETAIL HITUNGAN'!AJ$20</f>
        <v>0</v>
      </c>
      <c r="M25" s="7">
        <f>'DETAIL HITUNGAN'!AK$20</f>
        <v>0.12</v>
      </c>
      <c r="N25" s="7" t="s">
        <v>47</v>
      </c>
      <c r="O25" s="20">
        <f t="shared" si="1"/>
        <v>131520.783084</v>
      </c>
      <c r="P25" s="20">
        <f t="shared" si="2"/>
        <v>0</v>
      </c>
      <c r="Q25" s="20">
        <f t="shared" si="3"/>
        <v>0</v>
      </c>
      <c r="R25" s="20">
        <f t="shared" si="4"/>
        <v>1715.2554239999997</v>
      </c>
      <c r="S25" s="20">
        <f t="shared" si="5"/>
        <v>45436.401492000005</v>
      </c>
      <c r="T25" s="20">
        <f t="shared" si="6"/>
        <v>0</v>
      </c>
      <c r="U25" s="20">
        <f t="shared" si="7"/>
        <v>0</v>
      </c>
      <c r="V25" s="20">
        <f t="shared" si="8"/>
        <v>0</v>
      </c>
      <c r="W25" s="20">
        <f t="shared" si="9"/>
        <v>178672.44</v>
      </c>
      <c r="Y25">
        <v>1488937</v>
      </c>
    </row>
    <row r="26" spans="1:25" x14ac:dyDescent="0.25">
      <c r="A26" s="6">
        <v>24</v>
      </c>
      <c r="B26" s="6" t="s">
        <v>78</v>
      </c>
      <c r="C26" s="6">
        <v>1231934</v>
      </c>
      <c r="D26" s="6" t="s">
        <v>147</v>
      </c>
      <c r="E26" s="7">
        <f>'DETAIL HITUNGAN'!AC$20</f>
        <v>8.8331999999999994E-2</v>
      </c>
      <c r="F26" s="7">
        <f>'DETAIL HITUNGAN'!AD$20</f>
        <v>0</v>
      </c>
      <c r="G26" s="7">
        <f>'DETAIL HITUNGAN'!AE$20</f>
        <v>0</v>
      </c>
      <c r="H26" s="7">
        <f>'DETAIL HITUNGAN'!AF$20</f>
        <v>1.1519999999999998E-3</v>
      </c>
      <c r="I26" s="7">
        <f>'DETAIL HITUNGAN'!AG$20</f>
        <v>3.0516000000000001E-2</v>
      </c>
      <c r="J26" s="7">
        <f>'DETAIL HITUNGAN'!AH$20</f>
        <v>0</v>
      </c>
      <c r="K26" s="7">
        <f>'DETAIL HITUNGAN'!AI$20</f>
        <v>0</v>
      </c>
      <c r="L26" s="7">
        <f>'DETAIL HITUNGAN'!AJ$20</f>
        <v>0</v>
      </c>
      <c r="M26" s="7">
        <f>'DETAIL HITUNGAN'!AK$20</f>
        <v>0.12</v>
      </c>
      <c r="N26" s="7" t="s">
        <v>47</v>
      </c>
      <c r="O26" s="20">
        <f t="shared" si="1"/>
        <v>108819.19408799999</v>
      </c>
      <c r="P26" s="20">
        <f t="shared" si="2"/>
        <v>0</v>
      </c>
      <c r="Q26" s="20">
        <f t="shared" si="3"/>
        <v>0</v>
      </c>
      <c r="R26" s="20">
        <f t="shared" si="4"/>
        <v>1419.1879679999997</v>
      </c>
      <c r="S26" s="20">
        <f t="shared" si="5"/>
        <v>37593.697944</v>
      </c>
      <c r="T26" s="20">
        <f t="shared" si="6"/>
        <v>0</v>
      </c>
      <c r="U26" s="20">
        <f t="shared" si="7"/>
        <v>0</v>
      </c>
      <c r="V26" s="20">
        <f t="shared" si="8"/>
        <v>0</v>
      </c>
      <c r="W26" s="20">
        <f t="shared" si="9"/>
        <v>147832.07999999999</v>
      </c>
      <c r="Y26">
        <v>1231934</v>
      </c>
    </row>
    <row r="27" spans="1:25" x14ac:dyDescent="0.25">
      <c r="A27" s="6">
        <v>25</v>
      </c>
      <c r="B27" s="6" t="s">
        <v>79</v>
      </c>
      <c r="C27" s="6">
        <v>65841</v>
      </c>
      <c r="D27" s="6" t="s">
        <v>147</v>
      </c>
      <c r="E27" s="7">
        <f>'DETAIL HITUNGAN'!AC$20</f>
        <v>8.8331999999999994E-2</v>
      </c>
      <c r="F27" s="7">
        <f>'DETAIL HITUNGAN'!AD$20</f>
        <v>0</v>
      </c>
      <c r="G27" s="7">
        <f>'DETAIL HITUNGAN'!AE$20</f>
        <v>0</v>
      </c>
      <c r="H27" s="7">
        <f>'DETAIL HITUNGAN'!AF$20</f>
        <v>1.1519999999999998E-3</v>
      </c>
      <c r="I27" s="7">
        <f>'DETAIL HITUNGAN'!AG$20</f>
        <v>3.0516000000000001E-2</v>
      </c>
      <c r="J27" s="7">
        <f>'DETAIL HITUNGAN'!AH$20</f>
        <v>0</v>
      </c>
      <c r="K27" s="7">
        <f>'DETAIL HITUNGAN'!AI$20</f>
        <v>0</v>
      </c>
      <c r="L27" s="7">
        <f>'DETAIL HITUNGAN'!AJ$20</f>
        <v>0</v>
      </c>
      <c r="M27" s="7">
        <f>'DETAIL HITUNGAN'!AK$20</f>
        <v>0.12</v>
      </c>
      <c r="N27" s="7" t="s">
        <v>47</v>
      </c>
      <c r="O27" s="20">
        <f t="shared" si="1"/>
        <v>5815.8672119999992</v>
      </c>
      <c r="P27" s="20">
        <f t="shared" si="2"/>
        <v>0</v>
      </c>
      <c r="Q27" s="20">
        <f t="shared" si="3"/>
        <v>0</v>
      </c>
      <c r="R27" s="20">
        <f t="shared" si="4"/>
        <v>75.848831999999987</v>
      </c>
      <c r="S27" s="20">
        <f t="shared" si="5"/>
        <v>2009.2039560000001</v>
      </c>
      <c r="T27" s="20">
        <f t="shared" si="6"/>
        <v>0</v>
      </c>
      <c r="U27" s="20">
        <f t="shared" si="7"/>
        <v>0</v>
      </c>
      <c r="V27" s="20">
        <f t="shared" si="8"/>
        <v>0</v>
      </c>
      <c r="W27" s="20">
        <f t="shared" si="9"/>
        <v>7900.92</v>
      </c>
      <c r="Y27">
        <v>65841</v>
      </c>
    </row>
    <row r="28" spans="1:25" x14ac:dyDescent="0.25">
      <c r="A28" s="6">
        <v>26</v>
      </c>
      <c r="B28" s="6" t="s">
        <v>80</v>
      </c>
      <c r="C28" s="6">
        <v>122085</v>
      </c>
      <c r="D28" s="6" t="s">
        <v>147</v>
      </c>
      <c r="E28" s="7">
        <f>'DETAIL HITUNGAN'!AC$20</f>
        <v>8.8331999999999994E-2</v>
      </c>
      <c r="F28" s="7">
        <f>'DETAIL HITUNGAN'!AD$20</f>
        <v>0</v>
      </c>
      <c r="G28" s="7">
        <f>'DETAIL HITUNGAN'!AE$20</f>
        <v>0</v>
      </c>
      <c r="H28" s="7">
        <f>'DETAIL HITUNGAN'!AF$20</f>
        <v>1.1519999999999998E-3</v>
      </c>
      <c r="I28" s="7">
        <f>'DETAIL HITUNGAN'!AG$20</f>
        <v>3.0516000000000001E-2</v>
      </c>
      <c r="J28" s="7">
        <f>'DETAIL HITUNGAN'!AH$20</f>
        <v>0</v>
      </c>
      <c r="K28" s="7">
        <f>'DETAIL HITUNGAN'!AI$20</f>
        <v>0</v>
      </c>
      <c r="L28" s="7">
        <f>'DETAIL HITUNGAN'!AJ$20</f>
        <v>0</v>
      </c>
      <c r="M28" s="7">
        <f>'DETAIL HITUNGAN'!AK$20</f>
        <v>0.12</v>
      </c>
      <c r="N28" s="7" t="s">
        <v>47</v>
      </c>
      <c r="O28" s="20">
        <f t="shared" ref="O28:W28" si="10">$C28*E28</f>
        <v>10784.012219999999</v>
      </c>
      <c r="P28" s="20">
        <f t="shared" si="10"/>
        <v>0</v>
      </c>
      <c r="Q28" s="20">
        <f t="shared" si="10"/>
        <v>0</v>
      </c>
      <c r="R28" s="20">
        <f t="shared" si="10"/>
        <v>140.64191999999997</v>
      </c>
      <c r="S28" s="20">
        <f t="shared" si="10"/>
        <v>3725.5458600000002</v>
      </c>
      <c r="T28" s="20">
        <f t="shared" si="10"/>
        <v>0</v>
      </c>
      <c r="U28" s="20">
        <f t="shared" si="10"/>
        <v>0</v>
      </c>
      <c r="V28" s="20">
        <f t="shared" si="10"/>
        <v>0</v>
      </c>
      <c r="W28" s="20">
        <f t="shared" si="10"/>
        <v>14650.199999999999</v>
      </c>
      <c r="Y28">
        <v>122085</v>
      </c>
    </row>
    <row r="29" spans="1:25" x14ac:dyDescent="0.25">
      <c r="A29" s="6">
        <v>27</v>
      </c>
      <c r="B29" s="6" t="s">
        <v>81</v>
      </c>
      <c r="C29" s="9">
        <f>'LIMBAH PADAT'!C30</f>
        <v>43558913.965000004</v>
      </c>
      <c r="D29" s="6" t="s">
        <v>129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2.0000000000000002E-5</v>
      </c>
      <c r="N29" s="7" t="s">
        <v>141</v>
      </c>
      <c r="O29" s="20">
        <f t="shared" si="1"/>
        <v>0</v>
      </c>
      <c r="P29" s="20">
        <f t="shared" si="2"/>
        <v>0</v>
      </c>
      <c r="Q29" s="20">
        <f t="shared" si="3"/>
        <v>0</v>
      </c>
      <c r="R29" s="20">
        <f t="shared" si="4"/>
        <v>0</v>
      </c>
      <c r="S29" s="20">
        <f t="shared" si="5"/>
        <v>0</v>
      </c>
      <c r="T29" s="20">
        <f t="shared" si="6"/>
        <v>0</v>
      </c>
      <c r="U29" s="20">
        <f t="shared" si="7"/>
        <v>0</v>
      </c>
      <c r="V29" s="20">
        <f t="shared" si="8"/>
        <v>0</v>
      </c>
      <c r="W29" s="20">
        <f t="shared" si="9"/>
        <v>871.1782793000001</v>
      </c>
      <c r="Y29">
        <v>286047</v>
      </c>
    </row>
    <row r="30" spans="1:25" x14ac:dyDescent="0.25">
      <c r="A30" s="6">
        <v>28</v>
      </c>
      <c r="B30" s="6" t="s">
        <v>82</v>
      </c>
      <c r="C30" s="6">
        <v>7273</v>
      </c>
      <c r="D30" s="6" t="s">
        <v>147</v>
      </c>
      <c r="E30" s="7">
        <f>'DETAIL HITUNGAN'!AC$20</f>
        <v>8.8331999999999994E-2</v>
      </c>
      <c r="F30" s="7">
        <f>'DETAIL HITUNGAN'!AD$20</f>
        <v>0</v>
      </c>
      <c r="G30" s="7">
        <f>'DETAIL HITUNGAN'!AE$20</f>
        <v>0</v>
      </c>
      <c r="H30" s="7">
        <f>'DETAIL HITUNGAN'!AF$20</f>
        <v>1.1519999999999998E-3</v>
      </c>
      <c r="I30" s="7">
        <f>'DETAIL HITUNGAN'!AG$20</f>
        <v>3.0516000000000001E-2</v>
      </c>
      <c r="J30" s="7">
        <f>'DETAIL HITUNGAN'!AH$20</f>
        <v>0</v>
      </c>
      <c r="K30" s="7">
        <f>'DETAIL HITUNGAN'!AI$20</f>
        <v>0</v>
      </c>
      <c r="L30" s="7">
        <f>'DETAIL HITUNGAN'!AJ$20</f>
        <v>0</v>
      </c>
      <c r="M30" s="7">
        <f>'DETAIL HITUNGAN'!AK$20</f>
        <v>0.12</v>
      </c>
      <c r="N30" s="7" t="s">
        <v>47</v>
      </c>
      <c r="O30" s="20">
        <f t="shared" ref="O30:W30" si="11">$C30*E30</f>
        <v>642.43863599999997</v>
      </c>
      <c r="P30" s="20">
        <f t="shared" si="11"/>
        <v>0</v>
      </c>
      <c r="Q30" s="20">
        <f t="shared" si="11"/>
        <v>0</v>
      </c>
      <c r="R30" s="20">
        <f t="shared" si="11"/>
        <v>8.3784959999999984</v>
      </c>
      <c r="S30" s="20">
        <f t="shared" si="11"/>
        <v>221.942868</v>
      </c>
      <c r="T30" s="20">
        <f t="shared" si="11"/>
        <v>0</v>
      </c>
      <c r="U30" s="20">
        <f t="shared" si="11"/>
        <v>0</v>
      </c>
      <c r="V30" s="20">
        <f t="shared" si="11"/>
        <v>0</v>
      </c>
      <c r="W30" s="20">
        <f t="shared" si="11"/>
        <v>872.76</v>
      </c>
      <c r="Y30">
        <v>7273</v>
      </c>
    </row>
    <row r="31" spans="1:25" x14ac:dyDescent="0.25">
      <c r="A31" s="6">
        <v>29</v>
      </c>
      <c r="B31" s="6" t="s">
        <v>83</v>
      </c>
      <c r="C31" s="59" t="s">
        <v>146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20">
        <f>'DETAIL HITUNGAN'!AM18</f>
        <v>2450990.3150279997</v>
      </c>
      <c r="P31" s="20">
        <f>'DETAIL HITUNGAN'!AN18</f>
        <v>0</v>
      </c>
      <c r="Q31" s="20">
        <f>'DETAIL HITUNGAN'!AO18</f>
        <v>0</v>
      </c>
      <c r="R31" s="20">
        <f>'DETAIL HITUNGAN'!AP18</f>
        <v>31965.095807999995</v>
      </c>
      <c r="S31" s="20">
        <f>'DETAIL HITUNGAN'!AQ18</f>
        <v>846742.0691640001</v>
      </c>
      <c r="T31" s="20">
        <f>'DETAIL HITUNGAN'!AR18</f>
        <v>0</v>
      </c>
      <c r="U31" s="20">
        <f>'DETAIL HITUNGAN'!AS18</f>
        <v>0</v>
      </c>
      <c r="V31" s="20">
        <f>'DETAIL HITUNGAN'!AT18</f>
        <v>0</v>
      </c>
      <c r="W31" s="20">
        <f>'DETAIL HITUNGAN'!AU18</f>
        <v>3329697.4799999995</v>
      </c>
      <c r="Y31">
        <v>15615</v>
      </c>
    </row>
    <row r="32" spans="1:25" x14ac:dyDescent="0.25">
      <c r="A32" s="6">
        <v>30</v>
      </c>
      <c r="B32" s="6" t="s">
        <v>84</v>
      </c>
      <c r="C32" s="9">
        <f>'LIMBAH PADAT'!C33</f>
        <v>1263443</v>
      </c>
      <c r="D32" s="6" t="s">
        <v>147</v>
      </c>
      <c r="E32" s="7">
        <f>'DETAIL HITUNGAN'!AC$20</f>
        <v>8.8331999999999994E-2</v>
      </c>
      <c r="F32" s="7">
        <f>'DETAIL HITUNGAN'!AD$20</f>
        <v>0</v>
      </c>
      <c r="G32" s="7">
        <f>'DETAIL HITUNGAN'!AE$20</f>
        <v>0</v>
      </c>
      <c r="H32" s="7">
        <f>'DETAIL HITUNGAN'!AF$20</f>
        <v>1.1519999999999998E-3</v>
      </c>
      <c r="I32" s="7">
        <f>'DETAIL HITUNGAN'!AG$20</f>
        <v>3.0516000000000001E-2</v>
      </c>
      <c r="J32" s="7">
        <f>'DETAIL HITUNGAN'!AH$20</f>
        <v>0</v>
      </c>
      <c r="K32" s="7">
        <f>'DETAIL HITUNGAN'!AI$20</f>
        <v>0</v>
      </c>
      <c r="L32" s="7">
        <f>'DETAIL HITUNGAN'!AJ$20</f>
        <v>0</v>
      </c>
      <c r="M32" s="7">
        <f>'DETAIL HITUNGAN'!AK$20</f>
        <v>0.12</v>
      </c>
      <c r="N32" s="7" t="s">
        <v>47</v>
      </c>
      <c r="O32" s="20">
        <f t="shared" si="1"/>
        <v>111602.447076</v>
      </c>
      <c r="P32" s="20">
        <f t="shared" si="2"/>
        <v>0</v>
      </c>
      <c r="Q32" s="20">
        <f t="shared" si="3"/>
        <v>0</v>
      </c>
      <c r="R32" s="20">
        <f t="shared" si="4"/>
        <v>1455.4863359999997</v>
      </c>
      <c r="S32" s="20">
        <f t="shared" si="5"/>
        <v>38555.226588000005</v>
      </c>
      <c r="T32" s="20">
        <f t="shared" si="6"/>
        <v>0</v>
      </c>
      <c r="U32" s="20">
        <f t="shared" si="7"/>
        <v>0</v>
      </c>
      <c r="V32" s="20">
        <f t="shared" si="8"/>
        <v>0</v>
      </c>
      <c r="W32" s="20">
        <f t="shared" si="9"/>
        <v>151613.16</v>
      </c>
      <c r="Y32">
        <v>1263443</v>
      </c>
    </row>
    <row r="33" spans="1:25" x14ac:dyDescent="0.25">
      <c r="A33" s="6">
        <v>31</v>
      </c>
      <c r="B33" s="6" t="s">
        <v>85</v>
      </c>
      <c r="C33" s="9">
        <f>'LIMBAH PADAT'!C34</f>
        <v>90736</v>
      </c>
      <c r="D33" s="6" t="s">
        <v>147</v>
      </c>
      <c r="E33" s="7">
        <f>'DETAIL HITUNGAN'!AC$20</f>
        <v>8.8331999999999994E-2</v>
      </c>
      <c r="F33" s="7">
        <f>'DETAIL HITUNGAN'!AD$20</f>
        <v>0</v>
      </c>
      <c r="G33" s="7">
        <f>'DETAIL HITUNGAN'!AE$20</f>
        <v>0</v>
      </c>
      <c r="H33" s="7">
        <f>'DETAIL HITUNGAN'!AF$20</f>
        <v>1.1519999999999998E-3</v>
      </c>
      <c r="I33" s="7">
        <f>'DETAIL HITUNGAN'!AG$20</f>
        <v>3.0516000000000001E-2</v>
      </c>
      <c r="J33" s="7">
        <f>'DETAIL HITUNGAN'!AH$20</f>
        <v>0</v>
      </c>
      <c r="K33" s="7">
        <f>'DETAIL HITUNGAN'!AI$20</f>
        <v>0</v>
      </c>
      <c r="L33" s="7">
        <f>'DETAIL HITUNGAN'!AJ$20</f>
        <v>0</v>
      </c>
      <c r="M33" s="7">
        <f>'DETAIL HITUNGAN'!AK$20</f>
        <v>0.12</v>
      </c>
      <c r="N33" s="7" t="s">
        <v>47</v>
      </c>
      <c r="O33" s="20">
        <f t="shared" si="1"/>
        <v>8014.8923519999998</v>
      </c>
      <c r="P33" s="20">
        <f t="shared" si="2"/>
        <v>0</v>
      </c>
      <c r="Q33" s="20">
        <f t="shared" si="3"/>
        <v>0</v>
      </c>
      <c r="R33" s="20">
        <f t="shared" si="4"/>
        <v>104.52787199999999</v>
      </c>
      <c r="S33" s="20">
        <f t="shared" si="5"/>
        <v>2768.8997760000002</v>
      </c>
      <c r="T33" s="20">
        <f t="shared" si="6"/>
        <v>0</v>
      </c>
      <c r="U33" s="20">
        <f t="shared" si="7"/>
        <v>0</v>
      </c>
      <c r="V33" s="20">
        <f t="shared" si="8"/>
        <v>0</v>
      </c>
      <c r="W33" s="20">
        <f t="shared" si="9"/>
        <v>10888.32</v>
      </c>
      <c r="Y33">
        <v>90736</v>
      </c>
    </row>
    <row r="34" spans="1:25" x14ac:dyDescent="0.25">
      <c r="A34" s="6">
        <v>32</v>
      </c>
      <c r="B34" s="6" t="s">
        <v>86</v>
      </c>
      <c r="C34" s="9">
        <f>'LIMBAH PADAT'!C35</f>
        <v>979907</v>
      </c>
      <c r="D34" s="6" t="s">
        <v>147</v>
      </c>
      <c r="E34" s="7">
        <f>'DETAIL HITUNGAN'!AC$20</f>
        <v>8.8331999999999994E-2</v>
      </c>
      <c r="F34" s="7">
        <f>'DETAIL HITUNGAN'!AD$20</f>
        <v>0</v>
      </c>
      <c r="G34" s="7">
        <f>'DETAIL HITUNGAN'!AE$20</f>
        <v>0</v>
      </c>
      <c r="H34" s="7">
        <f>'DETAIL HITUNGAN'!AF$20</f>
        <v>1.1519999999999998E-3</v>
      </c>
      <c r="I34" s="7">
        <f>'DETAIL HITUNGAN'!AG$20</f>
        <v>3.0516000000000001E-2</v>
      </c>
      <c r="J34" s="7">
        <f>'DETAIL HITUNGAN'!AH$20</f>
        <v>0</v>
      </c>
      <c r="K34" s="7">
        <f>'DETAIL HITUNGAN'!AI$20</f>
        <v>0</v>
      </c>
      <c r="L34" s="7">
        <f>'DETAIL HITUNGAN'!AJ$20</f>
        <v>0</v>
      </c>
      <c r="M34" s="7">
        <f>'DETAIL HITUNGAN'!AK$20</f>
        <v>0.12</v>
      </c>
      <c r="N34" s="7" t="s">
        <v>47</v>
      </c>
      <c r="O34" s="20">
        <f t="shared" si="1"/>
        <v>86557.145123999988</v>
      </c>
      <c r="P34" s="20">
        <f t="shared" si="2"/>
        <v>0</v>
      </c>
      <c r="Q34" s="20">
        <f t="shared" si="3"/>
        <v>0</v>
      </c>
      <c r="R34" s="20">
        <f t="shared" si="4"/>
        <v>1128.8528639999997</v>
      </c>
      <c r="S34" s="20">
        <f t="shared" si="5"/>
        <v>29902.842012000001</v>
      </c>
      <c r="T34" s="20">
        <f t="shared" si="6"/>
        <v>0</v>
      </c>
      <c r="U34" s="20">
        <f t="shared" si="7"/>
        <v>0</v>
      </c>
      <c r="V34" s="20">
        <f t="shared" si="8"/>
        <v>0</v>
      </c>
      <c r="W34" s="20">
        <f t="shared" si="9"/>
        <v>117588.84</v>
      </c>
      <c r="Y34">
        <v>979907</v>
      </c>
    </row>
    <row r="35" spans="1:25" x14ac:dyDescent="0.25">
      <c r="A35" s="6">
        <v>33</v>
      </c>
      <c r="B35" s="6" t="s">
        <v>87</v>
      </c>
      <c r="C35" s="9">
        <f>'LIMBAH PADAT'!C36</f>
        <v>15066912</v>
      </c>
      <c r="D35" s="6" t="s">
        <v>20</v>
      </c>
      <c r="E35" s="7">
        <v>0</v>
      </c>
      <c r="F35" s="7">
        <v>0</v>
      </c>
      <c r="G35" s="7">
        <v>0</v>
      </c>
      <c r="H35" s="7">
        <v>1.6799999999999999E-2</v>
      </c>
      <c r="I35" s="7">
        <v>7.1999999999999998E-3</v>
      </c>
      <c r="J35" s="7">
        <v>0</v>
      </c>
      <c r="K35" s="7">
        <v>0</v>
      </c>
      <c r="L35" s="7">
        <v>0</v>
      </c>
      <c r="M35" s="7">
        <v>0.02</v>
      </c>
      <c r="N35" s="7" t="s">
        <v>51</v>
      </c>
      <c r="O35" s="20">
        <f t="shared" si="1"/>
        <v>0</v>
      </c>
      <c r="P35" s="20">
        <f t="shared" si="2"/>
        <v>0</v>
      </c>
      <c r="Q35" s="20">
        <f t="shared" si="3"/>
        <v>0</v>
      </c>
      <c r="R35" s="20">
        <f t="shared" si="4"/>
        <v>253124.12159999998</v>
      </c>
      <c r="S35" s="20">
        <f t="shared" si="5"/>
        <v>108481.76639999999</v>
      </c>
      <c r="T35" s="20">
        <f t="shared" si="6"/>
        <v>0</v>
      </c>
      <c r="U35" s="20">
        <f t="shared" si="7"/>
        <v>0</v>
      </c>
      <c r="V35" s="20">
        <f t="shared" si="8"/>
        <v>0</v>
      </c>
      <c r="W35" s="20">
        <f t="shared" si="9"/>
        <v>301338.23999999999</v>
      </c>
      <c r="Y35">
        <v>47305</v>
      </c>
    </row>
    <row r="36" spans="1:25" x14ac:dyDescent="0.25">
      <c r="A36" s="6">
        <v>34</v>
      </c>
      <c r="B36" s="6" t="s">
        <v>54</v>
      </c>
      <c r="C36" s="9">
        <f>'LIMBAH PADAT'!C37</f>
        <v>6753479</v>
      </c>
      <c r="D36" s="6" t="s">
        <v>20</v>
      </c>
      <c r="E36" s="7">
        <v>0</v>
      </c>
      <c r="F36" s="7">
        <v>0</v>
      </c>
      <c r="G36" s="7">
        <v>0</v>
      </c>
      <c r="H36" s="7">
        <v>1.6799999999999999E-2</v>
      </c>
      <c r="I36" s="7">
        <v>7.1999999999999998E-3</v>
      </c>
      <c r="J36" s="7">
        <v>0</v>
      </c>
      <c r="K36" s="7">
        <v>0</v>
      </c>
      <c r="L36" s="7">
        <v>0</v>
      </c>
      <c r="M36" s="7">
        <v>0.02</v>
      </c>
      <c r="N36" s="7" t="s">
        <v>51</v>
      </c>
      <c r="O36" s="20">
        <f t="shared" ref="O36" si="12">$C36*E36</f>
        <v>0</v>
      </c>
      <c r="P36" s="20">
        <f t="shared" ref="P36" si="13">$C36*F36</f>
        <v>0</v>
      </c>
      <c r="Q36" s="20">
        <f t="shared" ref="Q36" si="14">$C36*G36</f>
        <v>0</v>
      </c>
      <c r="R36" s="20">
        <f t="shared" ref="R36" si="15">$C36*H36</f>
        <v>113458.4472</v>
      </c>
      <c r="S36" s="20">
        <f t="shared" ref="S36" si="16">$C36*I36</f>
        <v>48625.048799999997</v>
      </c>
      <c r="T36" s="20">
        <f t="shared" ref="T36" si="17">$C36*J36</f>
        <v>0</v>
      </c>
      <c r="U36" s="20">
        <f t="shared" ref="U36" si="18">$C36*K36</f>
        <v>0</v>
      </c>
      <c r="V36" s="20">
        <f t="shared" ref="V36" si="19">$C36*L36</f>
        <v>0</v>
      </c>
      <c r="W36" s="20">
        <f t="shared" ref="W36" si="20">$C36*M36</f>
        <v>135069.58000000002</v>
      </c>
      <c r="Y36">
        <v>722150</v>
      </c>
    </row>
    <row r="37" spans="1:25" x14ac:dyDescent="0.25">
      <c r="A37" s="6">
        <v>35</v>
      </c>
      <c r="B37" s="6" t="s">
        <v>88</v>
      </c>
      <c r="C37" s="9">
        <f>'LIMBAH PADAT'!C38</f>
        <v>4048</v>
      </c>
      <c r="D37" s="6" t="s">
        <v>20</v>
      </c>
      <c r="E37" s="7">
        <v>0</v>
      </c>
      <c r="F37" s="7">
        <v>0</v>
      </c>
      <c r="G37" s="7">
        <v>0</v>
      </c>
      <c r="H37" s="7">
        <v>16.8</v>
      </c>
      <c r="I37" s="7">
        <v>7.2</v>
      </c>
      <c r="J37" s="7">
        <v>0</v>
      </c>
      <c r="K37" s="7">
        <v>0</v>
      </c>
      <c r="L37" s="7">
        <v>0</v>
      </c>
      <c r="M37" s="7">
        <v>24</v>
      </c>
      <c r="N37" s="7" t="s">
        <v>51</v>
      </c>
      <c r="O37" s="20">
        <f t="shared" si="1"/>
        <v>0</v>
      </c>
      <c r="P37" s="20">
        <f t="shared" si="2"/>
        <v>0</v>
      </c>
      <c r="Q37" s="20">
        <f t="shared" si="3"/>
        <v>0</v>
      </c>
      <c r="R37" s="20">
        <f t="shared" si="4"/>
        <v>68006.400000000009</v>
      </c>
      <c r="S37" s="20">
        <f t="shared" si="5"/>
        <v>29145.600000000002</v>
      </c>
      <c r="T37" s="20">
        <f t="shared" si="6"/>
        <v>0</v>
      </c>
      <c r="U37" s="20">
        <f t="shared" si="7"/>
        <v>0</v>
      </c>
      <c r="V37" s="20">
        <f t="shared" si="8"/>
        <v>0</v>
      </c>
      <c r="W37" s="20">
        <f t="shared" si="9"/>
        <v>97152</v>
      </c>
      <c r="Y37">
        <v>7219</v>
      </c>
    </row>
    <row r="38" spans="1:25" x14ac:dyDescent="0.25">
      <c r="A38" s="6">
        <v>36</v>
      </c>
      <c r="B38" s="6" t="s">
        <v>89</v>
      </c>
      <c r="C38" s="9">
        <f>'LIMBAH PADAT'!C39</f>
        <v>7</v>
      </c>
      <c r="D38" s="6" t="s">
        <v>147</v>
      </c>
      <c r="E38" s="7">
        <f>'DETAIL HITUNGAN'!AC$20</f>
        <v>8.8331999999999994E-2</v>
      </c>
      <c r="F38" s="7">
        <f>'DETAIL HITUNGAN'!AD$20</f>
        <v>0</v>
      </c>
      <c r="G38" s="7">
        <f>'DETAIL HITUNGAN'!AE$20</f>
        <v>0</v>
      </c>
      <c r="H38" s="7">
        <f>'DETAIL HITUNGAN'!AF$20</f>
        <v>1.1519999999999998E-3</v>
      </c>
      <c r="I38" s="7">
        <f>'DETAIL HITUNGAN'!AG$20</f>
        <v>3.0516000000000001E-2</v>
      </c>
      <c r="J38" s="7">
        <f>'DETAIL HITUNGAN'!AH$20</f>
        <v>0</v>
      </c>
      <c r="K38" s="7">
        <f>'DETAIL HITUNGAN'!AI$20</f>
        <v>0</v>
      </c>
      <c r="L38" s="7">
        <f>'DETAIL HITUNGAN'!AJ$20</f>
        <v>0</v>
      </c>
      <c r="M38" s="7">
        <f>'DETAIL HITUNGAN'!AK$20</f>
        <v>0.12</v>
      </c>
      <c r="N38" s="7" t="s">
        <v>47</v>
      </c>
      <c r="O38" s="20">
        <f t="shared" si="1"/>
        <v>0.61832399999999998</v>
      </c>
      <c r="P38" s="20">
        <f t="shared" si="2"/>
        <v>0</v>
      </c>
      <c r="Q38" s="20">
        <f t="shared" si="3"/>
        <v>0</v>
      </c>
      <c r="R38" s="20">
        <f t="shared" si="4"/>
        <v>8.0639999999999983E-3</v>
      </c>
      <c r="S38" s="20">
        <f t="shared" si="5"/>
        <v>0.21361200000000002</v>
      </c>
      <c r="T38" s="20">
        <f t="shared" si="6"/>
        <v>0</v>
      </c>
      <c r="U38" s="20">
        <f t="shared" si="7"/>
        <v>0</v>
      </c>
      <c r="V38" s="20">
        <f t="shared" si="8"/>
        <v>0</v>
      </c>
      <c r="W38" s="20">
        <f t="shared" si="9"/>
        <v>0.84</v>
      </c>
      <c r="Y38">
        <v>7</v>
      </c>
    </row>
    <row r="39" spans="1:25" x14ac:dyDescent="0.25">
      <c r="A39" s="6">
        <v>37</v>
      </c>
      <c r="B39" s="6" t="s">
        <v>90</v>
      </c>
      <c r="C39" s="9">
        <f>'LIMBAH PADAT'!C40</f>
        <v>3242502</v>
      </c>
      <c r="D39" s="6" t="s">
        <v>20</v>
      </c>
      <c r="E39" s="7">
        <v>0</v>
      </c>
      <c r="F39" s="7">
        <v>0</v>
      </c>
      <c r="G39" s="7">
        <v>4.3299999999999998E-2</v>
      </c>
      <c r="H39" s="7">
        <v>3.0300000000000001E-2</v>
      </c>
      <c r="I39" s="7">
        <v>1.2999999999999999E-2</v>
      </c>
      <c r="J39" s="7">
        <v>0</v>
      </c>
      <c r="K39" s="7">
        <v>0</v>
      </c>
      <c r="L39" s="7">
        <v>0</v>
      </c>
      <c r="M39" s="7">
        <v>0.04</v>
      </c>
      <c r="N39" s="7" t="s">
        <v>51</v>
      </c>
      <c r="O39" s="20">
        <f t="shared" si="1"/>
        <v>0</v>
      </c>
      <c r="P39" s="20">
        <f t="shared" si="2"/>
        <v>0</v>
      </c>
      <c r="Q39" s="20">
        <f t="shared" si="3"/>
        <v>140400.33659999998</v>
      </c>
      <c r="R39" s="20">
        <f t="shared" si="4"/>
        <v>98247.810599999997</v>
      </c>
      <c r="S39" s="20">
        <f t="shared" si="5"/>
        <v>42152.525999999998</v>
      </c>
      <c r="T39" s="20">
        <f t="shared" si="6"/>
        <v>0</v>
      </c>
      <c r="U39" s="20">
        <f t="shared" si="7"/>
        <v>0</v>
      </c>
      <c r="V39" s="20">
        <f t="shared" si="8"/>
        <v>0</v>
      </c>
      <c r="W39" s="20">
        <f t="shared" si="9"/>
        <v>129700.08</v>
      </c>
      <c r="Y39">
        <v>124238</v>
      </c>
    </row>
    <row r="40" spans="1:25" x14ac:dyDescent="0.25">
      <c r="A40" s="6">
        <v>38</v>
      </c>
      <c r="B40" s="6" t="s">
        <v>91</v>
      </c>
      <c r="C40" s="9">
        <f>'LIMBAH PADAT'!C41</f>
        <v>8862</v>
      </c>
      <c r="D40" s="6" t="s">
        <v>147</v>
      </c>
      <c r="E40" s="7">
        <f>'DETAIL HITUNGAN'!AC$20</f>
        <v>8.8331999999999994E-2</v>
      </c>
      <c r="F40" s="7">
        <f>'DETAIL HITUNGAN'!AD$20</f>
        <v>0</v>
      </c>
      <c r="G40" s="7">
        <f>'DETAIL HITUNGAN'!AE$20</f>
        <v>0</v>
      </c>
      <c r="H40" s="7">
        <f>'DETAIL HITUNGAN'!AF$20</f>
        <v>1.1519999999999998E-3</v>
      </c>
      <c r="I40" s="7">
        <f>'DETAIL HITUNGAN'!AG$20</f>
        <v>3.0516000000000001E-2</v>
      </c>
      <c r="J40" s="7">
        <f>'DETAIL HITUNGAN'!AH$20</f>
        <v>0</v>
      </c>
      <c r="K40" s="7">
        <f>'DETAIL HITUNGAN'!AI$20</f>
        <v>0</v>
      </c>
      <c r="L40" s="7">
        <f>'DETAIL HITUNGAN'!AJ$20</f>
        <v>0</v>
      </c>
      <c r="M40" s="7">
        <f>'DETAIL HITUNGAN'!AK$20</f>
        <v>0.12</v>
      </c>
      <c r="N40" s="7" t="s">
        <v>47</v>
      </c>
      <c r="O40" s="20">
        <f t="shared" si="1"/>
        <v>782.79818399999999</v>
      </c>
      <c r="P40" s="20">
        <f t="shared" si="2"/>
        <v>0</v>
      </c>
      <c r="Q40" s="20">
        <f t="shared" si="3"/>
        <v>0</v>
      </c>
      <c r="R40" s="20">
        <f t="shared" si="4"/>
        <v>10.209023999999998</v>
      </c>
      <c r="S40" s="20">
        <f t="shared" si="5"/>
        <v>270.43279200000001</v>
      </c>
      <c r="T40" s="20">
        <f t="shared" si="6"/>
        <v>0</v>
      </c>
      <c r="U40" s="20">
        <f t="shared" si="7"/>
        <v>0</v>
      </c>
      <c r="V40" s="20">
        <f t="shared" si="8"/>
        <v>0</v>
      </c>
      <c r="W40" s="20">
        <f t="shared" si="9"/>
        <v>1063.44</v>
      </c>
      <c r="Y40">
        <v>8862</v>
      </c>
    </row>
    <row r="41" spans="1:25" x14ac:dyDescent="0.25">
      <c r="A41" s="6">
        <v>39</v>
      </c>
      <c r="B41" s="6" t="s">
        <v>92</v>
      </c>
      <c r="C41" s="9">
        <f>'LIMBAH PADAT'!C42</f>
        <v>60571</v>
      </c>
      <c r="D41" s="6" t="s">
        <v>133</v>
      </c>
      <c r="E41" s="7">
        <v>0</v>
      </c>
      <c r="F41" s="7">
        <v>0</v>
      </c>
      <c r="G41" s="7">
        <v>0</v>
      </c>
      <c r="H41" s="7">
        <v>0.1575</v>
      </c>
      <c r="I41" s="7">
        <v>6.7500000000000004E-2</v>
      </c>
      <c r="J41" s="7">
        <v>0</v>
      </c>
      <c r="K41" s="7">
        <v>0</v>
      </c>
      <c r="L41" s="7">
        <v>0</v>
      </c>
      <c r="M41" s="7">
        <v>0.23</v>
      </c>
      <c r="N41" s="7" t="s">
        <v>138</v>
      </c>
      <c r="O41" s="20">
        <f t="shared" si="1"/>
        <v>0</v>
      </c>
      <c r="P41" s="20">
        <f t="shared" si="2"/>
        <v>0</v>
      </c>
      <c r="Q41" s="20">
        <f t="shared" si="3"/>
        <v>0</v>
      </c>
      <c r="R41" s="20">
        <f t="shared" si="4"/>
        <v>9539.9325000000008</v>
      </c>
      <c r="S41" s="20">
        <f t="shared" si="5"/>
        <v>4088.5425000000005</v>
      </c>
      <c r="T41" s="20">
        <f t="shared" si="6"/>
        <v>0</v>
      </c>
      <c r="U41" s="20">
        <f t="shared" si="7"/>
        <v>0</v>
      </c>
      <c r="V41" s="20">
        <f t="shared" si="8"/>
        <v>0</v>
      </c>
      <c r="W41" s="20">
        <f t="shared" si="9"/>
        <v>13931.33</v>
      </c>
      <c r="Y41">
        <v>23663</v>
      </c>
    </row>
    <row r="42" spans="1:25" x14ac:dyDescent="0.25">
      <c r="A42" s="6">
        <v>40</v>
      </c>
      <c r="B42" s="6" t="s">
        <v>93</v>
      </c>
      <c r="C42" s="9">
        <v>279946240</v>
      </c>
      <c r="D42" s="6" t="s">
        <v>139</v>
      </c>
      <c r="E42" s="7">
        <v>0</v>
      </c>
      <c r="F42" s="7">
        <v>0</v>
      </c>
      <c r="G42" s="7">
        <v>0</v>
      </c>
      <c r="H42" s="7">
        <v>3.5000000000000003E-2</v>
      </c>
      <c r="I42" s="7">
        <v>1.4999999999999999E-2</v>
      </c>
      <c r="J42" s="7">
        <v>0</v>
      </c>
      <c r="K42" s="7">
        <v>0</v>
      </c>
      <c r="L42" s="7">
        <v>0</v>
      </c>
      <c r="M42" s="7">
        <v>0.05</v>
      </c>
      <c r="N42" s="7" t="s">
        <v>140</v>
      </c>
      <c r="O42" s="20">
        <f t="shared" si="1"/>
        <v>0</v>
      </c>
      <c r="P42" s="20">
        <f t="shared" si="2"/>
        <v>0</v>
      </c>
      <c r="Q42" s="20">
        <f t="shared" si="3"/>
        <v>0</v>
      </c>
      <c r="R42" s="20">
        <f t="shared" si="4"/>
        <v>9798118.4000000004</v>
      </c>
      <c r="S42" s="20">
        <f t="shared" si="5"/>
        <v>4199193.5999999996</v>
      </c>
      <c r="T42" s="20">
        <f t="shared" si="6"/>
        <v>0</v>
      </c>
      <c r="U42" s="20">
        <f t="shared" si="7"/>
        <v>0</v>
      </c>
      <c r="V42" s="20">
        <f t="shared" si="8"/>
        <v>0</v>
      </c>
      <c r="W42" s="20">
        <f t="shared" si="9"/>
        <v>13997312</v>
      </c>
      <c r="Y42">
        <v>271674</v>
      </c>
    </row>
    <row r="43" spans="1:25" x14ac:dyDescent="0.25">
      <c r="A43" s="6">
        <v>41</v>
      </c>
      <c r="B43" s="6" t="s">
        <v>94</v>
      </c>
      <c r="C43" s="9">
        <v>79634</v>
      </c>
      <c r="D43" s="6" t="s">
        <v>147</v>
      </c>
      <c r="E43" s="7">
        <f>'DETAIL HITUNGAN'!AC$20</f>
        <v>8.8331999999999994E-2</v>
      </c>
      <c r="F43" s="7">
        <f>'DETAIL HITUNGAN'!AD$20</f>
        <v>0</v>
      </c>
      <c r="G43" s="7">
        <f>'DETAIL HITUNGAN'!AE$20</f>
        <v>0</v>
      </c>
      <c r="H43" s="7">
        <f>'DETAIL HITUNGAN'!AF$20</f>
        <v>1.1519999999999998E-3</v>
      </c>
      <c r="I43" s="7">
        <f>'DETAIL HITUNGAN'!AG$20</f>
        <v>3.0516000000000001E-2</v>
      </c>
      <c r="J43" s="7">
        <f>'DETAIL HITUNGAN'!AH$20</f>
        <v>0</v>
      </c>
      <c r="K43" s="7">
        <f>'DETAIL HITUNGAN'!AI$20</f>
        <v>0</v>
      </c>
      <c r="L43" s="7">
        <f>'DETAIL HITUNGAN'!AJ$20</f>
        <v>0</v>
      </c>
      <c r="M43" s="7">
        <f>'DETAIL HITUNGAN'!AK$20</f>
        <v>0.12</v>
      </c>
      <c r="N43" s="7" t="s">
        <v>47</v>
      </c>
      <c r="O43" s="20">
        <f t="shared" si="1"/>
        <v>7034.2304879999992</v>
      </c>
      <c r="P43" s="20">
        <f t="shared" si="2"/>
        <v>0</v>
      </c>
      <c r="Q43" s="20">
        <f t="shared" si="3"/>
        <v>0</v>
      </c>
      <c r="R43" s="20">
        <f t="shared" si="4"/>
        <v>91.73836799999998</v>
      </c>
      <c r="S43" s="20">
        <f t="shared" si="5"/>
        <v>2430.111144</v>
      </c>
      <c r="T43" s="20">
        <f t="shared" si="6"/>
        <v>0</v>
      </c>
      <c r="U43" s="20">
        <f t="shared" si="7"/>
        <v>0</v>
      </c>
      <c r="V43" s="20">
        <f t="shared" si="8"/>
        <v>0</v>
      </c>
      <c r="W43" s="20">
        <f t="shared" si="9"/>
        <v>9556.08</v>
      </c>
      <c r="Y43">
        <v>79634</v>
      </c>
    </row>
    <row r="44" spans="1:25" x14ac:dyDescent="0.25">
      <c r="A44" s="6">
        <v>42</v>
      </c>
      <c r="B44" s="6" t="s">
        <v>95</v>
      </c>
      <c r="C44" s="9">
        <v>54080</v>
      </c>
      <c r="D44" s="6" t="s">
        <v>147</v>
      </c>
      <c r="E44" s="7">
        <f>'DETAIL HITUNGAN'!AC$20</f>
        <v>8.8331999999999994E-2</v>
      </c>
      <c r="F44" s="7">
        <f>'DETAIL HITUNGAN'!AD$20</f>
        <v>0</v>
      </c>
      <c r="G44" s="7">
        <f>'DETAIL HITUNGAN'!AE$20</f>
        <v>0</v>
      </c>
      <c r="H44" s="7">
        <f>'DETAIL HITUNGAN'!AF$20</f>
        <v>1.1519999999999998E-3</v>
      </c>
      <c r="I44" s="7">
        <f>'DETAIL HITUNGAN'!AG$20</f>
        <v>3.0516000000000001E-2</v>
      </c>
      <c r="J44" s="7">
        <f>'DETAIL HITUNGAN'!AH$20</f>
        <v>0</v>
      </c>
      <c r="K44" s="7">
        <f>'DETAIL HITUNGAN'!AI$20</f>
        <v>0</v>
      </c>
      <c r="L44" s="7">
        <f>'DETAIL HITUNGAN'!AJ$20</f>
        <v>0</v>
      </c>
      <c r="M44" s="7">
        <f>'DETAIL HITUNGAN'!AK$20</f>
        <v>0.12</v>
      </c>
      <c r="N44" s="7" t="s">
        <v>47</v>
      </c>
      <c r="O44" s="20">
        <f t="shared" si="1"/>
        <v>4776.9945600000001</v>
      </c>
      <c r="P44" s="20">
        <f t="shared" si="2"/>
        <v>0</v>
      </c>
      <c r="Q44" s="20">
        <f t="shared" si="3"/>
        <v>0</v>
      </c>
      <c r="R44" s="20">
        <f t="shared" si="4"/>
        <v>62.300159999999991</v>
      </c>
      <c r="S44" s="20">
        <f t="shared" si="5"/>
        <v>1650.30528</v>
      </c>
      <c r="T44" s="20">
        <f t="shared" si="6"/>
        <v>0</v>
      </c>
      <c r="U44" s="20">
        <f t="shared" si="7"/>
        <v>0</v>
      </c>
      <c r="V44" s="20">
        <f t="shared" si="8"/>
        <v>0</v>
      </c>
      <c r="W44" s="20">
        <f t="shared" si="9"/>
        <v>6489.5999999999995</v>
      </c>
      <c r="Y44">
        <v>54080</v>
      </c>
    </row>
    <row r="45" spans="1:25" x14ac:dyDescent="0.25">
      <c r="A45" s="6">
        <v>43</v>
      </c>
      <c r="B45" s="6" t="s">
        <v>96</v>
      </c>
      <c r="C45" s="6">
        <v>5610</v>
      </c>
      <c r="D45" s="6" t="s">
        <v>147</v>
      </c>
      <c r="E45" s="7">
        <f>'DETAIL HITUNGAN'!AC$20</f>
        <v>8.8331999999999994E-2</v>
      </c>
      <c r="F45" s="7">
        <f>'DETAIL HITUNGAN'!AD$20</f>
        <v>0</v>
      </c>
      <c r="G45" s="7">
        <f>'DETAIL HITUNGAN'!AE$20</f>
        <v>0</v>
      </c>
      <c r="H45" s="7">
        <f>'DETAIL HITUNGAN'!AF$20</f>
        <v>1.1519999999999998E-3</v>
      </c>
      <c r="I45" s="7">
        <f>'DETAIL HITUNGAN'!AG$20</f>
        <v>3.0516000000000001E-2</v>
      </c>
      <c r="J45" s="7">
        <f>'DETAIL HITUNGAN'!AH$20</f>
        <v>0</v>
      </c>
      <c r="K45" s="7">
        <f>'DETAIL HITUNGAN'!AI$20</f>
        <v>0</v>
      </c>
      <c r="L45" s="7">
        <f>'DETAIL HITUNGAN'!AJ$20</f>
        <v>0</v>
      </c>
      <c r="M45" s="7">
        <f>'DETAIL HITUNGAN'!AK$20</f>
        <v>0.12</v>
      </c>
      <c r="N45" s="7" t="s">
        <v>47</v>
      </c>
      <c r="O45" s="20">
        <f t="shared" si="1"/>
        <v>495.54251999999997</v>
      </c>
      <c r="P45" s="20">
        <f t="shared" si="2"/>
        <v>0</v>
      </c>
      <c r="Q45" s="20">
        <f t="shared" si="3"/>
        <v>0</v>
      </c>
      <c r="R45" s="20">
        <f t="shared" si="4"/>
        <v>6.4627199999999991</v>
      </c>
      <c r="S45" s="20">
        <f t="shared" si="5"/>
        <v>171.19476</v>
      </c>
      <c r="T45" s="20">
        <f t="shared" si="6"/>
        <v>0</v>
      </c>
      <c r="U45" s="20">
        <f t="shared" si="7"/>
        <v>0</v>
      </c>
      <c r="V45" s="20">
        <f t="shared" si="8"/>
        <v>0</v>
      </c>
      <c r="W45" s="20">
        <f t="shared" si="9"/>
        <v>673.19999999999993</v>
      </c>
      <c r="Y45">
        <v>5610</v>
      </c>
    </row>
    <row r="46" spans="1:25" x14ac:dyDescent="0.25">
      <c r="A46" s="6">
        <v>44</v>
      </c>
      <c r="B46" s="6" t="s">
        <v>97</v>
      </c>
      <c r="C46" s="6">
        <v>5925</v>
      </c>
      <c r="D46" s="6" t="s">
        <v>147</v>
      </c>
      <c r="E46" s="7">
        <f>'DETAIL HITUNGAN'!AC$20</f>
        <v>8.8331999999999994E-2</v>
      </c>
      <c r="F46" s="7">
        <f>'DETAIL HITUNGAN'!AD$20</f>
        <v>0</v>
      </c>
      <c r="G46" s="7">
        <f>'DETAIL HITUNGAN'!AE$20</f>
        <v>0</v>
      </c>
      <c r="H46" s="7">
        <f>'DETAIL HITUNGAN'!AF$20</f>
        <v>1.1519999999999998E-3</v>
      </c>
      <c r="I46" s="7">
        <f>'DETAIL HITUNGAN'!AG$20</f>
        <v>3.0516000000000001E-2</v>
      </c>
      <c r="J46" s="7">
        <f>'DETAIL HITUNGAN'!AH$20</f>
        <v>0</v>
      </c>
      <c r="K46" s="7">
        <f>'DETAIL HITUNGAN'!AI$20</f>
        <v>0</v>
      </c>
      <c r="L46" s="7">
        <f>'DETAIL HITUNGAN'!AJ$20</f>
        <v>0</v>
      </c>
      <c r="M46" s="7">
        <f>'DETAIL HITUNGAN'!AK$20</f>
        <v>0.12</v>
      </c>
      <c r="N46" s="7" t="s">
        <v>47</v>
      </c>
      <c r="O46" s="20">
        <f t="shared" si="1"/>
        <v>523.36709999999994</v>
      </c>
      <c r="P46" s="20">
        <f t="shared" si="2"/>
        <v>0</v>
      </c>
      <c r="Q46" s="20">
        <f t="shared" si="3"/>
        <v>0</v>
      </c>
      <c r="R46" s="20">
        <f t="shared" si="4"/>
        <v>6.8255999999999988</v>
      </c>
      <c r="S46" s="20">
        <f t="shared" si="5"/>
        <v>180.8073</v>
      </c>
      <c r="T46" s="20">
        <f t="shared" si="6"/>
        <v>0</v>
      </c>
      <c r="U46" s="20">
        <f t="shared" si="7"/>
        <v>0</v>
      </c>
      <c r="V46" s="20">
        <f t="shared" si="8"/>
        <v>0</v>
      </c>
      <c r="W46" s="20">
        <f t="shared" si="9"/>
        <v>711</v>
      </c>
      <c r="Y46">
        <v>5925</v>
      </c>
    </row>
    <row r="47" spans="1:25" x14ac:dyDescent="0.25">
      <c r="A47" s="6">
        <v>45</v>
      </c>
      <c r="B47" s="6" t="s">
        <v>98</v>
      </c>
      <c r="C47" s="6">
        <v>932</v>
      </c>
      <c r="D47" s="6" t="s">
        <v>147</v>
      </c>
      <c r="E47" s="7">
        <f>'DETAIL HITUNGAN'!AC$20</f>
        <v>8.8331999999999994E-2</v>
      </c>
      <c r="F47" s="7">
        <f>'DETAIL HITUNGAN'!AD$20</f>
        <v>0</v>
      </c>
      <c r="G47" s="7">
        <f>'DETAIL HITUNGAN'!AE$20</f>
        <v>0</v>
      </c>
      <c r="H47" s="7">
        <f>'DETAIL HITUNGAN'!AF$20</f>
        <v>1.1519999999999998E-3</v>
      </c>
      <c r="I47" s="7">
        <f>'DETAIL HITUNGAN'!AG$20</f>
        <v>3.0516000000000001E-2</v>
      </c>
      <c r="J47" s="7">
        <f>'DETAIL HITUNGAN'!AH$20</f>
        <v>0</v>
      </c>
      <c r="K47" s="7">
        <f>'DETAIL HITUNGAN'!AI$20</f>
        <v>0</v>
      </c>
      <c r="L47" s="7">
        <f>'DETAIL HITUNGAN'!AJ$20</f>
        <v>0</v>
      </c>
      <c r="M47" s="7">
        <f>'DETAIL HITUNGAN'!AK$20</f>
        <v>0.12</v>
      </c>
      <c r="N47" s="7" t="s">
        <v>47</v>
      </c>
      <c r="O47" s="20">
        <f t="shared" si="1"/>
        <v>82.325423999999998</v>
      </c>
      <c r="P47" s="20">
        <f t="shared" si="2"/>
        <v>0</v>
      </c>
      <c r="Q47" s="20">
        <f t="shared" si="3"/>
        <v>0</v>
      </c>
      <c r="R47" s="20">
        <f t="shared" si="4"/>
        <v>1.0736639999999997</v>
      </c>
      <c r="S47" s="20">
        <f t="shared" si="5"/>
        <v>28.440912000000001</v>
      </c>
      <c r="T47" s="20">
        <f t="shared" si="6"/>
        <v>0</v>
      </c>
      <c r="U47" s="20">
        <f t="shared" si="7"/>
        <v>0</v>
      </c>
      <c r="V47" s="20">
        <f t="shared" si="8"/>
        <v>0</v>
      </c>
      <c r="W47" s="20">
        <f t="shared" si="9"/>
        <v>111.83999999999999</v>
      </c>
      <c r="Y47">
        <v>932</v>
      </c>
    </row>
    <row r="48" spans="1:25" x14ac:dyDescent="0.25">
      <c r="A48" s="6">
        <v>46</v>
      </c>
      <c r="B48" s="6" t="s">
        <v>52</v>
      </c>
      <c r="C48" s="6">
        <v>12766</v>
      </c>
      <c r="D48" s="6" t="s">
        <v>147</v>
      </c>
      <c r="E48" s="7">
        <f>'DETAIL HITUNGAN'!AC$20</f>
        <v>8.8331999999999994E-2</v>
      </c>
      <c r="F48" s="7">
        <f>'DETAIL HITUNGAN'!AD$20</f>
        <v>0</v>
      </c>
      <c r="G48" s="7">
        <f>'DETAIL HITUNGAN'!AE$20</f>
        <v>0</v>
      </c>
      <c r="H48" s="7">
        <f>'DETAIL HITUNGAN'!AF$20</f>
        <v>1.1519999999999998E-3</v>
      </c>
      <c r="I48" s="7">
        <f>'DETAIL HITUNGAN'!AG$20</f>
        <v>3.0516000000000001E-2</v>
      </c>
      <c r="J48" s="7">
        <f>'DETAIL HITUNGAN'!AH$20</f>
        <v>0</v>
      </c>
      <c r="K48" s="7">
        <f>'DETAIL HITUNGAN'!AI$20</f>
        <v>0</v>
      </c>
      <c r="L48" s="7">
        <f>'DETAIL HITUNGAN'!AJ$20</f>
        <v>0</v>
      </c>
      <c r="M48" s="7">
        <f>'DETAIL HITUNGAN'!AK$20</f>
        <v>0.12</v>
      </c>
      <c r="N48" s="7" t="s">
        <v>47</v>
      </c>
      <c r="O48" s="20">
        <f t="shared" si="1"/>
        <v>1127.6463119999999</v>
      </c>
      <c r="P48" s="20">
        <f t="shared" si="2"/>
        <v>0</v>
      </c>
      <c r="Q48" s="20">
        <f t="shared" si="3"/>
        <v>0</v>
      </c>
      <c r="R48" s="20">
        <f t="shared" si="4"/>
        <v>14.706431999999998</v>
      </c>
      <c r="S48" s="20">
        <f t="shared" si="5"/>
        <v>389.56725600000004</v>
      </c>
      <c r="T48" s="20">
        <f t="shared" si="6"/>
        <v>0</v>
      </c>
      <c r="U48" s="20">
        <f t="shared" si="7"/>
        <v>0</v>
      </c>
      <c r="V48" s="20">
        <f t="shared" si="8"/>
        <v>0</v>
      </c>
      <c r="W48" s="20">
        <f t="shared" si="9"/>
        <v>1531.9199999999998</v>
      </c>
      <c r="Y48">
        <v>12766</v>
      </c>
    </row>
    <row r="49" spans="1:25" x14ac:dyDescent="0.25">
      <c r="A49" s="6">
        <v>47</v>
      </c>
      <c r="B49" s="6" t="s">
        <v>99</v>
      </c>
      <c r="C49" s="6">
        <v>23735</v>
      </c>
      <c r="D49" s="6" t="s">
        <v>147</v>
      </c>
      <c r="E49" s="7">
        <f>'DETAIL HITUNGAN'!AC$20</f>
        <v>8.8331999999999994E-2</v>
      </c>
      <c r="F49" s="7">
        <f>'DETAIL HITUNGAN'!AD$20</f>
        <v>0</v>
      </c>
      <c r="G49" s="7">
        <f>'DETAIL HITUNGAN'!AE$20</f>
        <v>0</v>
      </c>
      <c r="H49" s="7">
        <f>'DETAIL HITUNGAN'!AF$20</f>
        <v>1.1519999999999998E-3</v>
      </c>
      <c r="I49" s="7">
        <f>'DETAIL HITUNGAN'!AG$20</f>
        <v>3.0516000000000001E-2</v>
      </c>
      <c r="J49" s="7">
        <f>'DETAIL HITUNGAN'!AH$20</f>
        <v>0</v>
      </c>
      <c r="K49" s="7">
        <f>'DETAIL HITUNGAN'!AI$20</f>
        <v>0</v>
      </c>
      <c r="L49" s="7">
        <f>'DETAIL HITUNGAN'!AJ$20</f>
        <v>0</v>
      </c>
      <c r="M49" s="7">
        <f>'DETAIL HITUNGAN'!AK$20</f>
        <v>0.12</v>
      </c>
      <c r="N49" s="7" t="s">
        <v>47</v>
      </c>
      <c r="O49" s="20">
        <f t="shared" si="1"/>
        <v>2096.5600199999999</v>
      </c>
      <c r="P49" s="20">
        <f t="shared" si="2"/>
        <v>0</v>
      </c>
      <c r="Q49" s="20">
        <f t="shared" si="3"/>
        <v>0</v>
      </c>
      <c r="R49" s="20">
        <f t="shared" si="4"/>
        <v>27.342719999999996</v>
      </c>
      <c r="S49" s="20">
        <f t="shared" si="5"/>
        <v>724.29726000000005</v>
      </c>
      <c r="T49" s="20">
        <f t="shared" si="6"/>
        <v>0</v>
      </c>
      <c r="U49" s="20">
        <f t="shared" si="7"/>
        <v>0</v>
      </c>
      <c r="V49" s="20">
        <f t="shared" si="8"/>
        <v>0</v>
      </c>
      <c r="W49" s="20">
        <f t="shared" si="9"/>
        <v>2848.2</v>
      </c>
      <c r="Y49">
        <v>23735</v>
      </c>
    </row>
    <row r="50" spans="1:25" x14ac:dyDescent="0.25">
      <c r="A50" s="6">
        <v>48</v>
      </c>
      <c r="B50" s="6" t="s">
        <v>100</v>
      </c>
      <c r="C50" s="6">
        <v>86919</v>
      </c>
      <c r="D50" s="6" t="s">
        <v>147</v>
      </c>
      <c r="E50" s="7">
        <f>'DETAIL HITUNGAN'!AC$20</f>
        <v>8.8331999999999994E-2</v>
      </c>
      <c r="F50" s="7">
        <f>'DETAIL HITUNGAN'!AD$20</f>
        <v>0</v>
      </c>
      <c r="G50" s="7">
        <f>'DETAIL HITUNGAN'!AE$20</f>
        <v>0</v>
      </c>
      <c r="H50" s="7">
        <f>'DETAIL HITUNGAN'!AF$20</f>
        <v>1.1519999999999998E-3</v>
      </c>
      <c r="I50" s="7">
        <f>'DETAIL HITUNGAN'!AG$20</f>
        <v>3.0516000000000001E-2</v>
      </c>
      <c r="J50" s="7">
        <f>'DETAIL HITUNGAN'!AH$20</f>
        <v>0</v>
      </c>
      <c r="K50" s="7">
        <f>'DETAIL HITUNGAN'!AI$20</f>
        <v>0</v>
      </c>
      <c r="L50" s="7">
        <f>'DETAIL HITUNGAN'!AJ$20</f>
        <v>0</v>
      </c>
      <c r="M50" s="7">
        <f>'DETAIL HITUNGAN'!AK$20</f>
        <v>0.12</v>
      </c>
      <c r="N50" s="7" t="s">
        <v>47</v>
      </c>
      <c r="O50" s="20">
        <f t="shared" si="1"/>
        <v>7677.7291079999995</v>
      </c>
      <c r="P50" s="20">
        <f t="shared" si="2"/>
        <v>0</v>
      </c>
      <c r="Q50" s="20">
        <f t="shared" si="3"/>
        <v>0</v>
      </c>
      <c r="R50" s="20">
        <f t="shared" si="4"/>
        <v>100.13068799999998</v>
      </c>
      <c r="S50" s="20">
        <f t="shared" si="5"/>
        <v>2652.420204</v>
      </c>
      <c r="T50" s="20">
        <f t="shared" si="6"/>
        <v>0</v>
      </c>
      <c r="U50" s="20">
        <f t="shared" si="7"/>
        <v>0</v>
      </c>
      <c r="V50" s="20">
        <f t="shared" si="8"/>
        <v>0</v>
      </c>
      <c r="W50" s="20">
        <f t="shared" si="9"/>
        <v>10430.279999999999</v>
      </c>
      <c r="Y50">
        <v>86919</v>
      </c>
    </row>
    <row r="51" spans="1:25" x14ac:dyDescent="0.25">
      <c r="A51" s="6">
        <v>49</v>
      </c>
      <c r="B51" s="6" t="s">
        <v>101</v>
      </c>
      <c r="C51" s="6">
        <v>139704</v>
      </c>
      <c r="D51" s="6" t="s">
        <v>147</v>
      </c>
      <c r="E51" s="7">
        <f>'DETAIL HITUNGAN'!AC$20</f>
        <v>8.8331999999999994E-2</v>
      </c>
      <c r="F51" s="7">
        <f>'DETAIL HITUNGAN'!AD$20</f>
        <v>0</v>
      </c>
      <c r="G51" s="7">
        <f>'DETAIL HITUNGAN'!AE$20</f>
        <v>0</v>
      </c>
      <c r="H51" s="7">
        <f>'DETAIL HITUNGAN'!AF$20</f>
        <v>1.1519999999999998E-3</v>
      </c>
      <c r="I51" s="7">
        <f>'DETAIL HITUNGAN'!AG$20</f>
        <v>3.0516000000000001E-2</v>
      </c>
      <c r="J51" s="7">
        <f>'DETAIL HITUNGAN'!AH$20</f>
        <v>0</v>
      </c>
      <c r="K51" s="7">
        <f>'DETAIL HITUNGAN'!AI$20</f>
        <v>0</v>
      </c>
      <c r="L51" s="7">
        <f>'DETAIL HITUNGAN'!AJ$20</f>
        <v>0</v>
      </c>
      <c r="M51" s="7">
        <f>'DETAIL HITUNGAN'!AK$20</f>
        <v>0.12</v>
      </c>
      <c r="N51" s="7" t="s">
        <v>47</v>
      </c>
      <c r="O51" s="20">
        <f t="shared" si="1"/>
        <v>12340.333728</v>
      </c>
      <c r="P51" s="20">
        <f t="shared" si="2"/>
        <v>0</v>
      </c>
      <c r="Q51" s="20">
        <f t="shared" si="3"/>
        <v>0</v>
      </c>
      <c r="R51" s="20">
        <f t="shared" si="4"/>
        <v>160.93900799999997</v>
      </c>
      <c r="S51" s="20">
        <f t="shared" si="5"/>
        <v>4263.2072640000006</v>
      </c>
      <c r="T51" s="20">
        <f t="shared" si="6"/>
        <v>0</v>
      </c>
      <c r="U51" s="20">
        <f t="shared" si="7"/>
        <v>0</v>
      </c>
      <c r="V51" s="20">
        <f t="shared" si="8"/>
        <v>0</v>
      </c>
      <c r="W51" s="20">
        <f t="shared" si="9"/>
        <v>16764.48</v>
      </c>
      <c r="Y51">
        <v>139704</v>
      </c>
    </row>
    <row r="52" spans="1:25" x14ac:dyDescent="0.25">
      <c r="A52" s="6">
        <v>50</v>
      </c>
      <c r="B52" s="6" t="s">
        <v>102</v>
      </c>
      <c r="C52" s="6">
        <v>162639</v>
      </c>
      <c r="D52" s="6" t="s">
        <v>147</v>
      </c>
      <c r="E52" s="7">
        <f>'DETAIL HITUNGAN'!AC$20</f>
        <v>8.8331999999999994E-2</v>
      </c>
      <c r="F52" s="7">
        <f>'DETAIL HITUNGAN'!AD$20</f>
        <v>0</v>
      </c>
      <c r="G52" s="7">
        <f>'DETAIL HITUNGAN'!AE$20</f>
        <v>0</v>
      </c>
      <c r="H52" s="7">
        <f>'DETAIL HITUNGAN'!AF$20</f>
        <v>1.1519999999999998E-3</v>
      </c>
      <c r="I52" s="7">
        <f>'DETAIL HITUNGAN'!AG$20</f>
        <v>3.0516000000000001E-2</v>
      </c>
      <c r="J52" s="7">
        <f>'DETAIL HITUNGAN'!AH$20</f>
        <v>0</v>
      </c>
      <c r="K52" s="7">
        <f>'DETAIL HITUNGAN'!AI$20</f>
        <v>0</v>
      </c>
      <c r="L52" s="7">
        <f>'DETAIL HITUNGAN'!AJ$20</f>
        <v>0</v>
      </c>
      <c r="M52" s="7">
        <f>'DETAIL HITUNGAN'!AK$20</f>
        <v>0.12</v>
      </c>
      <c r="N52" s="7" t="s">
        <v>47</v>
      </c>
      <c r="O52" s="20">
        <f t="shared" si="1"/>
        <v>14366.228147999998</v>
      </c>
      <c r="P52" s="20">
        <f t="shared" si="2"/>
        <v>0</v>
      </c>
      <c r="Q52" s="20">
        <f t="shared" si="3"/>
        <v>0</v>
      </c>
      <c r="R52" s="20">
        <f t="shared" si="4"/>
        <v>187.36012799999997</v>
      </c>
      <c r="S52" s="20">
        <f t="shared" si="5"/>
        <v>4963.0917239999999</v>
      </c>
      <c r="T52" s="20">
        <f t="shared" si="6"/>
        <v>0</v>
      </c>
      <c r="U52" s="20">
        <f t="shared" si="7"/>
        <v>0</v>
      </c>
      <c r="V52" s="20">
        <f t="shared" si="8"/>
        <v>0</v>
      </c>
      <c r="W52" s="20">
        <f t="shared" si="9"/>
        <v>19516.68</v>
      </c>
      <c r="Y52">
        <v>162639</v>
      </c>
    </row>
    <row r="53" spans="1:25" x14ac:dyDescent="0.25">
      <c r="A53" s="6">
        <v>51</v>
      </c>
      <c r="B53" s="6" t="s">
        <v>53</v>
      </c>
      <c r="C53" s="6">
        <v>33318</v>
      </c>
      <c r="D53" s="6" t="s">
        <v>147</v>
      </c>
      <c r="E53" s="7">
        <f>'DETAIL HITUNGAN'!AC$20</f>
        <v>8.8331999999999994E-2</v>
      </c>
      <c r="F53" s="7">
        <f>'DETAIL HITUNGAN'!AD$20</f>
        <v>0</v>
      </c>
      <c r="G53" s="7">
        <f>'DETAIL HITUNGAN'!AE$20</f>
        <v>0</v>
      </c>
      <c r="H53" s="7">
        <f>'DETAIL HITUNGAN'!AF$20</f>
        <v>1.1519999999999998E-3</v>
      </c>
      <c r="I53" s="7">
        <f>'DETAIL HITUNGAN'!AG$20</f>
        <v>3.0516000000000001E-2</v>
      </c>
      <c r="J53" s="7">
        <f>'DETAIL HITUNGAN'!AH$20</f>
        <v>0</v>
      </c>
      <c r="K53" s="7">
        <f>'DETAIL HITUNGAN'!AI$20</f>
        <v>0</v>
      </c>
      <c r="L53" s="7">
        <f>'DETAIL HITUNGAN'!AJ$20</f>
        <v>0</v>
      </c>
      <c r="M53" s="7">
        <f>'DETAIL HITUNGAN'!AK$20</f>
        <v>0.12</v>
      </c>
      <c r="N53" s="7" t="s">
        <v>47</v>
      </c>
      <c r="O53" s="20">
        <f t="shared" si="1"/>
        <v>2943.045576</v>
      </c>
      <c r="P53" s="20">
        <f t="shared" si="2"/>
        <v>0</v>
      </c>
      <c r="Q53" s="20">
        <f t="shared" si="3"/>
        <v>0</v>
      </c>
      <c r="R53" s="20">
        <f t="shared" si="4"/>
        <v>38.382335999999995</v>
      </c>
      <c r="S53" s="20">
        <f t="shared" si="5"/>
        <v>1016.7320880000001</v>
      </c>
      <c r="T53" s="20">
        <f t="shared" si="6"/>
        <v>0</v>
      </c>
      <c r="U53" s="20">
        <f t="shared" si="7"/>
        <v>0</v>
      </c>
      <c r="V53" s="20">
        <f t="shared" si="8"/>
        <v>0</v>
      </c>
      <c r="W53" s="20">
        <f t="shared" si="9"/>
        <v>3998.16</v>
      </c>
      <c r="Y53">
        <v>33318</v>
      </c>
    </row>
    <row r="54" spans="1:25" x14ac:dyDescent="0.25">
      <c r="A54" s="6">
        <v>52</v>
      </c>
      <c r="B54" s="6" t="s">
        <v>103</v>
      </c>
      <c r="C54" s="6">
        <v>594</v>
      </c>
      <c r="D54" s="6" t="s">
        <v>147</v>
      </c>
      <c r="E54" s="7">
        <f>'DETAIL HITUNGAN'!AC$20</f>
        <v>8.8331999999999994E-2</v>
      </c>
      <c r="F54" s="7">
        <f>'DETAIL HITUNGAN'!AD$20</f>
        <v>0</v>
      </c>
      <c r="G54" s="7">
        <f>'DETAIL HITUNGAN'!AE$20</f>
        <v>0</v>
      </c>
      <c r="H54" s="7">
        <f>'DETAIL HITUNGAN'!AF$20</f>
        <v>1.1519999999999998E-3</v>
      </c>
      <c r="I54" s="7">
        <f>'DETAIL HITUNGAN'!AG$20</f>
        <v>3.0516000000000001E-2</v>
      </c>
      <c r="J54" s="7">
        <f>'DETAIL HITUNGAN'!AH$20</f>
        <v>0</v>
      </c>
      <c r="K54" s="7">
        <f>'DETAIL HITUNGAN'!AI$20</f>
        <v>0</v>
      </c>
      <c r="L54" s="7">
        <f>'DETAIL HITUNGAN'!AJ$20</f>
        <v>0</v>
      </c>
      <c r="M54" s="7">
        <f>'DETAIL HITUNGAN'!AK$20</f>
        <v>0.12</v>
      </c>
      <c r="N54" s="7" t="s">
        <v>47</v>
      </c>
      <c r="O54" s="20">
        <f t="shared" si="1"/>
        <v>52.469207999999995</v>
      </c>
      <c r="P54" s="20">
        <f t="shared" si="2"/>
        <v>0</v>
      </c>
      <c r="Q54" s="20">
        <f t="shared" si="3"/>
        <v>0</v>
      </c>
      <c r="R54" s="20">
        <f t="shared" si="4"/>
        <v>0.6842879999999999</v>
      </c>
      <c r="S54" s="20">
        <f t="shared" si="5"/>
        <v>18.126504000000001</v>
      </c>
      <c r="T54" s="20">
        <f t="shared" si="6"/>
        <v>0</v>
      </c>
      <c r="U54" s="20">
        <f t="shared" si="7"/>
        <v>0</v>
      </c>
      <c r="V54" s="20">
        <f t="shared" si="8"/>
        <v>0</v>
      </c>
      <c r="W54" s="20">
        <f t="shared" si="9"/>
        <v>71.28</v>
      </c>
      <c r="Y54">
        <v>594</v>
      </c>
    </row>
  </sheetData>
  <mergeCells count="10">
    <mergeCell ref="C5:N5"/>
    <mergeCell ref="C6:N6"/>
    <mergeCell ref="C31:N31"/>
    <mergeCell ref="Y1:Y2"/>
    <mergeCell ref="A1:A2"/>
    <mergeCell ref="B1:B2"/>
    <mergeCell ref="C1:D1"/>
    <mergeCell ref="E1:M1"/>
    <mergeCell ref="N1:N2"/>
    <mergeCell ref="O1:W1"/>
  </mergeCells>
  <pageMargins left="0.7" right="0.7" top="0.75" bottom="0.75" header="0.3" footer="0.3"/>
  <ignoredErrors>
    <ignoredError sqref="O31:W3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0B08-4B52-4D4E-A59E-B9E1DA37E355}">
  <dimension ref="A1:AU20"/>
  <sheetViews>
    <sheetView zoomScale="85" zoomScaleNormal="85" workbookViewId="0">
      <selection activeCell="U11" sqref="U11"/>
    </sheetView>
  </sheetViews>
  <sheetFormatPr defaultRowHeight="15" x14ac:dyDescent="0.25"/>
  <cols>
    <col min="1" max="1" width="8.28515625" style="14" customWidth="1"/>
    <col min="2" max="2" width="25.28515625" style="14" customWidth="1"/>
    <col min="3" max="3" width="19.28515625" style="14" customWidth="1"/>
    <col min="4" max="11" width="9.140625" style="14"/>
    <col min="12" max="12" width="14.5703125" style="14" customWidth="1"/>
    <col min="13" max="26" width="9.140625" style="14"/>
    <col min="27" max="27" width="11" style="14" customWidth="1"/>
    <col min="28" max="16384" width="9.140625" style="14"/>
  </cols>
  <sheetData>
    <row r="1" spans="1:47" x14ac:dyDescent="0.25">
      <c r="A1" s="54" t="s">
        <v>4</v>
      </c>
      <c r="B1" s="54" t="s">
        <v>0</v>
      </c>
      <c r="C1" s="48" t="s">
        <v>5</v>
      </c>
      <c r="D1" s="48"/>
      <c r="E1" s="49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50" t="s">
        <v>7</v>
      </c>
      <c r="P1" s="50"/>
      <c r="Q1" s="50"/>
      <c r="R1" s="50"/>
      <c r="S1" s="50"/>
      <c r="T1" s="50"/>
      <c r="U1" s="50"/>
      <c r="V1" s="50"/>
      <c r="W1" s="50"/>
      <c r="Y1" s="48" t="s">
        <v>4</v>
      </c>
      <c r="Z1" s="48" t="s">
        <v>0</v>
      </c>
      <c r="AA1" s="48" t="s">
        <v>5</v>
      </c>
      <c r="AB1" s="48"/>
      <c r="AC1" s="63" t="s">
        <v>37</v>
      </c>
      <c r="AD1" s="63"/>
      <c r="AE1" s="63"/>
      <c r="AF1" s="63"/>
      <c r="AG1" s="63"/>
      <c r="AH1" s="63"/>
      <c r="AI1" s="63"/>
      <c r="AJ1" s="63"/>
      <c r="AK1" s="63"/>
      <c r="AL1" s="64" t="s">
        <v>15</v>
      </c>
      <c r="AM1" s="74" t="s">
        <v>38</v>
      </c>
      <c r="AN1" s="74"/>
      <c r="AO1" s="74"/>
      <c r="AP1" s="74"/>
      <c r="AQ1" s="74"/>
      <c r="AR1" s="74"/>
      <c r="AS1" s="74"/>
      <c r="AT1" s="74"/>
      <c r="AU1" s="74"/>
    </row>
    <row r="2" spans="1:47" ht="105" x14ac:dyDescent="0.25">
      <c r="A2" s="55"/>
      <c r="B2" s="55"/>
      <c r="C2" s="57" t="s">
        <v>8</v>
      </c>
      <c r="D2" s="54" t="s">
        <v>9</v>
      </c>
      <c r="E2" s="66" t="s">
        <v>36</v>
      </c>
      <c r="F2" s="67"/>
      <c r="G2" s="68" t="s">
        <v>10</v>
      </c>
      <c r="H2" s="68" t="s">
        <v>11</v>
      </c>
      <c r="I2" s="49" t="s">
        <v>148</v>
      </c>
      <c r="J2" s="49"/>
      <c r="K2" s="68" t="s">
        <v>12</v>
      </c>
      <c r="L2" s="68" t="s">
        <v>13</v>
      </c>
      <c r="M2" s="68" t="s">
        <v>14</v>
      </c>
      <c r="N2" s="68" t="s">
        <v>15</v>
      </c>
      <c r="O2" s="70" t="s">
        <v>23</v>
      </c>
      <c r="P2" s="71"/>
      <c r="Q2" s="72" t="s">
        <v>10</v>
      </c>
      <c r="R2" s="72" t="s">
        <v>11</v>
      </c>
      <c r="S2" s="50" t="s">
        <v>148</v>
      </c>
      <c r="T2" s="50"/>
      <c r="U2" s="72" t="s">
        <v>12</v>
      </c>
      <c r="V2" s="72" t="s">
        <v>13</v>
      </c>
      <c r="W2" s="72" t="s">
        <v>14</v>
      </c>
      <c r="Y2" s="48"/>
      <c r="Z2" s="48"/>
      <c r="AA2" s="3" t="s">
        <v>8</v>
      </c>
      <c r="AB2" s="4" t="s">
        <v>9</v>
      </c>
      <c r="AC2" s="17" t="s">
        <v>39</v>
      </c>
      <c r="AD2" s="17" t="s">
        <v>40</v>
      </c>
      <c r="AE2" s="17" t="s">
        <v>41</v>
      </c>
      <c r="AF2" s="17" t="s">
        <v>42</v>
      </c>
      <c r="AG2" s="17" t="s">
        <v>43</v>
      </c>
      <c r="AH2" s="17" t="s">
        <v>44</v>
      </c>
      <c r="AI2" s="17" t="s">
        <v>45</v>
      </c>
      <c r="AJ2" s="17" t="s">
        <v>11</v>
      </c>
      <c r="AK2" s="18" t="s">
        <v>46</v>
      </c>
      <c r="AL2" s="64"/>
      <c r="AM2" s="19" t="s">
        <v>39</v>
      </c>
      <c r="AN2" s="19" t="s">
        <v>40</v>
      </c>
      <c r="AO2" s="19" t="s">
        <v>41</v>
      </c>
      <c r="AP2" s="19" t="s">
        <v>42</v>
      </c>
      <c r="AQ2" s="19" t="s">
        <v>43</v>
      </c>
      <c r="AR2" s="19" t="s">
        <v>44</v>
      </c>
      <c r="AS2" s="19" t="s">
        <v>45</v>
      </c>
      <c r="AT2" s="19" t="s">
        <v>11</v>
      </c>
      <c r="AU2" s="19" t="s">
        <v>46</v>
      </c>
    </row>
    <row r="3" spans="1:47" ht="60" x14ac:dyDescent="0.25">
      <c r="A3" s="56"/>
      <c r="B3" s="56"/>
      <c r="C3" s="58"/>
      <c r="D3" s="56"/>
      <c r="E3" s="5" t="s">
        <v>24</v>
      </c>
      <c r="F3" s="5" t="s">
        <v>25</v>
      </c>
      <c r="G3" s="69"/>
      <c r="H3" s="69"/>
      <c r="I3" s="31" t="s">
        <v>149</v>
      </c>
      <c r="J3" s="31" t="s">
        <v>150</v>
      </c>
      <c r="K3" s="69"/>
      <c r="L3" s="69"/>
      <c r="M3" s="69"/>
      <c r="N3" s="69"/>
      <c r="O3" s="15" t="s">
        <v>24</v>
      </c>
      <c r="P3" s="15" t="s">
        <v>25</v>
      </c>
      <c r="Q3" s="73"/>
      <c r="R3" s="73"/>
      <c r="S3" s="32" t="s">
        <v>149</v>
      </c>
      <c r="T3" s="32" t="s">
        <v>150</v>
      </c>
      <c r="U3" s="73"/>
      <c r="V3" s="73"/>
      <c r="W3" s="73"/>
      <c r="Y3" s="4"/>
      <c r="Z3" s="4"/>
      <c r="AA3" s="3"/>
      <c r="AB3" s="4"/>
      <c r="AC3" s="17"/>
      <c r="AD3" s="17"/>
      <c r="AE3" s="17"/>
      <c r="AF3" s="17"/>
      <c r="AG3" s="17"/>
      <c r="AH3" s="17"/>
      <c r="AI3" s="17"/>
      <c r="AJ3" s="17"/>
      <c r="AK3" s="18"/>
      <c r="AL3" s="18"/>
      <c r="AM3" s="19"/>
      <c r="AN3" s="19"/>
      <c r="AO3" s="19"/>
      <c r="AP3" s="19"/>
      <c r="AQ3" s="19"/>
      <c r="AR3" s="19"/>
      <c r="AS3" s="19"/>
      <c r="AT3" s="19"/>
      <c r="AU3" s="19"/>
    </row>
    <row r="4" spans="1:47" x14ac:dyDescent="0.25">
      <c r="A4" s="6">
        <v>1</v>
      </c>
      <c r="B4" s="6" t="s">
        <v>55</v>
      </c>
      <c r="C4" s="9"/>
      <c r="D4" s="6"/>
      <c r="E4" s="7"/>
      <c r="F4" s="7"/>
      <c r="G4" s="8"/>
      <c r="H4" s="7"/>
      <c r="I4" s="7"/>
      <c r="J4" s="7"/>
      <c r="K4" s="8"/>
      <c r="L4" s="8"/>
      <c r="M4" s="7"/>
      <c r="N4" s="7"/>
      <c r="O4" s="20">
        <f>SUM(O5:O8)</f>
        <v>0</v>
      </c>
      <c r="P4" s="20">
        <f t="shared" ref="P4:W4" si="0">SUM(P5:P8)</f>
        <v>0</v>
      </c>
      <c r="Q4" s="20">
        <f t="shared" si="0"/>
        <v>6729199.4699999997</v>
      </c>
      <c r="R4" s="20">
        <f t="shared" si="0"/>
        <v>176284.236</v>
      </c>
      <c r="S4" s="20">
        <f t="shared" si="0"/>
        <v>0</v>
      </c>
      <c r="T4" s="20">
        <f t="shared" si="0"/>
        <v>0</v>
      </c>
      <c r="U4" s="20">
        <f t="shared" si="0"/>
        <v>6729199.4699999997</v>
      </c>
      <c r="V4" s="20">
        <f t="shared" si="0"/>
        <v>8315468.9439999992</v>
      </c>
      <c r="W4" s="20">
        <f t="shared" si="0"/>
        <v>21950152.120000001</v>
      </c>
      <c r="Y4" s="6"/>
      <c r="Z4" s="6"/>
      <c r="AA4" s="9"/>
      <c r="AB4" s="6"/>
      <c r="AC4" s="7"/>
      <c r="AD4" s="7"/>
      <c r="AE4" s="7"/>
      <c r="AF4" s="7"/>
      <c r="AG4" s="7"/>
      <c r="AH4" s="7"/>
      <c r="AI4" s="7"/>
      <c r="AJ4" s="7"/>
      <c r="AK4" s="7"/>
      <c r="AL4" s="7"/>
      <c r="AM4" s="41"/>
      <c r="AN4" s="41"/>
      <c r="AO4" s="41"/>
      <c r="AP4" s="41"/>
      <c r="AQ4" s="41"/>
      <c r="AR4" s="41"/>
      <c r="AS4" s="41"/>
      <c r="AT4" s="41"/>
      <c r="AU4" s="41"/>
    </row>
    <row r="5" spans="1:47" s="27" customFormat="1" x14ac:dyDescent="0.25">
      <c r="A5" s="24"/>
      <c r="B5" s="24" t="s">
        <v>1</v>
      </c>
      <c r="C5" s="25">
        <f>1748620+108992</f>
        <v>1857612</v>
      </c>
      <c r="D5" s="24" t="s">
        <v>16</v>
      </c>
      <c r="E5" s="24">
        <v>0</v>
      </c>
      <c r="F5" s="24">
        <v>0</v>
      </c>
      <c r="G5" s="26">
        <v>3622.5</v>
      </c>
      <c r="H5" s="24">
        <v>0</v>
      </c>
      <c r="I5" s="24">
        <v>0</v>
      </c>
      <c r="J5" s="24">
        <v>0</v>
      </c>
      <c r="K5" s="26">
        <v>3622.5</v>
      </c>
      <c r="L5" s="26">
        <v>4255</v>
      </c>
      <c r="M5" s="24">
        <v>11500</v>
      </c>
      <c r="N5" s="24" t="s">
        <v>17</v>
      </c>
      <c r="O5" s="12">
        <f>$C5*E5/1000</f>
        <v>0</v>
      </c>
      <c r="P5" s="12">
        <f>$C5*F5/1000</f>
        <v>0</v>
      </c>
      <c r="Q5" s="12">
        <f>$C5*G5/1000</f>
        <v>6729199.4699999997</v>
      </c>
      <c r="R5" s="12">
        <f>$C5*H5/1000</f>
        <v>0</v>
      </c>
      <c r="S5" s="12">
        <f>$C5*I5/1000</f>
        <v>0</v>
      </c>
      <c r="T5" s="12">
        <f>$C5*J5/1000</f>
        <v>0</v>
      </c>
      <c r="U5" s="12">
        <f>$C5*K5/1000</f>
        <v>6729199.4699999997</v>
      </c>
      <c r="V5" s="12">
        <f>$C5*L5/1000</f>
        <v>7904139.0599999996</v>
      </c>
      <c r="W5" s="12">
        <f>$C5*M5/1000</f>
        <v>21362538</v>
      </c>
      <c r="Y5" s="24"/>
      <c r="Z5" s="24"/>
      <c r="AA5" s="25"/>
      <c r="AB5" s="24"/>
      <c r="AC5" s="28"/>
      <c r="AD5" s="28"/>
      <c r="AE5" s="28"/>
      <c r="AF5" s="28"/>
      <c r="AG5" s="28"/>
      <c r="AH5" s="28"/>
      <c r="AI5" s="28"/>
      <c r="AJ5" s="28"/>
      <c r="AK5" s="29"/>
      <c r="AL5" s="29"/>
      <c r="AM5" s="30"/>
      <c r="AN5" s="30"/>
      <c r="AO5" s="30"/>
      <c r="AP5" s="30"/>
      <c r="AQ5" s="30"/>
      <c r="AR5" s="30"/>
      <c r="AS5" s="30"/>
      <c r="AT5" s="30"/>
      <c r="AU5" s="30"/>
    </row>
    <row r="6" spans="1:47" s="27" customFormat="1" x14ac:dyDescent="0.25">
      <c r="A6" s="24"/>
      <c r="B6" s="24" t="s">
        <v>2</v>
      </c>
      <c r="C6" s="25">
        <v>64970</v>
      </c>
      <c r="D6" s="24" t="s">
        <v>16</v>
      </c>
      <c r="E6" s="24">
        <v>0</v>
      </c>
      <c r="F6" s="24">
        <v>0</v>
      </c>
      <c r="G6" s="26">
        <v>0</v>
      </c>
      <c r="H6" s="24">
        <v>880.8</v>
      </c>
      <c r="I6" s="24">
        <v>0</v>
      </c>
      <c r="J6" s="24">
        <v>0</v>
      </c>
      <c r="K6" s="26">
        <v>0</v>
      </c>
      <c r="L6" s="26">
        <v>2055.1999999999998</v>
      </c>
      <c r="M6" s="24">
        <v>2936</v>
      </c>
      <c r="N6" s="24" t="s">
        <v>17</v>
      </c>
      <c r="O6" s="12">
        <f t="shared" ref="O6:O8" si="1">$C6*E6/1000</f>
        <v>0</v>
      </c>
      <c r="P6" s="12">
        <f t="shared" ref="P6:P8" si="2">$C6*F6/1000</f>
        <v>0</v>
      </c>
      <c r="Q6" s="12">
        <f t="shared" ref="Q6:Q8" si="3">$C6*G6/1000</f>
        <v>0</v>
      </c>
      <c r="R6" s="12">
        <f t="shared" ref="R6:R8" si="4">$C6*H6/1000</f>
        <v>57225.576000000001</v>
      </c>
      <c r="S6" s="12">
        <f t="shared" ref="S6:S8" si="5">$C6*I6/1000</f>
        <v>0</v>
      </c>
      <c r="T6" s="12">
        <f t="shared" ref="T6:T8" si="6">$C6*J6/1000</f>
        <v>0</v>
      </c>
      <c r="U6" s="12">
        <f t="shared" ref="U6:U8" si="7">$C6*K6/1000</f>
        <v>0</v>
      </c>
      <c r="V6" s="12">
        <f t="shared" ref="V6:V8" si="8">$C6*L6/1000</f>
        <v>133526.34399999998</v>
      </c>
      <c r="W6" s="12">
        <f>$C6*M6/1000</f>
        <v>190751.92</v>
      </c>
      <c r="Y6" s="24"/>
      <c r="Z6" s="24"/>
      <c r="AA6" s="25"/>
      <c r="AB6" s="24"/>
      <c r="AC6" s="28"/>
      <c r="AD6" s="28"/>
      <c r="AE6" s="28"/>
      <c r="AF6" s="28"/>
      <c r="AG6" s="28"/>
      <c r="AH6" s="28"/>
      <c r="AI6" s="28"/>
      <c r="AJ6" s="28"/>
      <c r="AK6" s="29"/>
      <c r="AL6" s="29"/>
      <c r="AM6" s="30"/>
      <c r="AN6" s="30"/>
      <c r="AO6" s="30"/>
      <c r="AP6" s="30"/>
      <c r="AQ6" s="30"/>
      <c r="AR6" s="30"/>
      <c r="AS6" s="30"/>
      <c r="AT6" s="30"/>
      <c r="AU6" s="30"/>
    </row>
    <row r="7" spans="1:47" s="27" customFormat="1" x14ac:dyDescent="0.25">
      <c r="A7" s="24"/>
      <c r="B7" s="24" t="s">
        <v>105</v>
      </c>
      <c r="C7" s="25">
        <f>98938+80719+9691</f>
        <v>189348</v>
      </c>
      <c r="D7" s="24" t="s">
        <v>30</v>
      </c>
      <c r="E7" s="24">
        <v>0</v>
      </c>
      <c r="F7" s="24">
        <v>0</v>
      </c>
      <c r="G7" s="26">
        <v>0</v>
      </c>
      <c r="H7" s="24">
        <v>45</v>
      </c>
      <c r="I7" s="24">
        <v>0</v>
      </c>
      <c r="J7" s="24">
        <v>0</v>
      </c>
      <c r="K7" s="26">
        <v>0</v>
      </c>
      <c r="L7" s="26">
        <v>105</v>
      </c>
      <c r="M7" s="24">
        <v>150</v>
      </c>
      <c r="N7" s="24" t="s">
        <v>31</v>
      </c>
      <c r="O7" s="12">
        <f t="shared" si="1"/>
        <v>0</v>
      </c>
      <c r="P7" s="12">
        <f t="shared" si="2"/>
        <v>0</v>
      </c>
      <c r="Q7" s="12">
        <f t="shared" si="3"/>
        <v>0</v>
      </c>
      <c r="R7" s="12">
        <f t="shared" si="4"/>
        <v>8520.66</v>
      </c>
      <c r="S7" s="12">
        <f t="shared" si="5"/>
        <v>0</v>
      </c>
      <c r="T7" s="12">
        <f t="shared" si="6"/>
        <v>0</v>
      </c>
      <c r="U7" s="12">
        <f t="shared" si="7"/>
        <v>0</v>
      </c>
      <c r="V7" s="12">
        <f t="shared" si="8"/>
        <v>19881.54</v>
      </c>
      <c r="W7" s="12">
        <f>$C7*M7/1000</f>
        <v>28402.2</v>
      </c>
      <c r="Y7" s="24"/>
      <c r="Z7" s="24"/>
      <c r="AA7" s="25"/>
      <c r="AB7" s="24"/>
      <c r="AC7" s="28"/>
      <c r="AD7" s="28"/>
      <c r="AE7" s="28"/>
      <c r="AF7" s="28"/>
      <c r="AG7" s="28"/>
      <c r="AH7" s="28"/>
      <c r="AI7" s="28"/>
      <c r="AJ7" s="28"/>
      <c r="AK7" s="29"/>
      <c r="AL7" s="29"/>
      <c r="AM7" s="30"/>
      <c r="AN7" s="30"/>
      <c r="AO7" s="30"/>
      <c r="AP7" s="30"/>
      <c r="AQ7" s="30"/>
      <c r="AR7" s="30"/>
      <c r="AS7" s="30"/>
      <c r="AT7" s="30"/>
      <c r="AU7" s="30"/>
    </row>
    <row r="8" spans="1:47" s="27" customFormat="1" x14ac:dyDescent="0.25">
      <c r="A8" s="24"/>
      <c r="B8" s="24" t="s">
        <v>104</v>
      </c>
      <c r="C8" s="25">
        <f>2000224+456176</f>
        <v>2456400</v>
      </c>
      <c r="D8" s="24" t="s">
        <v>26</v>
      </c>
      <c r="E8" s="24">
        <v>0</v>
      </c>
      <c r="F8" s="24">
        <v>0</v>
      </c>
      <c r="G8" s="26">
        <v>0</v>
      </c>
      <c r="H8" s="24">
        <v>45</v>
      </c>
      <c r="I8" s="24">
        <v>0</v>
      </c>
      <c r="J8" s="24">
        <v>0</v>
      </c>
      <c r="K8" s="26">
        <v>0</v>
      </c>
      <c r="L8" s="26">
        <v>105</v>
      </c>
      <c r="M8" s="24">
        <v>150</v>
      </c>
      <c r="N8" s="24" t="s">
        <v>27</v>
      </c>
      <c r="O8" s="12">
        <f t="shared" si="1"/>
        <v>0</v>
      </c>
      <c r="P8" s="12">
        <f t="shared" si="2"/>
        <v>0</v>
      </c>
      <c r="Q8" s="12">
        <f t="shared" si="3"/>
        <v>0</v>
      </c>
      <c r="R8" s="12">
        <f t="shared" si="4"/>
        <v>110538</v>
      </c>
      <c r="S8" s="12">
        <f t="shared" si="5"/>
        <v>0</v>
      </c>
      <c r="T8" s="12">
        <f t="shared" si="6"/>
        <v>0</v>
      </c>
      <c r="U8" s="12">
        <f t="shared" si="7"/>
        <v>0</v>
      </c>
      <c r="V8" s="12">
        <f t="shared" si="8"/>
        <v>257922</v>
      </c>
      <c r="W8" s="12">
        <f>$C8*M8/1000</f>
        <v>368460</v>
      </c>
      <c r="Y8" s="24"/>
      <c r="Z8" s="24"/>
      <c r="AA8" s="25"/>
      <c r="AB8" s="24"/>
      <c r="AC8" s="28"/>
      <c r="AD8" s="28"/>
      <c r="AE8" s="28"/>
      <c r="AF8" s="28"/>
      <c r="AG8" s="28"/>
      <c r="AH8" s="28"/>
      <c r="AI8" s="28"/>
      <c r="AJ8" s="28"/>
      <c r="AK8" s="29"/>
      <c r="AL8" s="29"/>
      <c r="AM8" s="30"/>
      <c r="AN8" s="30"/>
      <c r="AO8" s="30"/>
      <c r="AP8" s="30"/>
      <c r="AQ8" s="30"/>
      <c r="AR8" s="30"/>
      <c r="AS8" s="30"/>
      <c r="AT8" s="30"/>
      <c r="AU8" s="30"/>
    </row>
    <row r="9" spans="1:47" x14ac:dyDescent="0.25">
      <c r="A9" s="6">
        <v>3</v>
      </c>
      <c r="B9" s="6" t="s">
        <v>57</v>
      </c>
      <c r="C9" s="9"/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20">
        <f>SUM(O10:O13)</f>
        <v>0</v>
      </c>
      <c r="P9" s="20">
        <f t="shared" ref="P9:W9" si="9">SUM(P10:P13)</f>
        <v>0</v>
      </c>
      <c r="Q9" s="20">
        <f t="shared" si="9"/>
        <v>0</v>
      </c>
      <c r="R9" s="20">
        <f t="shared" si="9"/>
        <v>52201.02</v>
      </c>
      <c r="S9" s="20">
        <f t="shared" si="9"/>
        <v>0</v>
      </c>
      <c r="T9" s="20">
        <f t="shared" si="9"/>
        <v>0</v>
      </c>
      <c r="U9" s="20">
        <f t="shared" si="9"/>
        <v>0</v>
      </c>
      <c r="V9" s="20">
        <f t="shared" si="9"/>
        <v>106124.04000000001</v>
      </c>
      <c r="W9" s="20">
        <f t="shared" si="9"/>
        <v>158325.06</v>
      </c>
      <c r="Y9" s="6">
        <v>3</v>
      </c>
      <c r="Z9" s="6" t="s">
        <v>57</v>
      </c>
      <c r="AA9" s="9"/>
      <c r="AB9" s="6"/>
      <c r="AC9" s="7"/>
      <c r="AD9" s="7"/>
      <c r="AE9" s="7"/>
      <c r="AF9" s="7"/>
      <c r="AG9" s="7"/>
      <c r="AH9" s="7"/>
      <c r="AI9" s="7"/>
      <c r="AJ9" s="7"/>
      <c r="AK9" s="7"/>
      <c r="AL9" s="7"/>
      <c r="AM9" s="41">
        <f>SUM(AM10:AM13)</f>
        <v>3657.6514559999996</v>
      </c>
      <c r="AN9" s="41">
        <f t="shared" ref="AN9:AU9" si="10">SUM(AN10:AN13)</f>
        <v>0</v>
      </c>
      <c r="AO9" s="41">
        <f t="shared" si="10"/>
        <v>0</v>
      </c>
      <c r="AP9" s="41">
        <f t="shared" si="10"/>
        <v>67288.079215999984</v>
      </c>
      <c r="AQ9" s="41">
        <f t="shared" si="10"/>
        <v>104397.22932799999</v>
      </c>
      <c r="AR9" s="41">
        <f t="shared" si="10"/>
        <v>0</v>
      </c>
      <c r="AS9" s="41">
        <f t="shared" si="10"/>
        <v>0</v>
      </c>
      <c r="AT9" s="41">
        <f t="shared" si="10"/>
        <v>0</v>
      </c>
      <c r="AU9" s="41">
        <f t="shared" si="10"/>
        <v>175342.96</v>
      </c>
    </row>
    <row r="10" spans="1:47" s="27" customFormat="1" x14ac:dyDescent="0.25">
      <c r="A10" s="24"/>
      <c r="B10" s="24" t="s">
        <v>106</v>
      </c>
      <c r="C10" s="25">
        <v>36565</v>
      </c>
      <c r="D10" s="24" t="s">
        <v>112</v>
      </c>
      <c r="E10" s="24">
        <v>0</v>
      </c>
      <c r="F10" s="24">
        <v>0</v>
      </c>
      <c r="G10" s="24">
        <v>0</v>
      </c>
      <c r="H10" s="24">
        <v>15</v>
      </c>
      <c r="I10" s="24">
        <v>0</v>
      </c>
      <c r="J10" s="24">
        <v>0</v>
      </c>
      <c r="K10" s="24">
        <v>0</v>
      </c>
      <c r="L10" s="24">
        <v>35</v>
      </c>
      <c r="M10" s="24">
        <v>50</v>
      </c>
      <c r="N10" s="24" t="s">
        <v>113</v>
      </c>
      <c r="O10" s="12">
        <f>$C10*E10/1000</f>
        <v>0</v>
      </c>
      <c r="P10" s="12">
        <f>$C10*F10/1000</f>
        <v>0</v>
      </c>
      <c r="Q10" s="12">
        <f>$C10*G10/1000</f>
        <v>0</v>
      </c>
      <c r="R10" s="12">
        <f>$C10*H10/1000</f>
        <v>548.47500000000002</v>
      </c>
      <c r="S10" s="12">
        <f>$C10*I10/1000</f>
        <v>0</v>
      </c>
      <c r="T10" s="12">
        <f>$C10*J10/1000</f>
        <v>0</v>
      </c>
      <c r="U10" s="12">
        <f>$C10*K10/1000</f>
        <v>0</v>
      </c>
      <c r="V10" s="12">
        <f>$C10*L10/1000</f>
        <v>1279.7750000000001</v>
      </c>
      <c r="W10" s="12">
        <f>$C10*M10/1000</f>
        <v>1828.25</v>
      </c>
      <c r="Y10" s="24"/>
      <c r="Z10" s="24"/>
      <c r="AA10" s="25"/>
      <c r="AB10" s="24"/>
      <c r="AC10" s="28"/>
      <c r="AD10" s="28"/>
      <c r="AE10" s="28"/>
      <c r="AF10" s="28"/>
      <c r="AG10" s="28"/>
      <c r="AH10" s="28"/>
      <c r="AI10" s="28"/>
      <c r="AJ10" s="28"/>
      <c r="AK10" s="29"/>
      <c r="AL10" s="29"/>
      <c r="AM10" s="30"/>
      <c r="AN10" s="30"/>
      <c r="AO10" s="30"/>
      <c r="AP10" s="30"/>
      <c r="AQ10" s="30"/>
      <c r="AR10" s="30"/>
      <c r="AS10" s="30"/>
      <c r="AT10" s="30"/>
      <c r="AU10" s="30"/>
    </row>
    <row r="11" spans="1:47" s="27" customFormat="1" x14ac:dyDescent="0.25">
      <c r="A11" s="24"/>
      <c r="B11" s="24" t="s">
        <v>107</v>
      </c>
      <c r="C11" s="25">
        <v>101444</v>
      </c>
      <c r="D11" s="24" t="s">
        <v>110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380</v>
      </c>
      <c r="M11" s="24">
        <v>380</v>
      </c>
      <c r="N11" s="24" t="s">
        <v>111</v>
      </c>
      <c r="O11" s="12">
        <f t="shared" ref="O11:O13" si="11">$C11*E11/1000</f>
        <v>0</v>
      </c>
      <c r="P11" s="12">
        <f t="shared" ref="P11:P13" si="12">$C11*F11/1000</f>
        <v>0</v>
      </c>
      <c r="Q11" s="12">
        <f t="shared" ref="Q11:Q13" si="13">$C11*G11/1000</f>
        <v>0</v>
      </c>
      <c r="R11" s="12">
        <f t="shared" ref="R11:R13" si="14">$C11*H11/1000</f>
        <v>0</v>
      </c>
      <c r="S11" s="12">
        <f t="shared" ref="S11:S13" si="15">$C11*I11/1000</f>
        <v>0</v>
      </c>
      <c r="T11" s="12">
        <f t="shared" ref="T11:T13" si="16">$C11*J11/1000</f>
        <v>0</v>
      </c>
      <c r="U11" s="12">
        <f t="shared" ref="U11:U13" si="17">$C11*K11/1000</f>
        <v>0</v>
      </c>
      <c r="V11" s="12">
        <f t="shared" ref="V11:V13" si="18">$C11*L11/1000</f>
        <v>38548.720000000001</v>
      </c>
      <c r="W11" s="12">
        <f t="shared" ref="W11:W13" si="19">$C11*M11/1000</f>
        <v>38548.720000000001</v>
      </c>
      <c r="Y11" s="24"/>
      <c r="Z11" s="24" t="s">
        <v>107</v>
      </c>
      <c r="AA11" s="25">
        <f>C11</f>
        <v>101444</v>
      </c>
      <c r="AB11" s="42" t="s">
        <v>110</v>
      </c>
      <c r="AC11" s="43">
        <v>0</v>
      </c>
      <c r="AD11" s="43">
        <v>0</v>
      </c>
      <c r="AE11" s="43">
        <v>0</v>
      </c>
      <c r="AF11" s="43">
        <v>0.09</v>
      </c>
      <c r="AG11" s="43">
        <v>0.21</v>
      </c>
      <c r="AH11" s="43">
        <v>0</v>
      </c>
      <c r="AI11" s="43">
        <v>0</v>
      </c>
      <c r="AJ11" s="43">
        <v>0</v>
      </c>
      <c r="AK11" s="34">
        <v>0.3</v>
      </c>
      <c r="AL11" s="34" t="s">
        <v>142</v>
      </c>
      <c r="AM11" s="11">
        <f>$AA11*AC11</f>
        <v>0</v>
      </c>
      <c r="AN11" s="11">
        <f t="shared" ref="AN11:AU11" si="20">$AA11*AD11</f>
        <v>0</v>
      </c>
      <c r="AO11" s="11">
        <f t="shared" si="20"/>
        <v>0</v>
      </c>
      <c r="AP11" s="11">
        <f t="shared" si="20"/>
        <v>9129.9599999999991</v>
      </c>
      <c r="AQ11" s="11">
        <f t="shared" si="20"/>
        <v>21303.239999999998</v>
      </c>
      <c r="AR11" s="11">
        <f t="shared" si="20"/>
        <v>0</v>
      </c>
      <c r="AS11" s="11">
        <f t="shared" si="20"/>
        <v>0</v>
      </c>
      <c r="AT11" s="11">
        <f t="shared" si="20"/>
        <v>0</v>
      </c>
      <c r="AU11" s="11">
        <f t="shared" si="20"/>
        <v>30433.199999999997</v>
      </c>
    </row>
    <row r="12" spans="1:47" s="27" customFormat="1" x14ac:dyDescent="0.25">
      <c r="A12" s="24"/>
      <c r="B12" s="24" t="s">
        <v>108</v>
      </c>
      <c r="C12" s="25">
        <v>174926</v>
      </c>
      <c r="D12" s="24" t="s">
        <v>114</v>
      </c>
      <c r="E12" s="24">
        <v>0</v>
      </c>
      <c r="F12" s="24">
        <v>0</v>
      </c>
      <c r="G12" s="24">
        <v>0</v>
      </c>
      <c r="H12" s="24">
        <v>232.5</v>
      </c>
      <c r="I12" s="24">
        <v>0</v>
      </c>
      <c r="J12" s="24">
        <v>0</v>
      </c>
      <c r="K12" s="24">
        <v>0</v>
      </c>
      <c r="L12" s="24">
        <v>232.5</v>
      </c>
      <c r="M12" s="24">
        <v>465</v>
      </c>
      <c r="N12" s="24" t="s">
        <v>115</v>
      </c>
      <c r="O12" s="12">
        <f t="shared" si="11"/>
        <v>0</v>
      </c>
      <c r="P12" s="12">
        <f t="shared" si="12"/>
        <v>0</v>
      </c>
      <c r="Q12" s="12">
        <f t="shared" si="13"/>
        <v>0</v>
      </c>
      <c r="R12" s="12">
        <f t="shared" si="14"/>
        <v>40670.294999999998</v>
      </c>
      <c r="S12" s="12">
        <f t="shared" si="15"/>
        <v>0</v>
      </c>
      <c r="T12" s="12">
        <f t="shared" si="16"/>
        <v>0</v>
      </c>
      <c r="U12" s="12">
        <f t="shared" si="17"/>
        <v>0</v>
      </c>
      <c r="V12" s="12">
        <f t="shared" si="18"/>
        <v>40670.294999999998</v>
      </c>
      <c r="W12" s="12">
        <f t="shared" si="19"/>
        <v>81340.59</v>
      </c>
      <c r="Y12" s="24"/>
      <c r="Z12" s="24" t="s">
        <v>108</v>
      </c>
      <c r="AA12" s="25">
        <f>C12</f>
        <v>174926</v>
      </c>
      <c r="AB12" s="42" t="s">
        <v>144</v>
      </c>
      <c r="AC12" s="43">
        <v>0</v>
      </c>
      <c r="AD12" s="43">
        <v>0</v>
      </c>
      <c r="AE12" s="43">
        <v>0</v>
      </c>
      <c r="AF12" s="43">
        <v>0.3322</v>
      </c>
      <c r="AG12" s="43">
        <v>0.46779999999999999</v>
      </c>
      <c r="AH12" s="43">
        <v>0</v>
      </c>
      <c r="AI12" s="43">
        <v>0</v>
      </c>
      <c r="AJ12" s="43">
        <v>0</v>
      </c>
      <c r="AK12" s="34">
        <v>0.8</v>
      </c>
      <c r="AL12" s="34" t="s">
        <v>143</v>
      </c>
      <c r="AM12" s="11">
        <f t="shared" ref="AM12:AM13" si="21">$AA12*AC12</f>
        <v>0</v>
      </c>
      <c r="AN12" s="11">
        <f t="shared" ref="AN12:AN13" si="22">$AA12*AD12</f>
        <v>0</v>
      </c>
      <c r="AO12" s="11">
        <f t="shared" ref="AO12:AO13" si="23">$AA12*AE12</f>
        <v>0</v>
      </c>
      <c r="AP12" s="11">
        <f t="shared" ref="AP12:AP13" si="24">$AA12*AF12</f>
        <v>58110.417199999996</v>
      </c>
      <c r="AQ12" s="11">
        <f t="shared" ref="AQ12:AQ13" si="25">$AA12*AG12</f>
        <v>81830.382799999992</v>
      </c>
      <c r="AR12" s="11">
        <f t="shared" ref="AR12:AR13" si="26">$AA12*AH12</f>
        <v>0</v>
      </c>
      <c r="AS12" s="11">
        <f t="shared" ref="AS12:AS13" si="27">$AA12*AI12</f>
        <v>0</v>
      </c>
      <c r="AT12" s="11">
        <f t="shared" ref="AT12:AT13" si="28">$AA12*AJ12</f>
        <v>0</v>
      </c>
      <c r="AU12" s="11">
        <f t="shared" ref="AU12:AU13" si="29">$AA12*AK12</f>
        <v>139940.80000000002</v>
      </c>
    </row>
    <row r="13" spans="1:47" s="27" customFormat="1" x14ac:dyDescent="0.25">
      <c r="A13" s="24"/>
      <c r="B13" s="24" t="s">
        <v>109</v>
      </c>
      <c r="C13" s="25">
        <f>17461+815+2701+223073</f>
        <v>244050</v>
      </c>
      <c r="D13" s="24" t="s">
        <v>28</v>
      </c>
      <c r="E13" s="24">
        <v>0</v>
      </c>
      <c r="F13" s="24">
        <v>0</v>
      </c>
      <c r="G13" s="24">
        <v>0</v>
      </c>
      <c r="H13" s="24">
        <v>45</v>
      </c>
      <c r="I13" s="24">
        <v>0</v>
      </c>
      <c r="J13" s="24">
        <v>0</v>
      </c>
      <c r="K13" s="24">
        <v>0</v>
      </c>
      <c r="L13" s="24">
        <v>105</v>
      </c>
      <c r="M13" s="24">
        <v>150</v>
      </c>
      <c r="N13" s="24" t="s">
        <v>29</v>
      </c>
      <c r="O13" s="12">
        <f t="shared" si="11"/>
        <v>0</v>
      </c>
      <c r="P13" s="12">
        <f t="shared" si="12"/>
        <v>0</v>
      </c>
      <c r="Q13" s="12">
        <f t="shared" si="13"/>
        <v>0</v>
      </c>
      <c r="R13" s="12">
        <f t="shared" si="14"/>
        <v>10982.25</v>
      </c>
      <c r="S13" s="12">
        <f t="shared" si="15"/>
        <v>0</v>
      </c>
      <c r="T13" s="12">
        <f t="shared" si="16"/>
        <v>0</v>
      </c>
      <c r="U13" s="12">
        <f t="shared" si="17"/>
        <v>0</v>
      </c>
      <c r="V13" s="12">
        <f t="shared" si="18"/>
        <v>25625.25</v>
      </c>
      <c r="W13" s="12">
        <f t="shared" si="19"/>
        <v>36607.5</v>
      </c>
      <c r="Y13" s="24"/>
      <c r="Z13" s="24" t="s">
        <v>109</v>
      </c>
      <c r="AA13" s="25">
        <v>41408</v>
      </c>
      <c r="AB13" s="11" t="s">
        <v>18</v>
      </c>
      <c r="AC13" s="11">
        <f>AC$20</f>
        <v>8.8331999999999994E-2</v>
      </c>
      <c r="AD13" s="11">
        <f t="shared" ref="AD13:AK13" si="30">AD$20</f>
        <v>0</v>
      </c>
      <c r="AE13" s="11">
        <f t="shared" si="30"/>
        <v>0</v>
      </c>
      <c r="AF13" s="11">
        <f t="shared" si="30"/>
        <v>1.1519999999999998E-3</v>
      </c>
      <c r="AG13" s="11">
        <f t="shared" si="30"/>
        <v>3.0516000000000001E-2</v>
      </c>
      <c r="AH13" s="11">
        <f t="shared" si="30"/>
        <v>0</v>
      </c>
      <c r="AI13" s="11">
        <f t="shared" si="30"/>
        <v>0</v>
      </c>
      <c r="AJ13" s="11">
        <f t="shared" si="30"/>
        <v>0</v>
      </c>
      <c r="AK13" s="11">
        <f t="shared" si="30"/>
        <v>0.12</v>
      </c>
      <c r="AL13" s="11" t="s">
        <v>47</v>
      </c>
      <c r="AM13" s="11">
        <f t="shared" si="21"/>
        <v>3657.6514559999996</v>
      </c>
      <c r="AN13" s="11">
        <f t="shared" si="22"/>
        <v>0</v>
      </c>
      <c r="AO13" s="11">
        <f t="shared" si="23"/>
        <v>0</v>
      </c>
      <c r="AP13" s="11">
        <f t="shared" si="24"/>
        <v>47.702015999999993</v>
      </c>
      <c r="AQ13" s="11">
        <f t="shared" si="25"/>
        <v>1263.606528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4968.96</v>
      </c>
    </row>
    <row r="14" spans="1:47" x14ac:dyDescent="0.25">
      <c r="A14" s="6">
        <v>4</v>
      </c>
      <c r="B14" s="6" t="s">
        <v>58</v>
      </c>
      <c r="C14" s="9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41">
        <f>SUM(O15:O17)</f>
        <v>0</v>
      </c>
      <c r="P14" s="41">
        <f t="shared" ref="P14:W14" si="31">SUM(P15:P17)</f>
        <v>0</v>
      </c>
      <c r="Q14" s="41">
        <f t="shared" si="31"/>
        <v>0</v>
      </c>
      <c r="R14" s="41">
        <f t="shared" si="31"/>
        <v>27175.655415000001</v>
      </c>
      <c r="S14" s="41">
        <f t="shared" si="31"/>
        <v>0</v>
      </c>
      <c r="T14" s="41">
        <f t="shared" si="31"/>
        <v>0</v>
      </c>
      <c r="U14" s="41">
        <f t="shared" si="31"/>
        <v>0</v>
      </c>
      <c r="V14" s="41">
        <f t="shared" si="31"/>
        <v>53094.537435000006</v>
      </c>
      <c r="W14" s="41">
        <f t="shared" si="31"/>
        <v>80270.192850000007</v>
      </c>
      <c r="Y14" s="6">
        <v>4</v>
      </c>
      <c r="Z14" s="6" t="s">
        <v>58</v>
      </c>
      <c r="AA14" s="9"/>
      <c r="AB14" s="6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41">
        <f>SUM(AM15:AM17)</f>
        <v>15898.523351999998</v>
      </c>
      <c r="AN14" s="41">
        <f t="shared" ref="AN14:AU14" si="32">SUM(AN15:AN17)</f>
        <v>0</v>
      </c>
      <c r="AO14" s="41">
        <f t="shared" si="32"/>
        <v>0</v>
      </c>
      <c r="AP14" s="41">
        <f t="shared" si="32"/>
        <v>207.34387199999998</v>
      </c>
      <c r="AQ14" s="41">
        <f t="shared" si="32"/>
        <v>110788.89767600001</v>
      </c>
      <c r="AR14" s="41">
        <f t="shared" si="32"/>
        <v>0</v>
      </c>
      <c r="AS14" s="41">
        <f t="shared" si="32"/>
        <v>0</v>
      </c>
      <c r="AT14" s="41">
        <f t="shared" si="32"/>
        <v>0</v>
      </c>
      <c r="AU14" s="41">
        <f t="shared" si="32"/>
        <v>130226.42990000002</v>
      </c>
    </row>
    <row r="15" spans="1:47" s="27" customFormat="1" x14ac:dyDescent="0.25">
      <c r="A15" s="33"/>
      <c r="B15" s="38" t="s">
        <v>119</v>
      </c>
      <c r="C15" s="39">
        <f>425826+116400+110660+13447</f>
        <v>666333</v>
      </c>
      <c r="D15" s="35" t="s">
        <v>116</v>
      </c>
      <c r="E15" s="36">
        <v>0</v>
      </c>
      <c r="F15" s="36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25</v>
      </c>
      <c r="M15" s="37">
        <v>25</v>
      </c>
      <c r="N15" s="35" t="s">
        <v>117</v>
      </c>
      <c r="O15" s="12">
        <f>$C15*E15/1000</f>
        <v>0</v>
      </c>
      <c r="P15" s="12">
        <f>$C15*F15/1000</f>
        <v>0</v>
      </c>
      <c r="Q15" s="12">
        <f>$C15*G15/1000</f>
        <v>0</v>
      </c>
      <c r="R15" s="12">
        <f>$C15*H15/1000</f>
        <v>0</v>
      </c>
      <c r="S15" s="12">
        <f>$C15*I15/1000</f>
        <v>0</v>
      </c>
      <c r="T15" s="12">
        <f>$C15*J15/1000</f>
        <v>0</v>
      </c>
      <c r="U15" s="12">
        <f>$C15*K15/1000</f>
        <v>0</v>
      </c>
      <c r="V15" s="12">
        <f>$C15*L15/1000</f>
        <v>16658.325000000001</v>
      </c>
      <c r="W15" s="12">
        <f>$C15*M15/1000</f>
        <v>16658.325000000001</v>
      </c>
      <c r="Y15" s="33"/>
      <c r="Z15" s="35" t="s">
        <v>119</v>
      </c>
      <c r="AA15" s="39">
        <f>C15</f>
        <v>666333</v>
      </c>
      <c r="AB15" s="35" t="s">
        <v>116</v>
      </c>
      <c r="AC15" s="43">
        <v>0</v>
      </c>
      <c r="AD15" s="43">
        <v>0</v>
      </c>
      <c r="AE15" s="43">
        <v>0</v>
      </c>
      <c r="AF15" s="43">
        <v>0</v>
      </c>
      <c r="AG15" s="43">
        <v>0.125</v>
      </c>
      <c r="AH15" s="43">
        <v>0</v>
      </c>
      <c r="AI15" s="43">
        <v>0</v>
      </c>
      <c r="AJ15" s="43">
        <v>0</v>
      </c>
      <c r="AK15" s="34">
        <v>0.13</v>
      </c>
      <c r="AL15" s="34" t="s">
        <v>145</v>
      </c>
      <c r="AM15" s="11">
        <f>$AA15*AC15</f>
        <v>0</v>
      </c>
      <c r="AN15" s="11">
        <f t="shared" ref="AN15:AU15" si="33">$AA15*AD15</f>
        <v>0</v>
      </c>
      <c r="AO15" s="11">
        <f t="shared" si="33"/>
        <v>0</v>
      </c>
      <c r="AP15" s="11">
        <f t="shared" si="33"/>
        <v>0</v>
      </c>
      <c r="AQ15" s="11">
        <f t="shared" si="33"/>
        <v>83291.625</v>
      </c>
      <c r="AR15" s="11">
        <f t="shared" si="33"/>
        <v>0</v>
      </c>
      <c r="AS15" s="11">
        <f t="shared" si="33"/>
        <v>0</v>
      </c>
      <c r="AT15" s="11">
        <f t="shared" si="33"/>
        <v>0</v>
      </c>
      <c r="AU15" s="11">
        <f t="shared" si="33"/>
        <v>86623.290000000008</v>
      </c>
    </row>
    <row r="16" spans="1:47" s="27" customFormat="1" x14ac:dyDescent="0.25">
      <c r="A16" s="33"/>
      <c r="B16" s="38" t="s">
        <v>120</v>
      </c>
      <c r="C16" s="39">
        <f>2610375+11575359+10924</f>
        <v>14196658</v>
      </c>
      <c r="D16" s="35" t="s">
        <v>116</v>
      </c>
      <c r="E16" s="36">
        <v>0</v>
      </c>
      <c r="F16" s="36">
        <v>0</v>
      </c>
      <c r="G16" s="37">
        <v>0</v>
      </c>
      <c r="H16" s="37">
        <v>1.425</v>
      </c>
      <c r="I16" s="37">
        <v>0</v>
      </c>
      <c r="J16" s="37">
        <v>0</v>
      </c>
      <c r="K16" s="37">
        <v>0</v>
      </c>
      <c r="L16" s="37">
        <v>1.425</v>
      </c>
      <c r="M16" s="37">
        <v>2.85</v>
      </c>
      <c r="N16" s="35" t="s">
        <v>118</v>
      </c>
      <c r="O16" s="12">
        <f t="shared" ref="O16:O17" si="34">$C16*E16/1000</f>
        <v>0</v>
      </c>
      <c r="P16" s="12">
        <f t="shared" ref="P16:P17" si="35">$C16*F16/1000</f>
        <v>0</v>
      </c>
      <c r="Q16" s="12">
        <f t="shared" ref="Q16:Q17" si="36">$C16*G16/1000</f>
        <v>0</v>
      </c>
      <c r="R16" s="12">
        <f t="shared" ref="R16:R17" si="37">$C16*H16/1000</f>
        <v>20230.237650000003</v>
      </c>
      <c r="S16" s="12">
        <f t="shared" ref="S16:S17" si="38">$C16*I16/1000</f>
        <v>0</v>
      </c>
      <c r="T16" s="12">
        <f t="shared" ref="T16:T17" si="39">$C16*J16/1000</f>
        <v>0</v>
      </c>
      <c r="U16" s="12">
        <f t="shared" ref="U16:U17" si="40">$C16*K16/1000</f>
        <v>0</v>
      </c>
      <c r="V16" s="12">
        <f t="shared" ref="V16:V17" si="41">$C16*L16/1000</f>
        <v>20230.237650000003</v>
      </c>
      <c r="W16" s="12">
        <f t="shared" ref="W16:W17" si="42">$C16*M16/1000</f>
        <v>40460.475300000006</v>
      </c>
      <c r="Y16" s="33"/>
      <c r="Z16" s="35" t="s">
        <v>120</v>
      </c>
      <c r="AA16" s="39">
        <f>C16</f>
        <v>14196658</v>
      </c>
      <c r="AB16" s="35" t="s">
        <v>116</v>
      </c>
      <c r="AC16" s="43">
        <v>0</v>
      </c>
      <c r="AD16" s="43">
        <v>0</v>
      </c>
      <c r="AE16" s="43">
        <v>0</v>
      </c>
      <c r="AF16" s="43">
        <v>0</v>
      </c>
      <c r="AG16" s="43">
        <v>1.5499999999999999E-3</v>
      </c>
      <c r="AH16" s="43">
        <v>0</v>
      </c>
      <c r="AI16" s="43">
        <v>0</v>
      </c>
      <c r="AJ16" s="43">
        <v>0</v>
      </c>
      <c r="AK16" s="34">
        <v>1.5499999999999999E-3</v>
      </c>
      <c r="AL16" s="34" t="s">
        <v>145</v>
      </c>
      <c r="AM16" s="11">
        <f t="shared" ref="AM16:AM17" si="43">$AA16*AC16</f>
        <v>0</v>
      </c>
      <c r="AN16" s="11">
        <f t="shared" ref="AN16:AN17" si="44">$AA16*AD16</f>
        <v>0</v>
      </c>
      <c r="AO16" s="11">
        <f t="shared" ref="AO16:AO17" si="45">$AA16*AE16</f>
        <v>0</v>
      </c>
      <c r="AP16" s="11">
        <f t="shared" ref="AP16:AP17" si="46">$AA16*AF16</f>
        <v>0</v>
      </c>
      <c r="AQ16" s="11">
        <f t="shared" ref="AQ16:AQ17" si="47">$AA16*AG16</f>
        <v>22004.819899999999</v>
      </c>
      <c r="AR16" s="11">
        <f t="shared" ref="AR16:AR17" si="48">$AA16*AH16</f>
        <v>0</v>
      </c>
      <c r="AS16" s="11">
        <f t="shared" ref="AS16:AS17" si="49">$AA16*AI16</f>
        <v>0</v>
      </c>
      <c r="AT16" s="11">
        <f t="shared" ref="AT16:AT17" si="50">$AA16*AJ16</f>
        <v>0</v>
      </c>
      <c r="AU16" s="11">
        <f t="shared" ref="AU16:AU17" si="51">$AA16*AK16</f>
        <v>22004.819899999999</v>
      </c>
    </row>
    <row r="17" spans="1:47" s="27" customFormat="1" x14ac:dyDescent="0.25">
      <c r="A17" s="33"/>
      <c r="B17" s="38" t="s">
        <v>121</v>
      </c>
      <c r="C17" s="39">
        <f>27504336+14469405+104015708+8353168</f>
        <v>154342617</v>
      </c>
      <c r="D17" s="35" t="s">
        <v>116</v>
      </c>
      <c r="E17" s="36">
        <v>0</v>
      </c>
      <c r="F17" s="36">
        <v>0</v>
      </c>
      <c r="G17" s="37">
        <v>0</v>
      </c>
      <c r="H17" s="37">
        <v>4.4999999999999998E-2</v>
      </c>
      <c r="I17" s="37">
        <v>0</v>
      </c>
      <c r="J17" s="37">
        <v>0</v>
      </c>
      <c r="K17" s="37">
        <v>0</v>
      </c>
      <c r="L17" s="37">
        <v>0.105</v>
      </c>
      <c r="M17" s="37">
        <v>0.15</v>
      </c>
      <c r="N17" s="35" t="s">
        <v>118</v>
      </c>
      <c r="O17" s="12">
        <f t="shared" si="34"/>
        <v>0</v>
      </c>
      <c r="P17" s="12">
        <f t="shared" si="35"/>
        <v>0</v>
      </c>
      <c r="Q17" s="12">
        <f t="shared" si="36"/>
        <v>0</v>
      </c>
      <c r="R17" s="12">
        <f t="shared" si="37"/>
        <v>6945.4177649999992</v>
      </c>
      <c r="S17" s="12">
        <f t="shared" si="38"/>
        <v>0</v>
      </c>
      <c r="T17" s="12">
        <f t="shared" si="39"/>
        <v>0</v>
      </c>
      <c r="U17" s="12">
        <f t="shared" si="40"/>
        <v>0</v>
      </c>
      <c r="V17" s="12">
        <f t="shared" si="41"/>
        <v>16205.974785</v>
      </c>
      <c r="W17" s="12">
        <f t="shared" si="42"/>
        <v>23151.39255</v>
      </c>
      <c r="Y17" s="33"/>
      <c r="Z17" s="38" t="s">
        <v>121</v>
      </c>
      <c r="AA17" s="39">
        <v>179986</v>
      </c>
      <c r="AB17" s="11" t="s">
        <v>18</v>
      </c>
      <c r="AC17" s="11">
        <f>AC$20</f>
        <v>8.8331999999999994E-2</v>
      </c>
      <c r="AD17" s="11">
        <f t="shared" ref="AD17:AK19" si="52">AD$20</f>
        <v>0</v>
      </c>
      <c r="AE17" s="11">
        <f t="shared" si="52"/>
        <v>0</v>
      </c>
      <c r="AF17" s="11">
        <f t="shared" si="52"/>
        <v>1.1519999999999998E-3</v>
      </c>
      <c r="AG17" s="11">
        <f t="shared" si="52"/>
        <v>3.0516000000000001E-2</v>
      </c>
      <c r="AH17" s="11">
        <f t="shared" si="52"/>
        <v>0</v>
      </c>
      <c r="AI17" s="11">
        <f t="shared" si="52"/>
        <v>0</v>
      </c>
      <c r="AJ17" s="11">
        <f t="shared" si="52"/>
        <v>0</v>
      </c>
      <c r="AK17" s="11">
        <f t="shared" si="52"/>
        <v>0.12</v>
      </c>
      <c r="AL17" s="11" t="s">
        <v>47</v>
      </c>
      <c r="AM17" s="11">
        <f t="shared" si="43"/>
        <v>15898.523351999998</v>
      </c>
      <c r="AN17" s="11">
        <f t="shared" si="44"/>
        <v>0</v>
      </c>
      <c r="AO17" s="11">
        <f t="shared" si="45"/>
        <v>0</v>
      </c>
      <c r="AP17" s="11">
        <f t="shared" si="46"/>
        <v>207.34387199999998</v>
      </c>
      <c r="AQ17" s="11">
        <f t="shared" si="47"/>
        <v>5492.4527760000001</v>
      </c>
      <c r="AR17" s="11">
        <f t="shared" si="48"/>
        <v>0</v>
      </c>
      <c r="AS17" s="11">
        <f t="shared" si="49"/>
        <v>0</v>
      </c>
      <c r="AT17" s="11">
        <f t="shared" si="50"/>
        <v>0</v>
      </c>
      <c r="AU17" s="11">
        <f t="shared" si="51"/>
        <v>21598.32</v>
      </c>
    </row>
    <row r="18" spans="1:47" x14ac:dyDescent="0.25">
      <c r="A18" s="6">
        <f>'LIMBAH PADAT'!A32</f>
        <v>29</v>
      </c>
      <c r="B18" s="6" t="str">
        <f>'LIMBAH PADAT'!B32</f>
        <v>Pengadaan Air, Pengelolaan Sampah, Limbah dan Daur Ulang</v>
      </c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16">
        <f t="shared" ref="O18:W18" si="53">SUM(O19:O20)</f>
        <v>3169.3126773999998</v>
      </c>
      <c r="P18" s="16">
        <f t="shared" si="53"/>
        <v>1474.8844076</v>
      </c>
      <c r="Q18" s="16">
        <f t="shared" si="53"/>
        <v>302.57647674999998</v>
      </c>
      <c r="R18" s="16">
        <f t="shared" si="53"/>
        <v>47641.685700000002</v>
      </c>
      <c r="S18" s="16">
        <f t="shared" si="53"/>
        <v>0</v>
      </c>
      <c r="T18" s="16">
        <f t="shared" si="53"/>
        <v>0</v>
      </c>
      <c r="U18" s="16">
        <f t="shared" si="53"/>
        <v>6575.0572064000007</v>
      </c>
      <c r="V18" s="16">
        <f t="shared" si="53"/>
        <v>2551.493731850001</v>
      </c>
      <c r="W18" s="16">
        <f t="shared" si="53"/>
        <v>61715.010200000004</v>
      </c>
      <c r="Y18" s="6">
        <f>A18</f>
        <v>29</v>
      </c>
      <c r="Z18" s="6" t="str">
        <f>B18</f>
        <v>Pengadaan Air, Pengelolaan Sampah, Limbah dan Daur Ulang</v>
      </c>
      <c r="AA18" s="6"/>
      <c r="AB18" s="6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20">
        <f t="shared" ref="AM18:AU18" si="54">SUM(AM19:AM20)</f>
        <v>2450990.3150279997</v>
      </c>
      <c r="AN18" s="20">
        <f t="shared" si="54"/>
        <v>0</v>
      </c>
      <c r="AO18" s="20">
        <f t="shared" si="54"/>
        <v>0</v>
      </c>
      <c r="AP18" s="20">
        <f t="shared" si="54"/>
        <v>31965.095807999995</v>
      </c>
      <c r="AQ18" s="20">
        <f t="shared" si="54"/>
        <v>846742.0691640001</v>
      </c>
      <c r="AR18" s="20">
        <f t="shared" si="54"/>
        <v>0</v>
      </c>
      <c r="AS18" s="20">
        <f t="shared" si="54"/>
        <v>0</v>
      </c>
      <c r="AT18" s="20">
        <f t="shared" si="54"/>
        <v>0</v>
      </c>
      <c r="AU18" s="20">
        <f t="shared" si="54"/>
        <v>3329697.4799999995</v>
      </c>
    </row>
    <row r="19" spans="1:47" x14ac:dyDescent="0.25">
      <c r="A19" s="11"/>
      <c r="B19" s="11" t="s">
        <v>32</v>
      </c>
      <c r="C19" s="23">
        <v>476416857</v>
      </c>
      <c r="D19" s="11" t="s">
        <v>21</v>
      </c>
      <c r="E19" s="11">
        <v>0</v>
      </c>
      <c r="F19" s="11">
        <v>0</v>
      </c>
      <c r="G19" s="11">
        <v>0</v>
      </c>
      <c r="H19" s="11">
        <v>0.1</v>
      </c>
      <c r="I19" s="11">
        <v>0</v>
      </c>
      <c r="J19" s="11">
        <v>0</v>
      </c>
      <c r="K19" s="11">
        <v>0</v>
      </c>
      <c r="L19" s="11">
        <v>0</v>
      </c>
      <c r="M19" s="11">
        <v>0.1</v>
      </c>
      <c r="N19" s="11" t="s">
        <v>22</v>
      </c>
      <c r="O19" s="12">
        <f>$C19*E19/1000</f>
        <v>0</v>
      </c>
      <c r="P19" s="12">
        <f t="shared" ref="P19:P20" si="55">$C19*F19/1000</f>
        <v>0</v>
      </c>
      <c r="Q19" s="12">
        <f>$C19*G19/1000</f>
        <v>0</v>
      </c>
      <c r="R19" s="12">
        <f>$C19*H19/1000</f>
        <v>47641.685700000002</v>
      </c>
      <c r="S19" s="12">
        <f>$C19*I19/1000</f>
        <v>0</v>
      </c>
      <c r="T19" s="12">
        <f>$C19*J19/1000</f>
        <v>0</v>
      </c>
      <c r="U19" s="12">
        <f>$C19*K19/1000</f>
        <v>0</v>
      </c>
      <c r="V19" s="12">
        <f>$C19*L19/1000</f>
        <v>0</v>
      </c>
      <c r="W19" s="12">
        <f>$C19*M19/1000</f>
        <v>47641.685700000002</v>
      </c>
      <c r="Y19" s="11"/>
      <c r="Z19" s="11" t="s">
        <v>32</v>
      </c>
      <c r="AA19" s="11">
        <v>15615</v>
      </c>
      <c r="AB19" s="11" t="s">
        <v>18</v>
      </c>
      <c r="AC19" s="11">
        <f>AC$20</f>
        <v>8.8331999999999994E-2</v>
      </c>
      <c r="AD19" s="11">
        <f t="shared" si="52"/>
        <v>0</v>
      </c>
      <c r="AE19" s="11">
        <f t="shared" si="52"/>
        <v>0</v>
      </c>
      <c r="AF19" s="11">
        <f t="shared" si="52"/>
        <v>1.1519999999999998E-3</v>
      </c>
      <c r="AG19" s="11">
        <f t="shared" si="52"/>
        <v>3.0516000000000001E-2</v>
      </c>
      <c r="AH19" s="11">
        <f t="shared" si="52"/>
        <v>0</v>
      </c>
      <c r="AI19" s="11">
        <f t="shared" si="52"/>
        <v>0</v>
      </c>
      <c r="AJ19" s="11">
        <f t="shared" si="52"/>
        <v>0</v>
      </c>
      <c r="AK19" s="11">
        <f t="shared" si="52"/>
        <v>0.12</v>
      </c>
      <c r="AL19" s="11" t="s">
        <v>47</v>
      </c>
      <c r="AM19" s="11">
        <f>$AA19*AC19</f>
        <v>1379.3041799999999</v>
      </c>
      <c r="AN19" s="11">
        <f t="shared" ref="AN19:AU20" si="56">$AA19*AD19</f>
        <v>0</v>
      </c>
      <c r="AO19" s="11">
        <f t="shared" si="56"/>
        <v>0</v>
      </c>
      <c r="AP19" s="11">
        <f t="shared" si="56"/>
        <v>17.988479999999996</v>
      </c>
      <c r="AQ19" s="11">
        <f t="shared" si="56"/>
        <v>476.50734</v>
      </c>
      <c r="AR19" s="11">
        <f t="shared" si="56"/>
        <v>0</v>
      </c>
      <c r="AS19" s="11">
        <f t="shared" si="56"/>
        <v>0</v>
      </c>
      <c r="AT19" s="11">
        <f t="shared" si="56"/>
        <v>0</v>
      </c>
      <c r="AU19" s="11">
        <f t="shared" si="56"/>
        <v>1873.8</v>
      </c>
    </row>
    <row r="20" spans="1:47" x14ac:dyDescent="0.25">
      <c r="A20" s="11"/>
      <c r="B20" s="11" t="s">
        <v>33</v>
      </c>
      <c r="C20" s="13">
        <f>46709569-'LIMBAH PADAT'!C8-'LIMBAH PADAT'!C11-'LIMBAH PADAT'!C12-'LIMBAH PADAT'!C14-'LIMBAH PADAT'!C15-'LIMBAH PADAT'!C16-'LIMBAH PADAT'!C17-'LIMBAH PADAT'!C18-'LIMBAH PADAT'!C19-'LIMBAH PADAT'!C20-'LIMBAH PADAT'!C21-'LIMBAH PADAT'!C22-'LIMBAH PADAT'!C23-'LIMBAH PADAT'!C24-'LIMBAH PADAT'!C25-'LIMBAH PADAT'!C26-'LIMBAH PADAT'!C27-'LIMBAH PADAT'!C28-'LIMBAH PADAT'!C29-'LIMBAH PADAT'!C33-'LIMBAH PADAT'!C34-'LIMBAH PADAT'!C35-'LIMBAH PADAT'!C39-'LIMBAH PADAT'!C41-'LIMBAH PADAT'!C44-'LIMBAH PADAT'!C45-'LIMBAH PADAT'!C46-'LIMBAH PADAT'!C47-'LIMBAH PADAT'!C48-'LIMBAH PADAT'!C49-'LIMBAH PADAT'!C50-'LIMBAH PADAT'!C51-'LIMBAH PADAT'!C52-'LIMBAH PADAT'!C53-'LIMBAH PADAT'!C54-'LIMBAH PADAT'!C55</f>
        <v>28146649</v>
      </c>
      <c r="D20" s="11" t="s">
        <v>34</v>
      </c>
      <c r="E20" s="11">
        <f>22.52%*$M$20</f>
        <v>0.11259999999999999</v>
      </c>
      <c r="F20" s="11">
        <f>10.48%*$M$20</f>
        <v>5.2400000000000002E-2</v>
      </c>
      <c r="G20" s="11">
        <f>2.15%*$M$20</f>
        <v>1.0749999999999999E-2</v>
      </c>
      <c r="H20" s="11">
        <f>0%*$M$20</f>
        <v>0</v>
      </c>
      <c r="I20" s="11">
        <f>0%*$M$20</f>
        <v>0</v>
      </c>
      <c r="J20" s="11">
        <f>0%*$M$20</f>
        <v>0</v>
      </c>
      <c r="K20" s="11">
        <f>46.72%*$M$20</f>
        <v>0.2336</v>
      </c>
      <c r="L20" s="11">
        <f>M20-E20-F20-G20-H20-I20-K20</f>
        <v>9.0650000000000036E-2</v>
      </c>
      <c r="M20" s="11">
        <v>0.5</v>
      </c>
      <c r="N20" s="11" t="s">
        <v>35</v>
      </c>
      <c r="O20" s="12">
        <f>$C20*E20/1000</f>
        <v>3169.3126773999998</v>
      </c>
      <c r="P20" s="12">
        <f t="shared" si="55"/>
        <v>1474.8844076</v>
      </c>
      <c r="Q20" s="12">
        <f>$C20*G20/1000</f>
        <v>302.57647674999998</v>
      </c>
      <c r="R20" s="12">
        <f>$C20*H20/1000</f>
        <v>0</v>
      </c>
      <c r="S20" s="12">
        <f>$C20*I20/1000</f>
        <v>0</v>
      </c>
      <c r="T20" s="12">
        <f>$C20*J20/1000</f>
        <v>0</v>
      </c>
      <c r="U20" s="12">
        <f>$C20*K20/1000</f>
        <v>6575.0572064000007</v>
      </c>
      <c r="V20" s="12">
        <f>$C20*L20/1000</f>
        <v>2551.493731850001</v>
      </c>
      <c r="W20" s="12">
        <f>$C20*M20/1000</f>
        <v>14073.324500000001</v>
      </c>
      <c r="Y20" s="11"/>
      <c r="Z20" s="11" t="s">
        <v>48</v>
      </c>
      <c r="AA20" s="13">
        <f>46709569-AA13-AA17-AA19-'LIMBAH CAIR'!C3-'LIMBAH CAIR'!C4-'LIMBAH CAIR'!C7-'LIMBAH CAIR'!C8-'LIMBAH CAIR'!C9-'LIMBAH CAIR'!C10-'LIMBAH CAIR'!C11-'LIMBAH CAIR'!C12-'LIMBAH CAIR'!C13-'LIMBAH CAIR'!C14-'LIMBAH CAIR'!C15-'LIMBAH CAIR'!C16-'LIMBAH CAIR'!C17-'LIMBAH CAIR'!C18-'LIMBAH CAIR'!C19-'LIMBAH CAIR'!C20-'LIMBAH CAIR'!C21-'LIMBAH CAIR'!C22-'LIMBAH CAIR'!C23-'LIMBAH CAIR'!C24-'LIMBAH CAIR'!C25-'LIMBAH CAIR'!C26-'LIMBAH CAIR'!C27-'LIMBAH CAIR'!C28-'LIMBAH CAIR'!C30-'LIMBAH CAIR'!C32-'LIMBAH CAIR'!C33-'LIMBAH CAIR'!C34-'LIMBAH CAIR'!C38-'LIMBAH CAIR'!C40-'LIMBAH CAIR'!C43-'LIMBAH CAIR'!C44-'LIMBAH CAIR'!C45-'LIMBAH CAIR'!C46-'LIMBAH CAIR'!C47-'LIMBAH CAIR'!C48-'LIMBAH CAIR'!C49-'LIMBAH CAIR'!C50-'LIMBAH CAIR'!C51-'LIMBAH CAIR'!C52-'LIMBAH CAIR'!C53-'LIMBAH CAIR'!C54</f>
        <v>27731864</v>
      </c>
      <c r="AB20" s="11" t="s">
        <v>34</v>
      </c>
      <c r="AC20" s="11">
        <f>73.61%*$AK$20</f>
        <v>8.8331999999999994E-2</v>
      </c>
      <c r="AD20" s="11">
        <f>0%*$AK$20</f>
        <v>0</v>
      </c>
      <c r="AE20" s="11">
        <f>0%*$AK$20</f>
        <v>0</v>
      </c>
      <c r="AF20" s="11">
        <f>0.96%*$AK$20</f>
        <v>1.1519999999999998E-3</v>
      </c>
      <c r="AG20" s="11">
        <f>AK20-AH20-AI20-AJ20-AC20-AD20-AE20-AF20</f>
        <v>3.0516000000000001E-2</v>
      </c>
      <c r="AH20" s="11">
        <f>0%*$AK$20</f>
        <v>0</v>
      </c>
      <c r="AI20" s="11">
        <f>0%*$AK$20</f>
        <v>0</v>
      </c>
      <c r="AJ20" s="11">
        <f>0%*$AK$20</f>
        <v>0</v>
      </c>
      <c r="AK20" s="11">
        <v>0.12</v>
      </c>
      <c r="AL20" s="11" t="s">
        <v>49</v>
      </c>
      <c r="AM20" s="11">
        <f>$AA20*AC20</f>
        <v>2449611.0108479997</v>
      </c>
      <c r="AN20" s="11">
        <f t="shared" si="56"/>
        <v>0</v>
      </c>
      <c r="AO20" s="11">
        <f t="shared" si="56"/>
        <v>0</v>
      </c>
      <c r="AP20" s="11">
        <f t="shared" si="56"/>
        <v>31947.107327999995</v>
      </c>
      <c r="AQ20" s="11">
        <f t="shared" si="56"/>
        <v>846265.56182400009</v>
      </c>
      <c r="AR20" s="11">
        <f t="shared" si="56"/>
        <v>0</v>
      </c>
      <c r="AS20" s="11">
        <f t="shared" si="56"/>
        <v>0</v>
      </c>
      <c r="AT20" s="11">
        <f t="shared" si="56"/>
        <v>0</v>
      </c>
      <c r="AU20" s="11">
        <f t="shared" si="56"/>
        <v>3327823.6799999997</v>
      </c>
    </row>
  </sheetData>
  <mergeCells count="28">
    <mergeCell ref="I2:J2"/>
    <mergeCell ref="S2:T2"/>
    <mergeCell ref="W2:W3"/>
    <mergeCell ref="AM1:AU1"/>
    <mergeCell ref="Y1:Y2"/>
    <mergeCell ref="Z1:Z2"/>
    <mergeCell ref="AA1:AB1"/>
    <mergeCell ref="AC1:AK1"/>
    <mergeCell ref="AL1:AL2"/>
    <mergeCell ref="Q2:Q3"/>
    <mergeCell ref="R2:R3"/>
    <mergeCell ref="U2:U3"/>
    <mergeCell ref="V2:V3"/>
    <mergeCell ref="A1:A3"/>
    <mergeCell ref="B1:B3"/>
    <mergeCell ref="C1:D1"/>
    <mergeCell ref="E1:N1"/>
    <mergeCell ref="O1:W1"/>
    <mergeCell ref="C2:C3"/>
    <mergeCell ref="D2:D3"/>
    <mergeCell ref="E2:F2"/>
    <mergeCell ref="G2:G3"/>
    <mergeCell ref="H2:H3"/>
    <mergeCell ref="K2:K3"/>
    <mergeCell ref="L2:L3"/>
    <mergeCell ref="M2:M3"/>
    <mergeCell ref="N2:N3"/>
    <mergeCell ref="O2:P2"/>
  </mergeCells>
  <pageMargins left="0.7" right="0.7" top="0.75" bottom="0.75" header="0.3" footer="0.3"/>
  <ignoredErrors>
    <ignoredError sqref="U9:W18 AM14:AU18 O9:S18 T9:T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LIMBAH PADAT</vt:lpstr>
      <vt:lpstr>LIMBAH CAIR</vt:lpstr>
      <vt:lpstr>DETAIL 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Dewi Nur Adiyanti</cp:lastModifiedBy>
  <dcterms:created xsi:type="dcterms:W3CDTF">2019-09-17T02:18:10Z</dcterms:created>
  <dcterms:modified xsi:type="dcterms:W3CDTF">2019-10-23T03:32:04Z</dcterms:modified>
</cp:coreProperties>
</file>