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defaultThemeVersion="124226"/>
  <mc:AlternateContent xmlns:mc="http://schemas.openxmlformats.org/markup-compatibility/2006">
    <mc:Choice Requires="x15">
      <x15ac:absPath xmlns:x15ac="http://schemas.microsoft.com/office/spreadsheetml/2010/11/ac" url="https://icrafcifor.sharepoint.com/sites/ICRAFIndonesia_4800d/Shared Documents/1.8. Land4Lives/7_WP1/WP1_1110/2_LUMENS/1_CSA with Gender Responsive/Calculation/SCIENDO_livestock_agric/Livestock_Agriculture/"/>
    </mc:Choice>
  </mc:AlternateContent>
  <xr:revisionPtr revIDLastSave="5" documentId="11_9581E63AF3F79A72EA45575B604E443ED513FAAD" xr6:coauthVersionLast="47" xr6:coauthVersionMax="47" xr10:uidLastSave="{841B134D-34BC-4DFF-9846-C0CF19EF4A69}"/>
  <bookViews>
    <workbookView xWindow="-108" yWindow="-108" windowWidth="23256" windowHeight="12456" tabRatio="870" activeTab="4" xr2:uid="{00000000-000D-0000-FFFF-FFFF00000000}"/>
  </bookViews>
  <sheets>
    <sheet name="EF peternakan" sheetId="6" r:id="rId1"/>
    <sheet name="3A1 dan 2 Peternakan-CH4" sheetId="1" r:id="rId2"/>
    <sheet name="3A2 Peternakan-N2O" sheetId="7" r:id="rId3"/>
    <sheet name="EF&amp;SF lahan sawah" sheetId="8" r:id="rId4"/>
    <sheet name="3C5 Lahan sawah" sheetId="2" r:id="rId5"/>
    <sheet name="EF pupuk-kapur" sheetId="10" r:id="rId6"/>
    <sheet name="Kapur pertanian-CO2" sheetId="9" r:id="rId7"/>
    <sheet name="Pupuk Urea-CO2" sheetId="5" r:id="rId8"/>
    <sheet name="Direct N2O" sheetId="13" r:id="rId9"/>
    <sheet name="RANGKUMAN" sheetId="12" r:id="rId10"/>
    <sheet name="Sheet1" sheetId="17" r:id="rId11"/>
    <sheet name="Data Sawah" sheetId="16"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2" l="1"/>
  <c r="I9" i="16"/>
  <c r="H11" i="1"/>
  <c r="B15" i="12" l="1"/>
  <c r="DP11" i="7"/>
  <c r="AB11" i="7"/>
  <c r="Z15" i="7"/>
  <c r="H33" i="17" l="1"/>
  <c r="D35" i="17" s="1"/>
  <c r="H32" i="17"/>
  <c r="H31" i="17"/>
  <c r="H30" i="17"/>
  <c r="H29" i="17"/>
  <c r="H28" i="17"/>
  <c r="H27" i="17"/>
  <c r="H26" i="17"/>
  <c r="H25" i="17"/>
  <c r="H24" i="17"/>
  <c r="H23" i="17"/>
  <c r="H22" i="17"/>
  <c r="H21" i="17"/>
  <c r="H20" i="17"/>
  <c r="H19" i="17"/>
  <c r="H18" i="17"/>
  <c r="H17" i="17"/>
  <c r="H16" i="17"/>
  <c r="H15" i="17"/>
  <c r="H14" i="17"/>
  <c r="H13" i="17"/>
  <c r="D9" i="17"/>
  <c r="E9" i="17"/>
  <c r="F9" i="17"/>
  <c r="G9" i="17"/>
  <c r="H9" i="17"/>
  <c r="I9" i="17"/>
  <c r="J9" i="17"/>
  <c r="K9" i="17"/>
  <c r="L9" i="17"/>
  <c r="M9" i="17"/>
  <c r="N9" i="17"/>
  <c r="O9" i="17"/>
  <c r="P9" i="17"/>
  <c r="Q9" i="17"/>
  <c r="R9" i="17"/>
  <c r="S9" i="17"/>
  <c r="T9" i="17"/>
  <c r="U9" i="17"/>
  <c r="V9" i="17"/>
  <c r="W9" i="17"/>
  <c r="C9" i="17"/>
  <c r="C37" i="17" l="1"/>
  <c r="G35" i="17"/>
  <c r="AZ16" i="13" l="1"/>
  <c r="BA16" i="13"/>
  <c r="BB16" i="13"/>
  <c r="BC16" i="13"/>
  <c r="BD16" i="13"/>
  <c r="BE16" i="13"/>
  <c r="BF16" i="13"/>
  <c r="BG16" i="13"/>
  <c r="BH16" i="13"/>
  <c r="BI16" i="13"/>
  <c r="BJ16" i="13"/>
  <c r="BK16" i="13"/>
  <c r="BL16" i="13"/>
  <c r="BM16" i="13"/>
  <c r="BN16" i="13"/>
  <c r="BO16" i="13"/>
  <c r="BP16" i="13"/>
  <c r="BQ16" i="13"/>
  <c r="BR16" i="13"/>
  <c r="BS16" i="13"/>
  <c r="AZ17" i="13"/>
  <c r="BA17" i="13"/>
  <c r="BB17" i="13"/>
  <c r="BC17" i="13"/>
  <c r="BD17" i="13"/>
  <c r="BE17" i="13"/>
  <c r="BF17" i="13"/>
  <c r="BG17" i="13"/>
  <c r="BH17" i="13"/>
  <c r="BI17" i="13"/>
  <c r="BJ17" i="13"/>
  <c r="BK17" i="13"/>
  <c r="BL17" i="13"/>
  <c r="BM17" i="13"/>
  <c r="BN17" i="13"/>
  <c r="BO17" i="13"/>
  <c r="BP17" i="13"/>
  <c r="BQ17" i="13"/>
  <c r="BR17" i="13"/>
  <c r="BS17" i="13"/>
  <c r="AZ12" i="13"/>
  <c r="BA12" i="13"/>
  <c r="BB12" i="13"/>
  <c r="BC12" i="13"/>
  <c r="BD12" i="13"/>
  <c r="BE12" i="13"/>
  <c r="BF12" i="13"/>
  <c r="BG12" i="13"/>
  <c r="BH12" i="13"/>
  <c r="BI12" i="13"/>
  <c r="BJ12" i="13"/>
  <c r="BK12" i="13"/>
  <c r="BL12" i="13"/>
  <c r="BM12" i="13"/>
  <c r="BN12" i="13"/>
  <c r="BO12" i="13"/>
  <c r="BP12" i="13"/>
  <c r="BQ12" i="13"/>
  <c r="BR12" i="13"/>
  <c r="BS12" i="13"/>
  <c r="AZ13" i="13"/>
  <c r="BA13" i="13"/>
  <c r="BB13" i="13"/>
  <c r="BC13" i="13"/>
  <c r="BD13" i="13"/>
  <c r="BE13" i="13"/>
  <c r="BF13" i="13"/>
  <c r="BG13" i="13"/>
  <c r="BH13" i="13"/>
  <c r="BI13" i="13"/>
  <c r="BJ13" i="13"/>
  <c r="BK13" i="13"/>
  <c r="BL13" i="13"/>
  <c r="BM13" i="13"/>
  <c r="BN13" i="13"/>
  <c r="BO13" i="13"/>
  <c r="BP13" i="13"/>
  <c r="BQ13" i="13"/>
  <c r="BR13" i="13"/>
  <c r="BS13" i="13"/>
  <c r="AY13" i="13"/>
  <c r="AY14" i="13"/>
  <c r="AY15" i="13"/>
  <c r="AY12" i="13"/>
  <c r="I17" i="16"/>
  <c r="I18" i="16"/>
  <c r="I19" i="16"/>
  <c r="I20" i="16"/>
  <c r="I21" i="16"/>
  <c r="I22" i="16"/>
  <c r="I23" i="16"/>
  <c r="I16" i="16"/>
  <c r="I4" i="16"/>
  <c r="I5" i="16"/>
  <c r="I6" i="16"/>
  <c r="I7" i="16"/>
  <c r="I8" i="16"/>
  <c r="I10" i="16"/>
  <c r="I11" i="16"/>
  <c r="I12" i="16"/>
  <c r="I13" i="16"/>
  <c r="I14" i="16"/>
  <c r="I15" i="16"/>
  <c r="I3" i="16"/>
  <c r="C30" i="16"/>
  <c r="AZ14" i="13" s="1"/>
  <c r="C27" i="16"/>
  <c r="D27" i="16" s="1"/>
  <c r="E27" i="16" s="1"/>
  <c r="F27" i="16" s="1"/>
  <c r="G27" i="16" s="1"/>
  <c r="H27" i="16" s="1"/>
  <c r="I27" i="16" s="1"/>
  <c r="J27" i="16" s="1"/>
  <c r="K27" i="16" s="1"/>
  <c r="L27" i="16" s="1"/>
  <c r="M27" i="16" s="1"/>
  <c r="N27" i="16" s="1"/>
  <c r="O27" i="16" s="1"/>
  <c r="P27" i="16" s="1"/>
  <c r="Q27" i="16" s="1"/>
  <c r="R27" i="16" s="1"/>
  <c r="S27" i="16" s="1"/>
  <c r="T27" i="16" s="1"/>
  <c r="U27" i="16" s="1"/>
  <c r="V27" i="16" s="1"/>
  <c r="U9" i="16"/>
  <c r="U10" i="16" s="1"/>
  <c r="D30" i="16" l="1"/>
  <c r="E30" i="16" s="1"/>
  <c r="F30" i="16" s="1"/>
  <c r="G30" i="16" s="1"/>
  <c r="BB14" i="13"/>
  <c r="BA14" i="13"/>
  <c r="F3" i="16"/>
  <c r="T13" i="16"/>
  <c r="T12" i="16"/>
  <c r="N41" i="8"/>
  <c r="H20" i="1"/>
  <c r="I20" i="1" s="1"/>
  <c r="J20" i="1" s="1"/>
  <c r="K20" i="1" s="1"/>
  <c r="L20" i="1" s="1"/>
  <c r="M20" i="1" s="1"/>
  <c r="N20" i="1" s="1"/>
  <c r="O20" i="1" s="1"/>
  <c r="P20" i="1" s="1"/>
  <c r="Q20" i="1" s="1"/>
  <c r="R20" i="1" s="1"/>
  <c r="S20" i="1" s="1"/>
  <c r="T20" i="1" s="1"/>
  <c r="U20" i="1" s="1"/>
  <c r="V20" i="1" s="1"/>
  <c r="W20" i="1" s="1"/>
  <c r="H18" i="1"/>
  <c r="I18" i="1" s="1"/>
  <c r="J18" i="1" s="1"/>
  <c r="K18" i="1" s="1"/>
  <c r="L18" i="1" s="1"/>
  <c r="M18" i="1" s="1"/>
  <c r="BC14" i="13" l="1"/>
  <c r="H30" i="16"/>
  <c r="BD14" i="13"/>
  <c r="T3" i="16"/>
  <c r="B8" i="16"/>
  <c r="B9" i="16" s="1"/>
  <c r="B10" i="16" s="1"/>
  <c r="B11" i="16" s="1"/>
  <c r="B12" i="16" s="1"/>
  <c r="B13" i="16" s="1"/>
  <c r="B14" i="16" s="1"/>
  <c r="B15" i="16" s="1"/>
  <c r="B16" i="16" s="1"/>
  <c r="B17" i="16" s="1"/>
  <c r="B18" i="16" s="1"/>
  <c r="B19" i="16" s="1"/>
  <c r="B20" i="16" s="1"/>
  <c r="B21" i="16" s="1"/>
  <c r="B22" i="16" s="1"/>
  <c r="B23" i="16" s="1"/>
  <c r="B25" i="16"/>
  <c r="AW60" i="12"/>
  <c r="AW61" i="12"/>
  <c r="AW62" i="12"/>
  <c r="AW63" i="12"/>
  <c r="AW59" i="12"/>
  <c r="AV59" i="12"/>
  <c r="I30" i="16" l="1"/>
  <c r="BE14" i="13"/>
  <c r="AV35" i="12"/>
  <c r="AV60" i="12" s="1"/>
  <c r="J30" i="16" l="1"/>
  <c r="BF14" i="13"/>
  <c r="AV36" i="12"/>
  <c r="F4" i="16"/>
  <c r="F5" i="16"/>
  <c r="F6" i="16"/>
  <c r="K30" i="16" l="1"/>
  <c r="BG14" i="13"/>
  <c r="AV61" i="12"/>
  <c r="AV37" i="12"/>
  <c r="L30" i="16" l="1"/>
  <c r="BH14" i="13"/>
  <c r="AV38" i="12"/>
  <c r="AV62" i="12"/>
  <c r="I12" i="2"/>
  <c r="I13" i="2"/>
  <c r="I14" i="2"/>
  <c r="I15" i="2"/>
  <c r="I16" i="2"/>
  <c r="I17" i="2"/>
  <c r="I18" i="2"/>
  <c r="I19" i="2"/>
  <c r="I20" i="2"/>
  <c r="I21" i="2"/>
  <c r="I22" i="2"/>
  <c r="I23" i="2"/>
  <c r="I24" i="2"/>
  <c r="I25" i="2"/>
  <c r="I26" i="2"/>
  <c r="I27" i="2"/>
  <c r="I28" i="2"/>
  <c r="I29" i="2"/>
  <c r="I30" i="2"/>
  <c r="I31" i="2"/>
  <c r="I11" i="2"/>
  <c r="E12" i="2"/>
  <c r="E13" i="2"/>
  <c r="E14" i="2"/>
  <c r="E11" i="2"/>
  <c r="D4" i="16"/>
  <c r="D12" i="2" s="1"/>
  <c r="D5" i="16"/>
  <c r="D13" i="2" s="1"/>
  <c r="D6" i="16"/>
  <c r="D14" i="2" s="1"/>
  <c r="D7" i="16"/>
  <c r="D15" i="2" s="1"/>
  <c r="D8" i="16"/>
  <c r="D16" i="2" s="1"/>
  <c r="D9" i="16"/>
  <c r="D17" i="2" s="1"/>
  <c r="D10" i="16"/>
  <c r="D18" i="2" s="1"/>
  <c r="D11" i="16"/>
  <c r="D19" i="2" s="1"/>
  <c r="D12" i="16"/>
  <c r="D20" i="2" s="1"/>
  <c r="D13" i="16"/>
  <c r="D21" i="2" s="1"/>
  <c r="D14" i="16"/>
  <c r="D22" i="2" s="1"/>
  <c r="D15" i="16"/>
  <c r="D23" i="2" s="1"/>
  <c r="D16" i="16"/>
  <c r="D24" i="2" s="1"/>
  <c r="D17" i="16"/>
  <c r="D25" i="2" s="1"/>
  <c r="D18" i="16"/>
  <c r="D26" i="2" s="1"/>
  <c r="D19" i="16"/>
  <c r="D27" i="2" s="1"/>
  <c r="D20" i="16"/>
  <c r="D28" i="2" s="1"/>
  <c r="D21" i="16"/>
  <c r="D29" i="2" s="1"/>
  <c r="D22" i="16"/>
  <c r="D30" i="2" s="1"/>
  <c r="D23" i="16"/>
  <c r="D31" i="2" s="1"/>
  <c r="D3" i="16"/>
  <c r="D11" i="2" s="1"/>
  <c r="R7" i="16"/>
  <c r="R8" i="16" s="1"/>
  <c r="O7" i="16"/>
  <c r="O8" i="16" s="1"/>
  <c r="AY16" i="13"/>
  <c r="AY17" i="13"/>
  <c r="C31" i="16"/>
  <c r="AZ15" i="13" s="1"/>
  <c r="C12" i="5"/>
  <c r="C13" i="5"/>
  <c r="C14" i="5"/>
  <c r="C15" i="5"/>
  <c r="C11" i="5"/>
  <c r="L4" i="16"/>
  <c r="L5" i="16"/>
  <c r="L6" i="16"/>
  <c r="L7" i="16"/>
  <c r="L8" i="16" s="1"/>
  <c r="H3" i="16"/>
  <c r="G11" i="2" s="1"/>
  <c r="H4" i="16"/>
  <c r="G12" i="2" s="1"/>
  <c r="H5" i="16"/>
  <c r="G13" i="2" s="1"/>
  <c r="H6" i="16"/>
  <c r="G14" i="2" s="1"/>
  <c r="E8" i="16"/>
  <c r="E9" i="16" s="1"/>
  <c r="G5" i="16"/>
  <c r="G3" i="16"/>
  <c r="H7" i="16"/>
  <c r="G15" i="2" s="1"/>
  <c r="G4" i="16"/>
  <c r="G6" i="16"/>
  <c r="F7" i="16"/>
  <c r="E15" i="2" s="1"/>
  <c r="M30" i="16" l="1"/>
  <c r="BI14" i="13"/>
  <c r="AV39" i="12"/>
  <c r="AV63" i="12"/>
  <c r="D31" i="16"/>
  <c r="H9" i="16"/>
  <c r="G17" i="2" s="1"/>
  <c r="E10" i="16"/>
  <c r="N10" i="16" s="1"/>
  <c r="N9" i="16"/>
  <c r="K9" i="16"/>
  <c r="C16" i="5"/>
  <c r="H8" i="16"/>
  <c r="G16" i="2" s="1"/>
  <c r="Q9" i="16"/>
  <c r="Q10" i="16" s="1"/>
  <c r="Q11" i="16" s="1"/>
  <c r="Q12" i="16" s="1"/>
  <c r="Q13" i="16" s="1"/>
  <c r="Q14" i="16" s="1"/>
  <c r="Q15" i="16" s="1"/>
  <c r="Q16" i="16" s="1"/>
  <c r="Q17" i="16" s="1"/>
  <c r="Q18" i="16" s="1"/>
  <c r="Q19" i="16" s="1"/>
  <c r="Q20" i="16" s="1"/>
  <c r="Q21" i="16" s="1"/>
  <c r="Q22" i="16" s="1"/>
  <c r="Q23" i="16" s="1"/>
  <c r="G7" i="16"/>
  <c r="N30" i="16" l="1"/>
  <c r="BJ14" i="13"/>
  <c r="E31" i="16"/>
  <c r="BA15" i="13"/>
  <c r="AV40" i="12"/>
  <c r="AV64" i="12"/>
  <c r="C17" i="5"/>
  <c r="M9" i="16"/>
  <c r="P9" i="16"/>
  <c r="E11" i="16"/>
  <c r="K10" i="16"/>
  <c r="H10" i="16"/>
  <c r="G18" i="2" s="1"/>
  <c r="O30" i="16" l="1"/>
  <c r="BK14" i="13"/>
  <c r="AV41" i="12"/>
  <c r="AV65" i="12"/>
  <c r="F31" i="16"/>
  <c r="BB15" i="13"/>
  <c r="C18" i="5"/>
  <c r="M10" i="16"/>
  <c r="P10" i="16"/>
  <c r="E12" i="16"/>
  <c r="H11" i="16"/>
  <c r="G19" i="2" s="1"/>
  <c r="N11" i="16"/>
  <c r="K11" i="16"/>
  <c r="P30" i="16" l="1"/>
  <c r="BL14" i="13"/>
  <c r="G31" i="16"/>
  <c r="BC15" i="13"/>
  <c r="AV42" i="12"/>
  <c r="AV66" i="12"/>
  <c r="C19" i="5"/>
  <c r="P11" i="16"/>
  <c r="M11" i="16"/>
  <c r="E13" i="16"/>
  <c r="K12" i="16"/>
  <c r="H12" i="16"/>
  <c r="G20" i="2" s="1"/>
  <c r="N12" i="16"/>
  <c r="Q30" i="16" l="1"/>
  <c r="BM14" i="13"/>
  <c r="AV43" i="12"/>
  <c r="AV67" i="12"/>
  <c r="H31" i="16"/>
  <c r="BD15" i="13"/>
  <c r="C20" i="5"/>
  <c r="M12" i="16"/>
  <c r="P12" i="16"/>
  <c r="E14" i="16"/>
  <c r="H13" i="16"/>
  <c r="G21" i="2" s="1"/>
  <c r="N13" i="16"/>
  <c r="K13" i="16"/>
  <c r="R30" i="16" l="1"/>
  <c r="BN14" i="13"/>
  <c r="I31" i="16"/>
  <c r="BE15" i="13"/>
  <c r="AV44" i="12"/>
  <c r="AV68" i="12"/>
  <c r="C21" i="5"/>
  <c r="P13" i="16"/>
  <c r="M13" i="16"/>
  <c r="E15" i="16"/>
  <c r="E16" i="16" s="1"/>
  <c r="E17" i="16" s="1"/>
  <c r="E18" i="16" s="1"/>
  <c r="E19" i="16" s="1"/>
  <c r="E20" i="16" s="1"/>
  <c r="E21" i="16" s="1"/>
  <c r="E22" i="16" s="1"/>
  <c r="E23" i="16" s="1"/>
  <c r="K14" i="16"/>
  <c r="H14" i="16"/>
  <c r="G22" i="2" s="1"/>
  <c r="N14" i="16"/>
  <c r="S30" i="16" l="1"/>
  <c r="BO14" i="13"/>
  <c r="AV45" i="12"/>
  <c r="AV69" i="12"/>
  <c r="J31" i="16"/>
  <c r="BF15" i="13"/>
  <c r="C22" i="5"/>
  <c r="M14" i="16"/>
  <c r="P14" i="16"/>
  <c r="H15" i="16"/>
  <c r="G23" i="2" s="1"/>
  <c r="N15" i="16"/>
  <c r="K15" i="16"/>
  <c r="T30" i="16" l="1"/>
  <c r="BP14" i="13"/>
  <c r="K31" i="16"/>
  <c r="BG15" i="13"/>
  <c r="AV46" i="12"/>
  <c r="AV70" i="12"/>
  <c r="C23" i="5"/>
  <c r="P15" i="16"/>
  <c r="M15" i="16"/>
  <c r="K16" i="16"/>
  <c r="H16" i="16"/>
  <c r="G24" i="2" s="1"/>
  <c r="N16" i="16"/>
  <c r="U30" i="16" l="1"/>
  <c r="BQ14" i="13"/>
  <c r="AV47" i="12"/>
  <c r="AV71" i="12"/>
  <c r="L31" i="16"/>
  <c r="BH15" i="13"/>
  <c r="C24" i="5"/>
  <c r="M16" i="16"/>
  <c r="P16" i="16"/>
  <c r="H17" i="16"/>
  <c r="G25" i="2" s="1"/>
  <c r="N17" i="16"/>
  <c r="K17" i="16"/>
  <c r="V30" i="16" l="1"/>
  <c r="BS14" i="13" s="1"/>
  <c r="BR14" i="13"/>
  <c r="M31" i="16"/>
  <c r="BI15" i="13"/>
  <c r="AV48" i="12"/>
  <c r="AV72" i="12"/>
  <c r="C25" i="5"/>
  <c r="P17" i="16"/>
  <c r="M17" i="16"/>
  <c r="K18" i="16"/>
  <c r="H18" i="16"/>
  <c r="G26" i="2" s="1"/>
  <c r="N18" i="16"/>
  <c r="N31" i="16" l="1"/>
  <c r="BJ15" i="13"/>
  <c r="AV49" i="12"/>
  <c r="AV73" i="12"/>
  <c r="C26" i="5"/>
  <c r="M18" i="16"/>
  <c r="P18" i="16"/>
  <c r="H19" i="16"/>
  <c r="G27" i="2" s="1"/>
  <c r="N19" i="16"/>
  <c r="K19" i="16"/>
  <c r="AV50" i="12" l="1"/>
  <c r="AV74" i="12"/>
  <c r="O31" i="16"/>
  <c r="BK15" i="13"/>
  <c r="C27" i="5"/>
  <c r="P19" i="16"/>
  <c r="M19" i="16"/>
  <c r="K20" i="16"/>
  <c r="H20" i="16"/>
  <c r="G28" i="2" s="1"/>
  <c r="N20" i="16"/>
  <c r="P31" i="16" l="1"/>
  <c r="BL15" i="13"/>
  <c r="AV51" i="12"/>
  <c r="AV75" i="12"/>
  <c r="C28" i="5"/>
  <c r="M20" i="16"/>
  <c r="P20" i="16"/>
  <c r="H21" i="16"/>
  <c r="G29" i="2" s="1"/>
  <c r="N21" i="16"/>
  <c r="K21" i="16"/>
  <c r="AV52" i="12" l="1"/>
  <c r="AV76" i="12"/>
  <c r="Q31" i="16"/>
  <c r="BM15" i="13"/>
  <c r="C29" i="5"/>
  <c r="P21" i="16"/>
  <c r="M21" i="16"/>
  <c r="K22" i="16"/>
  <c r="H22" i="16"/>
  <c r="G30" i="2" s="1"/>
  <c r="N22" i="16"/>
  <c r="R31" i="16" l="1"/>
  <c r="BN15" i="13"/>
  <c r="AV53" i="12"/>
  <c r="AV77" i="12"/>
  <c r="C30" i="5"/>
  <c r="M22" i="16"/>
  <c r="P22" i="16"/>
  <c r="H23" i="16"/>
  <c r="G31" i="2" s="1"/>
  <c r="N23" i="16"/>
  <c r="K23" i="16"/>
  <c r="AV78" i="12" l="1"/>
  <c r="AV54" i="12"/>
  <c r="AV79" i="12" s="1"/>
  <c r="S31" i="16"/>
  <c r="BO15" i="13"/>
  <c r="C31" i="5"/>
  <c r="P23" i="16"/>
  <c r="M23" i="16"/>
  <c r="T31" i="16" l="1"/>
  <c r="BP15" i="13"/>
  <c r="F8" i="16"/>
  <c r="E16" i="2" s="1"/>
  <c r="A8" i="16"/>
  <c r="A9" i="16" s="1"/>
  <c r="A10" i="16" s="1"/>
  <c r="A11" i="16" s="1"/>
  <c r="A12" i="16" s="1"/>
  <c r="A13" i="16" s="1"/>
  <c r="A14" i="16" s="1"/>
  <c r="A15" i="16" s="1"/>
  <c r="A16" i="16" s="1"/>
  <c r="A17" i="16" s="1"/>
  <c r="A18" i="16" s="1"/>
  <c r="A19" i="16" s="1"/>
  <c r="A20" i="16" s="1"/>
  <c r="A21" i="16" s="1"/>
  <c r="A22" i="16" s="1"/>
  <c r="A23" i="16" s="1"/>
  <c r="A6" i="16"/>
  <c r="A5" i="16" s="1"/>
  <c r="A4" i="16" s="1"/>
  <c r="A3" i="16" s="1"/>
  <c r="L3" i="16"/>
  <c r="U31" i="16" l="1"/>
  <c r="BQ15" i="13"/>
  <c r="G8" i="16"/>
  <c r="F17" i="16"/>
  <c r="E25" i="2" s="1"/>
  <c r="G17" i="16"/>
  <c r="V31" i="16" l="1"/>
  <c r="BS15" i="13" s="1"/>
  <c r="BR15" i="13"/>
  <c r="F18" i="16"/>
  <c r="E26" i="2" s="1"/>
  <c r="G18" i="16"/>
  <c r="F19" i="16"/>
  <c r="E27" i="2" s="1"/>
  <c r="G19" i="16"/>
  <c r="F16" i="16" l="1"/>
  <c r="E24" i="2" s="1"/>
  <c r="G16" i="16"/>
  <c r="F14" i="16" l="1"/>
  <c r="E22" i="2" s="1"/>
  <c r="G14" i="16"/>
  <c r="F15" i="16"/>
  <c r="E23" i="2" s="1"/>
  <c r="G15" i="16"/>
  <c r="F21" i="16"/>
  <c r="E29" i="2" s="1"/>
  <c r="G21" i="16"/>
  <c r="F20" i="16"/>
  <c r="E28" i="2" s="1"/>
  <c r="G20" i="16"/>
  <c r="H21" i="1"/>
  <c r="I21" i="1" s="1"/>
  <c r="J21" i="1" s="1"/>
  <c r="K21" i="1" s="1"/>
  <c r="L21" i="1" s="1"/>
  <c r="M21" i="1" s="1"/>
  <c r="N21" i="1" s="1"/>
  <c r="O21" i="1" s="1"/>
  <c r="P21" i="1" s="1"/>
  <c r="Q21" i="1" s="1"/>
  <c r="R21" i="1" s="1"/>
  <c r="S21" i="1" s="1"/>
  <c r="T21" i="1" s="1"/>
  <c r="U21" i="1" s="1"/>
  <c r="V21" i="1" s="1"/>
  <c r="W21" i="1" s="1"/>
  <c r="I15" i="1"/>
  <c r="J15" i="1" s="1"/>
  <c r="K15" i="1" s="1"/>
  <c r="L15" i="1" s="1"/>
  <c r="M15" i="1" s="1"/>
  <c r="N15" i="1" s="1"/>
  <c r="O15" i="1" s="1"/>
  <c r="P15" i="1" s="1"/>
  <c r="Q15" i="1" s="1"/>
  <c r="R15" i="1" s="1"/>
  <c r="S15" i="1" s="1"/>
  <c r="T15" i="1" s="1"/>
  <c r="U15" i="1" s="1"/>
  <c r="V15" i="1" s="1"/>
  <c r="W15" i="1" s="1"/>
  <c r="I17" i="1"/>
  <c r="J17" i="1" s="1"/>
  <c r="K17" i="1" s="1"/>
  <c r="L17" i="1" s="1"/>
  <c r="M17" i="1" s="1"/>
  <c r="N17" i="1" s="1"/>
  <c r="O17" i="1" s="1"/>
  <c r="P17" i="1" s="1"/>
  <c r="Q17" i="1" s="1"/>
  <c r="R17" i="1" s="1"/>
  <c r="S17" i="1" s="1"/>
  <c r="T17" i="1" s="1"/>
  <c r="U17" i="1" s="1"/>
  <c r="V17" i="1" s="1"/>
  <c r="W17" i="1" s="1"/>
  <c r="N18" i="1"/>
  <c r="O18" i="1" s="1"/>
  <c r="P18" i="1" s="1"/>
  <c r="Q18" i="1" s="1"/>
  <c r="R18" i="1" s="1"/>
  <c r="S18" i="1" s="1"/>
  <c r="T18" i="1" s="1"/>
  <c r="U18" i="1" s="1"/>
  <c r="V18" i="1" s="1"/>
  <c r="W18" i="1" s="1"/>
  <c r="H14" i="1"/>
  <c r="I14" i="1" s="1"/>
  <c r="J14" i="1" s="1"/>
  <c r="K14" i="1" s="1"/>
  <c r="L14" i="1" s="1"/>
  <c r="M14" i="1" s="1"/>
  <c r="N14" i="1" s="1"/>
  <c r="O14" i="1" s="1"/>
  <c r="P14" i="1" s="1"/>
  <c r="Q14" i="1" s="1"/>
  <c r="R14" i="1" s="1"/>
  <c r="S14" i="1" s="1"/>
  <c r="T14" i="1" s="1"/>
  <c r="U14" i="1" s="1"/>
  <c r="V14" i="1" s="1"/>
  <c r="W14" i="1" s="1"/>
  <c r="H15" i="1"/>
  <c r="H16" i="1"/>
  <c r="I16" i="1" s="1"/>
  <c r="J16" i="1" s="1"/>
  <c r="K16" i="1" s="1"/>
  <c r="L16" i="1" s="1"/>
  <c r="M16" i="1" s="1"/>
  <c r="N16" i="1" s="1"/>
  <c r="O16" i="1" s="1"/>
  <c r="P16" i="1" s="1"/>
  <c r="Q16" i="1" s="1"/>
  <c r="R16" i="1" s="1"/>
  <c r="S16" i="1" s="1"/>
  <c r="T16" i="1" s="1"/>
  <c r="U16" i="1" s="1"/>
  <c r="V16" i="1" s="1"/>
  <c r="W16" i="1" s="1"/>
  <c r="H17" i="1"/>
  <c r="H13" i="1"/>
  <c r="I13" i="1" s="1"/>
  <c r="J13" i="1" s="1"/>
  <c r="K13" i="1" s="1"/>
  <c r="L13" i="1" s="1"/>
  <c r="M13" i="1" s="1"/>
  <c r="N13" i="1" s="1"/>
  <c r="O13" i="1" s="1"/>
  <c r="P13" i="1" s="1"/>
  <c r="Q13" i="1" s="1"/>
  <c r="R13" i="1" s="1"/>
  <c r="S13" i="1" s="1"/>
  <c r="T13" i="1" s="1"/>
  <c r="U13" i="1" s="1"/>
  <c r="V13" i="1" s="1"/>
  <c r="W13" i="1" s="1"/>
  <c r="H12" i="1"/>
  <c r="I12" i="1" s="1"/>
  <c r="J12" i="1" s="1"/>
  <c r="K12" i="1" s="1"/>
  <c r="L12" i="1" s="1"/>
  <c r="M12" i="1" s="1"/>
  <c r="N12" i="1" s="1"/>
  <c r="O12" i="1" s="1"/>
  <c r="P12" i="1" s="1"/>
  <c r="Q12" i="1" s="1"/>
  <c r="R12" i="1" s="1"/>
  <c r="S12" i="1" s="1"/>
  <c r="T12" i="1" s="1"/>
  <c r="U12" i="1" s="1"/>
  <c r="V12" i="1" s="1"/>
  <c r="W12" i="1" s="1"/>
  <c r="H19" i="1"/>
  <c r="I19" i="1" s="1"/>
  <c r="J19" i="1" s="1"/>
  <c r="K19" i="1" s="1"/>
  <c r="L19" i="1" s="1"/>
  <c r="M19" i="1" s="1"/>
  <c r="N19" i="1" s="1"/>
  <c r="O19" i="1" s="1"/>
  <c r="P19" i="1" s="1"/>
  <c r="Q19" i="1" s="1"/>
  <c r="R19" i="1" s="1"/>
  <c r="S19" i="1" s="1"/>
  <c r="T19" i="1" s="1"/>
  <c r="U19" i="1" s="1"/>
  <c r="V19" i="1" s="1"/>
  <c r="W19" i="1" s="1"/>
  <c r="J34" i="1"/>
  <c r="J35" i="1" s="1"/>
  <c r="I11" i="1"/>
  <c r="J11" i="1"/>
  <c r="K11" i="1" s="1"/>
  <c r="L11" i="1" s="1"/>
  <c r="M11" i="1" s="1"/>
  <c r="N11" i="1" s="1"/>
  <c r="O11" i="1" s="1"/>
  <c r="P11" i="1" s="1"/>
  <c r="Q11" i="1" s="1"/>
  <c r="R11" i="1" s="1"/>
  <c r="S11" i="1" s="1"/>
  <c r="T11" i="1" s="1"/>
  <c r="U11" i="1" s="1"/>
  <c r="V11" i="1" s="1"/>
  <c r="W11" i="1" s="1"/>
  <c r="J30" i="1"/>
  <c r="J31" i="1" s="1"/>
  <c r="F12" i="16" l="1"/>
  <c r="E20" i="2" s="1"/>
  <c r="G12" i="16"/>
  <c r="F13" i="16"/>
  <c r="E21" i="2" s="1"/>
  <c r="G13" i="16"/>
  <c r="F22" i="16"/>
  <c r="E30" i="2" s="1"/>
  <c r="G22" i="16"/>
  <c r="F23" i="16" l="1"/>
  <c r="E31" i="2" s="1"/>
  <c r="G23" i="16"/>
  <c r="F10" i="16" l="1"/>
  <c r="E18" i="2" s="1"/>
  <c r="G10" i="16"/>
  <c r="F11" i="16"/>
  <c r="E19" i="2" s="1"/>
  <c r="G11" i="16"/>
  <c r="G9" i="16" l="1"/>
  <c r="F9" i="16" l="1"/>
  <c r="E17" i="2" s="1"/>
  <c r="BX13" i="13" l="1"/>
  <c r="F26" i="1"/>
  <c r="E26" i="1"/>
  <c r="D26" i="1"/>
  <c r="C26" i="1"/>
  <c r="BP15" i="12" l="1"/>
  <c r="BQ15" i="12" s="1"/>
  <c r="BR15" i="12" s="1"/>
  <c r="BS15" i="12" s="1"/>
  <c r="BT15" i="12" s="1"/>
  <c r="BU15" i="12" s="1"/>
  <c r="BV15" i="12" s="1"/>
  <c r="BW15" i="12" s="1"/>
  <c r="BX15" i="12" s="1"/>
  <c r="BY15" i="12" s="1"/>
  <c r="BZ15" i="12" s="1"/>
  <c r="CA15" i="12" s="1"/>
  <c r="CB15" i="12" s="1"/>
  <c r="CC15" i="12" s="1"/>
  <c r="CD15" i="12" s="1"/>
  <c r="CE15" i="12" s="1"/>
  <c r="CF15" i="12" s="1"/>
  <c r="CG15" i="12" s="1"/>
  <c r="CH15" i="12" s="1"/>
  <c r="CI15" i="12" s="1"/>
  <c r="BN24" i="12"/>
  <c r="BN23" i="12"/>
  <c r="BN22" i="12"/>
  <c r="BN21" i="12"/>
  <c r="BN20" i="12"/>
  <c r="BN19" i="12"/>
  <c r="BN18" i="12"/>
  <c r="BN17" i="12"/>
  <c r="BN16" i="12"/>
  <c r="BJ15" i="12"/>
  <c r="BG15" i="12"/>
  <c r="BD15" i="12"/>
  <c r="BA15" i="12"/>
  <c r="AX15" i="12"/>
  <c r="AU15" i="12"/>
  <c r="AR15" i="12"/>
  <c r="AO15" i="12"/>
  <c r="AL15" i="12"/>
  <c r="AI15" i="12"/>
  <c r="AF15" i="12"/>
  <c r="AC15" i="12"/>
  <c r="Z15" i="12"/>
  <c r="W15" i="12"/>
  <c r="T15" i="12"/>
  <c r="Q15" i="12"/>
  <c r="AX10" i="1"/>
  <c r="AW10" i="1" s="1"/>
  <c r="AV10" i="1" s="1"/>
  <c r="AU10" i="1" s="1"/>
  <c r="J14" i="2" l="1"/>
  <c r="J13" i="2"/>
  <c r="J12" i="2"/>
  <c r="J11" i="2"/>
  <c r="B14" i="2"/>
  <c r="B13" i="2" s="1"/>
  <c r="B12" i="2" s="1"/>
  <c r="B11" i="2" s="1"/>
  <c r="DP17" i="7"/>
  <c r="DP16" i="7"/>
  <c r="DP15" i="7"/>
  <c r="DP14" i="7"/>
  <c r="DP13" i="7"/>
  <c r="DP12" i="7"/>
  <c r="DR10" i="7"/>
  <c r="DS10" i="7" s="1"/>
  <c r="DT10" i="7" s="1"/>
  <c r="DU10" i="7" s="1"/>
  <c r="DV10" i="7" s="1"/>
  <c r="DW10" i="7" s="1"/>
  <c r="DX10" i="7" s="1"/>
  <c r="DY10" i="7" s="1"/>
  <c r="DZ10" i="7" s="1"/>
  <c r="EA10" i="7" s="1"/>
  <c r="EB10" i="7" s="1"/>
  <c r="EC10" i="7" s="1"/>
  <c r="ED10" i="7" s="1"/>
  <c r="EE10" i="7" s="1"/>
  <c r="EF10" i="7" s="1"/>
  <c r="EG10" i="7" s="1"/>
  <c r="EH10" i="7" s="1"/>
  <c r="EI10" i="7" s="1"/>
  <c r="EJ10" i="7" s="1"/>
  <c r="EK10" i="7" s="1"/>
  <c r="CV10" i="7"/>
  <c r="CW10" i="7" s="1"/>
  <c r="CX10" i="7" s="1"/>
  <c r="CY10" i="7" s="1"/>
  <c r="CZ10" i="7" s="1"/>
  <c r="DA10" i="7" s="1"/>
  <c r="DB10" i="7" s="1"/>
  <c r="DC10" i="7" s="1"/>
  <c r="DD10" i="7" s="1"/>
  <c r="DE10" i="7" s="1"/>
  <c r="DF10" i="7" s="1"/>
  <c r="DG10" i="7" s="1"/>
  <c r="DH10" i="7" s="1"/>
  <c r="DI10" i="7" s="1"/>
  <c r="DJ10" i="7" s="1"/>
  <c r="DK10" i="7" s="1"/>
  <c r="DL10" i="7" s="1"/>
  <c r="G21" i="7"/>
  <c r="F21" i="7"/>
  <c r="E21" i="7"/>
  <c r="D21" i="7"/>
  <c r="G20" i="7"/>
  <c r="F20" i="7"/>
  <c r="E20" i="7"/>
  <c r="D20" i="7"/>
  <c r="G19" i="7"/>
  <c r="F19" i="7"/>
  <c r="E19" i="7"/>
  <c r="D19" i="7"/>
  <c r="G18" i="7"/>
  <c r="F18" i="7"/>
  <c r="E18" i="7"/>
  <c r="D18" i="7"/>
  <c r="G17" i="7"/>
  <c r="F17" i="7"/>
  <c r="E17" i="7"/>
  <c r="D17" i="7"/>
  <c r="G16" i="7"/>
  <c r="F16" i="7"/>
  <c r="E16" i="7"/>
  <c r="D16" i="7"/>
  <c r="G15" i="7"/>
  <c r="F15" i="7"/>
  <c r="E15" i="7"/>
  <c r="D15" i="7"/>
  <c r="G14" i="7"/>
  <c r="F14" i="7"/>
  <c r="E14" i="7"/>
  <c r="D14" i="7"/>
  <c r="G13" i="7"/>
  <c r="F13" i="7"/>
  <c r="E13" i="7"/>
  <c r="D13" i="7"/>
  <c r="G12" i="7"/>
  <c r="F12" i="7"/>
  <c r="E12" i="7"/>
  <c r="D12" i="7"/>
  <c r="G11" i="7"/>
  <c r="F11" i="7"/>
  <c r="E11" i="7"/>
  <c r="D11" i="7"/>
  <c r="K12" i="2" l="1"/>
  <c r="K13" i="2"/>
  <c r="K14" i="2"/>
  <c r="DM10" i="7"/>
  <c r="DN10" i="7" s="1"/>
  <c r="DO10" i="7" s="1"/>
  <c r="D22" i="7"/>
  <c r="E22" i="7"/>
  <c r="F22" i="7"/>
  <c r="G22" i="7"/>
  <c r="C28" i="12" l="1"/>
  <c r="C21" i="12" s="1"/>
  <c r="BO24" i="12"/>
  <c r="BO33" i="12" s="1"/>
  <c r="BR24" i="12"/>
  <c r="BR33" i="12" s="1"/>
  <c r="L28" i="12"/>
  <c r="L21" i="12" s="1"/>
  <c r="BQ24" i="12"/>
  <c r="BQ33" i="12" s="1"/>
  <c r="I28" i="12"/>
  <c r="I21" i="12" s="1"/>
  <c r="BP24" i="12"/>
  <c r="BP33" i="12" s="1"/>
  <c r="F28" i="12"/>
  <c r="F21" i="12" s="1"/>
  <c r="AB10" i="1"/>
  <c r="AA10" i="1" s="1"/>
  <c r="Z10" i="1" s="1"/>
  <c r="Y10" i="1" s="1"/>
  <c r="F10" i="1"/>
  <c r="E10" i="1" s="1"/>
  <c r="D10" i="1" s="1"/>
  <c r="C10" i="1" s="1"/>
  <c r="BX15" i="13"/>
  <c r="BX14" i="13"/>
  <c r="BY14" i="13"/>
  <c r="BZ12" i="13"/>
  <c r="CO17" i="13"/>
  <c r="CN17" i="13"/>
  <c r="CM17" i="13"/>
  <c r="CL17" i="13"/>
  <c r="CK17" i="13"/>
  <c r="CJ17" i="13"/>
  <c r="CI17" i="13"/>
  <c r="CH17" i="13"/>
  <c r="CG17" i="13"/>
  <c r="CF17" i="13"/>
  <c r="CE17" i="13"/>
  <c r="CD17" i="13"/>
  <c r="CC17" i="13"/>
  <c r="CB17" i="13"/>
  <c r="CA17" i="13"/>
  <c r="BZ17" i="13"/>
  <c r="BY17" i="13"/>
  <c r="BX17" i="13"/>
  <c r="BW17" i="13"/>
  <c r="CO16" i="13"/>
  <c r="CN16" i="13"/>
  <c r="CM16" i="13"/>
  <c r="CL16" i="13"/>
  <c r="CK16" i="13"/>
  <c r="CJ16" i="13"/>
  <c r="CI16" i="13"/>
  <c r="CH16" i="13"/>
  <c r="CG16" i="13"/>
  <c r="CF16" i="13"/>
  <c r="CE16" i="13"/>
  <c r="CD16" i="13"/>
  <c r="CC16" i="13"/>
  <c r="CB16" i="13"/>
  <c r="CA16" i="13"/>
  <c r="BZ16" i="13"/>
  <c r="BY16" i="13"/>
  <c r="BX16" i="13"/>
  <c r="BW16" i="13"/>
  <c r="CO15" i="13"/>
  <c r="CN15" i="13"/>
  <c r="CM15" i="13"/>
  <c r="CL15" i="13"/>
  <c r="CK15" i="13"/>
  <c r="CJ15" i="13"/>
  <c r="CI15" i="13"/>
  <c r="CH15" i="13"/>
  <c r="CG15" i="13"/>
  <c r="CF15" i="13"/>
  <c r="CE15" i="13"/>
  <c r="CD15" i="13"/>
  <c r="CC15" i="13"/>
  <c r="CB15" i="13"/>
  <c r="CA15" i="13"/>
  <c r="BZ15" i="13"/>
  <c r="BY15" i="13"/>
  <c r="BZ14" i="13"/>
  <c r="CO13" i="13"/>
  <c r="CN13" i="13"/>
  <c r="CM13" i="13"/>
  <c r="CL13" i="13"/>
  <c r="CK13" i="13"/>
  <c r="CJ13" i="13"/>
  <c r="CI13" i="13"/>
  <c r="CH13" i="13"/>
  <c r="CF13" i="13"/>
  <c r="CE13" i="13"/>
  <c r="CD13" i="13"/>
  <c r="CC13" i="13"/>
  <c r="CB13" i="13"/>
  <c r="CA13" i="13"/>
  <c r="BZ13" i="13"/>
  <c r="BY13" i="13"/>
  <c r="CO12" i="13"/>
  <c r="CN12" i="13"/>
  <c r="CM12" i="13"/>
  <c r="CL12" i="13"/>
  <c r="CK12" i="13"/>
  <c r="CJ12" i="13"/>
  <c r="CI12" i="13"/>
  <c r="CH12" i="13"/>
  <c r="CF12" i="13"/>
  <c r="CE12" i="13"/>
  <c r="CD12" i="13"/>
  <c r="CC12" i="13"/>
  <c r="CB12" i="13"/>
  <c r="CA12" i="13"/>
  <c r="BY12" i="13"/>
  <c r="BX12" i="13"/>
  <c r="E19" i="5"/>
  <c r="E17" i="5"/>
  <c r="E16" i="5"/>
  <c r="E31" i="5"/>
  <c r="E30" i="5"/>
  <c r="E29" i="5"/>
  <c r="E28" i="5"/>
  <c r="E27" i="5"/>
  <c r="E26" i="5"/>
  <c r="E25" i="5"/>
  <c r="E24" i="5"/>
  <c r="E23" i="5"/>
  <c r="E22" i="5"/>
  <c r="E21" i="5"/>
  <c r="E20" i="5"/>
  <c r="E18" i="5"/>
  <c r="G31" i="9"/>
  <c r="G30" i="9"/>
  <c r="G29" i="9"/>
  <c r="G28" i="9"/>
  <c r="G27" i="9"/>
  <c r="G26" i="9"/>
  <c r="G25" i="9"/>
  <c r="G24" i="9"/>
  <c r="G23" i="9"/>
  <c r="G22" i="9"/>
  <c r="G21" i="9"/>
  <c r="G20" i="9"/>
  <c r="G19" i="9"/>
  <c r="G18" i="9"/>
  <c r="G17" i="9"/>
  <c r="G16" i="9"/>
  <c r="G15" i="9"/>
  <c r="G14" i="9"/>
  <c r="G13" i="9"/>
  <c r="G12" i="9"/>
  <c r="J30" i="2"/>
  <c r="J28" i="2"/>
  <c r="J26" i="2"/>
  <c r="J24" i="2"/>
  <c r="J22" i="2"/>
  <c r="J20" i="2"/>
  <c r="J18" i="2"/>
  <c r="J16" i="2"/>
  <c r="O13" i="13" l="1"/>
  <c r="O15" i="13" s="1"/>
  <c r="AL15" i="13" s="1"/>
  <c r="W13" i="13"/>
  <c r="W15" i="13" s="1"/>
  <c r="AT15" i="13" s="1"/>
  <c r="K13" i="13"/>
  <c r="K15" i="13" s="1"/>
  <c r="AH15" i="13" s="1"/>
  <c r="S13" i="13"/>
  <c r="S15" i="13" s="1"/>
  <c r="AP15" i="13" s="1"/>
  <c r="M13" i="13"/>
  <c r="M15" i="13" s="1"/>
  <c r="AJ15" i="13" s="1"/>
  <c r="U13" i="13"/>
  <c r="U15" i="13" s="1"/>
  <c r="AR15" i="13" s="1"/>
  <c r="X13" i="13"/>
  <c r="X15" i="13" s="1"/>
  <c r="AU15" i="13" s="1"/>
  <c r="I12" i="13"/>
  <c r="I14" i="13" s="1"/>
  <c r="AF14" i="13" s="1"/>
  <c r="H12" i="13"/>
  <c r="H14" i="13" s="1"/>
  <c r="AE14" i="13" s="1"/>
  <c r="I13" i="13"/>
  <c r="Q13" i="13"/>
  <c r="G12" i="13"/>
  <c r="AD12" i="13" s="1"/>
  <c r="J13" i="13"/>
  <c r="L13" i="13"/>
  <c r="N13" i="13"/>
  <c r="R13" i="13"/>
  <c r="T13" i="13"/>
  <c r="V13" i="13"/>
  <c r="G13" i="13"/>
  <c r="H13" i="13"/>
  <c r="P13" i="13"/>
  <c r="AH13" i="13"/>
  <c r="AJ13" i="13"/>
  <c r="AL13" i="13"/>
  <c r="AP13" i="13"/>
  <c r="Q24" i="12"/>
  <c r="Q21" i="12" s="1"/>
  <c r="Q30" i="12" s="1"/>
  <c r="BT20" i="12"/>
  <c r="BU20" i="12"/>
  <c r="T24" i="12"/>
  <c r="T21" i="12" s="1"/>
  <c r="T30" i="12" s="1"/>
  <c r="L16" i="2"/>
  <c r="J19" i="2"/>
  <c r="K19" i="2" s="1"/>
  <c r="J21" i="2"/>
  <c r="J27" i="2"/>
  <c r="K27" i="2" s="1"/>
  <c r="BA24" i="12"/>
  <c r="BA21" i="12" s="1"/>
  <c r="BA30" i="12" s="1"/>
  <c r="CF20" i="12"/>
  <c r="AC24" i="12"/>
  <c r="AC21" i="12" s="1"/>
  <c r="AC30" i="12" s="1"/>
  <c r="BX20" i="12"/>
  <c r="AF24" i="12"/>
  <c r="AF21" i="12" s="1"/>
  <c r="AF30" i="12" s="1"/>
  <c r="BY20" i="12"/>
  <c r="BD24" i="12"/>
  <c r="BD21" i="12" s="1"/>
  <c r="BD30" i="12" s="1"/>
  <c r="CG20" i="12"/>
  <c r="AI24" i="12"/>
  <c r="AI21" i="12" s="1"/>
  <c r="AI30" i="12" s="1"/>
  <c r="BZ20" i="12"/>
  <c r="AL24" i="12"/>
  <c r="AL21" i="12" s="1"/>
  <c r="AL30" i="12" s="1"/>
  <c r="CA20" i="12"/>
  <c r="BJ24" i="12"/>
  <c r="BJ21" i="12" s="1"/>
  <c r="BJ30" i="12" s="1"/>
  <c r="CI20" i="12"/>
  <c r="CC20" i="12"/>
  <c r="AR24" i="12"/>
  <c r="AR21" i="12" s="1"/>
  <c r="AR30" i="12" s="1"/>
  <c r="BV20" i="12"/>
  <c r="W24" i="12"/>
  <c r="W21" i="12" s="1"/>
  <c r="W30" i="12" s="1"/>
  <c r="CD20" i="12"/>
  <c r="AU24" i="12"/>
  <c r="AU21" i="12" s="1"/>
  <c r="AU30" i="12" s="1"/>
  <c r="BG24" i="12"/>
  <c r="BG21" i="12" s="1"/>
  <c r="BG30" i="12" s="1"/>
  <c r="CH20" i="12"/>
  <c r="CB20" i="12"/>
  <c r="AO24" i="12"/>
  <c r="AO21" i="12" s="1"/>
  <c r="AO30" i="12" s="1"/>
  <c r="AX24" i="12"/>
  <c r="AX21" i="12" s="1"/>
  <c r="AX30" i="12" s="1"/>
  <c r="CE20" i="12"/>
  <c r="K16" i="2"/>
  <c r="K24" i="2"/>
  <c r="J15" i="2"/>
  <c r="J23" i="2"/>
  <c r="K23" i="2" s="1"/>
  <c r="J31" i="2"/>
  <c r="K31" i="2" s="1"/>
  <c r="K18" i="2"/>
  <c r="K26" i="2"/>
  <c r="J17" i="2"/>
  <c r="K17" i="2" s="1"/>
  <c r="J25" i="2"/>
  <c r="K25" i="2" s="1"/>
  <c r="Z24" i="12"/>
  <c r="Z21" i="12" s="1"/>
  <c r="Z30" i="12" s="1"/>
  <c r="BW20" i="12"/>
  <c r="K20" i="2"/>
  <c r="K28" i="2"/>
  <c r="K21" i="2"/>
  <c r="J29" i="2"/>
  <c r="K29" i="2" s="1"/>
  <c r="K22" i="2"/>
  <c r="K30" i="2"/>
  <c r="AF12" i="13" l="1"/>
  <c r="AU13" i="13"/>
  <c r="AT13" i="13"/>
  <c r="AR13" i="13"/>
  <c r="AE12" i="13"/>
  <c r="H15" i="13"/>
  <c r="AE13" i="13"/>
  <c r="V15" i="13"/>
  <c r="AS15" i="13" s="1"/>
  <c r="AS13" i="13"/>
  <c r="R15" i="13"/>
  <c r="AO13" i="13"/>
  <c r="L15" i="13"/>
  <c r="AI15" i="13" s="1"/>
  <c r="AI13" i="13"/>
  <c r="I15" i="13"/>
  <c r="AF13" i="13"/>
  <c r="P15" i="13"/>
  <c r="AM15" i="13" s="1"/>
  <c r="AM13" i="13"/>
  <c r="G15" i="13"/>
  <c r="AD15" i="13" s="1"/>
  <c r="AD13" i="13"/>
  <c r="T15" i="13"/>
  <c r="AQ15" i="13" s="1"/>
  <c r="AQ13" i="13"/>
  <c r="N15" i="13"/>
  <c r="AK15" i="13" s="1"/>
  <c r="AK13" i="13"/>
  <c r="J15" i="13"/>
  <c r="AG13" i="13"/>
  <c r="Q15" i="13"/>
  <c r="AN13" i="13"/>
  <c r="CE24" i="12"/>
  <c r="AY28" i="12"/>
  <c r="AY21" i="12" s="1"/>
  <c r="AA28" i="12"/>
  <c r="AA21" i="12" s="1"/>
  <c r="BW24" i="12"/>
  <c r="CG24" i="12"/>
  <c r="BE28" i="12"/>
  <c r="BE21" i="12" s="1"/>
  <c r="CI24" i="12"/>
  <c r="BK28" i="12"/>
  <c r="BK21" i="12" s="1"/>
  <c r="CA24" i="12"/>
  <c r="AM28" i="12"/>
  <c r="AM21" i="12" s="1"/>
  <c r="CB24" i="12"/>
  <c r="AP28" i="12"/>
  <c r="AP21" i="12" s="1"/>
  <c r="BU24" i="12"/>
  <c r="U28" i="12"/>
  <c r="U21" i="12" s="1"/>
  <c r="BT24" i="12"/>
  <c r="R28" i="12"/>
  <c r="R21" i="12" s="1"/>
  <c r="CF24" i="12"/>
  <c r="BB28" i="12"/>
  <c r="BB21" i="12" s="1"/>
  <c r="BH28" i="12"/>
  <c r="BH21" i="12" s="1"/>
  <c r="CH24" i="12"/>
  <c r="AV28" i="12"/>
  <c r="AV21" i="12" s="1"/>
  <c r="CD24" i="12"/>
  <c r="AJ28" i="12"/>
  <c r="AJ21" i="12" s="1"/>
  <c r="BZ24" i="12"/>
  <c r="BX24" i="12"/>
  <c r="AD28" i="12"/>
  <c r="AD21" i="12" s="1"/>
  <c r="X28" i="12"/>
  <c r="X21" i="12" s="1"/>
  <c r="BV24" i="12"/>
  <c r="CC24" i="12"/>
  <c r="AS28" i="12"/>
  <c r="AS21" i="12" s="1"/>
  <c r="BY24" i="12"/>
  <c r="AG28" i="12"/>
  <c r="AG21" i="12" s="1"/>
  <c r="AN15" i="13" l="1"/>
  <c r="AF15" i="13"/>
  <c r="AF16" i="13" s="1"/>
  <c r="I16" i="13"/>
  <c r="AO15" i="13"/>
  <c r="AE15" i="13"/>
  <c r="AE16" i="13" s="1"/>
  <c r="H16" i="13"/>
  <c r="AG15" i="13"/>
  <c r="X21" i="7"/>
  <c r="W21" i="7"/>
  <c r="V21" i="7"/>
  <c r="U21" i="7"/>
  <c r="T21" i="7"/>
  <c r="S21" i="7"/>
  <c r="R21" i="7"/>
  <c r="Q21" i="7"/>
  <c r="P21" i="7"/>
  <c r="O21" i="7"/>
  <c r="N21" i="7"/>
  <c r="M21" i="7"/>
  <c r="L21" i="7"/>
  <c r="K21" i="7"/>
  <c r="J21" i="7"/>
  <c r="I21" i="7"/>
  <c r="X20" i="7"/>
  <c r="W20" i="7"/>
  <c r="V20" i="7"/>
  <c r="U20" i="7"/>
  <c r="T20" i="7"/>
  <c r="S20" i="7"/>
  <c r="R20" i="7"/>
  <c r="Q20" i="7"/>
  <c r="P20" i="7"/>
  <c r="O20" i="7"/>
  <c r="N20" i="7"/>
  <c r="M20" i="7"/>
  <c r="L20" i="7"/>
  <c r="K20" i="7"/>
  <c r="J20" i="7"/>
  <c r="I20" i="7"/>
  <c r="X18" i="7"/>
  <c r="W18" i="7"/>
  <c r="V18" i="7"/>
  <c r="U18" i="7"/>
  <c r="T18" i="7"/>
  <c r="S18" i="7"/>
  <c r="R18" i="7"/>
  <c r="Q18" i="7"/>
  <c r="P18" i="7"/>
  <c r="O18" i="7"/>
  <c r="N18" i="7"/>
  <c r="M18" i="7"/>
  <c r="L18" i="7"/>
  <c r="K18" i="7"/>
  <c r="J18" i="7"/>
  <c r="I18" i="7"/>
  <c r="X17" i="7"/>
  <c r="W17" i="7"/>
  <c r="V17" i="7"/>
  <c r="U17" i="7"/>
  <c r="T17" i="7"/>
  <c r="S17" i="7"/>
  <c r="R17" i="7"/>
  <c r="Q17" i="7"/>
  <c r="P17" i="7"/>
  <c r="O17" i="7"/>
  <c r="N17" i="7"/>
  <c r="M17" i="7"/>
  <c r="L17" i="7"/>
  <c r="K17" i="7"/>
  <c r="J17" i="7"/>
  <c r="I17" i="7"/>
  <c r="X16" i="7"/>
  <c r="W16" i="7"/>
  <c r="V16" i="7"/>
  <c r="U16" i="7"/>
  <c r="T16" i="7"/>
  <c r="S16" i="7"/>
  <c r="R16" i="7"/>
  <c r="Q16" i="7"/>
  <c r="P16" i="7"/>
  <c r="O16" i="7"/>
  <c r="N16" i="7"/>
  <c r="M16" i="7"/>
  <c r="L16" i="7"/>
  <c r="K16" i="7"/>
  <c r="J16" i="7"/>
  <c r="I16" i="7"/>
  <c r="X15" i="7"/>
  <c r="W15" i="7"/>
  <c r="V15" i="7"/>
  <c r="U15" i="7"/>
  <c r="T15" i="7"/>
  <c r="S15" i="7"/>
  <c r="R15" i="7"/>
  <c r="Q15" i="7"/>
  <c r="P15" i="7"/>
  <c r="O15" i="7"/>
  <c r="N15" i="7"/>
  <c r="M15" i="7"/>
  <c r="L15" i="7"/>
  <c r="K15" i="7"/>
  <c r="J15" i="7"/>
  <c r="I15" i="7"/>
  <c r="X14" i="7"/>
  <c r="W14" i="7"/>
  <c r="V14" i="7"/>
  <c r="U14" i="7"/>
  <c r="T14" i="7"/>
  <c r="S14" i="7"/>
  <c r="R14" i="7"/>
  <c r="Q14" i="7"/>
  <c r="P14" i="7"/>
  <c r="O14" i="7"/>
  <c r="N14" i="7"/>
  <c r="M14" i="7"/>
  <c r="L14" i="7"/>
  <c r="K14" i="7"/>
  <c r="J14" i="7"/>
  <c r="I14" i="7"/>
  <c r="X13" i="7"/>
  <c r="W13" i="7"/>
  <c r="V13" i="7"/>
  <c r="U13" i="7"/>
  <c r="T13" i="7"/>
  <c r="S13" i="7"/>
  <c r="R13" i="7"/>
  <c r="Q13" i="7"/>
  <c r="P13" i="7"/>
  <c r="O13" i="7"/>
  <c r="N13" i="7"/>
  <c r="M13" i="7"/>
  <c r="L13" i="7"/>
  <c r="K13" i="7"/>
  <c r="J13" i="7"/>
  <c r="I13" i="7"/>
  <c r="X12" i="7"/>
  <c r="W12" i="7"/>
  <c r="V12" i="7"/>
  <c r="U12" i="7"/>
  <c r="T12" i="7"/>
  <c r="S12" i="7"/>
  <c r="R12" i="7"/>
  <c r="Q12" i="7"/>
  <c r="P12" i="7"/>
  <c r="O12" i="7"/>
  <c r="N12" i="7"/>
  <c r="M12" i="7"/>
  <c r="L12" i="7"/>
  <c r="K12" i="7"/>
  <c r="J12" i="7"/>
  <c r="I12" i="7"/>
  <c r="Y11" i="7"/>
  <c r="Z11" i="7"/>
  <c r="Y12" i="7"/>
  <c r="Z12" i="7"/>
  <c r="AB12" i="7"/>
  <c r="Y13" i="7"/>
  <c r="Z13" i="7"/>
  <c r="AB13" i="7"/>
  <c r="Y14" i="7"/>
  <c r="Z14" i="7"/>
  <c r="AB14" i="7"/>
  <c r="Y15" i="7"/>
  <c r="AB15" i="7"/>
  <c r="Y16" i="7"/>
  <c r="Z16" i="7"/>
  <c r="AB16" i="7"/>
  <c r="Y17" i="7"/>
  <c r="Z17" i="7"/>
  <c r="AB17" i="7"/>
  <c r="Y18" i="7"/>
  <c r="Z18" i="7"/>
  <c r="AB18" i="7"/>
  <c r="Y19" i="7"/>
  <c r="Z19" i="7"/>
  <c r="AB19" i="7"/>
  <c r="Y20" i="7"/>
  <c r="Z20" i="7"/>
  <c r="AB20" i="7"/>
  <c r="Y21" i="7"/>
  <c r="Z21" i="7"/>
  <c r="AB21" i="7"/>
  <c r="H10" i="7"/>
  <c r="X19" i="7"/>
  <c r="H26" i="1"/>
  <c r="H10" i="1"/>
  <c r="I10" i="1" s="1"/>
  <c r="J10" i="1" s="1"/>
  <c r="K10" i="1" s="1"/>
  <c r="L10" i="1" s="1"/>
  <c r="M10" i="1" s="1"/>
  <c r="N10" i="1" s="1"/>
  <c r="O10" i="1" s="1"/>
  <c r="P10" i="1" s="1"/>
  <c r="Q10" i="1" s="1"/>
  <c r="R10" i="1" s="1"/>
  <c r="S10" i="1" s="1"/>
  <c r="T10" i="1" s="1"/>
  <c r="U10" i="1" s="1"/>
  <c r="V10" i="1" s="1"/>
  <c r="W10" i="1" s="1"/>
  <c r="X10" i="7" s="1"/>
  <c r="AW10" i="7" s="1"/>
  <c r="I10" i="7" l="1"/>
  <c r="AH10" i="7" s="1"/>
  <c r="P25" i="12"/>
  <c r="P21" i="12" s="1"/>
  <c r="BS21" i="12"/>
  <c r="BS32" i="12" s="1"/>
  <c r="S25" i="12"/>
  <c r="S21" i="12" s="1"/>
  <c r="BT21" i="12"/>
  <c r="I11" i="7"/>
  <c r="I19" i="7"/>
  <c r="AU15" i="7"/>
  <c r="BQ15" i="7" s="1"/>
  <c r="AV15" i="7"/>
  <c r="AG10" i="7"/>
  <c r="AF10" i="7" s="1"/>
  <c r="AE10" i="7" s="1"/>
  <c r="AD10" i="7" s="1"/>
  <c r="AC10" i="7" s="1"/>
  <c r="G10" i="7"/>
  <c r="F10" i="7" s="1"/>
  <c r="E10" i="7" s="1"/>
  <c r="D10" i="7" s="1"/>
  <c r="M10" i="7"/>
  <c r="AL10" i="7" s="1"/>
  <c r="U10" i="7"/>
  <c r="AT10" i="7" s="1"/>
  <c r="N10" i="7"/>
  <c r="AM10" i="7" s="1"/>
  <c r="V10" i="7"/>
  <c r="N19" i="7"/>
  <c r="V19" i="7"/>
  <c r="O10" i="7"/>
  <c r="AN10" i="7" s="1"/>
  <c r="W10" i="7"/>
  <c r="O19" i="7"/>
  <c r="W19" i="7"/>
  <c r="P10" i="7"/>
  <c r="AO10" i="7" s="1"/>
  <c r="P19" i="7"/>
  <c r="U19" i="7"/>
  <c r="Q19" i="7"/>
  <c r="Q10" i="7"/>
  <c r="AP10" i="7" s="1"/>
  <c r="J10" i="7"/>
  <c r="AI10" i="7" s="1"/>
  <c r="R10" i="7"/>
  <c r="AQ10" i="7" s="1"/>
  <c r="J19" i="7"/>
  <c r="R19" i="7"/>
  <c r="K10" i="7"/>
  <c r="AJ10" i="7" s="1"/>
  <c r="S10" i="7"/>
  <c r="AR10" i="7" s="1"/>
  <c r="K19" i="7"/>
  <c r="S19" i="7"/>
  <c r="M19" i="7"/>
  <c r="L10" i="7"/>
  <c r="AK10" i="7" s="1"/>
  <c r="T10" i="7"/>
  <c r="AS10" i="7" s="1"/>
  <c r="L19" i="7"/>
  <c r="T19" i="7"/>
  <c r="BS10" i="7"/>
  <c r="CS10" i="7" s="1"/>
  <c r="BC10" i="7"/>
  <c r="AA13" i="7"/>
  <c r="AK13" i="7" s="1"/>
  <c r="BG13" i="7" s="1"/>
  <c r="AA20" i="7"/>
  <c r="AT20" i="7" s="1"/>
  <c r="BP20" i="7" s="1"/>
  <c r="AA16" i="7"/>
  <c r="AJ16" i="7" s="1"/>
  <c r="BF16" i="7" s="1"/>
  <c r="AA12" i="7"/>
  <c r="AR12" i="7" s="1"/>
  <c r="BN12" i="7" s="1"/>
  <c r="AA18" i="7"/>
  <c r="AO18" i="7" s="1"/>
  <c r="BK18" i="7" s="1"/>
  <c r="AA14" i="7"/>
  <c r="AL14" i="7" s="1"/>
  <c r="BH14" i="7" s="1"/>
  <c r="AA21" i="7"/>
  <c r="AC21" i="7" s="1"/>
  <c r="AY21" i="7" s="1"/>
  <c r="AA19" i="7"/>
  <c r="AA17" i="7"/>
  <c r="AK17" i="7" s="1"/>
  <c r="BG17" i="7" s="1"/>
  <c r="AA15" i="7"/>
  <c r="AR15" i="7" s="1"/>
  <c r="BN15" i="7" s="1"/>
  <c r="AA11" i="7"/>
  <c r="AC11" i="7" s="1"/>
  <c r="AY11" i="7" s="1"/>
  <c r="J11" i="7"/>
  <c r="AU20" i="7" l="1"/>
  <c r="BQ20" i="7" s="1"/>
  <c r="AR16" i="7"/>
  <c r="BN16" i="7" s="1"/>
  <c r="AM15" i="7"/>
  <c r="BI15" i="7" s="1"/>
  <c r="AH20" i="7"/>
  <c r="BD20" i="7" s="1"/>
  <c r="AO20" i="7"/>
  <c r="BK20" i="7" s="1"/>
  <c r="AT12" i="7"/>
  <c r="CP12" i="7" s="1"/>
  <c r="AH16" i="7"/>
  <c r="BD16" i="7" s="1"/>
  <c r="AK16" i="7"/>
  <c r="BG16" i="7" s="1"/>
  <c r="AW16" i="7"/>
  <c r="BS16" i="7" s="1"/>
  <c r="AS15" i="7"/>
  <c r="BO15" i="7" s="1"/>
  <c r="AQ17" i="7"/>
  <c r="AH19" i="7"/>
  <c r="BD19" i="7" s="1"/>
  <c r="AC19" i="7"/>
  <c r="AY19" i="7" s="1"/>
  <c r="CN16" i="7"/>
  <c r="AN17" i="7"/>
  <c r="BJ17" i="7" s="1"/>
  <c r="CI15" i="7"/>
  <c r="AJ14" i="7"/>
  <c r="BF14" i="7" s="1"/>
  <c r="BD10" i="7"/>
  <c r="CD10" i="7" s="1"/>
  <c r="AW20" i="7"/>
  <c r="BS20" i="7" s="1"/>
  <c r="AW17" i="7"/>
  <c r="AV16" i="7"/>
  <c r="BR16" i="7" s="1"/>
  <c r="AM14" i="7"/>
  <c r="BI14" i="7" s="1"/>
  <c r="AR20" i="7"/>
  <c r="BN20" i="7" s="1"/>
  <c r="AR13" i="7"/>
  <c r="BN13" i="7" s="1"/>
  <c r="AT13" i="7"/>
  <c r="BP13" i="7" s="1"/>
  <c r="BP10" i="7"/>
  <c r="CP10" i="7" s="1"/>
  <c r="AQ18" i="7"/>
  <c r="BM18" i="7" s="1"/>
  <c r="AC18" i="7"/>
  <c r="AY18" i="7" s="1"/>
  <c r="AN13" i="7"/>
  <c r="AI17" i="7"/>
  <c r="BE17" i="7" s="1"/>
  <c r="AI11" i="7"/>
  <c r="BE11" i="7" s="1"/>
  <c r="AP15" i="7"/>
  <c r="BL15" i="7" s="1"/>
  <c r="AW13" i="7"/>
  <c r="AV12" i="7"/>
  <c r="BR12" i="7" s="1"/>
  <c r="AT17" i="7"/>
  <c r="BP17" i="7" s="1"/>
  <c r="AS14" i="7"/>
  <c r="CR15" i="7"/>
  <c r="BR15" i="7"/>
  <c r="BJ10" i="7"/>
  <c r="CJ10" i="7" s="1"/>
  <c r="AO14" i="7"/>
  <c r="BK14" i="7" s="1"/>
  <c r="AP14" i="7"/>
  <c r="AW12" i="7"/>
  <c r="BS12" i="7" s="1"/>
  <c r="AT16" i="7"/>
  <c r="AK12" i="7"/>
  <c r="CG16" i="7"/>
  <c r="AQ20" i="7"/>
  <c r="BM20" i="7" s="1"/>
  <c r="AC20" i="7"/>
  <c r="AY20" i="7" s="1"/>
  <c r="AH12" i="7"/>
  <c r="BD12" i="7" s="1"/>
  <c r="AI13" i="7"/>
  <c r="BE13" i="7" s="1"/>
  <c r="AL20" i="7"/>
  <c r="BH20" i="7" s="1"/>
  <c r="AR17" i="7"/>
  <c r="BN17" i="7" s="1"/>
  <c r="CG13" i="7"/>
  <c r="CN12" i="7"/>
  <c r="CF16" i="7"/>
  <c r="CG17" i="7"/>
  <c r="CN15" i="7"/>
  <c r="AQ19" i="7"/>
  <c r="BM19" i="7" s="1"/>
  <c r="AF21" i="7"/>
  <c r="BB21" i="7" s="1"/>
  <c r="AD21" i="7"/>
  <c r="AZ21" i="7" s="1"/>
  <c r="AE21" i="7"/>
  <c r="BA21" i="7" s="1"/>
  <c r="AU21" i="7"/>
  <c r="BQ21" i="7" s="1"/>
  <c r="AH21" i="7"/>
  <c r="BD21" i="7" s="1"/>
  <c r="AD14" i="7"/>
  <c r="AZ14" i="7" s="1"/>
  <c r="AC14" i="7"/>
  <c r="AY14" i="7" s="1"/>
  <c r="AE14" i="7"/>
  <c r="BA14" i="7" s="1"/>
  <c r="AF14" i="7"/>
  <c r="BB14" i="7" s="1"/>
  <c r="AN19" i="7"/>
  <c r="BJ19" i="7" s="1"/>
  <c r="CE17" i="7"/>
  <c r="AH15" i="7"/>
  <c r="BD15" i="7" s="1"/>
  <c r="AI14" i="7"/>
  <c r="BE14" i="7" s="1"/>
  <c r="AO17" i="7"/>
  <c r="BK17" i="7" s="1"/>
  <c r="AO13" i="7"/>
  <c r="BK13" i="7" s="1"/>
  <c r="AM21" i="7"/>
  <c r="BI21" i="7" s="1"/>
  <c r="AN16" i="7"/>
  <c r="BJ16" i="7" s="1"/>
  <c r="AN12" i="7"/>
  <c r="BJ12" i="7" s="1"/>
  <c r="AU18" i="7"/>
  <c r="BQ18" i="7" s="1"/>
  <c r="AU14" i="7"/>
  <c r="BQ14" i="7" s="1"/>
  <c r="AQ13" i="7"/>
  <c r="BM13" i="7" s="1"/>
  <c r="AL17" i="7"/>
  <c r="BH17" i="7" s="1"/>
  <c r="AL13" i="7"/>
  <c r="BH13" i="7" s="1"/>
  <c r="AJ20" i="7"/>
  <c r="BF20" i="7" s="1"/>
  <c r="AK15" i="7"/>
  <c r="BG15" i="7" s="1"/>
  <c r="AQ15" i="7"/>
  <c r="BM15" i="7" s="1"/>
  <c r="AJ17" i="7"/>
  <c r="BF17" i="7" s="1"/>
  <c r="AJ13" i="7"/>
  <c r="BF13" i="7" s="1"/>
  <c r="AD19" i="7"/>
  <c r="AZ19" i="7" s="1"/>
  <c r="AF19" i="7"/>
  <c r="BB19" i="7" s="1"/>
  <c r="AE19" i="7"/>
  <c r="BA19" i="7" s="1"/>
  <c r="AV19" i="7"/>
  <c r="BR19" i="7" s="1"/>
  <c r="AL19" i="7"/>
  <c r="BH19" i="7" s="1"/>
  <c r="AV21" i="7"/>
  <c r="BR21" i="7" s="1"/>
  <c r="AS21" i="7"/>
  <c r="BO21" i="7" s="1"/>
  <c r="AS18" i="7"/>
  <c r="BO18" i="7" s="1"/>
  <c r="AD12" i="7"/>
  <c r="AZ12" i="7" s="1"/>
  <c r="AC12" i="7"/>
  <c r="AY12" i="7" s="1"/>
  <c r="AE12" i="7"/>
  <c r="BA12" i="7" s="1"/>
  <c r="AF12" i="7"/>
  <c r="BB12" i="7" s="1"/>
  <c r="AR19" i="7"/>
  <c r="BN19" i="7" s="1"/>
  <c r="CD16" i="7"/>
  <c r="CD12" i="7"/>
  <c r="CS16" i="7"/>
  <c r="CS12" i="7"/>
  <c r="CR12" i="7"/>
  <c r="CE13" i="7"/>
  <c r="CH14" i="7"/>
  <c r="CO15" i="7"/>
  <c r="AH18" i="7"/>
  <c r="BD18" i="7" s="1"/>
  <c r="AH14" i="7"/>
  <c r="BD14" i="7" s="1"/>
  <c r="AN21" i="7"/>
  <c r="BJ21" i="7" s="1"/>
  <c r="AO16" i="7"/>
  <c r="BK16" i="7" s="1"/>
  <c r="AO12" i="7"/>
  <c r="BK12" i="7" s="1"/>
  <c r="AM20" i="7"/>
  <c r="BI20" i="7" s="1"/>
  <c r="AN15" i="7"/>
  <c r="BJ15" i="7" s="1"/>
  <c r="AQ16" i="7"/>
  <c r="BM16" i="7" s="1"/>
  <c r="AU17" i="7"/>
  <c r="BQ17" i="7" s="1"/>
  <c r="AU13" i="7"/>
  <c r="BQ13" i="7" s="1"/>
  <c r="AK21" i="7"/>
  <c r="BG21" i="7" s="1"/>
  <c r="AL16" i="7"/>
  <c r="BH16" i="7" s="1"/>
  <c r="AL12" i="7"/>
  <c r="BH12" i="7" s="1"/>
  <c r="AK18" i="7"/>
  <c r="BG18" i="7" s="1"/>
  <c r="AK14" i="7"/>
  <c r="BG14" i="7" s="1"/>
  <c r="AI21" i="7"/>
  <c r="BE21" i="7" s="1"/>
  <c r="AJ12" i="7"/>
  <c r="BF12" i="7" s="1"/>
  <c r="AP18" i="7"/>
  <c r="BL18" i="7" s="1"/>
  <c r="AP21" i="7"/>
  <c r="BL21" i="7" s="1"/>
  <c r="AD11" i="7"/>
  <c r="AZ11" i="7" s="1"/>
  <c r="AE11" i="7"/>
  <c r="BA11" i="7" s="1"/>
  <c r="AF11" i="7"/>
  <c r="BB11" i="7" s="1"/>
  <c r="AD16" i="7"/>
  <c r="AZ16" i="7" s="1"/>
  <c r="AE16" i="7"/>
  <c r="BA16" i="7" s="1"/>
  <c r="AF16" i="7"/>
  <c r="BB16" i="7" s="1"/>
  <c r="AC16" i="7"/>
  <c r="AY16" i="7" s="1"/>
  <c r="BH10" i="7"/>
  <c r="CH10" i="7" s="1"/>
  <c r="AJ19" i="7"/>
  <c r="BF19" i="7" s="1"/>
  <c r="AP19" i="7"/>
  <c r="BL19" i="7" s="1"/>
  <c r="AU19" i="7"/>
  <c r="BQ19" i="7" s="1"/>
  <c r="AP17" i="7"/>
  <c r="BL17" i="7" s="1"/>
  <c r="AP13" i="7"/>
  <c r="BL13" i="7" s="1"/>
  <c r="AV20" i="7"/>
  <c r="BR20" i="7" s="1"/>
  <c r="AW15" i="7"/>
  <c r="BS15" i="7" s="1"/>
  <c r="AH11" i="7"/>
  <c r="BD11" i="7" s="1"/>
  <c r="AV18" i="7"/>
  <c r="BR18" i="7" s="1"/>
  <c r="AV14" i="7"/>
  <c r="BR14" i="7" s="1"/>
  <c r="AI12" i="7"/>
  <c r="BE12" i="7" s="1"/>
  <c r="AM17" i="7"/>
  <c r="BI17" i="7" s="1"/>
  <c r="AM13" i="7"/>
  <c r="BI13" i="7" s="1"/>
  <c r="AS20" i="7"/>
  <c r="BO20" i="7" s="1"/>
  <c r="AT15" i="7"/>
  <c r="BP15" i="7" s="1"/>
  <c r="AS17" i="7"/>
  <c r="BO17" i="7" s="1"/>
  <c r="AS13" i="7"/>
  <c r="BO13" i="7" s="1"/>
  <c r="AW19" i="7"/>
  <c r="BS19" i="7" s="1"/>
  <c r="AK19" i="7"/>
  <c r="BG19" i="7" s="1"/>
  <c r="AD18" i="7"/>
  <c r="AZ18" i="7" s="1"/>
  <c r="AE18" i="7"/>
  <c r="BA18" i="7" s="1"/>
  <c r="AF18" i="7"/>
  <c r="BB18" i="7" s="1"/>
  <c r="AE15" i="7"/>
  <c r="BA15" i="7" s="1"/>
  <c r="AD15" i="7"/>
  <c r="AZ15" i="7" s="1"/>
  <c r="AC15" i="7"/>
  <c r="AY15" i="7" s="1"/>
  <c r="AF15" i="7"/>
  <c r="BB15" i="7" s="1"/>
  <c r="AF20" i="7"/>
  <c r="BB20" i="7" s="1"/>
  <c r="AD20" i="7"/>
  <c r="AZ20" i="7" s="1"/>
  <c r="AE20" i="7"/>
  <c r="BA20" i="7" s="1"/>
  <c r="AT19" i="7"/>
  <c r="BP19" i="7" s="1"/>
  <c r="AM19" i="7"/>
  <c r="BI19" i="7" s="1"/>
  <c r="CQ15" i="7"/>
  <c r="CF14" i="7"/>
  <c r="CP17" i="7"/>
  <c r="CP13" i="7"/>
  <c r="CN17" i="7"/>
  <c r="AW21" i="7"/>
  <c r="BS21" i="7" s="1"/>
  <c r="AH17" i="7"/>
  <c r="BD17" i="7" s="1"/>
  <c r="AH13" i="7"/>
  <c r="BD13" i="7" s="1"/>
  <c r="AN20" i="7"/>
  <c r="BJ20" i="7" s="1"/>
  <c r="AO15" i="7"/>
  <c r="BK15" i="7" s="1"/>
  <c r="AP20" i="7"/>
  <c r="BL20" i="7" s="1"/>
  <c r="AN18" i="7"/>
  <c r="BJ18" i="7" s="1"/>
  <c r="AN14" i="7"/>
  <c r="BJ14" i="7" s="1"/>
  <c r="AT21" i="7"/>
  <c r="BP21" i="7" s="1"/>
  <c r="AU16" i="7"/>
  <c r="BQ16" i="7" s="1"/>
  <c r="AU12" i="7"/>
  <c r="BQ12" i="7" s="1"/>
  <c r="AK20" i="7"/>
  <c r="BG20" i="7" s="1"/>
  <c r="AL15" i="7"/>
  <c r="BH15" i="7" s="1"/>
  <c r="AQ14" i="7"/>
  <c r="BM14" i="7" s="1"/>
  <c r="AI20" i="7"/>
  <c r="BE20" i="7" s="1"/>
  <c r="AJ15" i="7"/>
  <c r="BF15" i="7" s="1"/>
  <c r="AI18" i="7"/>
  <c r="BE18" i="7" s="1"/>
  <c r="AI19" i="7"/>
  <c r="BE19" i="7" s="1"/>
  <c r="AM18" i="7"/>
  <c r="BI18" i="7" s="1"/>
  <c r="AQ21" i="7"/>
  <c r="BM21" i="7" s="1"/>
  <c r="AE17" i="7"/>
  <c r="BA17" i="7" s="1"/>
  <c r="AC17" i="7"/>
  <c r="AY17" i="7" s="1"/>
  <c r="AF17" i="7"/>
  <c r="BB17" i="7" s="1"/>
  <c r="AD17" i="7"/>
  <c r="AZ17" i="7" s="1"/>
  <c r="AE13" i="7"/>
  <c r="BA13" i="7" s="1"/>
  <c r="AD13" i="7"/>
  <c r="AZ13" i="7" s="1"/>
  <c r="AC13" i="7"/>
  <c r="AY13" i="7" s="1"/>
  <c r="AF13" i="7"/>
  <c r="BB13" i="7" s="1"/>
  <c r="AS19" i="7"/>
  <c r="BO19" i="7" s="1"/>
  <c r="AO19" i="7"/>
  <c r="BK19" i="7" s="1"/>
  <c r="AO21" i="7"/>
  <c r="BK21" i="7" s="1"/>
  <c r="AP16" i="7"/>
  <c r="BL16" i="7" s="1"/>
  <c r="AP12" i="7"/>
  <c r="BL12" i="7" s="1"/>
  <c r="AW18" i="7"/>
  <c r="BS18" i="7" s="1"/>
  <c r="AW14" i="7"/>
  <c r="BS14" i="7" s="1"/>
  <c r="AI16" i="7"/>
  <c r="BE16" i="7" s="1"/>
  <c r="AV17" i="7"/>
  <c r="BR17" i="7" s="1"/>
  <c r="AV13" i="7"/>
  <c r="BR13" i="7" s="1"/>
  <c r="AL21" i="7"/>
  <c r="BH21" i="7" s="1"/>
  <c r="AM16" i="7"/>
  <c r="BI16" i="7" s="1"/>
  <c r="AM12" i="7"/>
  <c r="BI12" i="7" s="1"/>
  <c r="AT18" i="7"/>
  <c r="BP18" i="7" s="1"/>
  <c r="AT14" i="7"/>
  <c r="BP14" i="7" s="1"/>
  <c r="AR21" i="7"/>
  <c r="BN21" i="7" s="1"/>
  <c r="AS16" i="7"/>
  <c r="BO16" i="7" s="1"/>
  <c r="AS12" i="7"/>
  <c r="BO12" i="7" s="1"/>
  <c r="AR18" i="7"/>
  <c r="BN18" i="7" s="1"/>
  <c r="AR14" i="7"/>
  <c r="BN14" i="7" s="1"/>
  <c r="AI15" i="7"/>
  <c r="BE15" i="7" s="1"/>
  <c r="AL18" i="7"/>
  <c r="BH18" i="7" s="1"/>
  <c r="AJ21" i="7"/>
  <c r="BF21" i="7" s="1"/>
  <c r="AJ18" i="7"/>
  <c r="BF18" i="7" s="1"/>
  <c r="AQ12" i="7"/>
  <c r="BM12" i="7" s="1"/>
  <c r="BE10" i="7"/>
  <c r="CE10" i="7" s="1"/>
  <c r="CC10" i="7"/>
  <c r="BB10" i="7"/>
  <c r="BK10" i="7"/>
  <c r="CK10" i="7" s="1"/>
  <c r="BI10" i="7"/>
  <c r="CI10" i="7" s="1"/>
  <c r="BF10" i="7"/>
  <c r="CF10" i="7" s="1"/>
  <c r="BM10" i="7"/>
  <c r="CM10" i="7" s="1"/>
  <c r="BL10" i="7"/>
  <c r="CL10" i="7" s="1"/>
  <c r="BO10" i="7"/>
  <c r="CO10" i="7" s="1"/>
  <c r="AV10" i="7"/>
  <c r="BR10" i="7"/>
  <c r="CR10" i="7" s="1"/>
  <c r="BG10" i="7"/>
  <c r="CG10" i="7" s="1"/>
  <c r="AU10" i="7"/>
  <c r="BQ10" i="7"/>
  <c r="CQ10" i="7" s="1"/>
  <c r="BN10" i="7"/>
  <c r="CN10" i="7" s="1"/>
  <c r="K11" i="7"/>
  <c r="AJ11" i="7" s="1"/>
  <c r="I26" i="1"/>
  <c r="CJ17" i="7" l="1"/>
  <c r="BP12" i="7"/>
  <c r="CR16" i="7"/>
  <c r="CK14" i="7"/>
  <c r="CN13" i="7"/>
  <c r="CL15" i="7"/>
  <c r="CI14" i="7"/>
  <c r="CG12" i="7"/>
  <c r="BG12" i="7"/>
  <c r="BJ13" i="7"/>
  <c r="CJ13" i="7"/>
  <c r="CP16" i="7"/>
  <c r="BP16" i="7"/>
  <c r="CF11" i="7"/>
  <c r="BF11" i="7"/>
  <c r="BF22" i="7" s="1"/>
  <c r="CL14" i="7"/>
  <c r="BL14" i="7"/>
  <c r="CE11" i="7"/>
  <c r="BO14" i="7"/>
  <c r="CO14" i="7"/>
  <c r="BS17" i="7"/>
  <c r="CS17" i="7"/>
  <c r="BS13" i="7"/>
  <c r="CS13" i="7"/>
  <c r="BM17" i="7"/>
  <c r="CM17" i="7"/>
  <c r="CE15" i="7"/>
  <c r="CI12" i="7"/>
  <c r="CL12" i="7"/>
  <c r="CA13" i="7"/>
  <c r="CB15" i="7"/>
  <c r="CE12" i="7"/>
  <c r="BY11" i="7"/>
  <c r="AC22" i="7"/>
  <c r="CG14" i="7"/>
  <c r="CJ15" i="7"/>
  <c r="CF17" i="7"/>
  <c r="CD17" i="7"/>
  <c r="CN14" i="7"/>
  <c r="CI16" i="7"/>
  <c r="CL16" i="7"/>
  <c r="BZ17" i="7"/>
  <c r="CF15" i="7"/>
  <c r="CJ14" i="7"/>
  <c r="BY15" i="7"/>
  <c r="CR14" i="7"/>
  <c r="CB11" i="7"/>
  <c r="AF22" i="7"/>
  <c r="CM15" i="7"/>
  <c r="CJ12" i="7"/>
  <c r="CL17" i="7"/>
  <c r="CQ14" i="7"/>
  <c r="BZ15" i="7"/>
  <c r="CO13" i="7"/>
  <c r="CA11" i="7"/>
  <c r="AE22" i="7"/>
  <c r="CH12" i="7"/>
  <c r="CK12" i="7"/>
  <c r="CB12" i="7"/>
  <c r="CG15" i="7"/>
  <c r="CJ16" i="7"/>
  <c r="CB14" i="7"/>
  <c r="BZ13" i="7"/>
  <c r="CQ16" i="7"/>
  <c r="CI17" i="7"/>
  <c r="CM16" i="7"/>
  <c r="CD15" i="7"/>
  <c r="CB17" i="7"/>
  <c r="CO12" i="7"/>
  <c r="CR13" i="7"/>
  <c r="BY17" i="7"/>
  <c r="CM14" i="7"/>
  <c r="CA15" i="7"/>
  <c r="CO17" i="7"/>
  <c r="CD11" i="7"/>
  <c r="AH22" i="7"/>
  <c r="BZ11" i="7"/>
  <c r="AD22" i="7"/>
  <c r="CH16" i="7"/>
  <c r="CK16" i="7"/>
  <c r="CA12" i="7"/>
  <c r="CA14" i="7"/>
  <c r="AI22" i="7"/>
  <c r="CM12" i="7"/>
  <c r="CO16" i="7"/>
  <c r="CR17" i="7"/>
  <c r="CA17" i="7"/>
  <c r="CH15" i="7"/>
  <c r="CK15" i="7"/>
  <c r="CP15" i="7"/>
  <c r="CS15" i="7"/>
  <c r="BY16" i="7"/>
  <c r="BY12" i="7"/>
  <c r="CH13" i="7"/>
  <c r="CK13" i="7"/>
  <c r="BY14" i="7"/>
  <c r="BZ16" i="7"/>
  <c r="CF13" i="7"/>
  <c r="CE16" i="7"/>
  <c r="CB13" i="7"/>
  <c r="CB16" i="7"/>
  <c r="CQ13" i="7"/>
  <c r="CD14" i="7"/>
  <c r="BZ12" i="7"/>
  <c r="CH17" i="7"/>
  <c r="CK17" i="7"/>
  <c r="BZ14" i="7"/>
  <c r="CP14" i="7"/>
  <c r="CS14" i="7"/>
  <c r="BY13" i="7"/>
  <c r="CQ12" i="7"/>
  <c r="CD13" i="7"/>
  <c r="CI13" i="7"/>
  <c r="CL13" i="7"/>
  <c r="CA16" i="7"/>
  <c r="CF12" i="7"/>
  <c r="CQ17" i="7"/>
  <c r="CM13" i="7"/>
  <c r="CE14" i="7"/>
  <c r="CB10" i="7"/>
  <c r="BA10" i="7"/>
  <c r="AJ22" i="7"/>
  <c r="L11" i="7"/>
  <c r="J26" i="1"/>
  <c r="BE22" i="7" l="1"/>
  <c r="BD22" i="7"/>
  <c r="CF22" i="7"/>
  <c r="CE22" i="7"/>
  <c r="BZ22" i="7"/>
  <c r="CA22" i="7"/>
  <c r="CD22" i="7"/>
  <c r="CB22" i="7"/>
  <c r="AY22" i="7"/>
  <c r="AZ22" i="7"/>
  <c r="BA22" i="7"/>
  <c r="BB22" i="7"/>
  <c r="AZ10" i="7"/>
  <c r="CA10" i="7"/>
  <c r="L22" i="7"/>
  <c r="AK11" i="7"/>
  <c r="M11" i="7"/>
  <c r="K26" i="1"/>
  <c r="CG11" i="7" l="1"/>
  <c r="CG22" i="7" s="1"/>
  <c r="BG11" i="7"/>
  <c r="BG22" i="7" s="1"/>
  <c r="AY10" i="7"/>
  <c r="BY10" i="7" s="1"/>
  <c r="BZ10" i="7"/>
  <c r="M22" i="7"/>
  <c r="AL11" i="7"/>
  <c r="AK22" i="7"/>
  <c r="N11" i="7"/>
  <c r="L26" i="1"/>
  <c r="CH11" i="7" l="1"/>
  <c r="CH22" i="7" s="1"/>
  <c r="BH11" i="7"/>
  <c r="BH22" i="7" s="1"/>
  <c r="N22" i="7"/>
  <c r="AM11" i="7"/>
  <c r="AL22" i="7"/>
  <c r="O11" i="7"/>
  <c r="M26" i="1"/>
  <c r="CI11" i="7" l="1"/>
  <c r="CI22" i="7" s="1"/>
  <c r="BI11" i="7"/>
  <c r="BI22" i="7" s="1"/>
  <c r="O22" i="7"/>
  <c r="AN11" i="7"/>
  <c r="AM22" i="7"/>
  <c r="P11" i="7"/>
  <c r="N26" i="1"/>
  <c r="CJ11" i="7" l="1"/>
  <c r="CJ22" i="7" s="1"/>
  <c r="BJ11" i="7"/>
  <c r="BJ22" i="7" s="1"/>
  <c r="P22" i="7"/>
  <c r="AO11" i="7"/>
  <c r="AN22" i="7"/>
  <c r="Q11" i="7"/>
  <c r="O26" i="1"/>
  <c r="CK11" i="7" l="1"/>
  <c r="CK22" i="7" s="1"/>
  <c r="BK11" i="7"/>
  <c r="BK22" i="7" s="1"/>
  <c r="Q22" i="7"/>
  <c r="AP11" i="7"/>
  <c r="AO22" i="7"/>
  <c r="R11" i="7"/>
  <c r="P26" i="1"/>
  <c r="CL11" i="7" l="1"/>
  <c r="CL22" i="7" s="1"/>
  <c r="BL11" i="7"/>
  <c r="BL22" i="7" s="1"/>
  <c r="R22" i="7"/>
  <c r="AQ11" i="7"/>
  <c r="AP22" i="7"/>
  <c r="S11" i="7"/>
  <c r="Q26" i="1"/>
  <c r="CM11" i="7" l="1"/>
  <c r="CM22" i="7" s="1"/>
  <c r="BM11" i="7"/>
  <c r="BM22" i="7" s="1"/>
  <c r="S22" i="7"/>
  <c r="AR11" i="7"/>
  <c r="AQ22" i="7"/>
  <c r="T11" i="7"/>
  <c r="R26" i="1"/>
  <c r="CN11" i="7" l="1"/>
  <c r="CN22" i="7" s="1"/>
  <c r="BN11" i="7"/>
  <c r="BN22" i="7" s="1"/>
  <c r="T22" i="7"/>
  <c r="AS11" i="7"/>
  <c r="AR22" i="7"/>
  <c r="U11" i="7"/>
  <c r="S26" i="1"/>
  <c r="CO11" i="7" l="1"/>
  <c r="BO11" i="7"/>
  <c r="BO22" i="7" s="1"/>
  <c r="CO22" i="7"/>
  <c r="U22" i="7"/>
  <c r="AT11" i="7"/>
  <c r="AS22" i="7"/>
  <c r="V11" i="7"/>
  <c r="T26" i="1"/>
  <c r="CP11" i="7" l="1"/>
  <c r="BP11" i="7"/>
  <c r="CP22" i="7"/>
  <c r="V22" i="7"/>
  <c r="AU11" i="7"/>
  <c r="AT22" i="7"/>
  <c r="BP22" i="7"/>
  <c r="W11" i="7"/>
  <c r="U26" i="1"/>
  <c r="CQ11" i="7" l="1"/>
  <c r="BQ11" i="7"/>
  <c r="CQ22" i="7"/>
  <c r="W22" i="7"/>
  <c r="AV11" i="7"/>
  <c r="AU22" i="7"/>
  <c r="V26" i="1"/>
  <c r="CR11" i="7" l="1"/>
  <c r="CR22" i="7" s="1"/>
  <c r="BR11" i="7"/>
  <c r="W26" i="1"/>
  <c r="X11" i="7"/>
  <c r="AV22" i="7"/>
  <c r="BU12" i="13"/>
  <c r="E12" i="5"/>
  <c r="E24" i="12" l="1"/>
  <c r="E21" i="12" s="1"/>
  <c r="BP20" i="12"/>
  <c r="AW11" i="7"/>
  <c r="BS11" i="7" s="1"/>
  <c r="X22" i="7"/>
  <c r="N17" i="2"/>
  <c r="G26" i="1"/>
  <c r="BP31" i="12" l="1"/>
  <c r="CS11" i="7"/>
  <c r="H21" i="7"/>
  <c r="AG21" i="7" s="1"/>
  <c r="BC21" i="7" s="1"/>
  <c r="H20" i="7"/>
  <c r="AG20" i="7" s="1"/>
  <c r="BC20" i="7" s="1"/>
  <c r="H19" i="7"/>
  <c r="AG19" i="7" s="1"/>
  <c r="BC19" i="7" s="1"/>
  <c r="H18" i="7"/>
  <c r="AG18" i="7" s="1"/>
  <c r="BC18" i="7" s="1"/>
  <c r="H17" i="7"/>
  <c r="AG17" i="7" s="1"/>
  <c r="H16" i="7"/>
  <c r="AG16" i="7" s="1"/>
  <c r="H15" i="7"/>
  <c r="AG15" i="7" s="1"/>
  <c r="H14" i="7"/>
  <c r="AG14" i="7" s="1"/>
  <c r="H13" i="7"/>
  <c r="AG13" i="7" s="1"/>
  <c r="H12" i="7"/>
  <c r="AG12" i="7" s="1"/>
  <c r="H11" i="7"/>
  <c r="AG11" i="7" s="1"/>
  <c r="CT17" i="7"/>
  <c r="DA17" i="7" l="1"/>
  <c r="DW17" i="7" s="1"/>
  <c r="DJ17" i="7"/>
  <c r="EF17" i="7" s="1"/>
  <c r="DC17" i="7"/>
  <c r="DY17" i="7" s="1"/>
  <c r="DL17" i="7"/>
  <c r="EH17" i="7" s="1"/>
  <c r="DF17" i="7"/>
  <c r="EB17" i="7" s="1"/>
  <c r="DB17" i="7"/>
  <c r="DX17" i="7" s="1"/>
  <c r="DH17" i="7"/>
  <c r="ED17" i="7" s="1"/>
  <c r="DK17" i="7"/>
  <c r="EG17" i="7" s="1"/>
  <c r="CZ17" i="7"/>
  <c r="DV17" i="7" s="1"/>
  <c r="CX17" i="7"/>
  <c r="DT17" i="7" s="1"/>
  <c r="DE17" i="7"/>
  <c r="EA17" i="7" s="1"/>
  <c r="DD17" i="7"/>
  <c r="DZ17" i="7" s="1"/>
  <c r="DO17" i="7"/>
  <c r="EK17" i="7" s="1"/>
  <c r="CW17" i="7"/>
  <c r="DS17" i="7" s="1"/>
  <c r="DI17" i="7"/>
  <c r="EE17" i="7" s="1"/>
  <c r="DM17" i="7"/>
  <c r="EI17" i="7" s="1"/>
  <c r="DN17" i="7"/>
  <c r="EJ17" i="7" s="1"/>
  <c r="DG17" i="7"/>
  <c r="EC17" i="7" s="1"/>
  <c r="CV17" i="7"/>
  <c r="DR17" i="7" s="1"/>
  <c r="CC12" i="7"/>
  <c r="BC12" i="7"/>
  <c r="CC14" i="7"/>
  <c r="BC14" i="7"/>
  <c r="CC15" i="7"/>
  <c r="BC15" i="7"/>
  <c r="CC16" i="7"/>
  <c r="BC16" i="7"/>
  <c r="CC11" i="7"/>
  <c r="BC11" i="7"/>
  <c r="CC13" i="7"/>
  <c r="BC13" i="7"/>
  <c r="CC17" i="7"/>
  <c r="CY17" i="7" s="1"/>
  <c r="DU17" i="7" s="1"/>
  <c r="BC17" i="7"/>
  <c r="CS22" i="7"/>
  <c r="AW22" i="7"/>
  <c r="AG22" i="7"/>
  <c r="P10" i="2"/>
  <c r="AT12" i="1"/>
  <c r="AT13" i="1"/>
  <c r="AT14" i="1"/>
  <c r="AT15" i="1"/>
  <c r="AT16" i="1"/>
  <c r="AT17" i="1"/>
  <c r="AT18" i="1"/>
  <c r="AT19" i="1"/>
  <c r="AT20" i="1"/>
  <c r="AT21" i="1"/>
  <c r="AT11" i="1"/>
  <c r="B19" i="1"/>
  <c r="C19" i="7" s="1"/>
  <c r="B20" i="1"/>
  <c r="C20" i="7" s="1"/>
  <c r="B21" i="1"/>
  <c r="C21" i="7" s="1"/>
  <c r="B18" i="1"/>
  <c r="C18" i="7" s="1"/>
  <c r="X12" i="1"/>
  <c r="X13" i="1"/>
  <c r="X14" i="1"/>
  <c r="X15" i="1"/>
  <c r="X16" i="1"/>
  <c r="X17" i="1"/>
  <c r="X11" i="1"/>
  <c r="B12" i="1"/>
  <c r="C12" i="7" s="1"/>
  <c r="BX12" i="7" s="1"/>
  <c r="B13" i="1"/>
  <c r="C13" i="7" s="1"/>
  <c r="BX13" i="7" s="1"/>
  <c r="B14" i="1"/>
  <c r="C14" i="7" s="1"/>
  <c r="BX14" i="7" s="1"/>
  <c r="B15" i="1"/>
  <c r="C15" i="7" s="1"/>
  <c r="BX15" i="7" s="1"/>
  <c r="B16" i="1"/>
  <c r="C16" i="7" s="1"/>
  <c r="BX16" i="7" s="1"/>
  <c r="B17" i="1"/>
  <c r="C17" i="7" s="1"/>
  <c r="BX17" i="7" s="1"/>
  <c r="B11" i="1"/>
  <c r="C11" i="7" s="1"/>
  <c r="BX11" i="7" s="1"/>
  <c r="AU20" i="1" l="1"/>
  <c r="AU38" i="1" s="1"/>
  <c r="AY36" i="7" s="1"/>
  <c r="BE36" i="7" s="1"/>
  <c r="AW20" i="1"/>
  <c r="AW38" i="1" s="1"/>
  <c r="BA36" i="7" s="1"/>
  <c r="BG36" i="7" s="1"/>
  <c r="AX20" i="1"/>
  <c r="AX38" i="1" s="1"/>
  <c r="BB36" i="7" s="1"/>
  <c r="BH36" i="7" s="1"/>
  <c r="AV20" i="1"/>
  <c r="AV38" i="1" s="1"/>
  <c r="AZ36" i="7" s="1"/>
  <c r="BF36" i="7" s="1"/>
  <c r="AU12" i="1"/>
  <c r="AU30" i="1" s="1"/>
  <c r="AX12" i="1"/>
  <c r="AX30" i="1" s="1"/>
  <c r="AW12" i="1"/>
  <c r="AW30" i="1" s="1"/>
  <c r="AV12" i="1"/>
  <c r="AV30" i="1" s="1"/>
  <c r="AV21" i="1"/>
  <c r="AV39" i="1" s="1"/>
  <c r="AZ37" i="7" s="1"/>
  <c r="BF37" i="7" s="1"/>
  <c r="AX21" i="1"/>
  <c r="AX39" i="1" s="1"/>
  <c r="BB37" i="7" s="1"/>
  <c r="BH37" i="7" s="1"/>
  <c r="AW21" i="1"/>
  <c r="AW39" i="1" s="1"/>
  <c r="BA37" i="7" s="1"/>
  <c r="BG37" i="7" s="1"/>
  <c r="AU21" i="1"/>
  <c r="AU39" i="1" s="1"/>
  <c r="AY37" i="7" s="1"/>
  <c r="BE37" i="7" s="1"/>
  <c r="AX19" i="1"/>
  <c r="AX37" i="1" s="1"/>
  <c r="BB35" i="7" s="1"/>
  <c r="BH35" i="7" s="1"/>
  <c r="AW19" i="1"/>
  <c r="AW37" i="1" s="1"/>
  <c r="BA35" i="7" s="1"/>
  <c r="BG35" i="7" s="1"/>
  <c r="AV19" i="1"/>
  <c r="AV37" i="1" s="1"/>
  <c r="AZ35" i="7" s="1"/>
  <c r="BF35" i="7" s="1"/>
  <c r="AU19" i="1"/>
  <c r="AU37" i="1" s="1"/>
  <c r="AY35" i="7" s="1"/>
  <c r="BE35" i="7" s="1"/>
  <c r="AU18" i="1"/>
  <c r="AU36" i="1" s="1"/>
  <c r="AY34" i="7" s="1"/>
  <c r="BE34" i="7" s="1"/>
  <c r="AV18" i="1"/>
  <c r="AV36" i="1" s="1"/>
  <c r="AZ34" i="7" s="1"/>
  <c r="BF34" i="7" s="1"/>
  <c r="AX18" i="1"/>
  <c r="AX36" i="1" s="1"/>
  <c r="BB34" i="7" s="1"/>
  <c r="BH34" i="7" s="1"/>
  <c r="AW18" i="1"/>
  <c r="AW36" i="1" s="1"/>
  <c r="BA34" i="7" s="1"/>
  <c r="BG34" i="7" s="1"/>
  <c r="AX11" i="1"/>
  <c r="AW11" i="1"/>
  <c r="AV11" i="1"/>
  <c r="AU11" i="1"/>
  <c r="AV17" i="1"/>
  <c r="AV35" i="1" s="1"/>
  <c r="AZ33" i="7" s="1"/>
  <c r="AX17" i="1"/>
  <c r="AX35" i="1" s="1"/>
  <c r="BB33" i="7" s="1"/>
  <c r="AW17" i="1"/>
  <c r="AW35" i="1" s="1"/>
  <c r="BA33" i="7" s="1"/>
  <c r="BG33" i="7" s="1"/>
  <c r="AU17" i="1"/>
  <c r="AU35" i="1" s="1"/>
  <c r="AU14" i="1"/>
  <c r="AU32" i="1" s="1"/>
  <c r="AV14" i="1"/>
  <c r="AV32" i="1" s="1"/>
  <c r="AX14" i="1"/>
  <c r="AX32" i="1" s="1"/>
  <c r="AW14" i="1"/>
  <c r="AW32" i="1" s="1"/>
  <c r="AX13" i="1"/>
  <c r="AX31" i="1" s="1"/>
  <c r="AV13" i="1"/>
  <c r="AV31" i="1" s="1"/>
  <c r="AW13" i="1"/>
  <c r="AW31" i="1" s="1"/>
  <c r="AU13" i="1"/>
  <c r="AU31" i="1" s="1"/>
  <c r="AU16" i="1"/>
  <c r="AU34" i="1" s="1"/>
  <c r="AX16" i="1"/>
  <c r="AX34" i="1" s="1"/>
  <c r="AV16" i="1"/>
  <c r="AV34" i="1" s="1"/>
  <c r="AW16" i="1"/>
  <c r="AW34" i="1" s="1"/>
  <c r="AV15" i="1"/>
  <c r="AV33" i="1" s="1"/>
  <c r="AX15" i="1"/>
  <c r="AX33" i="1" s="1"/>
  <c r="AW15" i="1"/>
  <c r="AW33" i="1" s="1"/>
  <c r="AU15" i="1"/>
  <c r="AU33" i="1" s="1"/>
  <c r="CC22" i="7"/>
  <c r="Z15" i="1"/>
  <c r="Z33" i="1" s="1"/>
  <c r="Y15" i="1"/>
  <c r="Y33" i="1" s="1"/>
  <c r="AB15" i="1"/>
  <c r="AB33" i="1" s="1"/>
  <c r="AA15" i="1"/>
  <c r="AA33" i="1" s="1"/>
  <c r="Z13" i="1"/>
  <c r="Z31" i="1" s="1"/>
  <c r="Y13" i="1"/>
  <c r="Y31" i="1" s="1"/>
  <c r="AA13" i="1"/>
  <c r="AA31" i="1" s="1"/>
  <c r="AB13" i="1"/>
  <c r="AB31" i="1" s="1"/>
  <c r="AA12" i="1"/>
  <c r="AA30" i="1" s="1"/>
  <c r="AB12" i="1"/>
  <c r="AB30" i="1" s="1"/>
  <c r="Z12" i="1"/>
  <c r="Z30" i="1" s="1"/>
  <c r="Y12" i="1"/>
  <c r="Y30" i="1" s="1"/>
  <c r="AB16" i="1"/>
  <c r="AB34" i="1" s="1"/>
  <c r="AA16" i="1"/>
  <c r="AA34" i="1" s="1"/>
  <c r="Z16" i="1"/>
  <c r="Z34" i="1" s="1"/>
  <c r="Y16" i="1"/>
  <c r="Y34" i="1" s="1"/>
  <c r="AB14" i="1"/>
  <c r="AB32" i="1" s="1"/>
  <c r="AA14" i="1"/>
  <c r="AA32" i="1" s="1"/>
  <c r="Z14" i="1"/>
  <c r="Z32" i="1" s="1"/>
  <c r="Y14" i="1"/>
  <c r="Y32" i="1" s="1"/>
  <c r="Z11" i="1"/>
  <c r="Z29" i="1" s="1"/>
  <c r="Y11" i="1"/>
  <c r="Y29" i="1" s="1"/>
  <c r="AB11" i="1"/>
  <c r="AB29" i="1" s="1"/>
  <c r="AA11" i="1"/>
  <c r="Z17" i="1"/>
  <c r="Z35" i="1" s="1"/>
  <c r="Y17" i="1"/>
  <c r="Y35" i="1" s="1"/>
  <c r="AA17" i="1"/>
  <c r="AA35" i="1" s="1"/>
  <c r="AB17" i="1"/>
  <c r="AB35" i="1" s="1"/>
  <c r="BO11" i="1"/>
  <c r="BF11" i="1"/>
  <c r="BN11" i="1"/>
  <c r="BM11" i="1"/>
  <c r="BE11" i="1"/>
  <c r="BL11" i="1"/>
  <c r="BD11" i="1"/>
  <c r="BK11" i="1"/>
  <c r="BC11" i="1"/>
  <c r="BJ11" i="1"/>
  <c r="BB11" i="1"/>
  <c r="BH11" i="1"/>
  <c r="BI11" i="1"/>
  <c r="BA11" i="1"/>
  <c r="AZ11" i="1"/>
  <c r="BG11" i="1"/>
  <c r="BH20" i="1"/>
  <c r="BY20" i="1" s="1"/>
  <c r="AZ20" i="1"/>
  <c r="BQ20" i="1" s="1"/>
  <c r="BO20" i="1"/>
  <c r="CF20" i="1" s="1"/>
  <c r="BG20" i="1"/>
  <c r="BX20" i="1" s="1"/>
  <c r="BN20" i="1"/>
  <c r="CE20" i="1" s="1"/>
  <c r="BF20" i="1"/>
  <c r="BW20" i="1" s="1"/>
  <c r="BM20" i="1"/>
  <c r="CD20" i="1" s="1"/>
  <c r="BE20" i="1"/>
  <c r="BV20" i="1" s="1"/>
  <c r="BL20" i="1"/>
  <c r="CC20" i="1" s="1"/>
  <c r="BD20" i="1"/>
  <c r="BU20" i="1" s="1"/>
  <c r="BK20" i="1"/>
  <c r="CB20" i="1" s="1"/>
  <c r="BC20" i="1"/>
  <c r="BT20" i="1" s="1"/>
  <c r="BA20" i="1"/>
  <c r="BR20" i="1" s="1"/>
  <c r="BJ20" i="1"/>
  <c r="CA20" i="1" s="1"/>
  <c r="BB20" i="1"/>
  <c r="BS20" i="1" s="1"/>
  <c r="BI20" i="1"/>
  <c r="BZ20" i="1" s="1"/>
  <c r="BM12" i="1"/>
  <c r="BE12" i="1"/>
  <c r="BL12" i="1"/>
  <c r="BC12" i="1"/>
  <c r="BD12" i="1"/>
  <c r="BK12" i="1"/>
  <c r="BJ12" i="1"/>
  <c r="BB12" i="1"/>
  <c r="BH12" i="1"/>
  <c r="BG12" i="1"/>
  <c r="BN12" i="1"/>
  <c r="BI12" i="1"/>
  <c r="BA12" i="1"/>
  <c r="AZ12" i="1"/>
  <c r="BO12" i="1"/>
  <c r="BF12" i="1"/>
  <c r="BH19" i="1"/>
  <c r="BY19" i="1" s="1"/>
  <c r="AZ19" i="1"/>
  <c r="BQ19" i="1" s="1"/>
  <c r="BO19" i="1"/>
  <c r="CF19" i="1" s="1"/>
  <c r="BG19" i="1"/>
  <c r="BX19" i="1" s="1"/>
  <c r="BN19" i="1"/>
  <c r="CE19" i="1" s="1"/>
  <c r="BF19" i="1"/>
  <c r="BW19" i="1" s="1"/>
  <c r="BE19" i="1"/>
  <c r="BV19" i="1" s="1"/>
  <c r="BM19" i="1"/>
  <c r="CD19" i="1" s="1"/>
  <c r="BL19" i="1"/>
  <c r="CC19" i="1" s="1"/>
  <c r="BD19" i="1"/>
  <c r="BU19" i="1" s="1"/>
  <c r="BK19" i="1"/>
  <c r="CB19" i="1" s="1"/>
  <c r="BC19" i="1"/>
  <c r="BT19" i="1" s="1"/>
  <c r="BA19" i="1"/>
  <c r="BR19" i="1" s="1"/>
  <c r="BJ19" i="1"/>
  <c r="CA19" i="1" s="1"/>
  <c r="BB19" i="1"/>
  <c r="BS19" i="1" s="1"/>
  <c r="BI19" i="1"/>
  <c r="BZ19" i="1" s="1"/>
  <c r="BH18" i="1"/>
  <c r="BY18" i="1" s="1"/>
  <c r="AZ18" i="1"/>
  <c r="BQ18" i="1" s="1"/>
  <c r="BO18" i="1"/>
  <c r="CF18" i="1" s="1"/>
  <c r="BG18" i="1"/>
  <c r="BX18" i="1" s="1"/>
  <c r="BN18" i="1"/>
  <c r="CE18" i="1" s="1"/>
  <c r="BF18" i="1"/>
  <c r="BW18" i="1" s="1"/>
  <c r="BM18" i="1"/>
  <c r="CD18" i="1" s="1"/>
  <c r="BE18" i="1"/>
  <c r="BV18" i="1" s="1"/>
  <c r="BL18" i="1"/>
  <c r="CC18" i="1" s="1"/>
  <c r="BD18" i="1"/>
  <c r="BU18" i="1" s="1"/>
  <c r="BK18" i="1"/>
  <c r="CB18" i="1" s="1"/>
  <c r="BC18" i="1"/>
  <c r="BT18" i="1" s="1"/>
  <c r="BA18" i="1"/>
  <c r="BR18" i="1" s="1"/>
  <c r="BJ18" i="1"/>
  <c r="CA18" i="1" s="1"/>
  <c r="BB18" i="1"/>
  <c r="BS18" i="1" s="1"/>
  <c r="BI18" i="1"/>
  <c r="BZ18" i="1" s="1"/>
  <c r="AZ17" i="1"/>
  <c r="BO17" i="1"/>
  <c r="BG17" i="1"/>
  <c r="BN17" i="1"/>
  <c r="BF17" i="1"/>
  <c r="BE17" i="1"/>
  <c r="BM17" i="1"/>
  <c r="BL17" i="1"/>
  <c r="BD17" i="1"/>
  <c r="BK17" i="1"/>
  <c r="BC17" i="1"/>
  <c r="BA17" i="1"/>
  <c r="BJ17" i="1"/>
  <c r="BB17" i="1"/>
  <c r="BI17" i="1"/>
  <c r="BH17" i="1"/>
  <c r="BM14" i="1"/>
  <c r="BE14" i="1"/>
  <c r="BL14" i="1"/>
  <c r="BD14" i="1"/>
  <c r="BK14" i="1"/>
  <c r="BC14" i="1"/>
  <c r="BJ14" i="1"/>
  <c r="BB14" i="1"/>
  <c r="BH14" i="1"/>
  <c r="BO14" i="1"/>
  <c r="BF14" i="1"/>
  <c r="BI14" i="1"/>
  <c r="BA14" i="1"/>
  <c r="AZ14" i="1"/>
  <c r="BG14" i="1"/>
  <c r="BN14" i="1"/>
  <c r="BH21" i="1"/>
  <c r="BY21" i="1" s="1"/>
  <c r="AZ21" i="1"/>
  <c r="BQ21" i="1" s="1"/>
  <c r="BO21" i="1"/>
  <c r="CF21" i="1" s="1"/>
  <c r="BG21" i="1"/>
  <c r="BX21" i="1" s="1"/>
  <c r="BN21" i="1"/>
  <c r="CE21" i="1" s="1"/>
  <c r="BF21" i="1"/>
  <c r="BW21" i="1" s="1"/>
  <c r="BE21" i="1"/>
  <c r="BV21" i="1" s="1"/>
  <c r="BM21" i="1"/>
  <c r="CD21" i="1" s="1"/>
  <c r="BL21" i="1"/>
  <c r="CC21" i="1" s="1"/>
  <c r="BD21" i="1"/>
  <c r="BU21" i="1" s="1"/>
  <c r="BK21" i="1"/>
  <c r="CB21" i="1" s="1"/>
  <c r="BC21" i="1"/>
  <c r="BT21" i="1" s="1"/>
  <c r="BA21" i="1"/>
  <c r="BR21" i="1" s="1"/>
  <c r="BJ21" i="1"/>
  <c r="CA21" i="1" s="1"/>
  <c r="BB21" i="1"/>
  <c r="BS21" i="1" s="1"/>
  <c r="BI21" i="1"/>
  <c r="BZ21" i="1" s="1"/>
  <c r="BO13" i="1"/>
  <c r="BN13" i="1"/>
  <c r="BF13" i="1"/>
  <c r="BM13" i="1"/>
  <c r="BE13" i="1"/>
  <c r="BL13" i="1"/>
  <c r="BD13" i="1"/>
  <c r="BK13" i="1"/>
  <c r="BC13" i="1"/>
  <c r="BJ13" i="1"/>
  <c r="BB13" i="1"/>
  <c r="BH13" i="1"/>
  <c r="BG13" i="1"/>
  <c r="BI13" i="1"/>
  <c r="BA13" i="1"/>
  <c r="AZ13" i="1"/>
  <c r="BG16" i="1"/>
  <c r="BO16" i="1"/>
  <c r="BF16" i="1"/>
  <c r="BN16" i="1"/>
  <c r="BE16" i="1"/>
  <c r="BD16" i="1"/>
  <c r="BM16" i="1"/>
  <c r="BL16" i="1"/>
  <c r="BC16" i="1"/>
  <c r="BK16" i="1"/>
  <c r="BB16" i="1"/>
  <c r="AZ16" i="1"/>
  <c r="BH16" i="1"/>
  <c r="BJ16" i="1"/>
  <c r="BA16" i="1"/>
  <c r="BI16" i="1"/>
  <c r="BO15" i="1"/>
  <c r="BN15" i="1"/>
  <c r="BF15" i="1"/>
  <c r="BM15" i="1"/>
  <c r="BE15" i="1"/>
  <c r="BD15" i="1"/>
  <c r="BL15" i="1"/>
  <c r="BK15" i="1"/>
  <c r="BC15" i="1"/>
  <c r="BJ15" i="1"/>
  <c r="BB15" i="1"/>
  <c r="BI15" i="1"/>
  <c r="BA15" i="1"/>
  <c r="BH15" i="1"/>
  <c r="AZ15" i="1"/>
  <c r="BG15" i="1"/>
  <c r="AQ13" i="1"/>
  <c r="AI13" i="1"/>
  <c r="AG13" i="1"/>
  <c r="AN13" i="1"/>
  <c r="AP13" i="1"/>
  <c r="AH13" i="1"/>
  <c r="BU13" i="1" s="1"/>
  <c r="AO13" i="1"/>
  <c r="AF13" i="1"/>
  <c r="BS13" i="1" s="1"/>
  <c r="AK13" i="1"/>
  <c r="AR13" i="1"/>
  <c r="CE13" i="1" s="1"/>
  <c r="AM13" i="1"/>
  <c r="AE13" i="1"/>
  <c r="BR13" i="1" s="1"/>
  <c r="AL13" i="1"/>
  <c r="AD13" i="1"/>
  <c r="AS13" i="1"/>
  <c r="AJ13" i="1"/>
  <c r="BW13" i="1" s="1"/>
  <c r="AJ12" i="1"/>
  <c r="AQ12" i="1"/>
  <c r="AI12" i="1"/>
  <c r="AG12" i="1"/>
  <c r="BT12" i="1" s="1"/>
  <c r="AN12" i="1"/>
  <c r="CA12" i="1" s="1"/>
  <c r="AR12" i="1"/>
  <c r="CE12" i="1" s="1"/>
  <c r="AP12" i="1"/>
  <c r="CC12" i="1" s="1"/>
  <c r="AH12" i="1"/>
  <c r="AO12" i="1"/>
  <c r="AF12" i="1"/>
  <c r="AK12" i="1"/>
  <c r="AM12" i="1"/>
  <c r="BZ12" i="1" s="1"/>
  <c r="AE12" i="1"/>
  <c r="BR12" i="1" s="1"/>
  <c r="AL12" i="1"/>
  <c r="AD12" i="1"/>
  <c r="AS12" i="1"/>
  <c r="CF12" i="1" s="1"/>
  <c r="AS17" i="1"/>
  <c r="AR17" i="1"/>
  <c r="AJ17" i="1"/>
  <c r="AQ17" i="1"/>
  <c r="CD17" i="1" s="1"/>
  <c r="AI17" i="1"/>
  <c r="AG17" i="1"/>
  <c r="BT17" i="1" s="1"/>
  <c r="AN17" i="1"/>
  <c r="AP17" i="1"/>
  <c r="CC17" i="1" s="1"/>
  <c r="AH17" i="1"/>
  <c r="BU17" i="1" s="1"/>
  <c r="AO17" i="1"/>
  <c r="CB17" i="1" s="1"/>
  <c r="AF17" i="1"/>
  <c r="AM17" i="1"/>
  <c r="BZ17" i="1" s="1"/>
  <c r="AE17" i="1"/>
  <c r="AL17" i="1"/>
  <c r="AD17" i="1"/>
  <c r="AK17" i="1"/>
  <c r="BX17" i="1" s="1"/>
  <c r="AK14" i="1"/>
  <c r="BX14" i="1" s="1"/>
  <c r="AQ14" i="1"/>
  <c r="AI14" i="1"/>
  <c r="AG14" i="1"/>
  <c r="AP14" i="1"/>
  <c r="CC14" i="1" s="1"/>
  <c r="AH14" i="1"/>
  <c r="AO14" i="1"/>
  <c r="AN14" i="1"/>
  <c r="CA14" i="1" s="1"/>
  <c r="AF14" i="1"/>
  <c r="AR14" i="1"/>
  <c r="AJ14" i="1"/>
  <c r="BW14" i="1" s="1"/>
  <c r="AM14" i="1"/>
  <c r="BZ14" i="1" s="1"/>
  <c r="AE14" i="1"/>
  <c r="BR14" i="1" s="1"/>
  <c r="AL14" i="1"/>
  <c r="AD14" i="1"/>
  <c r="AS14" i="1"/>
  <c r="AQ11" i="1"/>
  <c r="AI11" i="1"/>
  <c r="AG11" i="1"/>
  <c r="AN11" i="1"/>
  <c r="CA11" i="1" s="1"/>
  <c r="AK11" i="1"/>
  <c r="AP11" i="1"/>
  <c r="CC11" i="1" s="1"/>
  <c r="AH11" i="1"/>
  <c r="BU11" i="1" s="1"/>
  <c r="AO11" i="1"/>
  <c r="CB11" i="1" s="1"/>
  <c r="AF11" i="1"/>
  <c r="BS11" i="1" s="1"/>
  <c r="AJ11" i="1"/>
  <c r="BW11" i="1" s="1"/>
  <c r="AS11" i="1"/>
  <c r="AR11" i="1"/>
  <c r="AM11" i="1"/>
  <c r="BZ11" i="1" s="1"/>
  <c r="AE11" i="1"/>
  <c r="BR11" i="1" s="1"/>
  <c r="AL11" i="1"/>
  <c r="AD11" i="1"/>
  <c r="AC11" i="1"/>
  <c r="AC29" i="1" s="1"/>
  <c r="AR16" i="1"/>
  <c r="AQ16" i="1"/>
  <c r="CD16" i="1" s="1"/>
  <c r="AI16" i="1"/>
  <c r="AF16" i="1"/>
  <c r="BS16" i="1" s="1"/>
  <c r="AJ16" i="1"/>
  <c r="BW16" i="1" s="1"/>
  <c r="AP16" i="1"/>
  <c r="AH16" i="1"/>
  <c r="AO16" i="1"/>
  <c r="AG16" i="1"/>
  <c r="AN16" i="1"/>
  <c r="AM16" i="1"/>
  <c r="AE16" i="1"/>
  <c r="BR16" i="1" s="1"/>
  <c r="AL16" i="1"/>
  <c r="BY16" i="1" s="1"/>
  <c r="AD16" i="1"/>
  <c r="AS16" i="1"/>
  <c r="AK16" i="1"/>
  <c r="BX16" i="1" s="1"/>
  <c r="AR15" i="1"/>
  <c r="CE15" i="1" s="1"/>
  <c r="AJ15" i="1"/>
  <c r="BW15" i="1" s="1"/>
  <c r="AQ15" i="1"/>
  <c r="CD15" i="1" s="1"/>
  <c r="AI15" i="1"/>
  <c r="BV15" i="1" s="1"/>
  <c r="AO15" i="1"/>
  <c r="AF15" i="1"/>
  <c r="AP15" i="1"/>
  <c r="CC15" i="1" s="1"/>
  <c r="AH15" i="1"/>
  <c r="AG15" i="1"/>
  <c r="AN15" i="1"/>
  <c r="AM15" i="1"/>
  <c r="BZ15" i="1" s="1"/>
  <c r="AE15" i="1"/>
  <c r="BR15" i="1" s="1"/>
  <c r="AL15" i="1"/>
  <c r="BY15" i="1" s="1"/>
  <c r="AD15" i="1"/>
  <c r="BQ15" i="1" s="1"/>
  <c r="AS15" i="1"/>
  <c r="AK15" i="1"/>
  <c r="AY16" i="1"/>
  <c r="AY34" i="1" s="1"/>
  <c r="AC16" i="1"/>
  <c r="AC34" i="1" s="1"/>
  <c r="BV17" i="13"/>
  <c r="BV16" i="13"/>
  <c r="BW15" i="13"/>
  <c r="BV15" i="13"/>
  <c r="BW14" i="13"/>
  <c r="BV14" i="13"/>
  <c r="BW13" i="13"/>
  <c r="BV13" i="13"/>
  <c r="BW12" i="13"/>
  <c r="BV12" i="13"/>
  <c r="BU17" i="13"/>
  <c r="BU16" i="13"/>
  <c r="BU15" i="13"/>
  <c r="BU14" i="13"/>
  <c r="BU13" i="13"/>
  <c r="AY11" i="13"/>
  <c r="BU11" i="13" s="1"/>
  <c r="P16" i="2"/>
  <c r="P15" i="2"/>
  <c r="P17" i="2" s="1"/>
  <c r="BV16" i="1" l="1"/>
  <c r="BT14" i="1"/>
  <c r="CA13" i="1"/>
  <c r="BW17" i="1"/>
  <c r="Z36" i="1"/>
  <c r="BH33" i="7"/>
  <c r="BU16" i="1"/>
  <c r="BU12" i="1"/>
  <c r="BF33" i="7"/>
  <c r="BS15" i="1"/>
  <c r="BQ14" i="1"/>
  <c r="CB14" i="1"/>
  <c r="CA17" i="1"/>
  <c r="BT15" i="1"/>
  <c r="BT16" i="1"/>
  <c r="CD14" i="1"/>
  <c r="CD12" i="1"/>
  <c r="Y36" i="1"/>
  <c r="BQ17" i="1"/>
  <c r="CF13" i="1"/>
  <c r="BY14" i="1"/>
  <c r="BY12" i="1"/>
  <c r="AU26" i="1"/>
  <c r="C17" i="12" s="1"/>
  <c r="AU29" i="1"/>
  <c r="AU40" i="1" s="1"/>
  <c r="AV26" i="1"/>
  <c r="F17" i="12" s="1"/>
  <c r="AV29" i="1"/>
  <c r="AV40" i="1" s="1"/>
  <c r="AA26" i="1"/>
  <c r="BQ16" i="12" s="1"/>
  <c r="AA29" i="1"/>
  <c r="AA36" i="1" s="1"/>
  <c r="AW26" i="1"/>
  <c r="I17" i="12" s="1"/>
  <c r="AW29" i="1"/>
  <c r="AW40" i="1" s="1"/>
  <c r="CF15" i="1"/>
  <c r="CF11" i="1"/>
  <c r="BT11" i="1"/>
  <c r="AB36" i="1"/>
  <c r="AX26" i="1"/>
  <c r="L17" i="12" s="1"/>
  <c r="AX29" i="1"/>
  <c r="AX40" i="1" s="1"/>
  <c r="BU15" i="1"/>
  <c r="CA16" i="1"/>
  <c r="BS17" i="1"/>
  <c r="BV17" i="1"/>
  <c r="CB12" i="1"/>
  <c r="BQ12" i="1"/>
  <c r="BQ11" i="1"/>
  <c r="CE11" i="1"/>
  <c r="BV11" i="1"/>
  <c r="Y26" i="1"/>
  <c r="BO16" i="12" s="1"/>
  <c r="AB26" i="1"/>
  <c r="Z26" i="1"/>
  <c r="CA15" i="1"/>
  <c r="BV14" i="1"/>
  <c r="BX12" i="1"/>
  <c r="BV12" i="1"/>
  <c r="BT13" i="1"/>
  <c r="CD11" i="1"/>
  <c r="CF17" i="1"/>
  <c r="CF16" i="1"/>
  <c r="CF14" i="1"/>
  <c r="CB16" i="1"/>
  <c r="BQ16" i="1"/>
  <c r="BY11" i="1"/>
  <c r="CE16" i="1"/>
  <c r="BU14" i="1"/>
  <c r="CE17" i="1"/>
  <c r="BR17" i="1"/>
  <c r="BV13" i="1"/>
  <c r="BX13" i="1"/>
  <c r="CC16" i="1"/>
  <c r="CB13" i="1"/>
  <c r="BY17" i="1"/>
  <c r="BQ13" i="1"/>
  <c r="CB15" i="1"/>
  <c r="BX11" i="1"/>
  <c r="BY13" i="1"/>
  <c r="CC13" i="1"/>
  <c r="BZ16" i="1"/>
  <c r="BZ13" i="1"/>
  <c r="BS12" i="1"/>
  <c r="CE14" i="1"/>
  <c r="BX15" i="1"/>
  <c r="BS14" i="1"/>
  <c r="BW12" i="1"/>
  <c r="BW26" i="1" s="1"/>
  <c r="CD13" i="1"/>
  <c r="F12" i="13"/>
  <c r="AC12" i="13" s="1"/>
  <c r="D12" i="13"/>
  <c r="E13" i="13"/>
  <c r="BD26" i="1"/>
  <c r="BL26" i="1"/>
  <c r="BK26" i="1"/>
  <c r="BI26" i="1"/>
  <c r="BE26" i="1"/>
  <c r="BH26" i="1"/>
  <c r="BM26" i="1"/>
  <c r="BB26" i="1"/>
  <c r="BN26" i="1"/>
  <c r="BJ26" i="1"/>
  <c r="BF26" i="1"/>
  <c r="BG26" i="1"/>
  <c r="BC26" i="1"/>
  <c r="BO26" i="1"/>
  <c r="AL26" i="1"/>
  <c r="AO26" i="1"/>
  <c r="BP16" i="1"/>
  <c r="AR26" i="1"/>
  <c r="AP26" i="1"/>
  <c r="AM26" i="1"/>
  <c r="AK26" i="1"/>
  <c r="AN26" i="1"/>
  <c r="AH26" i="1"/>
  <c r="AG26" i="1"/>
  <c r="AJ26" i="1"/>
  <c r="AI26" i="1"/>
  <c r="AF26" i="1"/>
  <c r="AQ26" i="1"/>
  <c r="E12" i="13"/>
  <c r="AB12" i="13" s="1"/>
  <c r="F13" i="13"/>
  <c r="AC13" i="13" s="1"/>
  <c r="D13" i="13"/>
  <c r="E15" i="13"/>
  <c r="AB15" i="13" s="1"/>
  <c r="D15" i="13"/>
  <c r="N12" i="8"/>
  <c r="BU26" i="1" l="1"/>
  <c r="BZ26" i="1"/>
  <c r="CC26" i="1"/>
  <c r="CA26" i="1"/>
  <c r="BT26" i="1"/>
  <c r="I16" i="12"/>
  <c r="BV26" i="1"/>
  <c r="G14" i="13"/>
  <c r="AD14" i="13" s="1"/>
  <c r="AD16" i="13" s="1"/>
  <c r="AB13" i="13"/>
  <c r="D14" i="13"/>
  <c r="D16" i="13" s="1"/>
  <c r="AA12" i="13"/>
  <c r="CB26" i="1"/>
  <c r="BS26" i="1"/>
  <c r="CD26" i="1"/>
  <c r="BY26" i="1"/>
  <c r="X16" i="12"/>
  <c r="BV16" i="12"/>
  <c r="AJ16" i="12"/>
  <c r="BZ16" i="12"/>
  <c r="BX16" i="12"/>
  <c r="AD16" i="12"/>
  <c r="CA16" i="12"/>
  <c r="AM16" i="12"/>
  <c r="CF16" i="12"/>
  <c r="BB16" i="12"/>
  <c r="CB16" i="12"/>
  <c r="AP16" i="12"/>
  <c r="AA17" i="12"/>
  <c r="AJ17" i="12"/>
  <c r="BH17" i="12"/>
  <c r="BE17" i="12"/>
  <c r="AG17" i="12"/>
  <c r="AY17" i="12"/>
  <c r="AD17" i="12"/>
  <c r="L16" i="12"/>
  <c r="BR16" i="12"/>
  <c r="CG16" i="12"/>
  <c r="BE16" i="12"/>
  <c r="BY16" i="12"/>
  <c r="AG16" i="12"/>
  <c r="BW16" i="12"/>
  <c r="AA16" i="12"/>
  <c r="AA15" i="12" s="1"/>
  <c r="AA30" i="12" s="1"/>
  <c r="AV16" i="12"/>
  <c r="CD16" i="12"/>
  <c r="CC16" i="12"/>
  <c r="AS16" i="12"/>
  <c r="BH16" i="12"/>
  <c r="CH16" i="12"/>
  <c r="CE16" i="12"/>
  <c r="AY16" i="12"/>
  <c r="AY15" i="12" s="1"/>
  <c r="AY30" i="12" s="1"/>
  <c r="BK17" i="12"/>
  <c r="AM17" i="12"/>
  <c r="AV17" i="12"/>
  <c r="X17" i="12"/>
  <c r="AP17" i="12"/>
  <c r="AS17" i="12"/>
  <c r="BB17" i="12"/>
  <c r="BP16" i="12"/>
  <c r="F16" i="12"/>
  <c r="C16" i="12"/>
  <c r="G16" i="13"/>
  <c r="CE26" i="1"/>
  <c r="BX26" i="1"/>
  <c r="F15" i="13"/>
  <c r="AC15" i="13" s="1"/>
  <c r="E14" i="13"/>
  <c r="AB14" i="13" s="1"/>
  <c r="F14" i="13"/>
  <c r="AC14" i="13" s="1"/>
  <c r="J22" i="7"/>
  <c r="K22" i="7"/>
  <c r="I22" i="7"/>
  <c r="AA13" i="13"/>
  <c r="BE15" i="12" l="1"/>
  <c r="BE30" i="12" s="1"/>
  <c r="AC16" i="13"/>
  <c r="AG15" i="12"/>
  <c r="AG30" i="12" s="1"/>
  <c r="AB16" i="13"/>
  <c r="BP21" i="12" s="1"/>
  <c r="J25" i="12"/>
  <c r="J21" i="12" s="1"/>
  <c r="BQ21" i="12"/>
  <c r="BQ32" i="12" s="1"/>
  <c r="AS15" i="12"/>
  <c r="AS30" i="12" s="1"/>
  <c r="AP15" i="12"/>
  <c r="AP30" i="12" s="1"/>
  <c r="BB15" i="12"/>
  <c r="BB30" i="12" s="1"/>
  <c r="AM15" i="12"/>
  <c r="AM30" i="12" s="1"/>
  <c r="AD15" i="12"/>
  <c r="AD30" i="12" s="1"/>
  <c r="BH15" i="12"/>
  <c r="BH30" i="12" s="1"/>
  <c r="AV15" i="12"/>
  <c r="AV30" i="12" s="1"/>
  <c r="AJ15" i="12"/>
  <c r="AJ30" i="12" s="1"/>
  <c r="X15" i="12"/>
  <c r="X30" i="12" s="1"/>
  <c r="BR21" i="12"/>
  <c r="BR32" i="12" s="1"/>
  <c r="M25" i="12"/>
  <c r="M21" i="12" s="1"/>
  <c r="F16" i="13"/>
  <c r="E16" i="13"/>
  <c r="AA15" i="13"/>
  <c r="AA14" i="13"/>
  <c r="BP32" i="12" l="1"/>
  <c r="BP34" i="12" s="1"/>
  <c r="BP27" i="12"/>
  <c r="G25" i="12"/>
  <c r="G21" i="12" s="1"/>
  <c r="AA16" i="13"/>
  <c r="D25" i="12" l="1"/>
  <c r="D21" i="12" s="1"/>
  <c r="BO21" i="12"/>
  <c r="BO32" i="12" s="1"/>
  <c r="H15" i="12"/>
  <c r="K15" i="12"/>
  <c r="N15" i="12"/>
  <c r="E13" i="12" l="1"/>
  <c r="H13" i="12" s="1"/>
  <c r="K13" i="12" s="1"/>
  <c r="N13" i="12" s="1"/>
  <c r="Q13" i="12" s="1"/>
  <c r="T13" i="12" s="1"/>
  <c r="W13" i="12" s="1"/>
  <c r="Z13" i="12" s="1"/>
  <c r="AC13" i="12" s="1"/>
  <c r="AF13" i="12" s="1"/>
  <c r="AI13" i="12" s="1"/>
  <c r="AL13" i="12" s="1"/>
  <c r="AO13" i="12" s="1"/>
  <c r="AR13" i="12" s="1"/>
  <c r="AU13" i="12" s="1"/>
  <c r="AX13" i="12" s="1"/>
  <c r="BA13" i="12" s="1"/>
  <c r="BD13" i="12" s="1"/>
  <c r="BG13" i="12" s="1"/>
  <c r="BJ13" i="12" s="1"/>
  <c r="E15" i="12"/>
  <c r="E30" i="12" s="1"/>
  <c r="AB11" i="13"/>
  <c r="E11" i="13"/>
  <c r="F11" i="13" s="1"/>
  <c r="G11" i="13" s="1"/>
  <c r="H11" i="13" s="1"/>
  <c r="I11" i="13" s="1"/>
  <c r="J11" i="13" s="1"/>
  <c r="K11" i="13" s="1"/>
  <c r="L11" i="13" s="1"/>
  <c r="M11" i="13" s="1"/>
  <c r="N11" i="13" s="1"/>
  <c r="O11" i="13" s="1"/>
  <c r="P11" i="13" s="1"/>
  <c r="Q11" i="13" s="1"/>
  <c r="R11" i="13" s="1"/>
  <c r="S11" i="13" s="1"/>
  <c r="T11" i="13" s="1"/>
  <c r="U11" i="13" s="1"/>
  <c r="V11" i="13" s="1"/>
  <c r="W11" i="13" s="1"/>
  <c r="X11" i="13" s="1"/>
  <c r="E15" i="5"/>
  <c r="E14" i="5"/>
  <c r="E13" i="5"/>
  <c r="E11" i="5"/>
  <c r="B12" i="5"/>
  <c r="B13" i="5" s="1"/>
  <c r="B14" i="5" s="1"/>
  <c r="B15" i="5" s="1"/>
  <c r="B16" i="5" s="1"/>
  <c r="B17" i="5" s="1"/>
  <c r="B18" i="5" s="1"/>
  <c r="B19" i="5" s="1"/>
  <c r="B20" i="5" s="1"/>
  <c r="B21" i="5" s="1"/>
  <c r="B22" i="5" s="1"/>
  <c r="B23" i="5" s="1"/>
  <c r="B24" i="5" s="1"/>
  <c r="B25" i="5" s="1"/>
  <c r="B26" i="5" s="1"/>
  <c r="B27" i="5" s="1"/>
  <c r="B28" i="5" s="1"/>
  <c r="B29" i="5" s="1"/>
  <c r="B30" i="5" s="1"/>
  <c r="B31" i="5" s="1"/>
  <c r="G11" i="9"/>
  <c r="B12" i="9"/>
  <c r="B13" i="9" s="1"/>
  <c r="B14" i="9" s="1"/>
  <c r="B15" i="9" s="1"/>
  <c r="B16" i="9" s="1"/>
  <c r="B17" i="9" s="1"/>
  <c r="B18" i="9" s="1"/>
  <c r="B19" i="9" s="1"/>
  <c r="B20" i="9" s="1"/>
  <c r="B21" i="9" s="1"/>
  <c r="B22" i="9" s="1"/>
  <c r="B23" i="9" s="1"/>
  <c r="B24" i="9" s="1"/>
  <c r="B25" i="9" s="1"/>
  <c r="B26" i="9" s="1"/>
  <c r="B27" i="9" s="1"/>
  <c r="B28" i="9" s="1"/>
  <c r="K15" i="2"/>
  <c r="B16" i="2"/>
  <c r="B17" i="2" s="1"/>
  <c r="B18" i="2" s="1"/>
  <c r="B19" i="2" s="1"/>
  <c r="B20" i="2" s="1"/>
  <c r="B21" i="2" s="1"/>
  <c r="B22" i="2" s="1"/>
  <c r="B23" i="2" s="1"/>
  <c r="B24" i="2" s="1"/>
  <c r="B25" i="2" s="1"/>
  <c r="B26" i="2" s="1"/>
  <c r="B27" i="2" s="1"/>
  <c r="B28" i="2" s="1"/>
  <c r="B29" i="2" s="1"/>
  <c r="B30" i="2" s="1"/>
  <c r="B31" i="2" s="1"/>
  <c r="AZ10" i="1"/>
  <c r="BA10" i="1" s="1"/>
  <c r="BB10" i="1" s="1"/>
  <c r="BC10" i="1" s="1"/>
  <c r="BD10" i="1" s="1"/>
  <c r="BE10" i="1" s="1"/>
  <c r="BF10" i="1" s="1"/>
  <c r="BG10" i="1" s="1"/>
  <c r="BH10" i="1" s="1"/>
  <c r="BI10" i="1" s="1"/>
  <c r="BJ10" i="1" s="1"/>
  <c r="BK10" i="1" s="1"/>
  <c r="BL10" i="1" s="1"/>
  <c r="BM10" i="1" s="1"/>
  <c r="BN10" i="1" s="1"/>
  <c r="BO10" i="1" s="1"/>
  <c r="AD10" i="1"/>
  <c r="AE10" i="1" s="1"/>
  <c r="AF10" i="1" s="1"/>
  <c r="AG10" i="1" s="1"/>
  <c r="AH10" i="1" s="1"/>
  <c r="AI10" i="1" s="1"/>
  <c r="AJ10" i="1" s="1"/>
  <c r="AK10" i="1" s="1"/>
  <c r="AL10" i="1" s="1"/>
  <c r="AM10" i="1" s="1"/>
  <c r="AN10" i="1" s="1"/>
  <c r="AO10" i="1" s="1"/>
  <c r="AP10" i="1" s="1"/>
  <c r="AQ10" i="1" s="1"/>
  <c r="AR10" i="1" s="1"/>
  <c r="AS10" i="1" s="1"/>
  <c r="BQ10" i="1"/>
  <c r="B29" i="9" l="1"/>
  <c r="B30" i="9" s="1"/>
  <c r="B31" i="9" s="1"/>
  <c r="BQ20" i="12"/>
  <c r="H24" i="12"/>
  <c r="H21" i="12" s="1"/>
  <c r="H30" i="12" s="1"/>
  <c r="BS20" i="12"/>
  <c r="N24" i="12"/>
  <c r="N21" i="12" s="1"/>
  <c r="N30" i="12" s="1"/>
  <c r="K24" i="12"/>
  <c r="K21" i="12" s="1"/>
  <c r="K30" i="12" s="1"/>
  <c r="BR20" i="12"/>
  <c r="BO20" i="12"/>
  <c r="B24" i="12"/>
  <c r="B21" i="12" s="1"/>
  <c r="B30" i="12" s="1"/>
  <c r="BS24" i="12"/>
  <c r="BS33" i="12" s="1"/>
  <c r="O28" i="12"/>
  <c r="O21" i="12" s="1"/>
  <c r="BR10" i="1"/>
  <c r="BS10" i="1" s="1"/>
  <c r="BT10" i="1" s="1"/>
  <c r="BU10" i="1" s="1"/>
  <c r="BV10" i="1" s="1"/>
  <c r="BW10" i="1" s="1"/>
  <c r="BX10" i="1" s="1"/>
  <c r="BY10" i="1" s="1"/>
  <c r="BZ10" i="1" s="1"/>
  <c r="CA10" i="1" s="1"/>
  <c r="CB10" i="1" s="1"/>
  <c r="CC10" i="1" s="1"/>
  <c r="CD10" i="1" s="1"/>
  <c r="CE10" i="1" s="1"/>
  <c r="CF10" i="1" s="1"/>
  <c r="AC11" i="13"/>
  <c r="AZ11" i="13"/>
  <c r="BV11" i="13" s="1"/>
  <c r="AY19" i="1"/>
  <c r="AY21" i="1"/>
  <c r="AY18" i="1"/>
  <c r="AY20" i="1"/>
  <c r="X28" i="13"/>
  <c r="C28" i="13"/>
  <c r="B28" i="13"/>
  <c r="G38" i="5"/>
  <c r="G39" i="5"/>
  <c r="G41" i="5"/>
  <c r="G40" i="5"/>
  <c r="G37" i="5"/>
  <c r="G36" i="5"/>
  <c r="D8" i="12"/>
  <c r="E8" i="12"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S11" i="8"/>
  <c r="S10" i="8"/>
  <c r="N10" i="8"/>
  <c r="S9" i="8"/>
  <c r="N9" i="8"/>
  <c r="S8" i="8"/>
  <c r="N8" i="8"/>
  <c r="S7" i="8"/>
  <c r="N7" i="8"/>
  <c r="N6" i="8"/>
  <c r="S5" i="8"/>
  <c r="N5" i="8"/>
  <c r="S4" i="8"/>
  <c r="N4" i="8"/>
  <c r="CT12" i="7"/>
  <c r="CT13" i="7"/>
  <c r="CT14" i="7"/>
  <c r="CT15" i="7"/>
  <c r="CT16" i="7"/>
  <c r="CT11" i="7"/>
  <c r="DO12" i="7" l="1"/>
  <c r="EK12" i="7" s="1"/>
  <c r="DJ12" i="7"/>
  <c r="EF12" i="7" s="1"/>
  <c r="CZ12" i="7"/>
  <c r="DV12" i="7" s="1"/>
  <c r="DL12" i="7"/>
  <c r="EH12" i="7" s="1"/>
  <c r="DN12" i="7"/>
  <c r="EJ12" i="7" s="1"/>
  <c r="CX12" i="7"/>
  <c r="DT12" i="7" s="1"/>
  <c r="BB28" i="7" s="1"/>
  <c r="BH28" i="7" s="1"/>
  <c r="DD12" i="7"/>
  <c r="DZ12" i="7" s="1"/>
  <c r="CV12" i="7"/>
  <c r="DR12" i="7" s="1"/>
  <c r="AZ28" i="7" s="1"/>
  <c r="BF28" i="7" s="1"/>
  <c r="DM12" i="7"/>
  <c r="EI12" i="7" s="1"/>
  <c r="DH12" i="7"/>
  <c r="ED12" i="7" s="1"/>
  <c r="DB12" i="7"/>
  <c r="DX12" i="7" s="1"/>
  <c r="CW12" i="7"/>
  <c r="DS12" i="7" s="1"/>
  <c r="BA28" i="7" s="1"/>
  <c r="BG28" i="7" s="1"/>
  <c r="DK12" i="7"/>
  <c r="EG12" i="7" s="1"/>
  <c r="DA12" i="7"/>
  <c r="DW12" i="7" s="1"/>
  <c r="DI12" i="7"/>
  <c r="EE12" i="7" s="1"/>
  <c r="DG12" i="7"/>
  <c r="EC12" i="7" s="1"/>
  <c r="DC12" i="7"/>
  <c r="DY12" i="7" s="1"/>
  <c r="DF12" i="7"/>
  <c r="EB12" i="7" s="1"/>
  <c r="DE12" i="7"/>
  <c r="EA12" i="7" s="1"/>
  <c r="CY12" i="7"/>
  <c r="DU12" i="7" s="1"/>
  <c r="BP19" i="1"/>
  <c r="AY37" i="1"/>
  <c r="BC35" i="7" s="1"/>
  <c r="BI35" i="7" s="1"/>
  <c r="BJ35" i="7" s="1"/>
  <c r="BR31" i="12"/>
  <c r="BR34" i="12" s="1"/>
  <c r="BR27" i="12"/>
  <c r="BS31" i="12"/>
  <c r="BS34" i="12" s="1"/>
  <c r="BS27" i="12"/>
  <c r="DB11" i="7"/>
  <c r="DA11" i="7"/>
  <c r="CW11" i="7"/>
  <c r="CZ11" i="7"/>
  <c r="CU11" i="7"/>
  <c r="DQ11" i="7" s="1"/>
  <c r="AY27" i="7" s="1"/>
  <c r="CV11" i="7"/>
  <c r="CX11" i="7"/>
  <c r="DC11" i="7"/>
  <c r="DD11" i="7"/>
  <c r="DE11" i="7"/>
  <c r="DF11" i="7"/>
  <c r="DG11" i="7"/>
  <c r="DI11" i="7"/>
  <c r="DH11" i="7"/>
  <c r="DJ11" i="7"/>
  <c r="DK11" i="7"/>
  <c r="DL11" i="7"/>
  <c r="DM11" i="7"/>
  <c r="DN11" i="7"/>
  <c r="DO11" i="7"/>
  <c r="CY11" i="7"/>
  <c r="DE15" i="7"/>
  <c r="EA15" i="7" s="1"/>
  <c r="DK15" i="7"/>
  <c r="EG15" i="7" s="1"/>
  <c r="DM15" i="7"/>
  <c r="EI15" i="7" s="1"/>
  <c r="DN15" i="7"/>
  <c r="EJ15" i="7" s="1"/>
  <c r="DJ15" i="7"/>
  <c r="EF15" i="7" s="1"/>
  <c r="CX15" i="7"/>
  <c r="DT15" i="7" s="1"/>
  <c r="BB31" i="7" s="1"/>
  <c r="BH31" i="7" s="1"/>
  <c r="DG15" i="7"/>
  <c r="EC15" i="7" s="1"/>
  <c r="DD15" i="7"/>
  <c r="DZ15" i="7" s="1"/>
  <c r="CV15" i="7"/>
  <c r="DR15" i="7" s="1"/>
  <c r="AZ31" i="7" s="1"/>
  <c r="BF31" i="7" s="1"/>
  <c r="DI15" i="7"/>
  <c r="EE15" i="7" s="1"/>
  <c r="CZ15" i="7"/>
  <c r="DV15" i="7" s="1"/>
  <c r="DH15" i="7"/>
  <c r="ED15" i="7" s="1"/>
  <c r="DB15" i="7"/>
  <c r="DX15" i="7" s="1"/>
  <c r="CW15" i="7"/>
  <c r="DS15" i="7" s="1"/>
  <c r="BA31" i="7" s="1"/>
  <c r="BG31" i="7" s="1"/>
  <c r="DO15" i="7"/>
  <c r="EK15" i="7" s="1"/>
  <c r="DF15" i="7"/>
  <c r="EB15" i="7" s="1"/>
  <c r="DA15" i="7"/>
  <c r="DW15" i="7" s="1"/>
  <c r="DC15" i="7"/>
  <c r="DY15" i="7" s="1"/>
  <c r="DL15" i="7"/>
  <c r="EH15" i="7" s="1"/>
  <c r="CY15" i="7"/>
  <c r="DU15" i="7" s="1"/>
  <c r="BP20" i="1"/>
  <c r="AY38" i="1"/>
  <c r="BC36" i="7" s="1"/>
  <c r="BI36" i="7" s="1"/>
  <c r="BQ27" i="12"/>
  <c r="BQ31" i="12"/>
  <c r="BQ34" i="12" s="1"/>
  <c r="DN16" i="7"/>
  <c r="EJ16" i="7" s="1"/>
  <c r="DO16" i="7"/>
  <c r="EK16" i="7" s="1"/>
  <c r="CZ16" i="7"/>
  <c r="DV16" i="7" s="1"/>
  <c r="DC16" i="7"/>
  <c r="DY16" i="7" s="1"/>
  <c r="DJ16" i="7"/>
  <c r="EF16" i="7" s="1"/>
  <c r="DB16" i="7"/>
  <c r="DX16" i="7" s="1"/>
  <c r="DK16" i="7"/>
  <c r="EG16" i="7" s="1"/>
  <c r="CX16" i="7"/>
  <c r="DT16" i="7" s="1"/>
  <c r="BB32" i="7" s="1"/>
  <c r="BH32" i="7" s="1"/>
  <c r="CW16" i="7"/>
  <c r="DS16" i="7" s="1"/>
  <c r="BA32" i="7" s="1"/>
  <c r="BG32" i="7" s="1"/>
  <c r="DM16" i="7"/>
  <c r="EI16" i="7" s="1"/>
  <c r="DA16" i="7"/>
  <c r="DW16" i="7" s="1"/>
  <c r="DI16" i="7"/>
  <c r="EE16" i="7" s="1"/>
  <c r="DF16" i="7"/>
  <c r="EB16" i="7" s="1"/>
  <c r="DE16" i="7"/>
  <c r="EA16" i="7" s="1"/>
  <c r="DH16" i="7"/>
  <c r="ED16" i="7" s="1"/>
  <c r="CV16" i="7"/>
  <c r="DR16" i="7" s="1"/>
  <c r="AZ32" i="7" s="1"/>
  <c r="BF32" i="7" s="1"/>
  <c r="DL16" i="7"/>
  <c r="EH16" i="7" s="1"/>
  <c r="DD16" i="7"/>
  <c r="DZ16" i="7" s="1"/>
  <c r="DG16" i="7"/>
  <c r="EC16" i="7" s="1"/>
  <c r="CY16" i="7"/>
  <c r="DU16" i="7" s="1"/>
  <c r="BC32" i="7" s="1"/>
  <c r="BI32" i="7" s="1"/>
  <c r="DD14" i="7"/>
  <c r="DZ14" i="7" s="1"/>
  <c r="DB14" i="7"/>
  <c r="DX14" i="7" s="1"/>
  <c r="DA14" i="7"/>
  <c r="DW14" i="7" s="1"/>
  <c r="DG14" i="7"/>
  <c r="EC14" i="7" s="1"/>
  <c r="CW14" i="7"/>
  <c r="DS14" i="7" s="1"/>
  <c r="BA30" i="7" s="1"/>
  <c r="BG30" i="7" s="1"/>
  <c r="CV14" i="7"/>
  <c r="DR14" i="7" s="1"/>
  <c r="AZ30" i="7" s="1"/>
  <c r="BF30" i="7" s="1"/>
  <c r="DE14" i="7"/>
  <c r="EA14" i="7" s="1"/>
  <c r="DH14" i="7"/>
  <c r="ED14" i="7" s="1"/>
  <c r="DN14" i="7"/>
  <c r="EJ14" i="7" s="1"/>
  <c r="DK14" i="7"/>
  <c r="EG14" i="7" s="1"/>
  <c r="DI14" i="7"/>
  <c r="EE14" i="7" s="1"/>
  <c r="CZ14" i="7"/>
  <c r="DV14" i="7" s="1"/>
  <c r="DL14" i="7"/>
  <c r="EH14" i="7" s="1"/>
  <c r="DC14" i="7"/>
  <c r="DY14" i="7" s="1"/>
  <c r="DJ14" i="7"/>
  <c r="EF14" i="7" s="1"/>
  <c r="DF14" i="7"/>
  <c r="EB14" i="7" s="1"/>
  <c r="DO14" i="7"/>
  <c r="EK14" i="7" s="1"/>
  <c r="DM14" i="7"/>
  <c r="EI14" i="7" s="1"/>
  <c r="CX14" i="7"/>
  <c r="DT14" i="7" s="1"/>
  <c r="BB30" i="7" s="1"/>
  <c r="BH30" i="7" s="1"/>
  <c r="CY14" i="7"/>
  <c r="DU14" i="7" s="1"/>
  <c r="BP18" i="1"/>
  <c r="AY36" i="1"/>
  <c r="BC34" i="7" s="1"/>
  <c r="BI34" i="7" s="1"/>
  <c r="DC13" i="7"/>
  <c r="DY13" i="7" s="1"/>
  <c r="DL13" i="7"/>
  <c r="EH13" i="7" s="1"/>
  <c r="DA13" i="7"/>
  <c r="DW13" i="7" s="1"/>
  <c r="DK13" i="7"/>
  <c r="EG13" i="7" s="1"/>
  <c r="CZ13" i="7"/>
  <c r="DV13" i="7" s="1"/>
  <c r="DB13" i="7"/>
  <c r="DX13" i="7" s="1"/>
  <c r="DN13" i="7"/>
  <c r="EJ13" i="7" s="1"/>
  <c r="DI13" i="7"/>
  <c r="EE13" i="7" s="1"/>
  <c r="CX13" i="7"/>
  <c r="DT13" i="7" s="1"/>
  <c r="BB29" i="7" s="1"/>
  <c r="BH29" i="7" s="1"/>
  <c r="CV13" i="7"/>
  <c r="DR13" i="7" s="1"/>
  <c r="AZ29" i="7" s="1"/>
  <c r="BF29" i="7" s="1"/>
  <c r="DG13" i="7"/>
  <c r="EC13" i="7" s="1"/>
  <c r="DM13" i="7"/>
  <c r="EI13" i="7" s="1"/>
  <c r="CW13" i="7"/>
  <c r="DS13" i="7" s="1"/>
  <c r="BA29" i="7" s="1"/>
  <c r="BG29" i="7" s="1"/>
  <c r="DE13" i="7"/>
  <c r="EA13" i="7" s="1"/>
  <c r="DO13" i="7"/>
  <c r="EK13" i="7" s="1"/>
  <c r="DD13" i="7"/>
  <c r="DZ13" i="7" s="1"/>
  <c r="DH13" i="7"/>
  <c r="ED13" i="7" s="1"/>
  <c r="DF13" i="7"/>
  <c r="EB13" i="7" s="1"/>
  <c r="DJ13" i="7"/>
  <c r="EF13" i="7" s="1"/>
  <c r="CY13" i="7"/>
  <c r="DU13" i="7" s="1"/>
  <c r="O38" i="8"/>
  <c r="BP21" i="1"/>
  <c r="AY39" i="1"/>
  <c r="BC37" i="7" s="1"/>
  <c r="BI37" i="7" s="1"/>
  <c r="BO27" i="12"/>
  <c r="BO31" i="12"/>
  <c r="BO34" i="12" s="1"/>
  <c r="AD11" i="13"/>
  <c r="AE11" i="13" s="1"/>
  <c r="BA11" i="13"/>
  <c r="BW11" i="13" s="1"/>
  <c r="BX11" i="13" s="1"/>
  <c r="BY11" i="13" s="1"/>
  <c r="BZ11" i="13" s="1"/>
  <c r="CA11" i="13" s="1"/>
  <c r="CB11" i="13" s="1"/>
  <c r="CC11" i="13" s="1"/>
  <c r="CD11" i="13" s="1"/>
  <c r="CE11" i="13" s="1"/>
  <c r="CF11" i="13" s="1"/>
  <c r="CG11" i="13" s="1"/>
  <c r="CH11" i="13" s="1"/>
  <c r="CI11" i="13" s="1"/>
  <c r="CJ11" i="13" s="1"/>
  <c r="CK11" i="13" s="1"/>
  <c r="CL11" i="13" s="1"/>
  <c r="CM11" i="13" s="1"/>
  <c r="CN11" i="13" s="1"/>
  <c r="CO11" i="13" s="1"/>
  <c r="AY13" i="1"/>
  <c r="AY31" i="1" s="1"/>
  <c r="AY15" i="1"/>
  <c r="AY33" i="1" s="1"/>
  <c r="AY11" i="1"/>
  <c r="AY12" i="1"/>
  <c r="AY30" i="1" s="1"/>
  <c r="AY14" i="1"/>
  <c r="AY32" i="1" s="1"/>
  <c r="AY17" i="1"/>
  <c r="AY35" i="1" s="1"/>
  <c r="BC33" i="7" s="1"/>
  <c r="AC12" i="1"/>
  <c r="AC30" i="1" s="1"/>
  <c r="AC13" i="1"/>
  <c r="AC31" i="1" s="1"/>
  <c r="AC14" i="1"/>
  <c r="AC32" i="1" s="1"/>
  <c r="AC17" i="1"/>
  <c r="AC35" i="1" s="1"/>
  <c r="AC15" i="1"/>
  <c r="AC33" i="1" s="1"/>
  <c r="D9" i="12"/>
  <c r="E9" i="12" s="1"/>
  <c r="H22" i="7"/>
  <c r="C10" i="12"/>
  <c r="B5" i="12"/>
  <c r="E5" i="12" s="1"/>
  <c r="EE11" i="7" l="1"/>
  <c r="EE22" i="7" s="1"/>
  <c r="DI22" i="7"/>
  <c r="EK11" i="7"/>
  <c r="EK22" i="7" s="1"/>
  <c r="DO22" i="7"/>
  <c r="EJ11" i="7"/>
  <c r="EJ22" i="7" s="1"/>
  <c r="DN22" i="7"/>
  <c r="EB11" i="7"/>
  <c r="EB22" i="7" s="1"/>
  <c r="DF22" i="7"/>
  <c r="DS11" i="7"/>
  <c r="CW22" i="7"/>
  <c r="AF11" i="13"/>
  <c r="BC11" i="13"/>
  <c r="EI11" i="7"/>
  <c r="EI22" i="7" s="1"/>
  <c r="DM22" i="7"/>
  <c r="EA11" i="7"/>
  <c r="EA22" i="7" s="1"/>
  <c r="DE22" i="7"/>
  <c r="DW11" i="7"/>
  <c r="DW22" i="7" s="1"/>
  <c r="V17" i="12" s="1"/>
  <c r="V15" i="12" s="1"/>
  <c r="DA22" i="7"/>
  <c r="DU11" i="7"/>
  <c r="CY22" i="7"/>
  <c r="EC11" i="7"/>
  <c r="EC22" i="7" s="1"/>
  <c r="DG22" i="7"/>
  <c r="DV11" i="7"/>
  <c r="DV22" i="7" s="1"/>
  <c r="S17" i="12" s="1"/>
  <c r="S15" i="12" s="1"/>
  <c r="S30" i="12" s="1"/>
  <c r="CZ22" i="7"/>
  <c r="BI33" i="7"/>
  <c r="BO36" i="12"/>
  <c r="BC31" i="7"/>
  <c r="BI31" i="7" s="1"/>
  <c r="EH11" i="7"/>
  <c r="EH22" i="7" s="1"/>
  <c r="DL22" i="7"/>
  <c r="DZ11" i="7"/>
  <c r="DZ22" i="7" s="1"/>
  <c r="DD22" i="7"/>
  <c r="DX11" i="7"/>
  <c r="DX22" i="7" s="1"/>
  <c r="DB22" i="7"/>
  <c r="BC28" i="7"/>
  <c r="BI28" i="7" s="1"/>
  <c r="BE27" i="7"/>
  <c r="EG11" i="7"/>
  <c r="EG22" i="7" s="1"/>
  <c r="DK22" i="7"/>
  <c r="DY11" i="7"/>
  <c r="DY22" i="7" s="1"/>
  <c r="DC22" i="7"/>
  <c r="EF11" i="7"/>
  <c r="EF22" i="7" s="1"/>
  <c r="DJ22" i="7"/>
  <c r="DT11" i="7"/>
  <c r="CX22" i="7"/>
  <c r="BC29" i="7"/>
  <c r="BI29" i="7" s="1"/>
  <c r="AC36" i="1"/>
  <c r="AC37" i="1" s="1"/>
  <c r="BP11" i="1"/>
  <c r="AY29" i="1"/>
  <c r="AY40" i="1" s="1"/>
  <c r="BC30" i="7"/>
  <c r="BI30" i="7" s="1"/>
  <c r="ED11" i="7"/>
  <c r="ED22" i="7" s="1"/>
  <c r="DH22" i="7"/>
  <c r="DR11" i="7"/>
  <c r="CV22" i="7"/>
  <c r="BP15" i="1"/>
  <c r="BP14" i="1"/>
  <c r="BP17" i="1"/>
  <c r="CU17" i="7"/>
  <c r="DQ17" i="7" s="1"/>
  <c r="AY33" i="7" s="1"/>
  <c r="BE33" i="7" s="1"/>
  <c r="BP12" i="1"/>
  <c r="BP13" i="1"/>
  <c r="BB11" i="13"/>
  <c r="AZ26" i="1"/>
  <c r="BA26" i="1"/>
  <c r="AD26" i="1"/>
  <c r="AS26" i="1"/>
  <c r="AE26" i="1"/>
  <c r="AC26" i="1"/>
  <c r="CU16" i="7"/>
  <c r="DQ16" i="7" s="1"/>
  <c r="AY32" i="7" s="1"/>
  <c r="BE32" i="7" s="1"/>
  <c r="AY26" i="1"/>
  <c r="AB17" i="12" l="1"/>
  <c r="AB15" i="12" s="1"/>
  <c r="BW17" i="12"/>
  <c r="AH17" i="12"/>
  <c r="AH15" i="12" s="1"/>
  <c r="BY17" i="12"/>
  <c r="AN17" i="12"/>
  <c r="AN15" i="12" s="1"/>
  <c r="CA17" i="12"/>
  <c r="AZ27" i="7"/>
  <c r="DR22" i="7"/>
  <c r="BC17" i="12"/>
  <c r="BC15" i="12" s="1"/>
  <c r="CF17" i="12"/>
  <c r="AK17" i="12"/>
  <c r="AK15" i="12" s="1"/>
  <c r="BZ17" i="12"/>
  <c r="BB27" i="7"/>
  <c r="DT22" i="7"/>
  <c r="BC27" i="7"/>
  <c r="DU22" i="7"/>
  <c r="AG11" i="13"/>
  <c r="BD11" i="13"/>
  <c r="AE17" i="12"/>
  <c r="AE15" i="12" s="1"/>
  <c r="BX17" i="12"/>
  <c r="AQ17" i="12"/>
  <c r="AQ15" i="12" s="1"/>
  <c r="CB17" i="12"/>
  <c r="AW17" i="12"/>
  <c r="AW15" i="12" s="1"/>
  <c r="CD17" i="12"/>
  <c r="AZ17" i="12"/>
  <c r="AZ15" i="12" s="1"/>
  <c r="CE17" i="12"/>
  <c r="Y17" i="12"/>
  <c r="Y15" i="12" s="1"/>
  <c r="BV17" i="12"/>
  <c r="BA27" i="7"/>
  <c r="DS22" i="7"/>
  <c r="AT17" i="12"/>
  <c r="AT15" i="12" s="1"/>
  <c r="CC17" i="12"/>
  <c r="BU16" i="12"/>
  <c r="U16" i="12"/>
  <c r="BT16" i="12"/>
  <c r="R16" i="12"/>
  <c r="BT17" i="12"/>
  <c r="R17" i="12"/>
  <c r="O17" i="12"/>
  <c r="BS16" i="12"/>
  <c r="O16" i="12"/>
  <c r="CI16" i="12"/>
  <c r="BK16" i="12"/>
  <c r="BK15" i="12" s="1"/>
  <c r="BK30" i="12" s="1"/>
  <c r="BU17" i="12"/>
  <c r="U17" i="12"/>
  <c r="BQ26" i="1"/>
  <c r="CU12" i="7"/>
  <c r="DQ12" i="7" s="1"/>
  <c r="AY28" i="7" s="1"/>
  <c r="BR26" i="1"/>
  <c r="CU15" i="7"/>
  <c r="DQ15" i="7" s="1"/>
  <c r="AY31" i="7" s="1"/>
  <c r="BE31" i="7" s="1"/>
  <c r="BJ31" i="7" s="1"/>
  <c r="CU13" i="7"/>
  <c r="DQ13" i="7" s="1"/>
  <c r="AY29" i="7" s="1"/>
  <c r="BE29" i="7" s="1"/>
  <c r="CU14" i="7"/>
  <c r="DQ14" i="7" s="1"/>
  <c r="AY30" i="7" s="1"/>
  <c r="BE30" i="7" s="1"/>
  <c r="BC22" i="7"/>
  <c r="CF26" i="1"/>
  <c r="BR22" i="7"/>
  <c r="L15" i="12"/>
  <c r="L30" i="12" s="1"/>
  <c r="I15" i="12"/>
  <c r="I30" i="12" s="1"/>
  <c r="F15" i="12"/>
  <c r="F30" i="12" s="1"/>
  <c r="C15" i="12"/>
  <c r="C30" i="12" s="1"/>
  <c r="BP26" i="1"/>
  <c r="B6" i="12" s="1"/>
  <c r="E6" i="12" s="1"/>
  <c r="P17" i="12" l="1"/>
  <c r="BR17" i="12"/>
  <c r="BR25" i="12" s="1"/>
  <c r="M17" i="12"/>
  <c r="BE28" i="7"/>
  <c r="AY38" i="7"/>
  <c r="BI27" i="7"/>
  <c r="BI38" i="7" s="1"/>
  <c r="BC38" i="7"/>
  <c r="BP17" i="12"/>
  <c r="BP25" i="12" s="1"/>
  <c r="G17" i="12"/>
  <c r="BH27" i="7"/>
  <c r="BH38" i="7" s="1"/>
  <c r="BB38" i="7"/>
  <c r="BG27" i="7"/>
  <c r="BG38" i="7" s="1"/>
  <c r="BA38" i="7"/>
  <c r="BQ17" i="12"/>
  <c r="BQ25" i="12" s="1"/>
  <c r="J17" i="12"/>
  <c r="O15" i="12"/>
  <c r="O30" i="12" s="1"/>
  <c r="AH11" i="13"/>
  <c r="BE11" i="13"/>
  <c r="BF27" i="7"/>
  <c r="BF38" i="7" s="1"/>
  <c r="AZ38" i="7"/>
  <c r="M15" i="12"/>
  <c r="M30" i="12" s="1"/>
  <c r="BI17" i="12"/>
  <c r="BI15" i="12" s="1"/>
  <c r="CH17" i="12"/>
  <c r="R15" i="12"/>
  <c r="R30" i="12" s="1"/>
  <c r="U15" i="12"/>
  <c r="U30" i="12" s="1"/>
  <c r="BS17" i="12"/>
  <c r="BS25" i="12" s="1"/>
  <c r="BT25" i="12"/>
  <c r="BS22" i="7"/>
  <c r="BQ22" i="7"/>
  <c r="C7" i="12"/>
  <c r="E7" i="12" s="1"/>
  <c r="BY22" i="7"/>
  <c r="CU22" i="7"/>
  <c r="DQ22" i="7"/>
  <c r="AY41" i="7" l="1"/>
  <c r="AY40" i="7"/>
  <c r="BJ28" i="7"/>
  <c r="BK28" i="7" s="1"/>
  <c r="BE38" i="7"/>
  <c r="BJ38" i="7" s="1"/>
  <c r="AI11" i="13"/>
  <c r="BF11" i="13"/>
  <c r="J15" i="12"/>
  <c r="J30" i="12" s="1"/>
  <c r="BF17" i="12"/>
  <c r="BF15" i="12" s="1"/>
  <c r="CG17" i="12"/>
  <c r="BO17" i="12"/>
  <c r="BO25" i="12" s="1"/>
  <c r="D17" i="12"/>
  <c r="D15" i="12" s="1"/>
  <c r="BL17" i="12"/>
  <c r="BL15" i="12" s="1"/>
  <c r="CI17" i="12"/>
  <c r="P15" i="12"/>
  <c r="P30" i="12" s="1"/>
  <c r="G15" i="12"/>
  <c r="G30" i="12" s="1"/>
  <c r="AJ11" i="13" l="1"/>
  <c r="BG11" i="13"/>
  <c r="BK35" i="7"/>
  <c r="BK31" i="7"/>
  <c r="D30" i="12"/>
  <c r="B31" i="12" s="1"/>
  <c r="CE14" i="13"/>
  <c r="N12" i="13" s="1"/>
  <c r="CC14" i="13"/>
  <c r="L12" i="13" s="1"/>
  <c r="CJ14" i="13"/>
  <c r="S12" i="13" s="1"/>
  <c r="CB14" i="13"/>
  <c r="K12" i="13" s="1"/>
  <c r="CL14" i="13"/>
  <c r="U12" i="13" s="1"/>
  <c r="CA14" i="13"/>
  <c r="J12" i="13" s="1"/>
  <c r="CN14" i="13"/>
  <c r="W12" i="13" s="1"/>
  <c r="CM14" i="13"/>
  <c r="V12" i="13" s="1"/>
  <c r="AK11" i="13" l="1"/>
  <c r="BH11" i="13"/>
  <c r="V14" i="13"/>
  <c r="AS12" i="13"/>
  <c r="W14" i="13"/>
  <c r="AT12" i="13"/>
  <c r="U14" i="13"/>
  <c r="AR12" i="13"/>
  <c r="S14" i="13"/>
  <c r="AP12" i="13"/>
  <c r="AK12" i="13"/>
  <c r="N14" i="13"/>
  <c r="J14" i="13"/>
  <c r="AG12" i="13"/>
  <c r="K14" i="13"/>
  <c r="AH12" i="13"/>
  <c r="L14" i="13"/>
  <c r="AI12" i="13"/>
  <c r="CG14" i="13"/>
  <c r="CK14" i="13"/>
  <c r="T12" i="13" s="1"/>
  <c r="CF14" i="13"/>
  <c r="O12" i="13" s="1"/>
  <c r="CH14" i="13"/>
  <c r="Q12" i="13" s="1"/>
  <c r="CO14" i="13"/>
  <c r="X12" i="13" s="1"/>
  <c r="CD14" i="13"/>
  <c r="M12" i="13" s="1"/>
  <c r="CG12" i="13"/>
  <c r="CI14" i="13"/>
  <c r="R12" i="13" s="1"/>
  <c r="CG13" i="13"/>
  <c r="AL11" i="13" l="1"/>
  <c r="BI11" i="13"/>
  <c r="P12" i="13"/>
  <c r="X14" i="13"/>
  <c r="AU12" i="13"/>
  <c r="AL12" i="13"/>
  <c r="O14" i="13"/>
  <c r="AK14" i="13"/>
  <c r="AK16" i="13" s="1"/>
  <c r="N16" i="13"/>
  <c r="R14" i="13"/>
  <c r="AO12" i="13"/>
  <c r="M14" i="13"/>
  <c r="AJ12" i="13"/>
  <c r="Q14" i="13"/>
  <c r="AN12" i="13"/>
  <c r="T14" i="13"/>
  <c r="AQ12" i="13"/>
  <c r="L16" i="13"/>
  <c r="AI14" i="13"/>
  <c r="AI16" i="13" s="1"/>
  <c r="AH14" i="13"/>
  <c r="AH16" i="13" s="1"/>
  <c r="K16" i="13"/>
  <c r="AG14" i="13"/>
  <c r="AG16" i="13" s="1"/>
  <c r="J16" i="13"/>
  <c r="AP14" i="13"/>
  <c r="AP16" i="13" s="1"/>
  <c r="S16" i="13"/>
  <c r="AR14" i="13"/>
  <c r="AR16" i="13" s="1"/>
  <c r="U16" i="13"/>
  <c r="W16" i="13"/>
  <c r="AT14" i="13"/>
  <c r="AT16" i="13" s="1"/>
  <c r="AS14" i="13"/>
  <c r="AS16" i="13" s="1"/>
  <c r="V16" i="13"/>
  <c r="AM11" i="13" l="1"/>
  <c r="BJ11" i="13"/>
  <c r="BF25" i="12"/>
  <c r="BF21" i="12" s="1"/>
  <c r="BF30" i="12" s="1"/>
  <c r="CG21" i="12"/>
  <c r="CG25" i="12" s="1"/>
  <c r="BC25" i="12"/>
  <c r="BC21" i="12" s="1"/>
  <c r="BC30" i="12" s="1"/>
  <c r="CF21" i="12"/>
  <c r="CF25" i="12" s="1"/>
  <c r="AW25" i="12"/>
  <c r="AW21" i="12" s="1"/>
  <c r="AW30" i="12" s="1"/>
  <c r="CD21" i="12"/>
  <c r="CD25" i="12" s="1"/>
  <c r="AB25" i="12"/>
  <c r="AB21" i="12" s="1"/>
  <c r="AB30" i="12" s="1"/>
  <c r="BW21" i="12"/>
  <c r="BW25" i="12" s="1"/>
  <c r="BI25" i="12"/>
  <c r="BI21" i="12" s="1"/>
  <c r="BI30" i="12" s="1"/>
  <c r="CH21" i="12"/>
  <c r="CH25" i="12" s="1"/>
  <c r="Y25" i="12"/>
  <c r="Y21" i="12" s="1"/>
  <c r="Y30" i="12" s="1"/>
  <c r="BV21" i="12"/>
  <c r="BV25" i="12" s="1"/>
  <c r="BU21" i="12"/>
  <c r="BU25" i="12" s="1"/>
  <c r="V25" i="12"/>
  <c r="V21" i="12" s="1"/>
  <c r="V30" i="12" s="1"/>
  <c r="X16" i="13"/>
  <c r="AU14" i="13"/>
  <c r="AU16" i="13" s="1"/>
  <c r="AH25" i="12"/>
  <c r="AH21" i="12" s="1"/>
  <c r="AH30" i="12" s="1"/>
  <c r="BY21" i="12"/>
  <c r="BY25" i="12" s="1"/>
  <c r="T16" i="13"/>
  <c r="AQ14" i="13"/>
  <c r="AQ16" i="13" s="1"/>
  <c r="Q16" i="13"/>
  <c r="AN14" i="13"/>
  <c r="AN16" i="13" s="1"/>
  <c r="M16" i="13"/>
  <c r="AJ14" i="13"/>
  <c r="AJ16" i="13" s="1"/>
  <c r="R16" i="13"/>
  <c r="AO14" i="13"/>
  <c r="AO16" i="13" s="1"/>
  <c r="O16" i="13"/>
  <c r="AL14" i="13"/>
  <c r="AL16" i="13" s="1"/>
  <c r="P14" i="13"/>
  <c r="AM12" i="13"/>
  <c r="AN11" i="13" l="1"/>
  <c r="BK11" i="13"/>
  <c r="BZ21" i="12"/>
  <c r="BZ25" i="12" s="1"/>
  <c r="AK25" i="12"/>
  <c r="AK21" i="12" s="1"/>
  <c r="AK30" i="12" s="1"/>
  <c r="BX21" i="12"/>
  <c r="BX25" i="12" s="1"/>
  <c r="AE25" i="12"/>
  <c r="AE21" i="12" s="1"/>
  <c r="AE30" i="12" s="1"/>
  <c r="AZ25" i="12"/>
  <c r="AZ21" i="12" s="1"/>
  <c r="AZ30" i="12" s="1"/>
  <c r="CE21" i="12"/>
  <c r="CE25" i="12" s="1"/>
  <c r="CI21" i="12"/>
  <c r="CI25" i="12" s="1"/>
  <c r="CI26" i="12" s="1"/>
  <c r="BL25" i="12"/>
  <c r="BL21" i="12" s="1"/>
  <c r="BL30" i="12" s="1"/>
  <c r="CC21" i="12"/>
  <c r="CC25" i="12" s="1"/>
  <c r="AT25" i="12"/>
  <c r="AT21" i="12" s="1"/>
  <c r="AT30" i="12" s="1"/>
  <c r="AQ25" i="12"/>
  <c r="AQ21" i="12" s="1"/>
  <c r="AQ30" i="12" s="1"/>
  <c r="CB21" i="12"/>
  <c r="CB25" i="12" s="1"/>
  <c r="AM14" i="13"/>
  <c r="AM16" i="13" s="1"/>
  <c r="P16" i="13"/>
  <c r="AO11" i="13" l="1"/>
  <c r="BL11" i="13"/>
  <c r="AN25" i="12"/>
  <c r="AN21" i="12" s="1"/>
  <c r="AN30" i="12" s="1"/>
  <c r="CA21" i="12"/>
  <c r="CA25" i="12" s="1"/>
  <c r="AP11" i="13" l="1"/>
  <c r="BM11" i="13"/>
  <c r="AQ11" i="13" l="1"/>
  <c r="BN11" i="13"/>
  <c r="AR11" i="13" l="1"/>
  <c r="BO11" i="13"/>
  <c r="AS11" i="13" l="1"/>
  <c r="BP11" i="13"/>
  <c r="AT11" i="13" l="1"/>
  <c r="BQ11" i="13"/>
  <c r="AU11" i="13" l="1"/>
  <c r="BS11" i="13" s="1"/>
  <c r="BR1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Ratna budiarti</author>
  </authors>
  <commentList>
    <comment ref="B11" authorId="0" shapeId="0" xr:uid="{00000000-0006-0000-0100-000001000000}">
      <text>
        <r>
          <rPr>
            <b/>
            <sz val="9"/>
            <color indexed="81"/>
            <rFont val="Tahoma"/>
            <family val="2"/>
          </rPr>
          <t>Ratna budiarti:</t>
        </r>
        <r>
          <rPr>
            <sz val="9"/>
            <color indexed="81"/>
            <rFont val="Tahoma"/>
            <family val="2"/>
          </rPr>
          <t xml:space="preserve">
10% secara agregat di tahun 2030 dari tahun 2014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Prihasto Setyanto</author>
  </authors>
  <commentList>
    <comment ref="B2" authorId="0" shapeId="0" xr:uid="{00000000-0006-0000-0300-00000100000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xr:uid="{00000000-0006-0000-0300-00000200000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xr:uid="{00000000-0006-0000-0300-00000300000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xr:uid="{00000000-0006-0000-0300-000004000000}">
      <text>
        <r>
          <rPr>
            <b/>
            <sz val="8"/>
            <color indexed="81"/>
            <rFont val="Tahoma"/>
            <family val="2"/>
          </rPr>
          <t>Prihasto Setyanto:</t>
        </r>
        <r>
          <rPr>
            <sz val="8"/>
            <color indexed="81"/>
            <rFont val="Tahoma"/>
            <family val="2"/>
          </rPr>
          <t xml:space="preserve">
Published data from NCE vol. 58 page 85-93, 2000</t>
        </r>
      </text>
    </comment>
    <comment ref="I8" authorId="0" shapeId="0" xr:uid="{00000000-0006-0000-0300-000005000000}">
      <text>
        <r>
          <rPr>
            <b/>
            <sz val="8"/>
            <color indexed="81"/>
            <rFont val="Tahoma"/>
            <family val="2"/>
          </rPr>
          <t>Prihasto Setyanto:</t>
        </r>
        <r>
          <rPr>
            <sz val="8"/>
            <color indexed="81"/>
            <rFont val="Tahoma"/>
            <family val="2"/>
          </rPr>
          <t xml:space="preserve">
Published data from NCE vol. 58 page 85-93, 2000</t>
        </r>
      </text>
    </comment>
    <comment ref="H12" authorId="0" shapeId="0" xr:uid="{00000000-0006-0000-0300-00000600000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xr:uid="{00000000-0006-0000-0300-00000700000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xr:uid="{00000000-0006-0000-0300-00000800000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xr:uid="{00000000-0006-0000-0300-00000900000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xr:uid="{00000000-0006-0000-0300-00000A00000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xr:uid="{00000000-0006-0000-0300-00000B00000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xr:uid="{00000000-0006-0000-0300-00000C000000}">
      <text>
        <r>
          <rPr>
            <b/>
            <sz val="8"/>
            <color indexed="81"/>
            <rFont val="Tahoma"/>
            <family val="2"/>
          </rPr>
          <t>Prihasto Setyanto:</t>
        </r>
        <r>
          <rPr>
            <sz val="8"/>
            <color indexed="81"/>
            <rFont val="Tahoma"/>
            <family val="2"/>
          </rPr>
          <t xml:space="preserve">
IAERI annual report 2001</t>
        </r>
      </text>
    </comment>
    <comment ref="I15" authorId="0" shapeId="0" xr:uid="{00000000-0006-0000-0300-00000D000000}">
      <text>
        <r>
          <rPr>
            <b/>
            <sz val="8"/>
            <color indexed="81"/>
            <rFont val="Tahoma"/>
            <family val="2"/>
          </rPr>
          <t>Prihasto Setyanto:</t>
        </r>
        <r>
          <rPr>
            <sz val="8"/>
            <color indexed="81"/>
            <rFont val="Tahoma"/>
            <family val="2"/>
          </rPr>
          <t xml:space="preserve">
IAERI annual report 2001</t>
        </r>
      </text>
    </comment>
    <comment ref="H16" authorId="0" shapeId="0" xr:uid="{00000000-0006-0000-0300-00000E000000}">
      <text>
        <r>
          <rPr>
            <b/>
            <sz val="8"/>
            <color indexed="81"/>
            <rFont val="Tahoma"/>
            <family val="2"/>
          </rPr>
          <t>Prihasto Setyanto:</t>
        </r>
        <r>
          <rPr>
            <sz val="8"/>
            <color indexed="81"/>
            <rFont val="Tahoma"/>
            <family val="2"/>
          </rPr>
          <t xml:space="preserve">
Based on published data at NCE 58: 85-93, 2000</t>
        </r>
      </text>
    </comment>
    <comment ref="I16" authorId="0" shapeId="0" xr:uid="{00000000-0006-0000-0300-00000F000000}">
      <text>
        <r>
          <rPr>
            <b/>
            <sz val="8"/>
            <color indexed="81"/>
            <rFont val="Tahoma"/>
            <family val="2"/>
          </rPr>
          <t>Prihasto Setyanto:</t>
        </r>
        <r>
          <rPr>
            <sz val="8"/>
            <color indexed="81"/>
            <rFont val="Tahoma"/>
            <family val="2"/>
          </rPr>
          <t xml:space="preserve">
Based on published data at NCE 58: 85-93, 2000</t>
        </r>
      </text>
    </comment>
    <comment ref="H17" authorId="0" shapeId="0" xr:uid="{00000000-0006-0000-0300-000010000000}">
      <text>
        <r>
          <rPr>
            <b/>
            <sz val="8"/>
            <color indexed="81"/>
            <rFont val="Tahoma"/>
            <family val="2"/>
          </rPr>
          <t>Prihasto Setyanto:</t>
        </r>
        <r>
          <rPr>
            <sz val="8"/>
            <color indexed="81"/>
            <rFont val="Tahoma"/>
            <family val="2"/>
          </rPr>
          <t xml:space="preserve">
IAERI final report 2006-2007</t>
        </r>
      </text>
    </comment>
    <comment ref="I17" authorId="0" shapeId="0" xr:uid="{00000000-0006-0000-0300-000011000000}">
      <text>
        <r>
          <rPr>
            <b/>
            <sz val="8"/>
            <color indexed="81"/>
            <rFont val="Tahoma"/>
            <family val="2"/>
          </rPr>
          <t>Prihasto Setyanto:</t>
        </r>
        <r>
          <rPr>
            <sz val="8"/>
            <color indexed="81"/>
            <rFont val="Tahoma"/>
            <family val="2"/>
          </rPr>
          <t xml:space="preserve">
IAERI final report 2006-2007</t>
        </r>
      </text>
    </comment>
    <comment ref="H18" authorId="0" shapeId="0" xr:uid="{00000000-0006-0000-0300-000012000000}">
      <text>
        <r>
          <rPr>
            <b/>
            <sz val="8"/>
            <color indexed="81"/>
            <rFont val="Tahoma"/>
            <family val="2"/>
          </rPr>
          <t>Prihasto Setyanto:</t>
        </r>
        <r>
          <rPr>
            <sz val="8"/>
            <color indexed="81"/>
            <rFont val="Tahoma"/>
            <family val="2"/>
          </rPr>
          <t xml:space="preserve">
Mollisols were not found as rice field in Indonesia</t>
        </r>
      </text>
    </comment>
    <comment ref="I18" authorId="0" shapeId="0" xr:uid="{00000000-0006-0000-0300-000013000000}">
      <text>
        <r>
          <rPr>
            <b/>
            <sz val="8"/>
            <color indexed="81"/>
            <rFont val="Tahoma"/>
            <family val="2"/>
          </rPr>
          <t>Prihasto Setyanto:</t>
        </r>
        <r>
          <rPr>
            <sz val="8"/>
            <color indexed="81"/>
            <rFont val="Tahoma"/>
            <family val="2"/>
          </rPr>
          <t xml:space="preserve">
Mollisols were not found as rice field in Indonesia</t>
        </r>
      </text>
    </comment>
    <comment ref="H19" authorId="0" shapeId="0" xr:uid="{00000000-0006-0000-0300-00001400000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xr:uid="{00000000-0006-0000-0300-00001500000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xr:uid="{00000000-0006-0000-0300-00001600000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xr:uid="{00000000-0006-0000-0300-00001700000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Lina</author>
    <author>Ratna budiarti</author>
  </authors>
  <commentList>
    <comment ref="H11" authorId="0" shapeId="0" xr:uid="{00000000-0006-0000-0400-000001000000}">
      <text>
        <r>
          <rPr>
            <b/>
            <sz val="9"/>
            <color indexed="81"/>
            <rFont val="Tahoma"/>
            <family val="2"/>
          </rPr>
          <t>Lina:</t>
        </r>
        <r>
          <rPr>
            <sz val="9"/>
            <color indexed="81"/>
            <rFont val="Tahoma"/>
            <family val="2"/>
          </rPr>
          <t xml:space="preserve">
oksisol</t>
        </r>
      </text>
    </comment>
    <comment ref="I11" authorId="1" shapeId="0" xr:uid="{00000000-0006-0000-0400-000002000000}">
      <text>
        <r>
          <rPr>
            <b/>
            <sz val="9"/>
            <color indexed="81"/>
            <rFont val="Tahoma"/>
            <family val="2"/>
          </rPr>
          <t>Ratna budiarti:</t>
        </r>
        <r>
          <rPr>
            <sz val="9"/>
            <color indexed="81"/>
            <rFont val="Tahoma"/>
            <family val="2"/>
          </rPr>
          <t xml:space="preserve">
 30 ir, 70 Ciherang</t>
        </r>
      </text>
    </comment>
    <comment ref="H12" authorId="0" shapeId="0" xr:uid="{00000000-0006-0000-0400-000003000000}">
      <text>
        <r>
          <rPr>
            <b/>
            <sz val="9"/>
            <color indexed="81"/>
            <rFont val="Tahoma"/>
            <family val="2"/>
          </rPr>
          <t>Lina:</t>
        </r>
        <r>
          <rPr>
            <sz val="9"/>
            <color indexed="81"/>
            <rFont val="Tahoma"/>
            <family val="2"/>
          </rPr>
          <t xml:space="preserve">
oksisol</t>
        </r>
      </text>
    </comment>
    <comment ref="H13" authorId="0" shapeId="0" xr:uid="{00000000-0006-0000-0400-000004000000}">
      <text>
        <r>
          <rPr>
            <b/>
            <sz val="9"/>
            <color indexed="81"/>
            <rFont val="Tahoma"/>
            <family val="2"/>
          </rPr>
          <t>Lina:</t>
        </r>
        <r>
          <rPr>
            <sz val="9"/>
            <color indexed="81"/>
            <rFont val="Tahoma"/>
            <family val="2"/>
          </rPr>
          <t xml:space="preserve">
oksisol</t>
        </r>
      </text>
    </comment>
    <comment ref="H14" authorId="0" shapeId="0" xr:uid="{00000000-0006-0000-0400-000005000000}">
      <text>
        <r>
          <rPr>
            <b/>
            <sz val="9"/>
            <color indexed="81"/>
            <rFont val="Tahoma"/>
            <family val="2"/>
          </rPr>
          <t>Lina:</t>
        </r>
        <r>
          <rPr>
            <sz val="9"/>
            <color indexed="81"/>
            <rFont val="Tahoma"/>
            <family val="2"/>
          </rPr>
          <t xml:space="preserve">
oksisol</t>
        </r>
      </text>
    </comment>
    <comment ref="H15" authorId="0" shapeId="0" xr:uid="{00000000-0006-0000-0400-000006000000}">
      <text>
        <r>
          <rPr>
            <b/>
            <sz val="9"/>
            <color indexed="81"/>
            <rFont val="Tahoma"/>
            <family val="2"/>
          </rPr>
          <t>Lina:</t>
        </r>
        <r>
          <rPr>
            <sz val="9"/>
            <color indexed="81"/>
            <rFont val="Tahoma"/>
            <family val="2"/>
          </rPr>
          <t xml:space="preserve">
oksisol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Ratna budiarti</author>
  </authors>
  <commentList>
    <comment ref="B2" authorId="0" shapeId="0" xr:uid="{00000000-0006-0000-0B00-000001000000}">
      <text>
        <r>
          <rPr>
            <b/>
            <sz val="9"/>
            <color indexed="81"/>
            <rFont val="Tahoma"/>
            <family val="2"/>
          </rPr>
          <t>Ratna budiarti:</t>
        </r>
        <r>
          <rPr>
            <sz val="9"/>
            <color indexed="81"/>
            <rFont val="Tahoma"/>
            <family val="2"/>
          </rPr>
          <t xml:space="preserve">
kenaikan luas panen 2%/tahun
</t>
        </r>
      </text>
    </comment>
    <comment ref="I2" authorId="0" shapeId="0" xr:uid="{00000000-0006-0000-0B00-000002000000}">
      <text>
        <r>
          <rPr>
            <b/>
            <sz val="9"/>
            <color indexed="81"/>
            <rFont val="Tahoma"/>
            <family val="2"/>
          </rPr>
          <t>Ratna budiarti:</t>
        </r>
        <r>
          <rPr>
            <sz val="9"/>
            <color indexed="81"/>
            <rFont val="Tahoma"/>
            <family val="2"/>
          </rPr>
          <t xml:space="preserve">
 30 ir, 70 Ciherang</t>
        </r>
      </text>
    </comment>
    <comment ref="M9" authorId="0" shapeId="0" xr:uid="{00000000-0006-0000-0B00-000003000000}">
      <text>
        <r>
          <rPr>
            <b/>
            <sz val="9"/>
            <color indexed="81"/>
            <rFont val="Tahoma"/>
            <family val="2"/>
          </rPr>
          <t>Ratna budiarti:</t>
        </r>
        <r>
          <rPr>
            <sz val="9"/>
            <color indexed="81"/>
            <rFont val="Tahoma"/>
            <family val="2"/>
          </rPr>
          <t xml:space="preserve">
NPK: UREA = 5:3
</t>
        </r>
      </text>
    </comment>
    <comment ref="Q9" authorId="0" shapeId="0" xr:uid="{00000000-0006-0000-0B00-000004000000}">
      <text>
        <r>
          <rPr>
            <b/>
            <sz val="9"/>
            <color indexed="81"/>
            <rFont val="Tahoma"/>
            <family val="2"/>
          </rPr>
          <t>Ratna budiarti:</t>
        </r>
        <r>
          <rPr>
            <sz val="9"/>
            <color indexed="81"/>
            <rFont val="Tahoma"/>
            <family val="2"/>
          </rPr>
          <t xml:space="preserve">
konstan</t>
        </r>
      </text>
    </comment>
  </commentList>
</comments>
</file>

<file path=xl/sharedStrings.xml><?xml version="1.0" encoding="utf-8"?>
<sst xmlns="http://schemas.openxmlformats.org/spreadsheetml/2006/main" count="749" uniqueCount="486">
  <si>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</si>
  <si>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</si>
  <si>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</si>
  <si>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</si>
  <si>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</si>
  <si>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</si>
  <si>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</si>
  <si>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</si>
  <si>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</si>
  <si>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</si>
  <si>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</si>
  <si>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</si>
  <si>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</si>
  <si>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</si>
  <si>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</si>
  <si>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</si>
  <si>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</si>
  <si>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</si>
  <si>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</si>
  <si>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</si>
  <si>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</si>
  <si>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</si>
  <si>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</si>
  <si>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</si>
  <si>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</si>
  <si>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</si>
  <si>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</si>
  <si>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</si>
  <si>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</si>
  <si>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</si>
  <si>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</si>
  <si>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</si>
  <si>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</si>
  <si>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</si>
  <si>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</si>
  <si>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</si>
  <si>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</si>
  <si>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</si>
  <si>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</si>
  <si>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</si>
  <si>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</si>
  <si>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</si>
  <si>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</si>
  <si>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</si>
  <si>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Kg (CH4/ha/hari)</t>
  </si>
  <si>
    <t>Pemupukan Urea :Emisi CO2 tahunan dari pemupukan urea</t>
  </si>
  <si>
    <t>Jumlah Pemupukan Urea Tahunan</t>
  </si>
  <si>
    <t>(ton urea/tahun)</t>
  </si>
  <si>
    <t>Faktor Emisi</t>
  </si>
  <si>
    <t>(ton C/ton urea)</t>
  </si>
  <si>
    <t>Emisi CO2-C dari pemupukan urea tahunan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</si>
  <si>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</si>
  <si>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</si>
  <si>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</si>
  <si>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</si>
  <si>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</si>
  <si>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</si>
  <si>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</si>
  <si>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</si>
  <si>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</si>
  <si>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</si>
  <si>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</si>
  <si>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</si>
  <si>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</si>
  <si>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</si>
  <si>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</si>
  <si>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</si>
  <si>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</si>
  <si>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</si>
  <si>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</si>
  <si>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ekor</t>
  </si>
  <si>
    <t>Contoh populasi tahun 2005</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</si>
  <si>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</si>
  <si>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</si>
  <si>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</si>
  <si>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</si>
  <si>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</si>
  <si>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</si>
  <si>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</si>
  <si>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</si>
  <si>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</si>
  <si>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</si>
  <si>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</si>
  <si>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</si>
  <si>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</si>
  <si>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</si>
  <si>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</si>
  <si>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</si>
  <si>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</si>
  <si>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</si>
  <si>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</si>
  <si>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</si>
  <si>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</si>
  <si>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</si>
  <si>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</si>
  <si>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</si>
  <si>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</si>
  <si>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</si>
  <si>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</si>
  <si>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</si>
  <si>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</si>
  <si>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</si>
  <si>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</si>
  <si>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</si>
  <si>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</si>
  <si>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</si>
  <si>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</si>
  <si>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</si>
  <si>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</si>
  <si>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</si>
  <si>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</si>
  <si>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</si>
  <si>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</si>
  <si>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kg</t>
  </si>
  <si>
    <t>Laju  eksreasi per hari</t>
  </si>
  <si>
    <t>kg N/1000 kg berat ternak/hari</t>
  </si>
  <si>
    <t>Fraksi N yang dieksresikan per th</t>
  </si>
  <si>
    <t>%</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</si>
  <si>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</si>
  <si>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</si>
  <si>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</si>
  <si>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</si>
  <si>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</si>
  <si>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</si>
  <si>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</si>
  <si>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</si>
  <si>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</si>
  <si>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</si>
  <si>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</si>
  <si>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</si>
  <si>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</si>
  <si>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</si>
  <si>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</si>
  <si>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</si>
  <si>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</si>
  <si>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</si>
  <si>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</si>
  <si>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</si>
  <si>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</si>
  <si>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</si>
  <si>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</si>
  <si>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</si>
  <si>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</si>
  <si>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</si>
  <si>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</si>
  <si>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</si>
  <si>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</si>
  <si>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</si>
  <si>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</si>
  <si>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</si>
  <si>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</si>
  <si>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</si>
  <si>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</si>
  <si>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</si>
  <si>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</si>
  <si>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</si>
  <si>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</si>
  <si>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</si>
  <si>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</si>
  <si>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</si>
  <si>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</si>
  <si>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</si>
  <si>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</si>
  <si>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</si>
  <si>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</si>
  <si>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</si>
  <si>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</si>
  <si>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</si>
  <si>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</si>
  <si>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</si>
  <si>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</si>
  <si>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</si>
  <si>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</si>
  <si>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</si>
  <si>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</si>
  <si>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</si>
  <si>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</si>
  <si>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</si>
  <si>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</si>
  <si>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</si>
  <si>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</si>
  <si>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</si>
  <si>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</si>
  <si>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</si>
  <si>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</si>
  <si>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</si>
  <si>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</si>
  <si>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</si>
  <si>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</si>
  <si>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</si>
  <si>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</si>
  <si>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</si>
  <si>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</si>
  <si>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</si>
  <si>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</si>
  <si>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</si>
  <si>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</si>
  <si>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</si>
  <si>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</si>
  <si>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</si>
  <si>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</si>
  <si>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</si>
  <si>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</si>
  <si>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</si>
  <si>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</si>
  <si>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</si>
  <si>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</si>
  <si>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</si>
  <si>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</si>
  <si>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</si>
  <si>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</si>
  <si>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</si>
  <si>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</si>
  <si>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</si>
  <si>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</si>
  <si>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</si>
  <si>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</si>
  <si>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</si>
  <si>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</si>
  <si>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</si>
  <si>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</si>
  <si>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</si>
  <si>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</si>
  <si>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</si>
  <si>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</si>
  <si>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</si>
  <si>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</si>
  <si>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</si>
  <si>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</si>
  <si>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</si>
  <si>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</si>
  <si>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</si>
  <si>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</si>
  <si>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</si>
  <si>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</si>
  <si>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</si>
  <si>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</si>
  <si>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</si>
  <si>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</si>
  <si>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</si>
  <si>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</si>
  <si>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</si>
  <si>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</si>
  <si>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</si>
  <si>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</si>
  <si>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</si>
  <si>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</si>
  <si>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</si>
  <si>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</si>
  <si>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</si>
  <si>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</si>
  <si>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</si>
  <si>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</si>
  <si>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</si>
  <si>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</si>
  <si>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</si>
  <si>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</si>
  <si>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</si>
  <si>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</si>
  <si>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</si>
  <si>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</si>
  <si>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</si>
  <si>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</si>
  <si>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</si>
  <si>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</si>
  <si>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</si>
  <si>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</si>
  <si>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</si>
  <si>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</si>
  <si>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</si>
  <si>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</si>
  <si>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</si>
  <si>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</si>
  <si>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</si>
  <si>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</si>
  <si>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</si>
  <si>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</si>
  <si>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</si>
  <si>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</si>
  <si>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</si>
  <si>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</si>
  <si>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</si>
  <si>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</si>
  <si>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</si>
  <si>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</si>
  <si>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</si>
  <si>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</si>
  <si>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</si>
  <si>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</si>
  <si>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</si>
  <si>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</si>
  <si>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</si>
  <si>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</si>
  <si>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</si>
  <si>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</si>
  <si>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</si>
  <si>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</si>
  <si>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</si>
  <si>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</si>
  <si>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</si>
  <si>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</si>
  <si>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</si>
  <si>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</si>
  <si>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</si>
  <si>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</si>
  <si>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</si>
  <si>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</si>
  <si>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</si>
  <si>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</si>
  <si>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</si>
  <si>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</si>
  <si>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</si>
  <si>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</si>
  <si>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</si>
  <si>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</si>
  <si>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</si>
  <si>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</si>
  <si>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</si>
  <si>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</si>
  <si>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</si>
  <si>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</si>
  <si>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</si>
  <si>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</si>
  <si>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</si>
  <si>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</si>
  <si>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</si>
  <si>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</si>
  <si>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</si>
  <si>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</si>
  <si>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</si>
  <si>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</si>
  <si>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</si>
  <si>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</si>
  <si>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</si>
  <si>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</si>
  <si>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</si>
  <si>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</si>
  <si>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</si>
  <si>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</si>
  <si>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</si>
  <si>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</si>
  <si>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</si>
  <si>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</si>
  <si>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</si>
  <si>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</si>
  <si>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</si>
  <si>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</si>
  <si>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</si>
  <si>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</si>
  <si>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</si>
  <si>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</si>
  <si>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</si>
  <si>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</si>
  <si>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</si>
  <si>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</si>
  <si>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</si>
  <si>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</si>
  <si>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</si>
  <si>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</si>
  <si>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</si>
  <si>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</si>
  <si>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</si>
  <si>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</si>
  <si>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</si>
  <si>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r>
      <t>Direct N</t>
    </r>
    <r>
      <rPr>
        <b/>
        <vertAlign val="subscript"/>
        <sz val="9"/>
        <rFont val="Arial"/>
        <family val="2"/>
      </rPr>
      <t>2</t>
    </r>
    <r>
      <rPr>
        <b/>
        <sz val="9"/>
        <rFont val="Arial"/>
        <family val="2"/>
      </rPr>
      <t>O Emissions from Managed Soils</t>
    </r>
  </si>
  <si>
    <t>Category code</t>
  </si>
  <si>
    <t>3C4</t>
  </si>
  <si>
    <t>Sheet</t>
  </si>
  <si>
    <t>1 of 2</t>
  </si>
  <si>
    <t>Equation 11.1</t>
  </si>
  <si>
    <t>Anthropogenic N input type</t>
  </si>
  <si>
    <t>Annual amount of N applied</t>
  </si>
  <si>
    <r>
      <t>Emission factor for N</t>
    </r>
    <r>
      <rPr>
        <vertAlign val="subscript"/>
        <sz val="9"/>
        <rFont val="Arial"/>
        <family val="2"/>
      </rPr>
      <t>2</t>
    </r>
    <r>
      <rPr>
        <sz val="9"/>
        <rFont val="Arial"/>
        <family val="2"/>
      </rPr>
      <t>O emissions from N inputs</t>
    </r>
  </si>
  <si>
    <r>
      <t>Annual direct N</t>
    </r>
    <r>
      <rPr>
        <vertAlign val="subscript"/>
        <sz val="9"/>
        <color indexed="8"/>
        <rFont val="Arial"/>
        <family val="2"/>
      </rPr>
      <t>2</t>
    </r>
    <r>
      <rPr>
        <sz val="9"/>
        <color indexed="8"/>
        <rFont val="Arial"/>
        <family val="2"/>
      </rPr>
      <t>O-N emissions produced from managed soils</t>
    </r>
  </si>
  <si>
    <r>
      <t xml:space="preserve"> [kg N2O-N (kg N input)</t>
    </r>
    <r>
      <rPr>
        <vertAlign val="superscript"/>
        <sz val="9"/>
        <rFont val="Arial"/>
        <family val="2"/>
      </rPr>
      <t>-1</t>
    </r>
    <r>
      <rPr>
        <sz val="9"/>
        <rFont val="Arial"/>
        <family val="2"/>
      </rPr>
      <t>]</t>
    </r>
  </si>
  <si>
    <t>Table 11.1</t>
  </si>
  <si>
    <r>
      <t>N</t>
    </r>
    <r>
      <rPr>
        <vertAlign val="subscript"/>
        <sz val="9"/>
        <color indexed="8"/>
        <rFont val="Arial"/>
        <family val="2"/>
      </rPr>
      <t>2</t>
    </r>
    <r>
      <rPr>
        <sz val="9"/>
        <color indexed="8"/>
        <rFont val="Arial"/>
        <family val="2"/>
      </rPr>
      <t>O-N</t>
    </r>
    <r>
      <rPr>
        <vertAlign val="subscript"/>
        <sz val="9"/>
        <color indexed="8"/>
        <rFont val="Arial"/>
        <family val="2"/>
      </rPr>
      <t>N inputs</t>
    </r>
    <r>
      <rPr>
        <sz val="9"/>
        <color indexed="8"/>
        <rFont val="Arial"/>
        <family val="2"/>
      </rPr>
      <t xml:space="preserve"> = F * EF</t>
    </r>
  </si>
  <si>
    <t>F</t>
  </si>
  <si>
    <r>
      <t>N</t>
    </r>
    <r>
      <rPr>
        <b/>
        <vertAlign val="subscript"/>
        <sz val="9"/>
        <color indexed="8"/>
        <rFont val="Arial"/>
        <family val="2"/>
      </rPr>
      <t>2</t>
    </r>
    <r>
      <rPr>
        <b/>
        <sz val="9"/>
        <color indexed="8"/>
        <rFont val="Arial"/>
        <family val="2"/>
      </rPr>
      <t>O-N</t>
    </r>
    <r>
      <rPr>
        <b/>
        <vertAlign val="subscript"/>
        <sz val="9"/>
        <color indexed="8"/>
        <rFont val="Arial"/>
        <family val="2"/>
      </rPr>
      <t>N inputs</t>
    </r>
  </si>
  <si>
    <r>
      <t>Anthropogenic N input types to estimate annual direct N</t>
    </r>
    <r>
      <rPr>
        <vertAlign val="subscript"/>
        <sz val="9"/>
        <rFont val="Arial"/>
        <family val="2"/>
      </rPr>
      <t>2</t>
    </r>
    <r>
      <rPr>
        <sz val="9"/>
        <rFont val="Arial"/>
        <family val="2"/>
      </rPr>
      <t>O-N emissions produced from managed soils</t>
    </r>
  </si>
  <si>
    <t>synthetic fertilizers</t>
  </si>
  <si>
    <r>
      <t>F</t>
    </r>
    <r>
      <rPr>
        <vertAlign val="subscript"/>
        <sz val="9"/>
        <rFont val="Arial"/>
        <family val="2"/>
      </rPr>
      <t>SN</t>
    </r>
    <r>
      <rPr>
        <sz val="9"/>
        <rFont val="Arial"/>
        <family val="2"/>
      </rPr>
      <t>: N in synthetic fertilizers</t>
    </r>
  </si>
  <si>
    <r>
      <t>EF</t>
    </r>
    <r>
      <rPr>
        <vertAlign val="subscript"/>
        <sz val="9"/>
        <rFont val="Arial"/>
        <family val="2"/>
      </rPr>
      <t>1</t>
    </r>
  </si>
  <si>
    <t>animal manure, compost, sewage sludge</t>
  </si>
  <si>
    <r>
      <t>F</t>
    </r>
    <r>
      <rPr>
        <vertAlign val="subscript"/>
        <sz val="9"/>
        <rFont val="Arial"/>
        <family val="2"/>
      </rPr>
      <t>ON</t>
    </r>
    <r>
      <rPr>
        <sz val="9"/>
        <rFont val="Arial"/>
        <family val="2"/>
      </rPr>
      <t>: N in animal manure, compost, sewage sludge, other</t>
    </r>
  </si>
  <si>
    <r>
      <t>Anthropogenic N input types to estimate annual direct N</t>
    </r>
    <r>
      <rPr>
        <vertAlign val="subscript"/>
        <sz val="9"/>
        <rFont val="Arial"/>
        <family val="2"/>
      </rPr>
      <t>2</t>
    </r>
    <r>
      <rPr>
        <sz val="9"/>
        <rFont val="Arial"/>
        <family val="2"/>
      </rPr>
      <t>O-N emissions produced from flooded rice</t>
    </r>
  </si>
  <si>
    <r>
      <t>EF</t>
    </r>
    <r>
      <rPr>
        <vertAlign val="subscript"/>
        <sz val="9"/>
        <rFont val="Arial"/>
        <family val="2"/>
      </rPr>
      <t>1FR</t>
    </r>
  </si>
  <si>
    <t>dalam Gg N2O-N /yr</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</si>
  <si>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</si>
  <si>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</si>
  <si>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</si>
  <si>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</si>
  <si>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</si>
  <si>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</si>
  <si>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</si>
  <si>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</si>
  <si>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</si>
  <si>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Luas pertanaman</t>
  </si>
  <si>
    <t>palawija</t>
  </si>
  <si>
    <t>hortikultura</t>
  </si>
  <si>
    <t>perkebunan (sawit)</t>
  </si>
  <si>
    <t>Dosis rekomendasi</t>
  </si>
  <si>
    <t>Konsumsi pupuk N</t>
  </si>
  <si>
    <t>Direct N2O</t>
  </si>
  <si>
    <t>Peternakan CH4 (entetik dan manure)</t>
  </si>
  <si>
    <t>Emisi 2000</t>
  </si>
  <si>
    <t>Tahun</t>
  </si>
  <si>
    <t>Padi sawah</t>
  </si>
  <si>
    <t>Padi ladang</t>
  </si>
  <si>
    <t>Padi (sawah)</t>
  </si>
  <si>
    <t>padi ladang</t>
  </si>
  <si>
    <t>Musim tanam dalam setahun (IP)</t>
  </si>
  <si>
    <t>(Kg CH4/ha/musim)</t>
  </si>
  <si>
    <t>Hasil</t>
  </si>
  <si>
    <t>Ternak</t>
  </si>
  <si>
    <t>Fraksi N yang hilang</t>
  </si>
  <si>
    <t>Gg N2O/th</t>
  </si>
  <si>
    <t xml:space="preserve">Total Emisi </t>
  </si>
  <si>
    <t>Gg</t>
  </si>
  <si>
    <t>(Gg CO2/tahun)</t>
  </si>
  <si>
    <r>
      <t>(ton N yr</t>
    </r>
    <r>
      <rPr>
        <vertAlign val="superscript"/>
        <sz val="9"/>
        <rFont val="Arial"/>
        <family val="2"/>
      </rPr>
      <t>-1</t>
    </r>
    <r>
      <rPr>
        <sz val="9"/>
        <rFont val="Arial"/>
        <family val="2"/>
      </rPr>
      <t>)</t>
    </r>
  </si>
  <si>
    <r>
      <t>(Gg N</t>
    </r>
    <r>
      <rPr>
        <vertAlign val="subscript"/>
        <sz val="9"/>
        <rFont val="Arial"/>
        <family val="2"/>
      </rPr>
      <t>2</t>
    </r>
    <r>
      <rPr>
        <sz val="9"/>
        <rFont val="Arial"/>
        <family val="2"/>
      </rPr>
      <t>O-N  yr</t>
    </r>
    <r>
      <rPr>
        <vertAlign val="superscript"/>
        <sz val="9"/>
        <rFont val="Arial"/>
        <family val="2"/>
      </rPr>
      <t>-1</t>
    </r>
    <r>
      <rPr>
        <sz val="9"/>
        <rFont val="Arial"/>
        <family val="2"/>
      </rPr>
      <t>)</t>
    </r>
  </si>
  <si>
    <t>KATEGORI</t>
  </si>
  <si>
    <t>3A1 Fermentasi Enterik</t>
  </si>
  <si>
    <t>3A PETERNAKAN</t>
  </si>
  <si>
    <t>3A2 Pengelolaan Limbah Ternak</t>
  </si>
  <si>
    <t>3B LAHAN</t>
  </si>
  <si>
    <t>3C SUMBER EMISI AGREGAT DAN NON-CO2</t>
  </si>
  <si>
    <t>3C1 Pembakaran Biomasa</t>
  </si>
  <si>
    <t>3C2 Aplikasi Kapur</t>
  </si>
  <si>
    <t>3C3 Aplikasi Urea</t>
  </si>
  <si>
    <t>3C4 N2O Langsung dari Pengolahan Tanah</t>
  </si>
  <si>
    <t>3C5 N2O Tidak Langsung dari Pengolahan Tanah</t>
  </si>
  <si>
    <t>3C6 N2O Tidak Langsung dari Penggunaan Pupuk</t>
  </si>
  <si>
    <t>3C7 Budidaya Padi</t>
  </si>
  <si>
    <t>CO2</t>
  </si>
  <si>
    <t>CH4</t>
  </si>
  <si>
    <t>N2O</t>
  </si>
  <si>
    <t>Emisi Berdasarkan Jenisnya</t>
  </si>
  <si>
    <t>TOTAL</t>
  </si>
  <si>
    <t>Luas Sawah</t>
  </si>
  <si>
    <r>
      <t>(Gg N</t>
    </r>
    <r>
      <rPr>
        <vertAlign val="subscript"/>
        <sz val="11"/>
        <color indexed="8"/>
        <rFont val="Calibri"/>
        <family val="2"/>
      </rPr>
      <t>2</t>
    </r>
    <r>
      <rPr>
        <sz val="11"/>
        <color theme="1"/>
        <rFont val="Calibri"/>
        <family val="2"/>
        <charset val="1"/>
        <scheme val="minor"/>
      </rPr>
      <t>O/th)</t>
    </r>
  </si>
  <si>
    <t>TABEL BANTU SF</t>
  </si>
  <si>
    <t>% N</t>
  </si>
  <si>
    <t>Berat Konsumsi (Ton)</t>
  </si>
  <si>
    <t>Banyaknya N</t>
  </si>
  <si>
    <t>Jerami</t>
  </si>
  <si>
    <t>Jenis Pupuk</t>
  </si>
  <si>
    <t>Hasil Perhitungan</t>
  </si>
  <si>
    <t>Luas sawah</t>
  </si>
  <si>
    <t>SF</t>
  </si>
  <si>
    <t>Sapi Pedaging</t>
  </si>
  <si>
    <t>*</t>
  </si>
  <si>
    <t>* data menggunakan luas panen BPS</t>
  </si>
  <si>
    <t>sisanya menggunakan data luas panen berdasarkan jenis sawah</t>
  </si>
  <si>
    <t xml:space="preserve">ditahun 2030 kenaikan 10% X emisi tahun 2014 </t>
  </si>
  <si>
    <t>10%=</t>
  </si>
  <si>
    <t>di Tahun 2010</t>
  </si>
  <si>
    <t>Sapi Potong</t>
  </si>
  <si>
    <t>Ayam Ras</t>
  </si>
  <si>
    <t>10% dari 2014 =</t>
  </si>
  <si>
    <t>ditahun 2030</t>
  </si>
  <si>
    <t>luas panen</t>
  </si>
  <si>
    <t>SW</t>
  </si>
  <si>
    <t>sv</t>
  </si>
  <si>
    <t>rasio</t>
  </si>
  <si>
    <t>IP irigasi</t>
  </si>
  <si>
    <t>IP total</t>
  </si>
  <si>
    <t>total sawah</t>
  </si>
  <si>
    <t xml:space="preserve">Tahun </t>
  </si>
  <si>
    <t>Pendekatan Historical</t>
  </si>
  <si>
    <t>Historical</t>
  </si>
  <si>
    <t>Forwardlooking</t>
  </si>
  <si>
    <t>memjadi 5:3</t>
  </si>
  <si>
    <t>KOMPOS</t>
  </si>
  <si>
    <t>2 ton/Ha untuk kompos di 2030</t>
  </si>
  <si>
    <t>situbagendit</t>
  </si>
  <si>
    <t>T. Hujan (ha)</t>
  </si>
  <si>
    <t>Sawah irigasi (ha)</t>
  </si>
  <si>
    <t>skenario</t>
  </si>
  <si>
    <t>Aplikasi Urea</t>
  </si>
  <si>
    <t>N2O langsung pengolahan tanah</t>
  </si>
  <si>
    <t>Budidaya Padi</t>
  </si>
  <si>
    <t>N2O dari Pengolahan Tanah</t>
  </si>
  <si>
    <t>Pengelolaan Limbah Ternak</t>
  </si>
  <si>
    <t>Fermentasi Enterik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</si>
</sst>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_);_(* \(#,##0.00\);_(* &quot;-&quot;_);_(@_)"/>
    <numFmt numFmtId="171" formatCode="0.0%"/>
  </numFmts>
  <fonts count="37" x14ac:knownFonts="1">
    <font>
      <sz val="11"/>
      <color theme="1"/>
      <name val="Calibri"/>
      <family val="2"/>
      <charset val="1"/>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0"/>
      <name val="Calibri"/>
      <family val="2"/>
      <scheme val="minor"/>
    </font>
    <font>
      <b/>
      <sz val="9"/>
      <name val="Arial"/>
      <family val="2"/>
    </font>
    <font>
      <b/>
      <vertAlign val="subscript"/>
      <sz val="9"/>
      <name val="Arial"/>
      <family val="2"/>
    </font>
    <font>
      <sz val="9"/>
      <name val="Arial"/>
      <family val="2"/>
    </font>
    <font>
      <vertAlign val="subscript"/>
      <sz val="9"/>
      <name val="Arial"/>
      <family val="2"/>
    </font>
    <font>
      <vertAlign val="subscript"/>
      <sz val="9"/>
      <color indexed="8"/>
      <name val="Arial"/>
      <family val="2"/>
    </font>
    <font>
      <sz val="9"/>
      <color indexed="8"/>
      <name val="Arial"/>
      <family val="2"/>
    </font>
    <font>
      <vertAlign val="superscript"/>
      <sz val="9"/>
      <name val="Arial"/>
      <family val="2"/>
    </font>
    <font>
      <b/>
      <vertAlign val="subscript"/>
      <sz val="9"/>
      <color indexed="8"/>
      <name val="Arial"/>
      <family val="2"/>
    </font>
    <font>
      <b/>
      <sz val="9"/>
      <color indexed="8"/>
      <name val="Arial"/>
      <family val="2"/>
    </font>
    <font>
      <u/>
      <sz val="8"/>
      <color theme="10"/>
      <name val="Arial"/>
      <family val="2"/>
    </font>
    <font>
      <u/>
      <sz val="10"/>
      <name val="Arial"/>
      <family val="2"/>
    </font>
    <font>
      <sz val="11"/>
      <color theme="0"/>
      <name val="Calibri"/>
      <family val="2"/>
      <charset val="1"/>
      <scheme val="minor"/>
    </font>
    <font>
      <b/>
      <sz val="11"/>
      <color theme="0"/>
      <name val="Calibri"/>
      <family val="2"/>
      <charset val="1"/>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00B0F0"/>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bgColor indexed="64"/>
      </patternFill>
    </fill>
  </fills>
  <borders count="55">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s>
  <cellStyleXfs count="10">
    <xf numFmtId="0" fontId="0" fillId="0" borderId="0"/>
    <xf numFmtId="165" fontId="18" fillId="0" borderId="0" applyFont="0" applyFill="0" applyBorder="0" applyAlignment="0" applyProtection="0"/>
    <xf numFmtId="165" fontId="19" fillId="0" borderId="0" applyFont="0" applyFill="0" applyBorder="0" applyAlignment="0" applyProtection="0"/>
    <xf numFmtId="0" fontId="19" fillId="0" borderId="0"/>
    <xf numFmtId="0" fontId="19" fillId="0" borderId="0"/>
    <xf numFmtId="0" fontId="12" fillId="0" borderId="0"/>
    <xf numFmtId="0" fontId="33" fillId="0" borderId="0" applyNumberFormat="0" applyFill="0" applyBorder="0" applyAlignment="0" applyProtection="0">
      <alignment vertical="top"/>
      <protection locked="0"/>
    </xf>
    <xf numFmtId="164" fontId="19" fillId="0" borderId="0" applyFont="0" applyFill="0" applyBorder="0" applyAlignment="0" applyProtection="0"/>
    <xf numFmtId="164" fontId="18" fillId="0" borderId="0" applyFont="0" applyFill="0" applyBorder="0" applyAlignment="0" applyProtection="0"/>
    <xf numFmtId="9" fontId="18" fillId="0" borderId="0" applyFont="0" applyFill="0" applyBorder="0" applyAlignment="0" applyProtection="0"/>
  </cellStyleXfs>
  <cellXfs count="440">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7" xfId="0" applyBorder="1" applyAlignment="1">
      <alignment horizontal="center"/>
    </xf>
    <xf numFmtId="0" fontId="0" fillId="0" borderId="7"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applyAlignment="1">
      <alignment horizontal="center"/>
    </xf>
    <xf numFmtId="0" fontId="0" fillId="0" borderId="13" xfId="0" applyBorder="1"/>
    <xf numFmtId="0" fontId="20" fillId="0" borderId="0" xfId="3" applyFont="1"/>
    <xf numFmtId="0" fontId="19" fillId="0" borderId="0" xfId="3"/>
    <xf numFmtId="0" fontId="19" fillId="0" borderId="0" xfId="3" applyAlignment="1">
      <alignment horizontal="center"/>
    </xf>
    <xf numFmtId="0" fontId="20" fillId="0" borderId="0" xfId="3" applyFont="1" applyAlignment="1">
      <alignment horizontal="center" vertical="center"/>
    </xf>
    <xf numFmtId="0" fontId="20" fillId="0" borderId="0" xfId="3" applyFont="1" applyAlignment="1">
      <alignment horizontal="center" vertical="center" wrapText="1"/>
    </xf>
    <xf numFmtId="0" fontId="19" fillId="0" borderId="0" xfId="3" applyAlignment="1">
      <alignment horizontal="center" vertical="center"/>
    </xf>
    <xf numFmtId="166" fontId="19" fillId="0" borderId="0" xfId="3" applyNumberFormat="1"/>
    <xf numFmtId="167" fontId="19" fillId="0" borderId="0" xfId="3" applyNumberFormat="1"/>
    <xf numFmtId="0" fontId="19" fillId="0" borderId="0" xfId="3" applyAlignment="1">
      <alignment horizontal="left" vertical="center"/>
    </xf>
    <xf numFmtId="166" fontId="19" fillId="0" borderId="0" xfId="2" applyNumberFormat="1" applyFont="1"/>
    <xf numFmtId="166" fontId="0" fillId="0" borderId="7" xfId="0" applyNumberFormat="1" applyBorder="1"/>
    <xf numFmtId="166" fontId="0" fillId="5" borderId="8" xfId="0" applyNumberFormat="1" applyFill="1" applyBorder="1"/>
    <xf numFmtId="0" fontId="19" fillId="0" borderId="5" xfId="3" applyBorder="1"/>
    <xf numFmtId="0" fontId="21" fillId="5" borderId="14" xfId="0" applyFont="1" applyFill="1" applyBorder="1" applyAlignment="1">
      <alignment horizontal="center"/>
    </xf>
    <xf numFmtId="2" fontId="0" fillId="5" borderId="2" xfId="0" applyNumberFormat="1" applyFill="1" applyBorder="1"/>
    <xf numFmtId="0" fontId="0" fillId="0" borderId="0" xfId="0" applyAlignment="1">
      <alignment horizontal="center"/>
    </xf>
    <xf numFmtId="0" fontId="22" fillId="0" borderId="0" xfId="3" applyFont="1"/>
    <xf numFmtId="0" fontId="19" fillId="0" borderId="16" xfId="3" applyBorder="1"/>
    <xf numFmtId="0" fontId="19" fillId="0" borderId="17" xfId="3" applyBorder="1" applyAlignment="1">
      <alignment horizontal="center"/>
    </xf>
    <xf numFmtId="0" fontId="19" fillId="0" borderId="18" xfId="3" applyBorder="1"/>
    <xf numFmtId="0" fontId="19" fillId="0" borderId="19" xfId="3" applyBorder="1" applyAlignment="1">
      <alignment horizontal="center"/>
    </xf>
    <xf numFmtId="0" fontId="19" fillId="0" borderId="20" xfId="3" applyBorder="1"/>
    <xf numFmtId="0" fontId="19" fillId="0" borderId="21" xfId="3" applyBorder="1"/>
    <xf numFmtId="0" fontId="19" fillId="0" borderId="22" xfId="3" applyBorder="1" applyAlignment="1">
      <alignment horizontal="center"/>
    </xf>
    <xf numFmtId="0" fontId="19" fillId="0" borderId="23" xfId="3" applyBorder="1"/>
    <xf numFmtId="0" fontId="19" fillId="0" borderId="24" xfId="3" applyBorder="1"/>
    <xf numFmtId="0" fontId="20" fillId="0" borderId="25" xfId="3" applyFont="1" applyBorder="1" applyAlignment="1">
      <alignment horizontal="center" vertical="center" wrapText="1"/>
    </xf>
    <xf numFmtId="0" fontId="20" fillId="0" borderId="26" xfId="3" applyFont="1" applyBorder="1" applyAlignment="1">
      <alignment horizontal="center" vertical="center" wrapText="1"/>
    </xf>
    <xf numFmtId="0" fontId="20" fillId="0" borderId="27" xfId="3" applyFont="1" applyBorder="1" applyAlignment="1">
      <alignment horizontal="center" vertical="center" wrapText="1"/>
    </xf>
    <xf numFmtId="0" fontId="0" fillId="0" borderId="16" xfId="0" applyBorder="1"/>
    <xf numFmtId="0" fontId="0" fillId="0" borderId="17" xfId="0" applyBorder="1" applyAlignment="1">
      <alignment horizontal="center"/>
    </xf>
    <xf numFmtId="0" fontId="0" fillId="0" borderId="18" xfId="0" applyBorder="1"/>
    <xf numFmtId="0" fontId="0" fillId="0" borderId="19" xfId="0" applyBorder="1" applyAlignment="1">
      <alignment horizontal="center"/>
    </xf>
    <xf numFmtId="0" fontId="0" fillId="0" borderId="20" xfId="0" applyBorder="1"/>
    <xf numFmtId="0" fontId="0" fillId="0" borderId="21" xfId="0" applyBorder="1"/>
    <xf numFmtId="0" fontId="0" fillId="0" borderId="22" xfId="0" applyBorder="1" applyAlignment="1">
      <alignment horizontal="center"/>
    </xf>
    <xf numFmtId="0" fontId="0" fillId="0" borderId="23" xfId="0" applyBorder="1"/>
    <xf numFmtId="0" fontId="0" fillId="0" borderId="24" xfId="0" applyBorder="1"/>
    <xf numFmtId="0" fontId="20" fillId="0" borderId="25" xfId="0" applyFont="1" applyBorder="1" applyAlignment="1">
      <alignment horizontal="center" vertical="center"/>
    </xf>
    <xf numFmtId="0" fontId="20" fillId="0" borderId="26" xfId="0" applyFont="1" applyBorder="1" applyAlignment="1">
      <alignment horizontal="center" vertical="center" wrapText="1"/>
    </xf>
    <xf numFmtId="0" fontId="20" fillId="0" borderId="27" xfId="0" applyFont="1" applyBorder="1" applyAlignment="1">
      <alignment horizontal="center" vertical="center" wrapText="1"/>
    </xf>
    <xf numFmtId="0" fontId="0" fillId="0" borderId="5" xfId="0" applyBorder="1" applyAlignment="1">
      <alignment horizontal="center" vertical="center"/>
    </xf>
    <xf numFmtId="0" fontId="21" fillId="5" borderId="28" xfId="0" applyFont="1" applyFill="1" applyBorder="1"/>
    <xf numFmtId="0" fontId="0" fillId="4" borderId="29" xfId="0" applyFill="1" applyBorder="1" applyAlignment="1">
      <alignment horizontal="center"/>
    </xf>
    <xf numFmtId="0" fontId="19" fillId="0" borderId="7" xfId="3" applyBorder="1"/>
    <xf numFmtId="0" fontId="0" fillId="0" borderId="0" xfId="0" applyAlignment="1">
      <alignment horizontal="left"/>
    </xf>
    <xf numFmtId="2" fontId="0" fillId="0" borderId="0" xfId="0" applyNumberFormat="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0" fillId="0" borderId="7" xfId="0" applyFont="1" applyBorder="1" applyAlignment="1">
      <alignment horizontal="center"/>
    </xf>
    <xf numFmtId="165" fontId="18" fillId="0" borderId="7" xfId="1" applyFont="1" applyBorder="1"/>
    <xf numFmtId="0" fontId="0" fillId="0" borderId="30" xfId="0" applyBorder="1" applyAlignment="1">
      <alignment horizontal="center" wrapText="1"/>
    </xf>
    <xf numFmtId="0" fontId="0" fillId="0" borderId="30" xfId="0" applyBorder="1" applyAlignment="1">
      <alignment horizontal="center"/>
    </xf>
    <xf numFmtId="0" fontId="0" fillId="0" borderId="31" xfId="0" applyBorder="1" applyAlignment="1">
      <alignment horizontal="center"/>
    </xf>
    <xf numFmtId="0" fontId="0" fillId="0" borderId="30" xfId="0" applyBorder="1"/>
    <xf numFmtId="0" fontId="0" fillId="5" borderId="8" xfId="0" applyFill="1" applyBorder="1"/>
    <xf numFmtId="0" fontId="7" fillId="0" borderId="0" xfId="3" applyFont="1"/>
    <xf numFmtId="0" fontId="9" fillId="3" borderId="32" xfId="3" applyFont="1" applyFill="1" applyBorder="1" applyAlignment="1">
      <alignment horizontal="center" vertical="center"/>
    </xf>
    <xf numFmtId="0" fontId="9" fillId="3" borderId="32" xfId="3" applyFont="1" applyFill="1" applyBorder="1" applyAlignment="1">
      <alignment horizontal="center" vertical="center" wrapText="1"/>
    </xf>
    <xf numFmtId="0" fontId="11" fillId="3" borderId="32" xfId="3" quotePrefix="1" applyFont="1" applyFill="1" applyBorder="1" applyAlignment="1">
      <alignment horizontal="center" vertical="center" wrapText="1"/>
    </xf>
    <xf numFmtId="0" fontId="12" fillId="0" borderId="23" xfId="3" applyFont="1" applyBorder="1" applyAlignment="1">
      <alignment horizontal="center"/>
    </xf>
    <xf numFmtId="0" fontId="12" fillId="0" borderId="23" xfId="3" quotePrefix="1" applyFont="1" applyBorder="1" applyAlignment="1">
      <alignment horizontal="center" wrapText="1"/>
    </xf>
    <xf numFmtId="0" fontId="12" fillId="2" borderId="16" xfId="3" applyFont="1" applyFill="1" applyBorder="1" applyAlignment="1" applyProtection="1">
      <alignment horizontal="center" vertical="center"/>
      <protection locked="0"/>
    </xf>
    <xf numFmtId="0" fontId="19" fillId="2" borderId="16" xfId="3" applyFill="1" applyBorder="1" applyAlignment="1">
      <alignment horizontal="center" vertical="center"/>
    </xf>
    <xf numFmtId="0" fontId="19" fillId="0" borderId="16" xfId="3" applyBorder="1" applyAlignment="1">
      <alignment horizontal="center" vertical="center"/>
    </xf>
    <xf numFmtId="0" fontId="12" fillId="0" borderId="16" xfId="3" applyFont="1" applyBorder="1" applyAlignment="1" applyProtection="1">
      <alignment horizontal="center" vertical="center"/>
      <protection locked="0"/>
    </xf>
    <xf numFmtId="0" fontId="12" fillId="0" borderId="16" xfId="3" applyFont="1" applyBorder="1" applyAlignment="1">
      <alignment horizontal="left" vertical="top" wrapText="1"/>
    </xf>
    <xf numFmtId="0" fontId="19" fillId="0" borderId="16" xfId="3" applyBorder="1" applyAlignment="1">
      <alignment horizontal="center"/>
    </xf>
    <xf numFmtId="0" fontId="19" fillId="0" borderId="16" xfId="3" quotePrefix="1" applyBorder="1" applyAlignment="1">
      <alignment horizontal="center" vertical="center"/>
    </xf>
    <xf numFmtId="2" fontId="19" fillId="0" borderId="16" xfId="3" applyNumberFormat="1" applyBorder="1" applyAlignment="1">
      <alignment horizontal="center" vertical="center"/>
    </xf>
    <xf numFmtId="0" fontId="13" fillId="0" borderId="0" xfId="3" applyFont="1"/>
    <xf numFmtId="0" fontId="20" fillId="0" borderId="9" xfId="0" applyFont="1" applyBorder="1" applyAlignment="1">
      <alignment horizontal="center"/>
    </xf>
    <xf numFmtId="0" fontId="0" fillId="0" borderId="22" xfId="0" applyBorder="1"/>
    <xf numFmtId="0" fontId="0" fillId="4" borderId="11" xfId="0" applyFill="1" applyBorder="1" applyAlignment="1">
      <alignment horizontal="center"/>
    </xf>
    <xf numFmtId="166" fontId="18" fillId="0" borderId="0" xfId="1" applyNumberFormat="1" applyFont="1"/>
    <xf numFmtId="0" fontId="6" fillId="0" borderId="0" xfId="0" applyFont="1"/>
    <xf numFmtId="0" fontId="6" fillId="3" borderId="32" xfId="0" applyFont="1" applyFill="1" applyBorder="1" applyAlignment="1">
      <alignment horizontal="center" vertical="center"/>
    </xf>
    <xf numFmtId="0" fontId="6" fillId="3" borderId="32" xfId="0" applyFont="1" applyFill="1" applyBorder="1" applyAlignment="1">
      <alignment horizontal="center" vertical="center" wrapText="1"/>
    </xf>
    <xf numFmtId="0" fontId="0" fillId="0" borderId="16" xfId="0" applyBorder="1" applyAlignment="1">
      <alignment horizontal="center"/>
    </xf>
    <xf numFmtId="169" fontId="0" fillId="0" borderId="16" xfId="0" applyNumberFormat="1" applyBorder="1"/>
    <xf numFmtId="2" fontId="6" fillId="0" borderId="16" xfId="0" applyNumberFormat="1" applyFont="1" applyBorder="1" applyAlignment="1">
      <alignment horizontal="center"/>
    </xf>
    <xf numFmtId="169" fontId="0" fillId="0" borderId="34" xfId="0" applyNumberFormat="1" applyBorder="1"/>
    <xf numFmtId="0" fontId="0" fillId="2" borderId="16" xfId="0" applyFill="1" applyBorder="1" applyAlignment="1">
      <alignment horizontal="center"/>
    </xf>
    <xf numFmtId="169" fontId="0" fillId="2" borderId="16" xfId="0" applyNumberFormat="1" applyFill="1" applyBorder="1"/>
    <xf numFmtId="2" fontId="6" fillId="2" borderId="16"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3" xfId="0" applyNumberFormat="1" applyBorder="1"/>
    <xf numFmtId="1" fontId="0" fillId="0" borderId="0" xfId="0" applyNumberFormat="1" applyAlignment="1">
      <alignment horizontal="right"/>
    </xf>
    <xf numFmtId="1" fontId="0" fillId="0" borderId="16" xfId="0" applyNumberFormat="1" applyBorder="1" applyAlignment="1">
      <alignment horizontal="right"/>
    </xf>
    <xf numFmtId="0" fontId="20" fillId="0" borderId="16" xfId="3" applyFont="1" applyBorder="1" applyAlignment="1">
      <alignment horizontal="center" wrapText="1"/>
    </xf>
    <xf numFmtId="0" fontId="20" fillId="0" borderId="16" xfId="3" applyFont="1" applyBorder="1" applyAlignment="1">
      <alignment horizontal="center" vertical="center"/>
    </xf>
    <xf numFmtId="0" fontId="20" fillId="0" borderId="16" xfId="3" applyFont="1" applyBorder="1" applyAlignment="1">
      <alignment horizontal="center" vertical="center" wrapText="1"/>
    </xf>
    <xf numFmtId="0" fontId="19" fillId="0" borderId="16" xfId="3" applyBorder="1" applyAlignment="1">
      <alignment vertical="top" wrapText="1"/>
    </xf>
    <xf numFmtId="0" fontId="19" fillId="0" borderId="16" xfId="3" applyBorder="1" applyAlignment="1">
      <alignment wrapText="1"/>
    </xf>
    <xf numFmtId="0" fontId="0" fillId="5" borderId="10" xfId="0" applyFill="1" applyBorder="1"/>
    <xf numFmtId="0" fontId="19" fillId="0" borderId="16"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5" xfId="0" applyBorder="1" applyAlignment="1">
      <alignment horizontal="center" vertical="center" wrapText="1"/>
    </xf>
    <xf numFmtId="0" fontId="0" fillId="0" borderId="10" xfId="0" applyBorder="1" applyAlignment="1">
      <alignment horizontal="center" vertical="center" wrapText="1"/>
    </xf>
    <xf numFmtId="0" fontId="0" fillId="0" borderId="30" xfId="0" applyBorder="1" applyAlignment="1">
      <alignment horizontal="center" vertical="center" wrapText="1"/>
    </xf>
    <xf numFmtId="0" fontId="20" fillId="0" borderId="30" xfId="0" applyFont="1" applyBorder="1" applyAlignment="1">
      <alignment horizontal="center"/>
    </xf>
    <xf numFmtId="0" fontId="0" fillId="4" borderId="36" xfId="0" applyFill="1" applyBorder="1" applyAlignment="1">
      <alignment horizontal="center"/>
    </xf>
    <xf numFmtId="0" fontId="0" fillId="0" borderId="37" xfId="0" applyBorder="1" applyAlignment="1">
      <alignment horizontal="center" vertical="center" wrapText="1"/>
    </xf>
    <xf numFmtId="0" fontId="0" fillId="0" borderId="37" xfId="0" applyBorder="1" applyAlignment="1">
      <alignment horizontal="center"/>
    </xf>
    <xf numFmtId="0" fontId="0" fillId="0" borderId="37" xfId="0" applyBorder="1" applyAlignment="1">
      <alignment horizontal="center" wrapText="1"/>
    </xf>
    <xf numFmtId="0" fontId="0" fillId="0" borderId="38" xfId="0" applyBorder="1" applyAlignment="1">
      <alignment horizontal="center" vertical="center" wrapText="1"/>
    </xf>
    <xf numFmtId="0" fontId="0" fillId="0" borderId="39"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0" fontId="0" fillId="4" borderId="40" xfId="0" applyFill="1" applyBorder="1" applyAlignment="1">
      <alignment horizontal="center"/>
    </xf>
    <xf numFmtId="0" fontId="0" fillId="0" borderId="36" xfId="0" applyBorder="1" applyAlignment="1">
      <alignment horizontal="center" vertical="top" wrapText="1"/>
    </xf>
    <xf numFmtId="166" fontId="0" fillId="0" borderId="0" xfId="0" applyNumberFormat="1"/>
    <xf numFmtId="0" fontId="0" fillId="4" borderId="41" xfId="0" applyFill="1" applyBorder="1"/>
    <xf numFmtId="0" fontId="20" fillId="0" borderId="0" xfId="0" applyFont="1"/>
    <xf numFmtId="17" fontId="0" fillId="0" borderId="16" xfId="0" quotePrefix="1" applyNumberFormat="1" applyBorder="1" applyAlignment="1">
      <alignment horizontal="center"/>
    </xf>
    <xf numFmtId="0" fontId="0" fillId="0" borderId="42" xfId="0" applyBorder="1" applyAlignment="1">
      <alignment horizontal="center"/>
    </xf>
    <xf numFmtId="0" fontId="0" fillId="0" borderId="43" xfId="0" applyBorder="1"/>
    <xf numFmtId="0" fontId="0" fillId="0" borderId="33" xfId="0" applyBorder="1" applyAlignment="1">
      <alignment wrapText="1"/>
    </xf>
    <xf numFmtId="0" fontId="19" fillId="0" borderId="0" xfId="3" applyAlignment="1">
      <alignment horizontal="center" wrapText="1"/>
    </xf>
    <xf numFmtId="0" fontId="19" fillId="0" borderId="0" xfId="3" applyAlignment="1">
      <alignment horizontal="center" vertical="top"/>
    </xf>
    <xf numFmtId="0" fontId="23" fillId="0" borderId="0" xfId="0" applyFont="1" applyAlignment="1">
      <alignment vertical="top" wrapText="1"/>
    </xf>
    <xf numFmtId="0" fontId="12" fillId="0" borderId="16" xfId="3" quotePrefix="1" applyFont="1" applyBorder="1" applyAlignment="1">
      <alignment horizontal="left" vertical="top" wrapText="1"/>
    </xf>
    <xf numFmtId="0" fontId="20" fillId="0" borderId="44" xfId="0" applyFont="1" applyBorder="1" applyAlignment="1">
      <alignment horizontal="center"/>
    </xf>
    <xf numFmtId="0" fontId="20" fillId="0" borderId="42" xfId="0" applyFont="1" applyBorder="1" applyAlignment="1">
      <alignment horizontal="center"/>
    </xf>
    <xf numFmtId="0" fontId="20" fillId="0" borderId="16" xfId="0" applyFont="1" applyBorder="1" applyAlignment="1">
      <alignment horizontal="center"/>
    </xf>
    <xf numFmtId="0" fontId="20" fillId="0" borderId="42" xfId="0" applyFont="1" applyBorder="1" applyAlignment="1">
      <alignment horizontal="center" wrapText="1"/>
    </xf>
    <xf numFmtId="0" fontId="0" fillId="0" borderId="42" xfId="0" applyBorder="1" applyAlignment="1">
      <alignment horizontal="center" vertical="top"/>
    </xf>
    <xf numFmtId="0" fontId="0" fillId="0" borderId="16" xfId="0" applyBorder="1" applyAlignment="1">
      <alignment horizontal="center" vertical="top"/>
    </xf>
    <xf numFmtId="0" fontId="0" fillId="0" borderId="43" xfId="0" applyBorder="1" applyAlignment="1">
      <alignment horizontal="left" vertical="top"/>
    </xf>
    <xf numFmtId="0" fontId="0" fillId="0" borderId="33" xfId="0" applyBorder="1" applyAlignment="1">
      <alignment horizontal="left" vertical="top" wrapText="1"/>
    </xf>
    <xf numFmtId="2" fontId="0" fillId="0" borderId="0" xfId="0" applyNumberFormat="1" applyAlignment="1">
      <alignment horizontal="center"/>
    </xf>
    <xf numFmtId="0" fontId="0" fillId="0" borderId="7" xfId="0" applyBorder="1" applyAlignment="1">
      <alignment horizontal="center" vertical="top" wrapText="1"/>
    </xf>
    <xf numFmtId="0" fontId="0" fillId="0" borderId="7" xfId="0" applyBorder="1" applyAlignment="1">
      <alignment horizontal="center" vertical="top"/>
    </xf>
    <xf numFmtId="0" fontId="0" fillId="0" borderId="9" xfId="0" applyBorder="1" applyAlignment="1">
      <alignment horizontal="center" vertical="top"/>
    </xf>
    <xf numFmtId="0" fontId="0" fillId="0" borderId="0" xfId="0" applyAlignment="1">
      <alignment horizontal="left" vertical="top" wrapText="1"/>
    </xf>
    <xf numFmtId="166" fontId="18" fillId="0" borderId="0" xfId="1" applyNumberFormat="1" applyFont="1" applyAlignment="1">
      <alignment horizontal="left" vertical="top"/>
    </xf>
    <xf numFmtId="0" fontId="0" fillId="0" borderId="0" xfId="0" applyAlignment="1">
      <alignment horizontal="left" vertical="top"/>
    </xf>
    <xf numFmtId="165" fontId="0" fillId="0" borderId="4" xfId="0" applyNumberFormat="1" applyBorder="1"/>
    <xf numFmtId="166" fontId="0" fillId="0" borderId="0" xfId="1" applyNumberFormat="1" applyFont="1"/>
    <xf numFmtId="0" fontId="12" fillId="0" borderId="0" xfId="5"/>
    <xf numFmtId="0" fontId="24" fillId="0" borderId="16" xfId="5" applyFont="1" applyBorder="1" applyAlignment="1">
      <alignment horizontal="center"/>
    </xf>
    <xf numFmtId="0" fontId="26" fillId="0" borderId="16" xfId="5" applyFont="1" applyBorder="1" applyAlignment="1">
      <alignment vertical="center" wrapText="1"/>
    </xf>
    <xf numFmtId="0" fontId="26" fillId="8" borderId="16" xfId="5" applyFont="1" applyFill="1" applyBorder="1" applyAlignment="1">
      <alignment vertical="center" wrapText="1"/>
    </xf>
    <xf numFmtId="0" fontId="26" fillId="8" borderId="16" xfId="5" applyFont="1" applyFill="1" applyBorder="1" applyAlignment="1">
      <alignment horizontal="center" wrapText="1"/>
    </xf>
    <xf numFmtId="166" fontId="12" fillId="0" borderId="0" xfId="2" applyNumberFormat="1" applyFont="1"/>
    <xf numFmtId="0" fontId="9" fillId="6" borderId="0" xfId="5" applyFont="1" applyFill="1"/>
    <xf numFmtId="0" fontId="34" fillId="6" borderId="0" xfId="6" applyFont="1" applyFill="1" applyAlignment="1" applyProtection="1"/>
    <xf numFmtId="0" fontId="12" fillId="9" borderId="0" xfId="5" applyFill="1"/>
    <xf numFmtId="0" fontId="12" fillId="0" borderId="0" xfId="5" applyAlignment="1">
      <alignment wrapText="1"/>
    </xf>
    <xf numFmtId="0" fontId="12" fillId="0" borderId="0" xfId="5" applyAlignment="1">
      <alignment horizontal="right" wrapText="1"/>
    </xf>
    <xf numFmtId="0" fontId="26" fillId="0" borderId="23" xfId="5" applyFont="1" applyBorder="1" applyAlignment="1">
      <alignment vertical="center" wrapText="1"/>
    </xf>
    <xf numFmtId="0" fontId="26" fillId="8" borderId="23" xfId="5" applyFont="1" applyFill="1" applyBorder="1" applyAlignment="1">
      <alignment vertical="center" wrapText="1"/>
    </xf>
    <xf numFmtId="0" fontId="26" fillId="0" borderId="20" xfId="5" applyFont="1" applyBorder="1" applyAlignment="1">
      <alignment vertical="center" wrapText="1"/>
    </xf>
    <xf numFmtId="0" fontId="26" fillId="8" borderId="20" xfId="5" applyFont="1" applyFill="1" applyBorder="1" applyAlignment="1">
      <alignment vertical="center" wrapText="1"/>
    </xf>
    <xf numFmtId="165" fontId="12" fillId="0" borderId="0" xfId="5" applyNumberFormat="1"/>
    <xf numFmtId="165" fontId="0" fillId="0" borderId="0" xfId="0" applyNumberFormat="1"/>
    <xf numFmtId="0" fontId="35" fillId="10" borderId="0" xfId="0" applyFont="1" applyFill="1"/>
    <xf numFmtId="0" fontId="35" fillId="10" borderId="0" xfId="0" applyFont="1" applyFill="1" applyAlignment="1">
      <alignment vertical="top"/>
    </xf>
    <xf numFmtId="0" fontId="35" fillId="0" borderId="16" xfId="0" applyFont="1" applyBorder="1" applyAlignment="1">
      <alignment horizontal="center"/>
    </xf>
    <xf numFmtId="1" fontId="35" fillId="0" borderId="16" xfId="0" applyNumberFormat="1" applyFont="1" applyBorder="1" applyAlignment="1">
      <alignment horizontal="right"/>
    </xf>
    <xf numFmtId="2" fontId="36" fillId="0" borderId="16" xfId="0" applyNumberFormat="1" applyFont="1" applyBorder="1" applyAlignment="1">
      <alignment horizontal="center"/>
    </xf>
    <xf numFmtId="0" fontId="26" fillId="0" borderId="16" xfId="5" applyFont="1" applyBorder="1" applyAlignment="1">
      <alignment horizontal="center" vertical="center" wrapText="1"/>
    </xf>
    <xf numFmtId="0" fontId="24" fillId="0" borderId="16" xfId="5" applyFont="1" applyBorder="1" applyAlignment="1">
      <alignment horizontal="center" wrapText="1"/>
    </xf>
    <xf numFmtId="165" fontId="0" fillId="0" borderId="0" xfId="1" applyFont="1"/>
    <xf numFmtId="166" fontId="0" fillId="11" borderId="7" xfId="0" applyNumberFormat="1" applyFill="1" applyBorder="1"/>
    <xf numFmtId="0" fontId="20" fillId="0" borderId="48" xfId="0" applyFont="1" applyBorder="1" applyAlignment="1">
      <alignment horizontal="center"/>
    </xf>
    <xf numFmtId="0" fontId="0" fillId="0" borderId="48" xfId="0" applyBorder="1"/>
    <xf numFmtId="0" fontId="20" fillId="0" borderId="40" xfId="0" applyFont="1" applyBorder="1" applyAlignment="1">
      <alignment horizontal="center"/>
    </xf>
    <xf numFmtId="0" fontId="20" fillId="0" borderId="29" xfId="0" applyFont="1" applyBorder="1" applyAlignment="1">
      <alignment horizontal="center"/>
    </xf>
    <xf numFmtId="2" fontId="0" fillId="7" borderId="35" xfId="0" applyNumberFormat="1" applyFill="1" applyBorder="1"/>
    <xf numFmtId="2" fontId="0" fillId="7" borderId="2" xfId="0" applyNumberFormat="1" applyFill="1" applyBorder="1"/>
    <xf numFmtId="2" fontId="0" fillId="7" borderId="49" xfId="0" applyNumberFormat="1" applyFill="1" applyBorder="1"/>
    <xf numFmtId="0" fontId="21" fillId="7" borderId="12" xfId="0" applyFont="1" applyFill="1" applyBorder="1" applyAlignment="1">
      <alignment horizontal="center"/>
    </xf>
    <xf numFmtId="0" fontId="19" fillId="7" borderId="6" xfId="3" applyFill="1" applyBorder="1"/>
    <xf numFmtId="166" fontId="0" fillId="7" borderId="8" xfId="0" applyNumberFormat="1" applyFill="1" applyBorder="1"/>
    <xf numFmtId="2" fontId="0" fillId="7" borderId="10" xfId="0" applyNumberFormat="1" applyFill="1" applyBorder="1"/>
    <xf numFmtId="168" fontId="0" fillId="7" borderId="49" xfId="0" applyNumberFormat="1" applyFill="1" applyBorder="1"/>
    <xf numFmtId="0" fontId="20" fillId="0" borderId="0" xfId="0" applyFont="1" applyAlignment="1">
      <alignment horizontal="center"/>
    </xf>
    <xf numFmtId="0" fontId="0" fillId="6" borderId="37" xfId="0" applyFill="1" applyBorder="1"/>
    <xf numFmtId="0" fontId="0" fillId="0" borderId="37" xfId="0" applyBorder="1"/>
    <xf numFmtId="0" fontId="2" fillId="0" borderId="0" xfId="3" applyFont="1"/>
    <xf numFmtId="166" fontId="0" fillId="12" borderId="7" xfId="0" applyNumberFormat="1" applyFill="1" applyBorder="1"/>
    <xf numFmtId="0" fontId="19" fillId="6" borderId="7" xfId="3" applyFill="1" applyBorder="1"/>
    <xf numFmtId="165" fontId="0" fillId="5" borderId="10" xfId="1" applyFont="1" applyFill="1" applyBorder="1"/>
    <xf numFmtId="165" fontId="0" fillId="5" borderId="31" xfId="1" applyFont="1" applyFill="1" applyBorder="1"/>
    <xf numFmtId="0" fontId="20" fillId="0" borderId="15" xfId="0" applyFont="1" applyBorder="1" applyAlignment="1">
      <alignment horizontal="center"/>
    </xf>
    <xf numFmtId="0" fontId="20" fillId="0" borderId="51" xfId="0" applyFont="1" applyBorder="1" applyAlignment="1">
      <alignment horizontal="center"/>
    </xf>
    <xf numFmtId="2" fontId="0" fillId="12" borderId="9" xfId="0" applyNumberFormat="1" applyFill="1" applyBorder="1"/>
    <xf numFmtId="0" fontId="0" fillId="12" borderId="9" xfId="0" applyFill="1" applyBorder="1"/>
    <xf numFmtId="0" fontId="0" fillId="12" borderId="7" xfId="0" applyFill="1" applyBorder="1"/>
    <xf numFmtId="0" fontId="0" fillId="0" borderId="31" xfId="0" applyBorder="1"/>
    <xf numFmtId="2" fontId="0" fillId="6" borderId="3" xfId="0" applyNumberFormat="1" applyFill="1" applyBorder="1"/>
    <xf numFmtId="166" fontId="0" fillId="12" borderId="3" xfId="0" applyNumberFormat="1" applyFill="1" applyBorder="1"/>
    <xf numFmtId="167" fontId="26" fillId="6" borderId="16" xfId="2" applyNumberFormat="1" applyFont="1" applyFill="1" applyBorder="1" applyAlignment="1">
      <alignment horizontal="right" vertical="center" wrapText="1"/>
    </xf>
    <xf numFmtId="167" fontId="26" fillId="6" borderId="20" xfId="2" applyNumberFormat="1" applyFont="1" applyFill="1" applyBorder="1" applyAlignment="1">
      <alignment horizontal="right" vertical="center" wrapText="1"/>
    </xf>
    <xf numFmtId="167" fontId="26" fillId="6" borderId="23" xfId="2" applyNumberFormat="1" applyFont="1" applyFill="1" applyBorder="1" applyAlignment="1">
      <alignment horizontal="right" vertical="center" wrapText="1"/>
    </xf>
    <xf numFmtId="0" fontId="9" fillId="0" borderId="16" xfId="5" applyFont="1" applyBorder="1" applyAlignment="1">
      <alignment horizontal="center"/>
    </xf>
    <xf numFmtId="0" fontId="12" fillId="12" borderId="0" xfId="5" applyFill="1"/>
    <xf numFmtId="0" fontId="20" fillId="0" borderId="17" xfId="0" applyFont="1" applyBorder="1"/>
    <xf numFmtId="165" fontId="20" fillId="0" borderId="16" xfId="1" applyFont="1" applyBorder="1"/>
    <xf numFmtId="165" fontId="20" fillId="0" borderId="18" xfId="1" applyFont="1" applyBorder="1"/>
    <xf numFmtId="0" fontId="0" fillId="0" borderId="17" xfId="0" applyBorder="1"/>
    <xf numFmtId="165" fontId="0" fillId="0" borderId="16" xfId="1" applyFont="1" applyBorder="1"/>
    <xf numFmtId="165" fontId="0" fillId="0" borderId="18" xfId="1" applyFont="1" applyBorder="1"/>
    <xf numFmtId="0" fontId="20" fillId="0" borderId="19" xfId="0" applyFont="1" applyBorder="1"/>
    <xf numFmtId="165" fontId="20" fillId="0" borderId="20" xfId="0" applyNumberFormat="1" applyFont="1" applyBorder="1"/>
    <xf numFmtId="0" fontId="20" fillId="12" borderId="18" xfId="0" applyFont="1" applyFill="1" applyBorder="1" applyAlignment="1">
      <alignment horizontal="center"/>
    </xf>
    <xf numFmtId="165" fontId="20" fillId="0" borderId="21" xfId="0" applyNumberFormat="1" applyFont="1" applyBorder="1"/>
    <xf numFmtId="0" fontId="21" fillId="5" borderId="40" xfId="0" applyFont="1" applyFill="1" applyBorder="1" applyAlignment="1">
      <alignment horizontal="center"/>
    </xf>
    <xf numFmtId="1" fontId="0" fillId="0" borderId="9" xfId="0" applyNumberFormat="1" applyBorder="1"/>
    <xf numFmtId="2" fontId="0" fillId="5" borderId="10" xfId="0" applyNumberFormat="1" applyFill="1" applyBorder="1"/>
    <xf numFmtId="2" fontId="0" fillId="13" borderId="9" xfId="0" applyNumberFormat="1" applyFill="1" applyBorder="1"/>
    <xf numFmtId="168" fontId="0" fillId="13" borderId="0" xfId="0" applyNumberFormat="1" applyFill="1"/>
    <xf numFmtId="168" fontId="0" fillId="13" borderId="1" xfId="0" applyNumberFormat="1" applyFill="1" applyBorder="1"/>
    <xf numFmtId="2" fontId="0" fillId="13" borderId="48" xfId="0" applyNumberFormat="1" applyFill="1" applyBorder="1"/>
    <xf numFmtId="2" fontId="0" fillId="13" borderId="0" xfId="0" applyNumberFormat="1" applyFill="1"/>
    <xf numFmtId="2" fontId="0" fillId="13" borderId="1" xfId="0" applyNumberFormat="1" applyFill="1" applyBorder="1"/>
    <xf numFmtId="165" fontId="18" fillId="13" borderId="7" xfId="1" applyFont="1" applyFill="1" applyBorder="1"/>
    <xf numFmtId="165" fontId="18" fillId="13" borderId="9" xfId="1" applyFont="1" applyFill="1" applyBorder="1"/>
    <xf numFmtId="166" fontId="0" fillId="13" borderId="7" xfId="0" applyNumberFormat="1" applyFill="1" applyBorder="1"/>
    <xf numFmtId="165" fontId="0" fillId="13" borderId="7" xfId="0" applyNumberFormat="1" applyFill="1" applyBorder="1"/>
    <xf numFmtId="165" fontId="18" fillId="6" borderId="7" xfId="1" applyFont="1" applyFill="1" applyBorder="1"/>
    <xf numFmtId="165" fontId="21" fillId="12" borderId="9" xfId="1" applyFont="1" applyFill="1" applyBorder="1"/>
    <xf numFmtId="166" fontId="21" fillId="12" borderId="9" xfId="1" applyNumberFormat="1" applyFont="1" applyFill="1" applyBorder="1"/>
    <xf numFmtId="2" fontId="0" fillId="13" borderId="7" xfId="0" applyNumberFormat="1" applyFill="1" applyBorder="1"/>
    <xf numFmtId="166" fontId="18" fillId="13" borderId="30" xfId="1" applyNumberFormat="1" applyFont="1" applyFill="1" applyBorder="1"/>
    <xf numFmtId="165" fontId="0" fillId="13" borderId="3" xfId="0" applyNumberFormat="1" applyFill="1" applyBorder="1"/>
    <xf numFmtId="165" fontId="26" fillId="13" borderId="23" xfId="2" applyFont="1" applyFill="1" applyBorder="1" applyAlignment="1">
      <alignment horizontal="right" vertical="center" wrapText="1"/>
    </xf>
    <xf numFmtId="166" fontId="26" fillId="13" borderId="16" xfId="2" applyNumberFormat="1" applyFont="1" applyFill="1" applyBorder="1" applyAlignment="1">
      <alignment horizontal="center" vertical="center" wrapText="1"/>
    </xf>
    <xf numFmtId="0" fontId="12" fillId="13" borderId="0" xfId="5" applyFill="1"/>
    <xf numFmtId="0" fontId="12" fillId="0" borderId="17" xfId="5" applyBorder="1"/>
    <xf numFmtId="0" fontId="12" fillId="6" borderId="16" xfId="5" applyFill="1" applyBorder="1"/>
    <xf numFmtId="0" fontId="12" fillId="13" borderId="16" xfId="5" applyFill="1" applyBorder="1"/>
    <xf numFmtId="0" fontId="12" fillId="0" borderId="19" xfId="5" applyBorder="1"/>
    <xf numFmtId="0" fontId="12" fillId="6" borderId="20" xfId="5" applyFill="1" applyBorder="1"/>
    <xf numFmtId="0" fontId="12" fillId="13" borderId="20" xfId="5" applyFill="1" applyBorder="1"/>
    <xf numFmtId="166" fontId="26" fillId="13" borderId="23" xfId="2" applyNumberFormat="1" applyFont="1" applyFill="1" applyBorder="1" applyAlignment="1">
      <alignment horizontal="center" vertical="center" wrapText="1"/>
    </xf>
    <xf numFmtId="166" fontId="26" fillId="13" borderId="20" xfId="2" applyNumberFormat="1" applyFont="1" applyFill="1" applyBorder="1" applyAlignment="1">
      <alignment horizontal="center" vertical="center" wrapText="1"/>
    </xf>
    <xf numFmtId="165" fontId="20" fillId="11" borderId="16" xfId="1" applyFont="1" applyFill="1" applyBorder="1"/>
    <xf numFmtId="0" fontId="2" fillId="0" borderId="5" xfId="3" applyFont="1" applyBorder="1"/>
    <xf numFmtId="0" fontId="1" fillId="0" borderId="0" xfId="3" applyFont="1"/>
    <xf numFmtId="165" fontId="0" fillId="5" borderId="8" xfId="1" applyFont="1" applyFill="1" applyBorder="1"/>
    <xf numFmtId="0" fontId="21" fillId="7" borderId="40" xfId="0" applyFont="1" applyFill="1" applyBorder="1" applyAlignment="1">
      <alignment horizontal="center"/>
    </xf>
    <xf numFmtId="0" fontId="0" fillId="0" borderId="49" xfId="0" applyBorder="1" applyAlignment="1">
      <alignment horizontal="center"/>
    </xf>
    <xf numFmtId="0" fontId="0" fillId="0" borderId="0" xfId="0" applyAlignment="1">
      <alignment horizontal="center" vertical="center" wrapText="1"/>
    </xf>
    <xf numFmtId="0" fontId="0" fillId="0" borderId="38" xfId="0" applyBorder="1" applyAlignment="1">
      <alignment horizontal="center"/>
    </xf>
    <xf numFmtId="0" fontId="0" fillId="0" borderId="37" xfId="0" applyBorder="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9" fillId="0" borderId="53" xfId="5" applyFont="1" applyBorder="1" applyAlignment="1">
      <alignment horizontal="center"/>
    </xf>
    <xf numFmtId="0" fontId="20" fillId="12" borderId="16" xfId="0" applyFont="1" applyFill="1" applyBorder="1" applyAlignment="1">
      <alignment horizontal="center"/>
    </xf>
    <xf numFmtId="167" fontId="21" fillId="12" borderId="9" xfId="1" applyNumberFormat="1" applyFont="1" applyFill="1" applyBorder="1"/>
    <xf numFmtId="166" fontId="12" fillId="13" borderId="16" xfId="1" applyNumberFormat="1" applyFont="1" applyFill="1" applyBorder="1"/>
    <xf numFmtId="166" fontId="26" fillId="8" borderId="16" xfId="1" applyNumberFormat="1" applyFont="1" applyFill="1" applyBorder="1" applyAlignment="1">
      <alignment horizontal="center" wrapText="1"/>
    </xf>
    <xf numFmtId="166" fontId="0" fillId="7" borderId="49" xfId="0" applyNumberFormat="1" applyFill="1" applyBorder="1"/>
    <xf numFmtId="168" fontId="0" fillId="13" borderId="9" xfId="0" applyNumberFormat="1" applyFill="1" applyBorder="1"/>
    <xf numFmtId="168" fontId="0" fillId="7" borderId="10" xfId="0" applyNumberFormat="1" applyFill="1" applyBorder="1"/>
    <xf numFmtId="165" fontId="0" fillId="0" borderId="16" xfId="0" applyNumberFormat="1" applyBorder="1"/>
    <xf numFmtId="165" fontId="26" fillId="8" borderId="16" xfId="1" applyFont="1" applyFill="1" applyBorder="1" applyAlignment="1">
      <alignment horizontal="center" wrapText="1"/>
    </xf>
    <xf numFmtId="0" fontId="2" fillId="15" borderId="5" xfId="3" applyFont="1" applyFill="1" applyBorder="1"/>
    <xf numFmtId="0" fontId="19" fillId="15" borderId="5" xfId="3" applyFill="1" applyBorder="1"/>
    <xf numFmtId="0" fontId="0" fillId="15" borderId="7" xfId="0" applyFill="1" applyBorder="1"/>
    <xf numFmtId="0" fontId="20" fillId="15" borderId="7" xfId="0" applyFont="1" applyFill="1" applyBorder="1" applyAlignment="1">
      <alignment horizontal="center"/>
    </xf>
    <xf numFmtId="0" fontId="1" fillId="15" borderId="0" xfId="3" applyFont="1" applyFill="1"/>
    <xf numFmtId="0" fontId="19" fillId="15" borderId="0" xfId="3" applyFill="1"/>
    <xf numFmtId="166" fontId="1" fillId="15" borderId="0" xfId="2" applyNumberFormat="1" applyFont="1" applyFill="1"/>
    <xf numFmtId="166" fontId="19" fillId="15" borderId="0" xfId="2" applyNumberFormat="1" applyFont="1" applyFill="1"/>
    <xf numFmtId="166" fontId="0" fillId="0" borderId="16" xfId="0" applyNumberFormat="1" applyBorder="1"/>
    <xf numFmtId="166" fontId="0" fillId="0" borderId="16" xfId="1" applyNumberFormat="1" applyFont="1" applyBorder="1"/>
    <xf numFmtId="1" fontId="0" fillId="0" borderId="16" xfId="0" applyNumberFormat="1" applyBorder="1"/>
    <xf numFmtId="2" fontId="0" fillId="0" borderId="16" xfId="0" applyNumberFormat="1" applyBorder="1"/>
    <xf numFmtId="2" fontId="12" fillId="14" borderId="16" xfId="5" applyNumberFormat="1" applyFill="1" applyBorder="1"/>
    <xf numFmtId="167" fontId="0" fillId="0" borderId="16" xfId="0" applyNumberFormat="1" applyBorder="1"/>
    <xf numFmtId="0" fontId="0" fillId="16" borderId="16" xfId="0" applyFill="1" applyBorder="1"/>
    <xf numFmtId="166" fontId="0" fillId="16" borderId="16" xfId="1" applyNumberFormat="1" applyFont="1" applyFill="1" applyBorder="1"/>
    <xf numFmtId="2" fontId="0" fillId="16" borderId="16" xfId="0" applyNumberFormat="1" applyFill="1" applyBorder="1"/>
    <xf numFmtId="167" fontId="0" fillId="16" borderId="16" xfId="0" applyNumberFormat="1" applyFill="1" applyBorder="1"/>
    <xf numFmtId="166" fontId="20" fillId="16" borderId="16" xfId="1" applyNumberFormat="1" applyFont="1" applyFill="1" applyBorder="1"/>
    <xf numFmtId="165" fontId="20" fillId="16" borderId="16" xfId="0" applyNumberFormat="1" applyFont="1" applyFill="1" applyBorder="1"/>
    <xf numFmtId="166" fontId="0" fillId="0" borderId="16" xfId="1" applyNumberFormat="1" applyFont="1" applyFill="1" applyBorder="1"/>
    <xf numFmtId="166" fontId="20" fillId="0" borderId="16" xfId="1" applyNumberFormat="1" applyFont="1" applyFill="1" applyBorder="1"/>
    <xf numFmtId="165" fontId="20" fillId="0" borderId="16" xfId="0" applyNumberFormat="1" applyFont="1" applyBorder="1"/>
    <xf numFmtId="10" fontId="0" fillId="0" borderId="0" xfId="9" applyNumberFormat="1" applyFont="1"/>
    <xf numFmtId="164" fontId="0" fillId="0" borderId="0" xfId="8" applyFont="1"/>
    <xf numFmtId="170" fontId="0" fillId="0" borderId="0" xfId="8" applyNumberFormat="1" applyFont="1"/>
    <xf numFmtId="170" fontId="0" fillId="0" borderId="0" xfId="0" applyNumberFormat="1"/>
    <xf numFmtId="170" fontId="0" fillId="0" borderId="16" xfId="0" applyNumberFormat="1" applyBorder="1"/>
    <xf numFmtId="1" fontId="20" fillId="16" borderId="16" xfId="0" applyNumberFormat="1" applyFont="1" applyFill="1" applyBorder="1"/>
    <xf numFmtId="167" fontId="0" fillId="0" borderId="0" xfId="0" applyNumberFormat="1"/>
    <xf numFmtId="0" fontId="19" fillId="16" borderId="5" xfId="3" applyFill="1" applyBorder="1"/>
    <xf numFmtId="1" fontId="0" fillId="0" borderId="9" xfId="0" applyNumberFormat="1" applyBorder="1" applyAlignment="1">
      <alignment horizontal="right"/>
    </xf>
    <xf numFmtId="2" fontId="6" fillId="0" borderId="9" xfId="0" applyNumberFormat="1" applyFont="1" applyBorder="1" applyAlignment="1">
      <alignment horizontal="center"/>
    </xf>
    <xf numFmtId="171" fontId="0" fillId="0" borderId="0" xfId="9" applyNumberFormat="1" applyFont="1"/>
    <xf numFmtId="171" fontId="0" fillId="0" borderId="0" xfId="0" applyNumberFormat="1"/>
    <xf numFmtId="166" fontId="20" fillId="0" borderId="16" xfId="0" applyNumberFormat="1" applyFont="1" applyBorder="1"/>
    <xf numFmtId="165" fontId="19" fillId="0" borderId="0" xfId="1" applyFont="1"/>
    <xf numFmtId="165" fontId="20" fillId="0" borderId="0" xfId="3" applyNumberFormat="1" applyFont="1"/>
    <xf numFmtId="43" fontId="0" fillId="0" borderId="0" xfId="0" applyNumberFormat="1"/>
    <xf numFmtId="165" fontId="20" fillId="0" borderId="0" xfId="0" applyNumberFormat="1" applyFont="1"/>
    <xf numFmtId="43" fontId="20" fillId="0" borderId="0" xfId="0" applyNumberFormat="1" applyFont="1"/>
    <xf numFmtId="0" fontId="0" fillId="0" borderId="0" xfId="1" applyNumberFormat="1" applyFont="1"/>
    <xf numFmtId="0" fontId="21" fillId="7" borderId="40" xfId="0" applyFont="1" applyFill="1" applyBorder="1" applyAlignment="1">
      <alignment horizontal="center"/>
    </xf>
    <xf numFmtId="0" fontId="21" fillId="7" borderId="14" xfId="0" applyFont="1" applyFill="1" applyBorder="1" applyAlignment="1">
      <alignment horizontal="center"/>
    </xf>
    <xf numFmtId="0" fontId="0" fillId="7" borderId="50" xfId="0" applyFill="1" applyBorder="1" applyAlignment="1">
      <alignment horizontal="center"/>
    </xf>
    <xf numFmtId="0" fontId="0" fillId="7" borderId="40" xfId="0" applyFill="1" applyBorder="1" applyAlignment="1">
      <alignment horizontal="center"/>
    </xf>
    <xf numFmtId="0" fontId="0" fillId="7" borderId="29" xfId="0" applyFill="1" applyBorder="1" applyAlignment="1">
      <alignment horizontal="center"/>
    </xf>
    <xf numFmtId="0" fontId="0" fillId="0" borderId="48" xfId="0"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48"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21" fillId="7" borderId="28" xfId="0" applyFont="1" applyFill="1" applyBorder="1" applyAlignment="1">
      <alignment horizontal="center"/>
    </xf>
    <xf numFmtId="0" fontId="0" fillId="0" borderId="37"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21" fillId="7" borderId="29" xfId="0" applyFont="1" applyFill="1" applyBorder="1" applyAlignment="1">
      <alignment horizontal="center"/>
    </xf>
    <xf numFmtId="0" fontId="0" fillId="0" borderId="35" xfId="0" applyBorder="1" applyAlignment="1">
      <alignment horizontal="center"/>
    </xf>
    <xf numFmtId="0" fontId="0" fillId="0" borderId="49" xfId="0" applyBorder="1" applyAlignment="1">
      <alignment horizontal="center"/>
    </xf>
    <xf numFmtId="0" fontId="0" fillId="0" borderId="2" xfId="0" applyBorder="1" applyAlignment="1">
      <alignment horizontal="center"/>
    </xf>
    <xf numFmtId="0" fontId="0" fillId="0" borderId="37" xfId="0" applyBorder="1" applyAlignment="1">
      <alignment horizontal="center" vertical="center" wrapText="1"/>
    </xf>
    <xf numFmtId="0" fontId="0" fillId="0" borderId="7" xfId="0" applyBorder="1" applyAlignment="1">
      <alignment horizontal="center" vertical="center" wrapText="1"/>
    </xf>
    <xf numFmtId="0" fontId="0" fillId="0" borderId="37" xfId="0" applyBorder="1" applyAlignment="1">
      <alignment horizontal="center"/>
    </xf>
    <xf numFmtId="0" fontId="0" fillId="0" borderId="7" xfId="0" applyBorder="1" applyAlignment="1">
      <alignment horizontal="center"/>
    </xf>
    <xf numFmtId="0" fontId="0" fillId="0" borderId="38" xfId="0" applyBorder="1" applyAlignment="1">
      <alignment horizontal="center"/>
    </xf>
    <xf numFmtId="0" fontId="0" fillId="0" borderId="8" xfId="0" applyBorder="1" applyAlignment="1">
      <alignment horizontal="center"/>
    </xf>
    <xf numFmtId="0" fontId="19" fillId="5" borderId="35" xfId="3" applyFill="1" applyBorder="1" applyAlignment="1">
      <alignment horizontal="center"/>
    </xf>
    <xf numFmtId="0" fontId="0" fillId="0" borderId="8" xfId="0" applyBorder="1"/>
    <xf numFmtId="0" fontId="0" fillId="0" borderId="12" xfId="0" applyBorder="1" applyAlignment="1">
      <alignment horizontal="center" vertical="top" wrapText="1"/>
    </xf>
    <xf numFmtId="0" fontId="0" fillId="0" borderId="5" xfId="0" applyBorder="1" applyAlignment="1">
      <alignment horizontal="center" vertical="top" wrapText="1"/>
    </xf>
    <xf numFmtId="0" fontId="0" fillId="0" borderId="37" xfId="0" applyBorder="1" applyAlignment="1">
      <alignment horizontal="center" vertical="top" wrapText="1"/>
    </xf>
    <xf numFmtId="0" fontId="0" fillId="0" borderId="0" xfId="0" applyAlignment="1">
      <alignment horizontal="center" vertical="top" wrapText="1"/>
    </xf>
    <xf numFmtId="0" fontId="0" fillId="0" borderId="37" xfId="0" applyBorder="1" applyAlignment="1">
      <alignment horizontal="center" vertical="top"/>
    </xf>
    <xf numFmtId="0" fontId="0" fillId="0" borderId="0" xfId="0" applyAlignment="1">
      <alignment horizontal="center" vertical="top"/>
    </xf>
    <xf numFmtId="0" fontId="0" fillId="0" borderId="7" xfId="0" applyBorder="1" applyAlignment="1">
      <alignment horizontal="center" vertical="top"/>
    </xf>
    <xf numFmtId="0" fontId="21" fillId="5" borderId="28" xfId="0" applyFont="1" applyFill="1" applyBorder="1" applyAlignment="1">
      <alignment horizontal="center"/>
    </xf>
    <xf numFmtId="0" fontId="21" fillId="5" borderId="40" xfId="0" applyFont="1" applyFill="1" applyBorder="1" applyAlignment="1">
      <alignment horizontal="center"/>
    </xf>
    <xf numFmtId="0" fontId="21" fillId="5" borderId="14" xfId="0" applyFont="1" applyFill="1" applyBorder="1" applyAlignment="1">
      <alignment horizontal="center"/>
    </xf>
    <xf numFmtId="0" fontId="21" fillId="5" borderId="37" xfId="0" applyFont="1" applyFill="1" applyBorder="1" applyAlignment="1">
      <alignment horizontal="center"/>
    </xf>
    <xf numFmtId="0" fontId="21" fillId="5" borderId="0" xfId="0" applyFont="1" applyFill="1" applyAlignment="1">
      <alignment horizontal="center"/>
    </xf>
    <xf numFmtId="0" fontId="0" fillId="0" borderId="1" xfId="0" applyBorder="1" applyAlignment="1">
      <alignment horizontal="center" vertical="top" wrapText="1"/>
    </xf>
    <xf numFmtId="0" fontId="0" fillId="0" borderId="9" xfId="0" applyBorder="1" applyAlignment="1">
      <alignment horizontal="center" wrapText="1"/>
    </xf>
    <xf numFmtId="0" fontId="0" fillId="0" borderId="10" xfId="0" applyBorder="1" applyAlignment="1">
      <alignment horizontal="center"/>
    </xf>
    <xf numFmtId="0" fontId="0" fillId="0" borderId="37" xfId="0" applyBorder="1" applyAlignment="1">
      <alignment horizontal="center" wrapText="1"/>
    </xf>
    <xf numFmtId="0" fontId="0" fillId="0" borderId="0" xfId="0" applyAlignment="1">
      <alignment horizontal="center" wrapText="1"/>
    </xf>
    <xf numFmtId="0" fontId="0" fillId="0" borderId="7" xfId="0" applyBorder="1" applyAlignment="1">
      <alignment horizontal="center" wrapText="1"/>
    </xf>
    <xf numFmtId="0" fontId="0" fillId="0" borderId="9" xfId="0" applyBorder="1" applyAlignment="1">
      <alignment horizontal="center"/>
    </xf>
    <xf numFmtId="0" fontId="0" fillId="0" borderId="39" xfId="0" applyBorder="1" applyAlignment="1">
      <alignment horizontal="center" wrapText="1"/>
    </xf>
    <xf numFmtId="0" fontId="19" fillId="5" borderId="8" xfId="3" applyFill="1" applyBorder="1" applyAlignment="1">
      <alignment horizontal="center"/>
    </xf>
    <xf numFmtId="0" fontId="20" fillId="0" borderId="16" xfId="3" applyFont="1" applyBorder="1" applyAlignment="1">
      <alignment horizontal="center"/>
    </xf>
    <xf numFmtId="0" fontId="20" fillId="0" borderId="16" xfId="3" applyFont="1" applyBorder="1" applyAlignment="1">
      <alignment horizontal="center" vertical="center" wrapText="1"/>
    </xf>
    <xf numFmtId="0" fontId="19" fillId="0" borderId="16" xfId="3" applyBorder="1" applyAlignment="1">
      <alignment horizontal="center" vertical="center"/>
    </xf>
    <xf numFmtId="2" fontId="19" fillId="0" borderId="16" xfId="3" applyNumberFormat="1" applyBorder="1" applyAlignment="1">
      <alignment horizontal="center" vertical="center"/>
    </xf>
    <xf numFmtId="0" fontId="19" fillId="0" borderId="16" xfId="3" applyBorder="1" applyAlignment="1">
      <alignment horizontal="center"/>
    </xf>
    <xf numFmtId="0" fontId="19" fillId="0" borderId="39" xfId="3" applyBorder="1" applyAlignment="1">
      <alignment horizontal="center" vertical="center"/>
    </xf>
    <xf numFmtId="0" fontId="19" fillId="0" borderId="23" xfId="3" applyBorder="1" applyAlignment="1">
      <alignment horizontal="center" vertical="center"/>
    </xf>
    <xf numFmtId="0" fontId="12" fillId="0" borderId="16" xfId="3" applyFont="1" applyBorder="1" applyAlignment="1">
      <alignment horizontal="left" vertical="top" wrapText="1"/>
    </xf>
    <xf numFmtId="0" fontId="19" fillId="0" borderId="16" xfId="3" applyBorder="1" applyAlignment="1">
      <alignment horizontal="center" vertical="justify"/>
    </xf>
    <xf numFmtId="0" fontId="10" fillId="3" borderId="32" xfId="3" applyFont="1" applyFill="1" applyBorder="1" applyAlignment="1">
      <alignment horizontal="center" vertical="center" wrapText="1"/>
    </xf>
    <xf numFmtId="0" fontId="9" fillId="3" borderId="32" xfId="3" applyFont="1" applyFill="1" applyBorder="1" applyAlignment="1">
      <alignment horizontal="center" vertical="center" wrapText="1"/>
    </xf>
    <xf numFmtId="0" fontId="12" fillId="0" borderId="23" xfId="3" applyFont="1" applyBorder="1" applyAlignment="1">
      <alignment horizontal="center" wrapText="1"/>
    </xf>
    <xf numFmtId="0" fontId="19" fillId="0" borderId="23" xfId="3" quotePrefix="1" applyBorder="1" applyAlignment="1">
      <alignment horizontal="center" vertical="center"/>
    </xf>
    <xf numFmtId="0" fontId="12" fillId="0" borderId="16" xfId="3" applyFont="1" applyBorder="1" applyAlignment="1">
      <alignment horizontal="center" vertical="top" wrapText="1"/>
    </xf>
    <xf numFmtId="0" fontId="12" fillId="2" borderId="16" xfId="3" applyFont="1" applyFill="1" applyBorder="1" applyAlignment="1">
      <alignment horizontal="left" vertical="center" wrapText="1"/>
    </xf>
    <xf numFmtId="0" fontId="12" fillId="0" borderId="16" xfId="3" applyFont="1" applyBorder="1" applyAlignment="1">
      <alignment horizontal="center" vertical="center" wrapText="1"/>
    </xf>
    <xf numFmtId="0" fontId="19" fillId="0" borderId="39" xfId="3" quotePrefix="1" applyBorder="1" applyAlignment="1">
      <alignment horizontal="center" vertical="center"/>
    </xf>
    <xf numFmtId="0" fontId="0" fillId="4" borderId="28" xfId="0" applyFill="1" applyBorder="1" applyAlignment="1">
      <alignment horizontal="center"/>
    </xf>
    <xf numFmtId="0" fontId="0" fillId="4" borderId="14" xfId="0" applyFill="1" applyBorder="1" applyAlignment="1">
      <alignment horizontal="center"/>
    </xf>
    <xf numFmtId="0" fontId="0" fillId="4" borderId="40"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4" borderId="45" xfId="0" applyFill="1" applyBorder="1" applyAlignment="1">
      <alignment horizontal="center"/>
    </xf>
    <xf numFmtId="0" fontId="0" fillId="4" borderId="46" xfId="0" applyFill="1" applyBorder="1" applyAlignment="1">
      <alignment horizontal="center"/>
    </xf>
    <xf numFmtId="0" fontId="0" fillId="4" borderId="47" xfId="0" applyFill="1" applyBorder="1" applyAlignment="1">
      <alignment horizontal="center"/>
    </xf>
    <xf numFmtId="0" fontId="0" fillId="4" borderId="29"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4" fillId="0" borderId="16" xfId="5" applyFont="1" applyBorder="1" applyAlignment="1">
      <alignment horizontal="right" wrapText="1" indent="1"/>
    </xf>
    <xf numFmtId="0" fontId="24" fillId="0" borderId="16" xfId="5" applyFont="1" applyBorder="1" applyAlignment="1">
      <alignment horizontal="left" wrapText="1"/>
    </xf>
    <xf numFmtId="0" fontId="24" fillId="8" borderId="16" xfId="5" applyFont="1" applyFill="1" applyBorder="1" applyAlignment="1">
      <alignment horizontal="right" wrapText="1" indent="1"/>
    </xf>
    <xf numFmtId="0" fontId="26" fillId="0" borderId="16" xfId="5" applyFont="1" applyBorder="1" applyAlignment="1">
      <alignment horizontal="center" vertical="center" wrapText="1"/>
    </xf>
    <xf numFmtId="0" fontId="26" fillId="0" borderId="16" xfId="5" applyFont="1" applyBorder="1" applyAlignment="1">
      <alignment horizontal="center" vertical="top" wrapText="1"/>
    </xf>
    <xf numFmtId="0" fontId="12" fillId="0" borderId="16" xfId="5" applyBorder="1" applyAlignment="1">
      <alignment horizontal="center" vertical="center" wrapText="1"/>
    </xf>
    <xf numFmtId="0" fontId="24" fillId="8" borderId="16" xfId="5" applyFont="1" applyFill="1" applyBorder="1" applyAlignment="1">
      <alignment horizontal="center" wrapText="1"/>
    </xf>
    <xf numFmtId="0" fontId="26" fillId="6" borderId="16" xfId="5" applyFont="1" applyFill="1" applyBorder="1" applyAlignment="1">
      <alignment horizontal="center" vertical="center" wrapText="1"/>
    </xf>
    <xf numFmtId="0" fontId="24" fillId="0" borderId="16" xfId="5" applyFont="1" applyBorder="1" applyAlignment="1">
      <alignment horizontal="center"/>
    </xf>
    <xf numFmtId="0" fontId="24" fillId="8" borderId="16" xfId="5" applyFont="1" applyFill="1" applyBorder="1" applyAlignment="1">
      <alignment horizontal="center"/>
    </xf>
    <xf numFmtId="0" fontId="24" fillId="0" borderId="16" xfId="5" applyFont="1" applyBorder="1" applyAlignment="1">
      <alignment horizontal="center" wrapText="1"/>
    </xf>
    <xf numFmtId="0" fontId="26" fillId="8" borderId="16" xfId="5" applyFont="1" applyFill="1" applyBorder="1" applyAlignment="1">
      <alignment vertical="center" wrapText="1"/>
    </xf>
    <xf numFmtId="0" fontId="26" fillId="8" borderId="20" xfId="5" applyFont="1" applyFill="1" applyBorder="1" applyAlignment="1">
      <alignment vertical="center" wrapText="1"/>
    </xf>
    <xf numFmtId="0" fontId="26" fillId="8" borderId="23" xfId="5" applyFont="1" applyFill="1" applyBorder="1" applyAlignment="1">
      <alignment horizontal="center" vertical="center" wrapText="1"/>
    </xf>
    <xf numFmtId="0" fontId="26" fillId="8" borderId="20" xfId="5" applyFont="1" applyFill="1" applyBorder="1" applyAlignment="1">
      <alignment horizontal="center" vertical="center" wrapText="1"/>
    </xf>
    <xf numFmtId="0" fontId="9" fillId="0" borderId="53" xfId="5" applyFont="1" applyBorder="1" applyAlignment="1">
      <alignment horizontal="center"/>
    </xf>
    <xf numFmtId="0" fontId="9" fillId="0" borderId="53" xfId="5" applyFont="1" applyBorder="1" applyAlignment="1">
      <alignment horizontal="center" vertical="center"/>
    </xf>
    <xf numFmtId="0" fontId="9" fillId="0" borderId="16" xfId="5" applyFont="1" applyBorder="1" applyAlignment="1">
      <alignment horizontal="center" vertical="center"/>
    </xf>
    <xf numFmtId="0" fontId="9" fillId="0" borderId="54" xfId="5" applyFont="1" applyBorder="1" applyAlignment="1">
      <alignment horizontal="center"/>
    </xf>
    <xf numFmtId="0" fontId="9" fillId="0" borderId="12" xfId="5" applyFont="1" applyBorder="1" applyAlignment="1">
      <alignment horizontal="center"/>
    </xf>
    <xf numFmtId="0" fontId="9" fillId="0" borderId="22" xfId="5" applyFont="1" applyBorder="1" applyAlignment="1">
      <alignment horizontal="center"/>
    </xf>
    <xf numFmtId="0" fontId="26" fillId="8" borderId="23" xfId="5" applyFont="1" applyFill="1" applyBorder="1" applyAlignment="1">
      <alignment vertical="center" wrapText="1"/>
    </xf>
    <xf numFmtId="0" fontId="26" fillId="8" borderId="16" xfId="5" applyFont="1" applyFill="1" applyBorder="1" applyAlignment="1">
      <alignment horizontal="center" vertical="center" wrapText="1"/>
    </xf>
    <xf numFmtId="0" fontId="20" fillId="12" borderId="16" xfId="0" applyFont="1" applyFill="1" applyBorder="1" applyAlignment="1">
      <alignment horizontal="center"/>
    </xf>
    <xf numFmtId="0" fontId="20" fillId="12" borderId="52" xfId="0" applyFont="1" applyFill="1" applyBorder="1" applyAlignment="1">
      <alignment horizontal="center" vertical="center"/>
    </xf>
    <xf numFmtId="0" fontId="20" fillId="12" borderId="17" xfId="0" applyFont="1" applyFill="1" applyBorder="1" applyAlignment="1">
      <alignment horizontal="center" vertical="center"/>
    </xf>
    <xf numFmtId="0" fontId="20" fillId="12" borderId="18" xfId="0" applyFont="1" applyFill="1" applyBorder="1" applyAlignment="1">
      <alignment horizontal="center"/>
    </xf>
  </cellXfs>
  <cellStyles count="10">
    <cellStyle name="Comma" xfId="1" builtinId="3"/>
    <cellStyle name="Comma [0]" xfId="8" builtinId="6"/>
    <cellStyle name="Comma [0] 2" xfId="7" xr:uid="{00000000-0005-0000-0000-000002000000}"/>
    <cellStyle name="Comma 2" xfId="2" xr:uid="{00000000-0005-0000-0000-000003000000}"/>
    <cellStyle name="Hyperlink" xfId="6" builtinId="8"/>
    <cellStyle name="Normal" xfId="0" builtinId="0"/>
    <cellStyle name="Normal 2" xfId="3" xr:uid="{00000000-0005-0000-0000-000006000000}"/>
    <cellStyle name="Normal 2 2" xfId="4" xr:uid="{00000000-0005-0000-0000-000007000000}"/>
    <cellStyle name="Normal 3" xfId="5" xr:uid="{00000000-0005-0000-0000-000008000000}"/>
    <cellStyle name="Percent" xfId="9" builtinId="5"/>
  </cellStyles>
  <dxfs count="0"/>
  <tableStyles count="0" defaultTableStyle="TableStyleMedium9"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'3A2 Peternakan-N2O'!$BD$27</c:f>
              <c:strCache>
                <c:ptCount val="1"/>
                <c:pt idx="0">
                  <c:v>Sapi pedaging</c:v>
                </c:pt>
              </c:strCache>
            </c:strRef>
          </c:tx>
          <c:spPr>
            <a:solidFill>
              <a:schemeClr val="accent1"/>
            </a:solidFill>
            <a:ln>
              <a:noFill/>
            </a:ln>
            <a:effectLst/>
          </c:spPr>
          <c:invertIfNegative val="0"/>
          <c:cat>
            <c:numRef>
              <c:f>'3A2 Peternakan-N2O'!$BE$26:$BI$26</c:f>
              <c:numCache>
                <c:formatCode>General</c:formatCode>
                <c:ptCount val="5"/>
                <c:pt idx="0">
                  <c:v>2010</c:v>
                </c:pt>
                <c:pt idx="1">
                  <c:v>2011</c:v>
                </c:pt>
                <c:pt idx="2">
                  <c:v>2012</c:v>
                </c:pt>
                <c:pt idx="3">
                  <c:v>2013</c:v>
                </c:pt>
                <c:pt idx="4">
                  <c:v>2014</c:v>
                </c:pt>
              </c:numCache>
            </c:numRef>
          </c:cat>
          <c:val>
            <c:numRef>
              <c:f>'3A2 Peternakan-N2O'!$BE$27:$BI$27</c:f>
              <c:numCache>
                <c:formatCode>_(* #,##0.00_);_(* \(#,##0.00\);_(* "-"??_);_(@_)</c:formatCode>
                <c:ptCount val="5"/>
                <c:pt idx="0">
                  <c:v>9538704.1519771442</c:v>
                </c:pt>
                <c:pt idx="1">
                  <c:v>13298175.628245719</c:v>
                </c:pt>
                <c:pt idx="2">
                  <c:v>14325029.011154287</c:v>
                </c:pt>
                <c:pt idx="3">
                  <c:v>18780384.598154288</c:v>
                </c:pt>
                <c:pt idx="4">
                  <c:v>19094381.087142859</c:v>
                </c:pt>
              </c:numCache>
            </c:numRef>
          </c:val>
          <c:extLst>
            <c:ext xmlns:c16="http://schemas.microsoft.com/office/drawing/2014/chart" uri="{C3380CC4-5D6E-409C-BE32-E72D297353CC}">
              <c16:uniqueId val="{00000000-1792-44CD-843C-65FB7977602D}"/>
            </c:ext>
          </c:extLst>
        </c:ser>
        <c:ser>
          <c:idx val="1"/>
          <c:order val="1"/>
          <c:tx>
            <c:strRef>
              <c:f>'3A2 Peternakan-N2O'!$BD$28</c:f>
              <c:strCache>
                <c:ptCount val="1"/>
                <c:pt idx="0">
                  <c:v>Sapi perah</c:v>
                </c:pt>
              </c:strCache>
            </c:strRef>
          </c:tx>
          <c:spPr>
            <a:solidFill>
              <a:schemeClr val="accent2"/>
            </a:solidFill>
            <a:ln>
              <a:noFill/>
            </a:ln>
            <a:effectLst/>
          </c:spPr>
          <c:invertIfNegative val="0"/>
          <c:cat>
            <c:numRef>
              <c:f>'3A2 Peternakan-N2O'!$BE$26:$BI$26</c:f>
              <c:numCache>
                <c:formatCode>General</c:formatCode>
                <c:ptCount val="5"/>
                <c:pt idx="0">
                  <c:v>2010</c:v>
                </c:pt>
                <c:pt idx="1">
                  <c:v>2011</c:v>
                </c:pt>
                <c:pt idx="2">
                  <c:v>2012</c:v>
                </c:pt>
                <c:pt idx="3">
                  <c:v>2013</c:v>
                </c:pt>
                <c:pt idx="4">
                  <c:v>2014</c:v>
                </c:pt>
              </c:numCache>
            </c:numRef>
          </c:cat>
          <c:val>
            <c:numRef>
              <c:f>'3A2 Peternakan-N2O'!$BE$28:$BI$28</c:f>
              <c:numCache>
                <c:formatCode>_(* #,##0.00_);_(* \(#,##0.00\);_(* "-"??_);_(@_)</c:formatCode>
                <c:ptCount val="5"/>
                <c:pt idx="0">
                  <c:v>237576246.51749995</c:v>
                </c:pt>
                <c:pt idx="1">
                  <c:v>235880715.10649997</c:v>
                </c:pt>
                <c:pt idx="2">
                  <c:v>238235619.84399995</c:v>
                </c:pt>
                <c:pt idx="3">
                  <c:v>199763204.73249996</c:v>
                </c:pt>
                <c:pt idx="4">
                  <c:v>166148621.67949995</c:v>
                </c:pt>
              </c:numCache>
            </c:numRef>
          </c:val>
          <c:extLst>
            <c:ext xmlns:c16="http://schemas.microsoft.com/office/drawing/2014/chart" uri="{C3380CC4-5D6E-409C-BE32-E72D297353CC}">
              <c16:uniqueId val="{00000001-1792-44CD-843C-65FB7977602D}"/>
            </c:ext>
          </c:extLst>
        </c:ser>
        <c:ser>
          <c:idx val="2"/>
          <c:order val="2"/>
          <c:tx>
            <c:strRef>
              <c:f>'3A2 Peternakan-N2O'!$BD$29</c:f>
              <c:strCache>
                <c:ptCount val="1"/>
                <c:pt idx="0">
                  <c:v>Kerbau</c:v>
                </c:pt>
              </c:strCache>
            </c:strRef>
          </c:tx>
          <c:spPr>
            <a:solidFill>
              <a:schemeClr val="accent3"/>
            </a:solidFill>
            <a:ln>
              <a:noFill/>
            </a:ln>
            <a:effectLst/>
          </c:spPr>
          <c:invertIfNegative val="0"/>
          <c:cat>
            <c:numRef>
              <c:f>'3A2 Peternakan-N2O'!$BE$26:$BI$26</c:f>
              <c:numCache>
                <c:formatCode>General</c:formatCode>
                <c:ptCount val="5"/>
                <c:pt idx="0">
                  <c:v>2010</c:v>
                </c:pt>
                <c:pt idx="1">
                  <c:v>2011</c:v>
                </c:pt>
                <c:pt idx="2">
                  <c:v>2012</c:v>
                </c:pt>
                <c:pt idx="3">
                  <c:v>2013</c:v>
                </c:pt>
                <c:pt idx="4">
                  <c:v>2014</c:v>
                </c:pt>
              </c:numCache>
            </c:numRef>
          </c:cat>
          <c:val>
            <c:numRef>
              <c:f>'3A2 Peternakan-N2O'!$BE$29:$BI$29</c:f>
              <c:numCache>
                <c:formatCode>_(* #,##0.00_);_(* \(#,##0.00\);_(* "-"??_);_(@_)</c:formatCode>
                <c:ptCount val="5"/>
                <c:pt idx="0">
                  <c:v>32496905.659114283</c:v>
                </c:pt>
                <c:pt idx="1">
                  <c:v>19177849.437028572</c:v>
                </c:pt>
                <c:pt idx="2">
                  <c:v>18083677.529314287</c:v>
                </c:pt>
                <c:pt idx="3">
                  <c:v>15815757.575142857</c:v>
                </c:pt>
                <c:pt idx="4">
                  <c:v>15228883.551914284</c:v>
                </c:pt>
              </c:numCache>
            </c:numRef>
          </c:val>
          <c:extLst>
            <c:ext xmlns:c16="http://schemas.microsoft.com/office/drawing/2014/chart" uri="{C3380CC4-5D6E-409C-BE32-E72D297353CC}">
              <c16:uniqueId val="{00000002-1792-44CD-843C-65FB7977602D}"/>
            </c:ext>
          </c:extLst>
        </c:ser>
        <c:ser>
          <c:idx val="3"/>
          <c:order val="3"/>
          <c:tx>
            <c:strRef>
              <c:f>'3A2 Peternakan-N2O'!$BD$30</c:f>
              <c:strCache>
                <c:ptCount val="1"/>
                <c:pt idx="0">
                  <c:v>Domba</c:v>
                </c:pt>
              </c:strCache>
            </c:strRef>
          </c:tx>
          <c:spPr>
            <a:solidFill>
              <a:schemeClr val="accent4"/>
            </a:solidFill>
            <a:ln>
              <a:noFill/>
            </a:ln>
            <a:effectLst/>
          </c:spPr>
          <c:invertIfNegative val="0"/>
          <c:cat>
            <c:numRef>
              <c:f>'3A2 Peternakan-N2O'!$BE$26:$BI$26</c:f>
              <c:numCache>
                <c:formatCode>General</c:formatCode>
                <c:ptCount val="5"/>
                <c:pt idx="0">
                  <c:v>2010</c:v>
                </c:pt>
                <c:pt idx="1">
                  <c:v>2011</c:v>
                </c:pt>
                <c:pt idx="2">
                  <c:v>2012</c:v>
                </c:pt>
                <c:pt idx="3">
                  <c:v>2013</c:v>
                </c:pt>
                <c:pt idx="4">
                  <c:v>2014</c:v>
                </c:pt>
              </c:numCache>
            </c:numRef>
          </c:cat>
          <c:val>
            <c:numRef>
              <c:f>'3A2 Peternakan-N2O'!$BE$30:$BI$30</c:f>
              <c:numCache>
                <c:formatCode>_(* #,##0.00_);_(* \(#,##0.00\);_(* "-"??_);_(@_)</c:formatCode>
                <c:ptCount val="5"/>
                <c:pt idx="0">
                  <c:v>52532156.088671997</c:v>
                </c:pt>
                <c:pt idx="1">
                  <c:v>52584023.843520015</c:v>
                </c:pt>
                <c:pt idx="2">
                  <c:v>52635891.598368004</c:v>
                </c:pt>
                <c:pt idx="3">
                  <c:v>52687759.353216007</c:v>
                </c:pt>
                <c:pt idx="4">
                  <c:v>52742097.001152001</c:v>
                </c:pt>
              </c:numCache>
            </c:numRef>
          </c:val>
          <c:extLst>
            <c:ext xmlns:c16="http://schemas.microsoft.com/office/drawing/2014/chart" uri="{C3380CC4-5D6E-409C-BE32-E72D297353CC}">
              <c16:uniqueId val="{00000003-1792-44CD-843C-65FB7977602D}"/>
            </c:ext>
          </c:extLst>
        </c:ser>
        <c:ser>
          <c:idx val="4"/>
          <c:order val="4"/>
          <c:tx>
            <c:strRef>
              <c:f>'3A2 Peternakan-N2O'!$BD$31</c:f>
              <c:strCache>
                <c:ptCount val="1"/>
                <c:pt idx="0">
                  <c:v>Kambing</c:v>
                </c:pt>
              </c:strCache>
            </c:strRef>
          </c:tx>
          <c:spPr>
            <a:solidFill>
              <a:schemeClr val="accent5"/>
            </a:solidFill>
            <a:ln>
              <a:noFill/>
            </a:ln>
            <a:effectLst/>
          </c:spPr>
          <c:invertIfNegative val="0"/>
          <c:cat>
            <c:numRef>
              <c:f>'3A2 Peternakan-N2O'!$BE$26:$BI$26</c:f>
              <c:numCache>
                <c:formatCode>General</c:formatCode>
                <c:ptCount val="5"/>
                <c:pt idx="0">
                  <c:v>2010</c:v>
                </c:pt>
                <c:pt idx="1">
                  <c:v>2011</c:v>
                </c:pt>
                <c:pt idx="2">
                  <c:v>2012</c:v>
                </c:pt>
                <c:pt idx="3">
                  <c:v>2013</c:v>
                </c:pt>
                <c:pt idx="4">
                  <c:v>2014</c:v>
                </c:pt>
              </c:numCache>
            </c:numRef>
          </c:cat>
          <c:val>
            <c:numRef>
              <c:f>'3A2 Peternakan-N2O'!$BE$31:$BI$31</c:f>
              <c:numCache>
                <c:formatCode>_(* #,##0.00_);_(* \(#,##0.00\);_(* "-"??_);_(@_)</c:formatCode>
                <c:ptCount val="5"/>
                <c:pt idx="0">
                  <c:v>612649192.14450002</c:v>
                </c:pt>
                <c:pt idx="1">
                  <c:v>615713755.03062856</c:v>
                </c:pt>
                <c:pt idx="2">
                  <c:v>631107838.36559999</c:v>
                </c:pt>
                <c:pt idx="3">
                  <c:v>646883055.40632856</c:v>
                </c:pt>
                <c:pt idx="4">
                  <c:v>663057998.04090023</c:v>
                </c:pt>
              </c:numCache>
            </c:numRef>
          </c:val>
          <c:extLst>
            <c:ext xmlns:c16="http://schemas.microsoft.com/office/drawing/2014/chart" uri="{C3380CC4-5D6E-409C-BE32-E72D297353CC}">
              <c16:uniqueId val="{00000004-1792-44CD-843C-65FB7977602D}"/>
            </c:ext>
          </c:extLst>
        </c:ser>
        <c:ser>
          <c:idx val="5"/>
          <c:order val="5"/>
          <c:tx>
            <c:strRef>
              <c:f>'3A2 Peternakan-N2O'!$BD$32</c:f>
              <c:strCache>
                <c:ptCount val="1"/>
                <c:pt idx="0">
                  <c:v>Babi</c:v>
                </c:pt>
              </c:strCache>
            </c:strRef>
          </c:tx>
          <c:spPr>
            <a:solidFill>
              <a:schemeClr val="accent6"/>
            </a:solidFill>
            <a:ln>
              <a:noFill/>
            </a:ln>
            <a:effectLst/>
          </c:spPr>
          <c:invertIfNegative val="0"/>
          <c:cat>
            <c:numRef>
              <c:f>'3A2 Peternakan-N2O'!$BE$26:$BI$26</c:f>
              <c:numCache>
                <c:formatCode>General</c:formatCode>
                <c:ptCount val="5"/>
                <c:pt idx="0">
                  <c:v>2010</c:v>
                </c:pt>
                <c:pt idx="1">
                  <c:v>2011</c:v>
                </c:pt>
                <c:pt idx="2">
                  <c:v>2012</c:v>
                </c:pt>
                <c:pt idx="3">
                  <c:v>2013</c:v>
                </c:pt>
                <c:pt idx="4">
                  <c:v>2014</c:v>
                </c:pt>
              </c:numCache>
            </c:numRef>
          </c:cat>
          <c:val>
            <c:numRef>
              <c:f>'3A2 Peternakan-N2O'!$BE$32:$BI$32</c:f>
              <c:numCache>
                <c:formatCode>_(* #,##0.00_);_(* \(#,##0.00\);_(* "-"??_);_(@_)</c:formatCode>
                <c:ptCount val="5"/>
                <c:pt idx="0">
                  <c:v>8584392.9183999989</c:v>
                </c:pt>
                <c:pt idx="1">
                  <c:v>7997461.9711999996</c:v>
                </c:pt>
                <c:pt idx="2">
                  <c:v>8156862.2824000008</c:v>
                </c:pt>
                <c:pt idx="3">
                  <c:v>8319429.4872000003</c:v>
                </c:pt>
                <c:pt idx="4">
                  <c:v>8485163.5855999999</c:v>
                </c:pt>
              </c:numCache>
            </c:numRef>
          </c:val>
          <c:extLst>
            <c:ext xmlns:c16="http://schemas.microsoft.com/office/drawing/2014/chart" uri="{C3380CC4-5D6E-409C-BE32-E72D297353CC}">
              <c16:uniqueId val="{00000005-1792-44CD-843C-65FB7977602D}"/>
            </c:ext>
          </c:extLst>
        </c:ser>
        <c:ser>
          <c:idx val="6"/>
          <c:order val="6"/>
          <c:tx>
            <c:strRef>
              <c:f>'3A2 Peternakan-N2O'!$BD$33</c:f>
              <c:strCache>
                <c:ptCount val="1"/>
                <c:pt idx="0">
                  <c:v>Kuda</c:v>
                </c:pt>
              </c:strCache>
            </c:strRef>
          </c:tx>
          <c:spPr>
            <a:solidFill>
              <a:schemeClr val="accent1">
                <a:lumMod val="60000"/>
              </a:schemeClr>
            </a:solidFill>
            <a:ln>
              <a:noFill/>
            </a:ln>
            <a:effectLst/>
          </c:spPr>
          <c:invertIfNegative val="0"/>
          <c:cat>
            <c:numRef>
              <c:f>'3A2 Peternakan-N2O'!$BE$26:$BI$26</c:f>
              <c:numCache>
                <c:formatCode>General</c:formatCode>
                <c:ptCount val="5"/>
                <c:pt idx="0">
                  <c:v>2010</c:v>
                </c:pt>
                <c:pt idx="1">
                  <c:v>2011</c:v>
                </c:pt>
                <c:pt idx="2">
                  <c:v>2012</c:v>
                </c:pt>
                <c:pt idx="3">
                  <c:v>2013</c:v>
                </c:pt>
                <c:pt idx="4">
                  <c:v>2014</c:v>
                </c:pt>
              </c:numCache>
            </c:numRef>
          </c:cat>
          <c:val>
            <c:numRef>
              <c:f>'3A2 Peternakan-N2O'!$BE$33:$BI$33</c:f>
              <c:numCache>
                <c:formatCode>_(* #,##0.00_);_(* \(#,##0.00\);_(* "-"??_);_(@_)</c:formatCode>
                <c:ptCount val="5"/>
                <c:pt idx="0">
                  <c:v>693380.08122599998</c:v>
                </c:pt>
                <c:pt idx="1">
                  <c:v>723906.24832400016</c:v>
                </c:pt>
                <c:pt idx="2">
                  <c:v>723906.24832400016</c:v>
                </c:pt>
                <c:pt idx="3">
                  <c:v>723906.24832400016</c:v>
                </c:pt>
                <c:pt idx="4">
                  <c:v>723906.24832400016</c:v>
                </c:pt>
              </c:numCache>
            </c:numRef>
          </c:val>
          <c:extLst>
            <c:ext xmlns:c16="http://schemas.microsoft.com/office/drawing/2014/chart" uri="{C3380CC4-5D6E-409C-BE32-E72D297353CC}">
              <c16:uniqueId val="{00000006-1792-44CD-843C-65FB7977602D}"/>
            </c:ext>
          </c:extLst>
        </c:ser>
        <c:ser>
          <c:idx val="7"/>
          <c:order val="7"/>
          <c:tx>
            <c:strRef>
              <c:f>'3A2 Peternakan-N2O'!$BD$34</c:f>
              <c:strCache>
                <c:ptCount val="1"/>
                <c:pt idx="0">
                  <c:v>Ayam buras</c:v>
                </c:pt>
              </c:strCache>
            </c:strRef>
          </c:tx>
          <c:spPr>
            <a:solidFill>
              <a:schemeClr val="accent2">
                <a:lumMod val="60000"/>
              </a:schemeClr>
            </a:solidFill>
            <a:ln>
              <a:noFill/>
            </a:ln>
            <a:effectLst/>
          </c:spPr>
          <c:invertIfNegative val="0"/>
          <c:cat>
            <c:numRef>
              <c:f>'3A2 Peternakan-N2O'!$BE$26:$BI$26</c:f>
              <c:numCache>
                <c:formatCode>General</c:formatCode>
                <c:ptCount val="5"/>
                <c:pt idx="0">
                  <c:v>2010</c:v>
                </c:pt>
                <c:pt idx="1">
                  <c:v>2011</c:v>
                </c:pt>
                <c:pt idx="2">
                  <c:v>2012</c:v>
                </c:pt>
                <c:pt idx="3">
                  <c:v>2013</c:v>
                </c:pt>
                <c:pt idx="4">
                  <c:v>2014</c:v>
                </c:pt>
              </c:numCache>
            </c:numRef>
          </c:cat>
          <c:val>
            <c:numRef>
              <c:f>'3A2 Peternakan-N2O'!$BE$34:$BI$34</c:f>
              <c:numCache>
                <c:formatCode>_(* #,##0.00_);_(* \(#,##0.00\);_(* "-"??_);_(@_)</c:formatCode>
                <c:ptCount val="5"/>
                <c:pt idx="0">
                  <c:v>48584984.174588576</c:v>
                </c:pt>
                <c:pt idx="1">
                  <c:v>50042521.014942862</c:v>
                </c:pt>
                <c:pt idx="2">
                  <c:v>51543798.832440011</c:v>
                </c:pt>
                <c:pt idx="3">
                  <c:v>53090173.597371429</c:v>
                </c:pt>
                <c:pt idx="4">
                  <c:v>54682870.057097144</c:v>
                </c:pt>
              </c:numCache>
            </c:numRef>
          </c:val>
          <c:extLst>
            <c:ext xmlns:c16="http://schemas.microsoft.com/office/drawing/2014/chart" uri="{C3380CC4-5D6E-409C-BE32-E72D297353CC}">
              <c16:uniqueId val="{00000007-1792-44CD-843C-65FB7977602D}"/>
            </c:ext>
          </c:extLst>
        </c:ser>
        <c:ser>
          <c:idx val="8"/>
          <c:order val="8"/>
          <c:tx>
            <c:strRef>
              <c:f>'3A2 Peternakan-N2O'!$BD$35</c:f>
              <c:strCache>
                <c:ptCount val="1"/>
                <c:pt idx="0">
                  <c:v>Ayam ras</c:v>
                </c:pt>
              </c:strCache>
            </c:strRef>
          </c:tx>
          <c:spPr>
            <a:solidFill>
              <a:schemeClr val="accent3">
                <a:lumMod val="60000"/>
              </a:schemeClr>
            </a:solidFill>
            <a:ln>
              <a:noFill/>
            </a:ln>
            <a:effectLst/>
          </c:spPr>
          <c:invertIfNegative val="0"/>
          <c:cat>
            <c:numRef>
              <c:f>'3A2 Peternakan-N2O'!$BE$26:$BI$26</c:f>
              <c:numCache>
                <c:formatCode>General</c:formatCode>
                <c:ptCount val="5"/>
                <c:pt idx="0">
                  <c:v>2010</c:v>
                </c:pt>
                <c:pt idx="1">
                  <c:v>2011</c:v>
                </c:pt>
                <c:pt idx="2">
                  <c:v>2012</c:v>
                </c:pt>
                <c:pt idx="3">
                  <c:v>2013</c:v>
                </c:pt>
                <c:pt idx="4">
                  <c:v>2014</c:v>
                </c:pt>
              </c:numCache>
            </c:numRef>
          </c:cat>
          <c:val>
            <c:numRef>
              <c:f>'3A2 Peternakan-N2O'!$BE$35:$BI$35</c:f>
              <c:numCache>
                <c:formatCode>_(* #,##0.00_);_(* \(#,##0.00\);_(* "-"??_);_(@_)</c:formatCode>
                <c:ptCount val="5"/>
                <c:pt idx="0">
                  <c:v>334206610.46166867</c:v>
                </c:pt>
                <c:pt idx="1">
                  <c:v>336253139.09485722</c:v>
                </c:pt>
                <c:pt idx="2">
                  <c:v>346340733.26770306</c:v>
                </c:pt>
                <c:pt idx="3">
                  <c:v>355865147.73353148</c:v>
                </c:pt>
                <c:pt idx="4">
                  <c:v>414561288.21284574</c:v>
                </c:pt>
              </c:numCache>
            </c:numRef>
          </c:val>
          <c:extLst>
            <c:ext xmlns:c16="http://schemas.microsoft.com/office/drawing/2014/chart" uri="{C3380CC4-5D6E-409C-BE32-E72D297353CC}">
              <c16:uniqueId val="{00000008-1792-44CD-843C-65FB7977602D}"/>
            </c:ext>
          </c:extLst>
        </c:ser>
        <c:ser>
          <c:idx val="9"/>
          <c:order val="9"/>
          <c:tx>
            <c:strRef>
              <c:f>'3A2 Peternakan-N2O'!$BD$36</c:f>
              <c:strCache>
                <c:ptCount val="1"/>
                <c:pt idx="0">
                  <c:v>Ayam petelur</c:v>
                </c:pt>
              </c:strCache>
            </c:strRef>
          </c:tx>
          <c:spPr>
            <a:solidFill>
              <a:schemeClr val="accent4">
                <a:lumMod val="60000"/>
              </a:schemeClr>
            </a:solidFill>
            <a:ln>
              <a:noFill/>
            </a:ln>
            <a:effectLst/>
          </c:spPr>
          <c:invertIfNegative val="0"/>
          <c:cat>
            <c:numRef>
              <c:f>'3A2 Peternakan-N2O'!$BE$26:$BI$26</c:f>
              <c:numCache>
                <c:formatCode>General</c:formatCode>
                <c:ptCount val="5"/>
                <c:pt idx="0">
                  <c:v>2010</c:v>
                </c:pt>
                <c:pt idx="1">
                  <c:v>2011</c:v>
                </c:pt>
                <c:pt idx="2">
                  <c:v>2012</c:v>
                </c:pt>
                <c:pt idx="3">
                  <c:v>2013</c:v>
                </c:pt>
                <c:pt idx="4">
                  <c:v>2014</c:v>
                </c:pt>
              </c:numCache>
            </c:numRef>
          </c:cat>
          <c:val>
            <c:numRef>
              <c:f>'3A2 Peternakan-N2O'!$BE$36:$BI$36</c:f>
              <c:numCache>
                <c:formatCode>_(* #,##0.00_);_(* \(#,##0.00\);_(* "-"??_);_(@_)</c:formatCode>
                <c:ptCount val="5"/>
                <c:pt idx="0">
                  <c:v>59655081.892834283</c:v>
                </c:pt>
                <c:pt idx="1">
                  <c:v>60231325.525714301</c:v>
                </c:pt>
                <c:pt idx="2">
                  <c:v>61435952.036228582</c:v>
                </c:pt>
                <c:pt idx="3">
                  <c:v>62641890.776057139</c:v>
                </c:pt>
                <c:pt idx="4">
                  <c:v>63894719.843382858</c:v>
                </c:pt>
              </c:numCache>
            </c:numRef>
          </c:val>
          <c:extLst>
            <c:ext xmlns:c16="http://schemas.microsoft.com/office/drawing/2014/chart" uri="{C3380CC4-5D6E-409C-BE32-E72D297353CC}">
              <c16:uniqueId val="{00000009-1792-44CD-843C-65FB7977602D}"/>
            </c:ext>
          </c:extLst>
        </c:ser>
        <c:ser>
          <c:idx val="10"/>
          <c:order val="10"/>
          <c:tx>
            <c:strRef>
              <c:f>'3A2 Peternakan-N2O'!$BD$37</c:f>
              <c:strCache>
                <c:ptCount val="1"/>
                <c:pt idx="0">
                  <c:v>Bebek</c:v>
                </c:pt>
              </c:strCache>
            </c:strRef>
          </c:tx>
          <c:spPr>
            <a:solidFill>
              <a:schemeClr val="accent5">
                <a:lumMod val="60000"/>
              </a:schemeClr>
            </a:solidFill>
            <a:ln>
              <a:noFill/>
            </a:ln>
            <a:effectLst/>
          </c:spPr>
          <c:invertIfNegative val="0"/>
          <c:cat>
            <c:numRef>
              <c:f>'3A2 Peternakan-N2O'!$BE$26:$BI$26</c:f>
              <c:numCache>
                <c:formatCode>General</c:formatCode>
                <c:ptCount val="5"/>
                <c:pt idx="0">
                  <c:v>2010</c:v>
                </c:pt>
                <c:pt idx="1">
                  <c:v>2011</c:v>
                </c:pt>
                <c:pt idx="2">
                  <c:v>2012</c:v>
                </c:pt>
                <c:pt idx="3">
                  <c:v>2013</c:v>
                </c:pt>
                <c:pt idx="4">
                  <c:v>2014</c:v>
                </c:pt>
              </c:numCache>
            </c:numRef>
          </c:cat>
          <c:val>
            <c:numRef>
              <c:f>'3A2 Peternakan-N2O'!$BE$37:$BI$37</c:f>
              <c:numCache>
                <c:formatCode>_(* #,##0.00_);_(* \(#,##0.00\);_(* "-"??_);_(@_)</c:formatCode>
                <c:ptCount val="5"/>
                <c:pt idx="0">
                  <c:v>6291133.5195257151</c:v>
                </c:pt>
                <c:pt idx="1">
                  <c:v>6605674.8861600012</c:v>
                </c:pt>
                <c:pt idx="2">
                  <c:v>6935963.0045657158</c:v>
                </c:pt>
                <c:pt idx="3">
                  <c:v>7282610.2484228574</c:v>
                </c:pt>
                <c:pt idx="4">
                  <c:v>7646753.8831371451</c:v>
                </c:pt>
              </c:numCache>
            </c:numRef>
          </c:val>
          <c:extLst>
            <c:ext xmlns:c16="http://schemas.microsoft.com/office/drawing/2014/chart" uri="{C3380CC4-5D6E-409C-BE32-E72D297353CC}">
              <c16:uniqueId val="{0000000A-1792-44CD-843C-65FB7977602D}"/>
            </c:ext>
          </c:extLst>
        </c:ser>
        <c:dLbls>
          <c:showLegendKey val="0"/>
          <c:showVal val="0"/>
          <c:showCatName val="0"/>
          <c:showSerName val="0"/>
          <c:showPercent val="0"/>
          <c:showBubbleSize val="0"/>
        </c:dLbls>
        <c:gapWidth val="219"/>
        <c:overlap val="100"/>
        <c:axId val="469738616"/>
        <c:axId val="469738224"/>
      </c:barChart>
      <c:lineChart>
        <c:grouping val="stacked"/>
        <c:varyColors val="0"/>
        <c:ser>
          <c:idx val="11"/>
          <c:order val="11"/>
          <c:tx>
            <c:strRef>
              <c:f>'3A2 Peternakan-N2O'!$BD$38</c:f>
              <c:strCache>
                <c:ptCount val="1"/>
                <c:pt idx="0">
                  <c:v>TOTAL</c:v>
                </c:pt>
              </c:strCache>
            </c:strRef>
          </c:tx>
          <c:spPr>
            <a:ln w="28575" cap="rnd">
              <a:solidFill>
                <a:srgbClr val="FF0000"/>
              </a:solidFill>
              <a:round/>
            </a:ln>
            <a:effectLst/>
          </c:spPr>
          <c:marker>
            <c:symbol val="circle"/>
            <c:size val="5"/>
            <c:spPr>
              <a:solidFill>
                <a:schemeClr val="tx2"/>
              </a:solidFill>
              <a:ln w="9525">
                <a:solidFill>
                  <a:schemeClr val="tx2"/>
                </a:solidFill>
              </a:ln>
              <a:effectLst/>
            </c:spPr>
          </c:marker>
          <c:dLbls>
            <c:dLbl>
              <c:idx val="0"/>
              <c:layout>
                <c:manualLayout>
                  <c:x val="-8.095799443461598E-3"/>
                  <c:y val="-3.7962688954053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792-44CD-843C-65FB7977602D}"/>
                </c:ext>
              </c:extLst>
            </c:dLbl>
            <c:dLbl>
              <c:idx val="1"/>
              <c:layout>
                <c:manualLayout>
                  <c:x val="0"/>
                  <c:y val="-4.1758957849458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792-44CD-843C-65FB7977602D}"/>
                </c:ext>
              </c:extLst>
            </c:dLbl>
            <c:dLbl>
              <c:idx val="2"/>
              <c:layout>
                <c:manualLayout>
                  <c:x val="4.047899721730799E-3"/>
                  <c:y val="-3.7962688954053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792-44CD-843C-65FB7977602D}"/>
                </c:ext>
              </c:extLst>
            </c:dLbl>
            <c:dLbl>
              <c:idx val="3"/>
              <c:layout>
                <c:manualLayout>
                  <c:x val="0"/>
                  <c:y val="-2.65738822678372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792-44CD-843C-65FB7977602D}"/>
                </c:ext>
              </c:extLst>
            </c:dLbl>
            <c:dLbl>
              <c:idx val="4"/>
              <c:layout>
                <c:manualLayout>
                  <c:x val="0"/>
                  <c:y val="-3.79626889540531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792-44CD-843C-65FB7977602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'3A2 Peternakan-N2O'!$BE$26:$BI$26</c:f>
              <c:numCache>
                <c:formatCode>General</c:formatCode>
                <c:ptCount val="5"/>
                <c:pt idx="0">
                  <c:v>2010</c:v>
                </c:pt>
                <c:pt idx="1">
                  <c:v>2011</c:v>
                </c:pt>
                <c:pt idx="2">
                  <c:v>2012</c:v>
                </c:pt>
                <c:pt idx="3">
                  <c:v>2013</c:v>
                </c:pt>
                <c:pt idx="4">
                  <c:v>2014</c:v>
                </c:pt>
              </c:numCache>
            </c:numRef>
          </c:cat>
          <c:val>
            <c:numRef>
              <c:f>'3A2 Peternakan-N2O'!$BE$38:$BI$38</c:f>
              <c:numCache>
                <c:formatCode>_(* #,##0.00_);_(* \(#,##0.00\);_(* "-"??_);_(@_)</c:formatCode>
                <c:ptCount val="5"/>
                <c:pt idx="0">
                  <c:v>1402808787.6100066</c:v>
                </c:pt>
                <c:pt idx="1">
                  <c:v>1398508547.7871213</c:v>
                </c:pt>
                <c:pt idx="2">
                  <c:v>1429525272.0200982</c:v>
                </c:pt>
                <c:pt idx="3">
                  <c:v>1421853319.7562487</c:v>
                </c:pt>
                <c:pt idx="4">
                  <c:v>1466266683.1909964</c:v>
                </c:pt>
              </c:numCache>
            </c:numRef>
          </c:val>
          <c:smooth val="0"/>
          <c:extLst>
            <c:ext xmlns:c16="http://schemas.microsoft.com/office/drawing/2014/chart" uri="{C3380CC4-5D6E-409C-BE32-E72D297353CC}">
              <c16:uniqueId val="{00000010-1792-44CD-843C-65FB7977602D}"/>
            </c:ext>
          </c:extLst>
        </c:ser>
        <c:dLbls>
          <c:showLegendKey val="0"/>
          <c:showVal val="0"/>
          <c:showCatName val="0"/>
          <c:showSerName val="0"/>
          <c:showPercent val="0"/>
          <c:showBubbleSize val="0"/>
        </c:dLbls>
        <c:marker val="1"/>
        <c:smooth val="0"/>
        <c:axId val="469738616"/>
        <c:axId val="469738224"/>
      </c:lineChart>
      <c:catAx>
        <c:axId val="469738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738224"/>
        <c:crosses val="autoZero"/>
        <c:auto val="1"/>
        <c:lblAlgn val="ctr"/>
        <c:lblOffset val="100"/>
        <c:noMultiLvlLbl val="0"/>
      </c:catAx>
      <c:valAx>
        <c:axId val="4697382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738616"/>
        <c:crosses val="autoZero"/>
        <c:crossBetween val="between"/>
      </c:valAx>
      <c:spPr>
        <a:noFill/>
        <a:ln>
          <a:noFill/>
        </a:ln>
        <a:effectLst/>
      </c:spPr>
    </c:plotArea>
    <c:legend>
      <c:legendPos val="b"/>
      <c:layout>
        <c:manualLayout>
          <c:xMode val="edge"/>
          <c:yMode val="edge"/>
          <c:x val="1.9148956175748331E-2"/>
          <c:y val="0.74479002624671919"/>
          <c:w val="0.95765402856064175"/>
          <c:h val="0.22743219597550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Perkembangan dan Skenario</a:t>
            </a:r>
            <a:r>
              <a:rPr lang="en-US" baseline="0"/>
              <a:t> Emisi GRK Sektor Pertanian</a:t>
            </a:r>
          </a:p>
          <a:p>
            <a:pPr>
              <a:defRPr/>
            </a:pPr>
            <a:r>
              <a:rPr lang="en-US" baseline="0"/>
              <a:t>Kabupaten </a:t>
            </a:r>
            <a:r>
              <a:rPr lang="id-ID" baseline="0"/>
              <a:t>Banyumas</a:t>
            </a:r>
            <a:r>
              <a:rPr lang="en-US" baseline="0"/>
              <a:t> Tahun 2010-2030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461518626680524E-2"/>
          <c:y val="0.13633934188906061"/>
          <c:w val="0.89885482706987341"/>
          <c:h val="0.56928062256048773"/>
        </c:manualLayout>
      </c:layout>
      <c:barChart>
        <c:barDir val="col"/>
        <c:grouping val="stacked"/>
        <c:varyColors val="0"/>
        <c:ser>
          <c:idx val="0"/>
          <c:order val="0"/>
          <c:tx>
            <c:strRef>
              <c:f>RANGKUMAN!$BN$16</c:f>
              <c:strCache>
                <c:ptCount val="1"/>
                <c:pt idx="0">
                  <c:v>3A1 Fermentasi Enterik</c:v>
                </c:pt>
              </c:strCache>
            </c:strRef>
          </c:tx>
          <c:spPr>
            <a:solidFill>
              <a:schemeClr val="accent1"/>
            </a:solidFill>
            <a:ln>
              <a:noFill/>
            </a:ln>
            <a:effectLst/>
          </c:spPr>
          <c:invertIfNegative val="0"/>
          <c:cat>
            <c:numLit>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Lit>
          </c:cat>
          <c:val>
            <c:numRef>
              <c:f>RANGKUMAN!$BO$16:$CI$16</c:f>
              <c:numCache>
                <c:formatCode>_(* #,##0.00_);_(* \(#,##0.00\);_(* "-"??_);_(@_)</c:formatCode>
                <c:ptCount val="21"/>
                <c:pt idx="0">
                  <c:v>50723.02199999999</c:v>
                </c:pt>
                <c:pt idx="1">
                  <c:v>49549.332000000002</c:v>
                </c:pt>
                <c:pt idx="2">
                  <c:v>50292.9</c:v>
                </c:pt>
                <c:pt idx="3">
                  <c:v>47425.349999999991</c:v>
                </c:pt>
                <c:pt idx="4">
                  <c:v>44747.493000000002</c:v>
                </c:pt>
                <c:pt idx="5">
                  <c:v>44760.817500000012</c:v>
                </c:pt>
                <c:pt idx="6">
                  <c:v>44774.221947000005</c:v>
                </c:pt>
                <c:pt idx="7">
                  <c:v>44787.706820682004</c:v>
                </c:pt>
                <c:pt idx="8">
                  <c:v>44801.272603606085</c:v>
                </c:pt>
                <c:pt idx="9">
                  <c:v>44814.919781227727</c:v>
                </c:pt>
                <c:pt idx="10">
                  <c:v>44828.648841915099</c:v>
                </c:pt>
                <c:pt idx="11">
                  <c:v>44842.460276966587</c:v>
                </c:pt>
                <c:pt idx="12">
                  <c:v>44856.354580628387</c:v>
                </c:pt>
                <c:pt idx="13">
                  <c:v>44870.332250112158</c:v>
                </c:pt>
                <c:pt idx="14">
                  <c:v>44884.393785612832</c:v>
                </c:pt>
                <c:pt idx="15">
                  <c:v>44898.539690326506</c:v>
                </c:pt>
                <c:pt idx="16">
                  <c:v>44912.770470468466</c:v>
                </c:pt>
                <c:pt idx="17">
                  <c:v>44927.086635291278</c:v>
                </c:pt>
                <c:pt idx="18">
                  <c:v>44941.488697103028</c:v>
                </c:pt>
                <c:pt idx="19">
                  <c:v>44955.977171285638</c:v>
                </c:pt>
                <c:pt idx="20">
                  <c:v>44970.552576313363</c:v>
                </c:pt>
              </c:numCache>
            </c:numRef>
          </c:val>
          <c:extLst>
            <c:ext xmlns:c16="http://schemas.microsoft.com/office/drawing/2014/chart" uri="{C3380CC4-5D6E-409C-BE32-E72D297353CC}">
              <c16:uniqueId val="{00000000-9163-4CCF-A213-8BDBAAFDD9F3}"/>
            </c:ext>
          </c:extLst>
        </c:ser>
        <c:ser>
          <c:idx val="1"/>
          <c:order val="1"/>
          <c:tx>
            <c:strRef>
              <c:f>RANGKUMAN!$BN$17</c:f>
              <c:strCache>
                <c:ptCount val="1"/>
                <c:pt idx="0">
                  <c:v>3A2 Pengelolaan Limbah Ternak</c:v>
                </c:pt>
              </c:strCache>
            </c:strRef>
          </c:tx>
          <c:spPr>
            <a:solidFill>
              <a:schemeClr val="accent2"/>
            </a:solidFill>
            <a:ln>
              <a:noFill/>
            </a:ln>
            <a:effectLst/>
          </c:spPr>
          <c:invertIfNegative val="0"/>
          <c:cat>
            <c:numLit>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Lit>
          </c:cat>
          <c:val>
            <c:numRef>
              <c:f>RANGKUMAN!$BO$17:$CI$17</c:f>
              <c:numCache>
                <c:formatCode>_(* #,##0.00_);_(* \(#,##0.00\);_(* "-"??_);_(@_)</c:formatCode>
                <c:ptCount val="21"/>
                <c:pt idx="0">
                  <c:v>1402758064.588007</c:v>
                </c:pt>
                <c:pt idx="1">
                  <c:v>1398458998.4551218</c:v>
                </c:pt>
                <c:pt idx="2">
                  <c:v>1429474979.1200979</c:v>
                </c:pt>
                <c:pt idx="3">
                  <c:v>1421805894.4062483</c:v>
                </c:pt>
                <c:pt idx="4">
                  <c:v>1466221935.6979957</c:v>
                </c:pt>
                <c:pt idx="5">
                  <c:v>1469535321.928699</c:v>
                </c:pt>
                <c:pt idx="6">
                  <c:v>1472868588.4767854</c:v>
                </c:pt>
                <c:pt idx="7">
                  <c:v>1476221854.6241617</c:v>
                </c:pt>
                <c:pt idx="8">
                  <c:v>1479595240.3684213</c:v>
                </c:pt>
                <c:pt idx="9">
                  <c:v>1482988866.4271467</c:v>
                </c:pt>
                <c:pt idx="10">
                  <c:v>1486402854.2422242</c:v>
                </c:pt>
                <c:pt idx="11">
                  <c:v>1489497238.667645</c:v>
                </c:pt>
                <c:pt idx="12">
                  <c:v>1492610189.3996186</c:v>
                </c:pt>
                <c:pt idx="13">
                  <c:v>1495741817.8359833</c:v>
                </c:pt>
                <c:pt idx="14">
                  <c:v>1498892236.0429671</c:v>
                </c:pt>
                <c:pt idx="15">
                  <c:v>1502061556.7591925</c:v>
                </c:pt>
                <c:pt idx="16">
                  <c:v>1505249893.3997147</c:v>
                </c:pt>
                <c:pt idx="17">
                  <c:v>1508457360.0600801</c:v>
                </c:pt>
                <c:pt idx="18">
                  <c:v>1511684071.5204086</c:v>
                </c:pt>
                <c:pt idx="19">
                  <c:v>1514930143.2494977</c:v>
                </c:pt>
                <c:pt idx="20">
                  <c:v>1518195691.4089625</c:v>
                </c:pt>
              </c:numCache>
            </c:numRef>
          </c:val>
          <c:extLst>
            <c:ext xmlns:c16="http://schemas.microsoft.com/office/drawing/2014/chart" uri="{C3380CC4-5D6E-409C-BE32-E72D297353CC}">
              <c16:uniqueId val="{00000001-9163-4CCF-A213-8BDBAAFDD9F3}"/>
            </c:ext>
          </c:extLst>
        </c:ser>
        <c:ser>
          <c:idx val="2"/>
          <c:order val="2"/>
          <c:tx>
            <c:strRef>
              <c:f>RANGKUMAN!$BN$18</c:f>
              <c:strCache>
                <c:ptCount val="1"/>
                <c:pt idx="0">
                  <c:v>3C1 Pembakaran Biomasa</c:v>
                </c:pt>
              </c:strCache>
            </c:strRef>
          </c:tx>
          <c:spPr>
            <a:solidFill>
              <a:schemeClr val="accent3"/>
            </a:solidFill>
            <a:ln>
              <a:noFill/>
            </a:ln>
            <a:effectLst/>
          </c:spPr>
          <c:invertIfNegative val="0"/>
          <c:cat>
            <c:numLit>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Lit>
          </c:cat>
          <c:val>
            <c:numRef>
              <c:f>RANGKUMAN!$BO$18:$CI$18</c:f>
              <c:numCache>
                <c:formatCode>_(* #,##0.00_);_(* \(#,##0.00\);_(* "-"??_);_(@_)</c:formatCode>
                <c:ptCount val="21"/>
              </c:numCache>
            </c:numRef>
          </c:val>
          <c:extLst>
            <c:ext xmlns:c16="http://schemas.microsoft.com/office/drawing/2014/chart" uri="{C3380CC4-5D6E-409C-BE32-E72D297353CC}">
              <c16:uniqueId val="{00000002-9163-4CCF-A213-8BDBAAFDD9F3}"/>
            </c:ext>
          </c:extLst>
        </c:ser>
        <c:ser>
          <c:idx val="3"/>
          <c:order val="3"/>
          <c:tx>
            <c:strRef>
              <c:f>RANGKUMAN!$BN$19</c:f>
              <c:strCache>
                <c:ptCount val="1"/>
                <c:pt idx="0">
                  <c:v>3C2 Aplikasi Kapur</c:v>
                </c:pt>
              </c:strCache>
            </c:strRef>
          </c:tx>
          <c:spPr>
            <a:solidFill>
              <a:schemeClr val="accent4"/>
            </a:solidFill>
            <a:ln>
              <a:noFill/>
            </a:ln>
            <a:effectLst/>
          </c:spPr>
          <c:invertIfNegative val="0"/>
          <c:cat>
            <c:numLit>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Lit>
          </c:cat>
          <c:val>
            <c:numRef>
              <c:f>RANGKUMAN!$BO$19:$CI$19</c:f>
              <c:numCache>
                <c:formatCode>_(* #,##0.00_);_(* \(#,##0.00\);_(* "-"??_);_(@_)</c:formatCode>
                <c:ptCount val="21"/>
              </c:numCache>
            </c:numRef>
          </c:val>
          <c:extLst>
            <c:ext xmlns:c16="http://schemas.microsoft.com/office/drawing/2014/chart" uri="{C3380CC4-5D6E-409C-BE32-E72D297353CC}">
              <c16:uniqueId val="{00000003-9163-4CCF-A213-8BDBAAFDD9F3}"/>
            </c:ext>
          </c:extLst>
        </c:ser>
        <c:ser>
          <c:idx val="4"/>
          <c:order val="4"/>
          <c:tx>
            <c:strRef>
              <c:f>RANGKUMAN!$BN$20</c:f>
              <c:strCache>
                <c:ptCount val="1"/>
                <c:pt idx="0">
                  <c:v>3C3 Aplikasi Urea</c:v>
                </c:pt>
              </c:strCache>
            </c:strRef>
          </c:tx>
          <c:spPr>
            <a:solidFill>
              <a:schemeClr val="accent5"/>
            </a:solidFill>
            <a:ln>
              <a:noFill/>
            </a:ln>
            <a:effectLst/>
          </c:spPr>
          <c:invertIfNegative val="0"/>
          <c:cat>
            <c:numLit>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Lit>
          </c:cat>
          <c:val>
            <c:numRef>
              <c:f>RANGKUMAN!$BO$20:$CI$20</c:f>
              <c:numCache>
                <c:formatCode>_(* #,##0.00_);_(* \(#,##0.00\);_(* "-"??_);_(@_)</c:formatCode>
                <c:ptCount val="21"/>
                <c:pt idx="0">
                  <c:v>14403.18</c:v>
                </c:pt>
                <c:pt idx="1">
                  <c:v>14403.18</c:v>
                </c:pt>
                <c:pt idx="2">
                  <c:v>14403.18</c:v>
                </c:pt>
                <c:pt idx="3">
                  <c:v>14403.18</c:v>
                </c:pt>
                <c:pt idx="4">
                  <c:v>18412.826666666668</c:v>
                </c:pt>
                <c:pt idx="5">
                  <c:v>14556.593333333336</c:v>
                </c:pt>
                <c:pt idx="6">
                  <c:v>19156.704864000003</c:v>
                </c:pt>
                <c:pt idx="7">
                  <c:v>19539.838961280002</c:v>
                </c:pt>
                <c:pt idx="8">
                  <c:v>19930.635740505601</c:v>
                </c:pt>
                <c:pt idx="9">
                  <c:v>20329.248455315716</c:v>
                </c:pt>
                <c:pt idx="10">
                  <c:v>20735.833424422028</c:v>
                </c:pt>
                <c:pt idx="11">
                  <c:v>21150.550092910471</c:v>
                </c:pt>
                <c:pt idx="12">
                  <c:v>21573.56109476868</c:v>
                </c:pt>
                <c:pt idx="13">
                  <c:v>22005.032316664048</c:v>
                </c:pt>
                <c:pt idx="14">
                  <c:v>22005.032316664048</c:v>
                </c:pt>
                <c:pt idx="15">
                  <c:v>22005.032316664048</c:v>
                </c:pt>
                <c:pt idx="16">
                  <c:v>22005.032316664048</c:v>
                </c:pt>
                <c:pt idx="17">
                  <c:v>22005.032316664048</c:v>
                </c:pt>
                <c:pt idx="18">
                  <c:v>22005.032316664048</c:v>
                </c:pt>
                <c:pt idx="19">
                  <c:v>22005.032316664048</c:v>
                </c:pt>
                <c:pt idx="20">
                  <c:v>22005.032316664048</c:v>
                </c:pt>
              </c:numCache>
            </c:numRef>
          </c:val>
          <c:extLst>
            <c:ext xmlns:c16="http://schemas.microsoft.com/office/drawing/2014/chart" uri="{C3380CC4-5D6E-409C-BE32-E72D297353CC}">
              <c16:uniqueId val="{00000004-9163-4CCF-A213-8BDBAAFDD9F3}"/>
            </c:ext>
          </c:extLst>
        </c:ser>
        <c:ser>
          <c:idx val="5"/>
          <c:order val="5"/>
          <c:tx>
            <c:strRef>
              <c:f>RANGKUMAN!$BN$21</c:f>
              <c:strCache>
                <c:ptCount val="1"/>
                <c:pt idx="0">
                  <c:v>3C4 N2O Langsung dari Pengolahan Tanah</c:v>
                </c:pt>
              </c:strCache>
            </c:strRef>
          </c:tx>
          <c:spPr>
            <a:solidFill>
              <a:schemeClr val="accent6"/>
            </a:solidFill>
            <a:ln>
              <a:noFill/>
            </a:ln>
            <a:effectLst/>
          </c:spPr>
          <c:invertIfNegative val="0"/>
          <c:cat>
            <c:numLit>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Lit>
          </c:cat>
          <c:val>
            <c:numRef>
              <c:f>RANGKUMAN!$BO$21:$CI$21</c:f>
              <c:numCache>
                <c:formatCode>_(* #,##0.00_);_(* \(#,##0.00\);_(* "-"??_);_(@_)</c:formatCode>
                <c:ptCount val="21"/>
                <c:pt idx="0">
                  <c:v>63310.677940714297</c:v>
                </c:pt>
                <c:pt idx="1">
                  <c:v>63310.677940714297</c:v>
                </c:pt>
                <c:pt idx="2">
                  <c:v>63310.677940714297</c:v>
                </c:pt>
                <c:pt idx="3">
                  <c:v>63310.677940714297</c:v>
                </c:pt>
                <c:pt idx="4">
                  <c:v>83896.497685000024</c:v>
                </c:pt>
                <c:pt idx="5">
                  <c:v>64023.168699285707</c:v>
                </c:pt>
                <c:pt idx="6">
                  <c:v>62634.791275331794</c:v>
                </c:pt>
                <c:pt idx="7">
                  <c:v>63857.515904481283</c:v>
                </c:pt>
                <c:pt idx="8">
                  <c:v>65104.695026213762</c:v>
                </c:pt>
                <c:pt idx="9">
                  <c:v>66376.817730380921</c:v>
                </c:pt>
                <c:pt idx="10">
                  <c:v>67674.382888631371</c:v>
                </c:pt>
                <c:pt idx="11">
                  <c:v>68997.89935004685</c:v>
                </c:pt>
                <c:pt idx="12">
                  <c:v>70347.886140690665</c:v>
                </c:pt>
                <c:pt idx="13">
                  <c:v>71724.872667147341</c:v>
                </c:pt>
                <c:pt idx="14">
                  <c:v>71724.872667147341</c:v>
                </c:pt>
                <c:pt idx="15">
                  <c:v>71724.872667147341</c:v>
                </c:pt>
                <c:pt idx="16">
                  <c:v>71724.872667147341</c:v>
                </c:pt>
                <c:pt idx="17">
                  <c:v>71724.872667147341</c:v>
                </c:pt>
                <c:pt idx="18">
                  <c:v>71724.872667147341</c:v>
                </c:pt>
                <c:pt idx="19">
                  <c:v>71724.872667147341</c:v>
                </c:pt>
                <c:pt idx="20">
                  <c:v>71724.872667147341</c:v>
                </c:pt>
              </c:numCache>
            </c:numRef>
          </c:val>
          <c:extLst>
            <c:ext xmlns:c16="http://schemas.microsoft.com/office/drawing/2014/chart" uri="{C3380CC4-5D6E-409C-BE32-E72D297353CC}">
              <c16:uniqueId val="{00000005-9163-4CCF-A213-8BDBAAFDD9F3}"/>
            </c:ext>
          </c:extLst>
        </c:ser>
        <c:ser>
          <c:idx val="6"/>
          <c:order val="6"/>
          <c:tx>
            <c:strRef>
              <c:f>RANGKUMAN!$BN$22</c:f>
              <c:strCache>
                <c:ptCount val="1"/>
                <c:pt idx="0">
                  <c:v>3C5 N2O Tidak Langsung dari Pengolahan Tanah</c:v>
                </c:pt>
              </c:strCache>
            </c:strRef>
          </c:tx>
          <c:spPr>
            <a:solidFill>
              <a:schemeClr val="accent1">
                <a:lumMod val="60000"/>
              </a:schemeClr>
            </a:solidFill>
            <a:ln>
              <a:noFill/>
            </a:ln>
            <a:effectLst/>
          </c:spPr>
          <c:invertIfNegative val="0"/>
          <c:cat>
            <c:numLit>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Lit>
          </c:cat>
          <c:val>
            <c:numRef>
              <c:f>RANGKUMAN!$BO$22:$CI$22</c:f>
              <c:numCache>
                <c:formatCode>_(* #,##0.00_);_(* \(#,##0.00\);_(* "-"??_);_(@_)</c:formatCode>
                <c:ptCount val="21"/>
              </c:numCache>
            </c:numRef>
          </c:val>
          <c:extLst>
            <c:ext xmlns:c16="http://schemas.microsoft.com/office/drawing/2014/chart" uri="{C3380CC4-5D6E-409C-BE32-E72D297353CC}">
              <c16:uniqueId val="{00000006-9163-4CCF-A213-8BDBAAFDD9F3}"/>
            </c:ext>
          </c:extLst>
        </c:ser>
        <c:ser>
          <c:idx val="7"/>
          <c:order val="7"/>
          <c:tx>
            <c:strRef>
              <c:f>RANGKUMAN!$BN$23</c:f>
              <c:strCache>
                <c:ptCount val="1"/>
                <c:pt idx="0">
                  <c:v>3C6 N2O Tidak Langsung dari Penggunaan Pupuk</c:v>
                </c:pt>
              </c:strCache>
            </c:strRef>
          </c:tx>
          <c:spPr>
            <a:solidFill>
              <a:schemeClr val="accent2">
                <a:lumMod val="60000"/>
              </a:schemeClr>
            </a:solidFill>
            <a:ln>
              <a:noFill/>
            </a:ln>
            <a:effectLst/>
          </c:spPr>
          <c:invertIfNegative val="0"/>
          <c:cat>
            <c:numLit>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Lit>
          </c:cat>
          <c:val>
            <c:numRef>
              <c:f>RANGKUMAN!$BO$23:$CI$23</c:f>
              <c:numCache>
                <c:formatCode>_(* #,##0.00_);_(* \(#,##0.00\);_(* "-"??_);_(@_)</c:formatCode>
                <c:ptCount val="21"/>
              </c:numCache>
            </c:numRef>
          </c:val>
          <c:extLst>
            <c:ext xmlns:c16="http://schemas.microsoft.com/office/drawing/2014/chart" uri="{C3380CC4-5D6E-409C-BE32-E72D297353CC}">
              <c16:uniqueId val="{00000007-9163-4CCF-A213-8BDBAAFDD9F3}"/>
            </c:ext>
          </c:extLst>
        </c:ser>
        <c:ser>
          <c:idx val="8"/>
          <c:order val="8"/>
          <c:tx>
            <c:strRef>
              <c:f>RANGKUMAN!$BN$24</c:f>
              <c:strCache>
                <c:ptCount val="1"/>
                <c:pt idx="0">
                  <c:v>3C7 Budidaya Padi</c:v>
                </c:pt>
              </c:strCache>
            </c:strRef>
          </c:tx>
          <c:spPr>
            <a:solidFill>
              <a:schemeClr val="accent3">
                <a:lumMod val="60000"/>
              </a:schemeClr>
            </a:solidFill>
            <a:ln>
              <a:noFill/>
            </a:ln>
            <a:effectLst/>
          </c:spPr>
          <c:invertIfNegative val="0"/>
          <c:cat>
            <c:numLit>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Lit>
          </c:cat>
          <c:val>
            <c:numRef>
              <c:f>RANGKUMAN!$BO$24:$CI$24</c:f>
              <c:numCache>
                <c:formatCode>_(* #,##0.00_);_(* \(#,##0.00\);_(* "-"??_);_(@_)</c:formatCode>
                <c:ptCount val="21"/>
                <c:pt idx="0">
                  <c:v>240389.88575467726</c:v>
                </c:pt>
                <c:pt idx="1">
                  <c:v>213431.08769664564</c:v>
                </c:pt>
                <c:pt idx="2">
                  <c:v>213934.05522325399</c:v>
                </c:pt>
                <c:pt idx="3">
                  <c:v>223091.89687597755</c:v>
                </c:pt>
                <c:pt idx="4">
                  <c:v>212064.97599803147</c:v>
                </c:pt>
                <c:pt idx="5">
                  <c:v>227745.84102417971</c:v>
                </c:pt>
                <c:pt idx="6">
                  <c:v>232285.91932097194</c:v>
                </c:pt>
                <c:pt idx="7">
                  <c:v>236914.94184069434</c:v>
                </c:pt>
                <c:pt idx="8">
                  <c:v>241634.66103621968</c:v>
                </c:pt>
                <c:pt idx="9">
                  <c:v>246446.86400855926</c:v>
                </c:pt>
                <c:pt idx="10">
                  <c:v>251353.37319387356</c:v>
                </c:pt>
                <c:pt idx="11">
                  <c:v>256356.04706413471</c:v>
                </c:pt>
                <c:pt idx="12">
                  <c:v>261456.78084171095</c:v>
                </c:pt>
                <c:pt idx="13">
                  <c:v>265816.31635361508</c:v>
                </c:pt>
                <c:pt idx="14">
                  <c:v>265686.66060369689</c:v>
                </c:pt>
                <c:pt idx="15">
                  <c:v>265557.6499072609</c:v>
                </c:pt>
                <c:pt idx="16">
                  <c:v>265429.28105508571</c:v>
                </c:pt>
                <c:pt idx="17">
                  <c:v>265301.55085391633</c:v>
                </c:pt>
                <c:pt idx="18">
                  <c:v>265174.45612638479</c:v>
                </c:pt>
                <c:pt idx="19">
                  <c:v>265047.99371093034</c:v>
                </c:pt>
                <c:pt idx="20">
                  <c:v>264922.160461722</c:v>
                </c:pt>
              </c:numCache>
            </c:numRef>
          </c:val>
          <c:extLst>
            <c:ext xmlns:c16="http://schemas.microsoft.com/office/drawing/2014/chart" uri="{C3380CC4-5D6E-409C-BE32-E72D297353CC}">
              <c16:uniqueId val="{00000008-9163-4CCF-A213-8BDBAAFDD9F3}"/>
            </c:ext>
          </c:extLst>
        </c:ser>
        <c:dLbls>
          <c:showLegendKey val="0"/>
          <c:showVal val="0"/>
          <c:showCatName val="0"/>
          <c:showSerName val="0"/>
          <c:showPercent val="0"/>
          <c:showBubbleSize val="0"/>
        </c:dLbls>
        <c:gapWidth val="150"/>
        <c:overlap val="100"/>
        <c:axId val="181606688"/>
        <c:axId val="181605120"/>
      </c:barChart>
      <c:catAx>
        <c:axId val="18160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5120"/>
        <c:crosses val="autoZero"/>
        <c:auto val="1"/>
        <c:lblAlgn val="ctr"/>
        <c:lblOffset val="100"/>
        <c:noMultiLvlLbl val="0"/>
      </c:catAx>
      <c:valAx>
        <c:axId val="181605120"/>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6688"/>
        <c:crosses val="autoZero"/>
        <c:crossBetween val="between"/>
      </c:valAx>
      <c:spPr>
        <a:noFill/>
        <a:ln>
          <a:noFill/>
        </a:ln>
        <a:effectLst/>
      </c:spPr>
    </c:plotArea>
    <c:legend>
      <c:legendPos val="b"/>
      <c:layout>
        <c:manualLayout>
          <c:xMode val="edge"/>
          <c:yMode val="edge"/>
          <c:x val="9.9970924649638027E-2"/>
          <c:y val="0.78706887950921645"/>
          <c:w val="0.8102492348662399"/>
          <c:h val="0.193537188500874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RANGKUMAN!$AW$58</c:f>
              <c:strCache>
                <c:ptCount val="1"/>
                <c:pt idx="0">
                  <c:v>Historical</c:v>
                </c:pt>
              </c:strCache>
            </c:strRef>
          </c:tx>
          <c:spPr>
            <a:ln w="28575" cap="rnd">
              <a:solidFill>
                <a:schemeClr val="accent1"/>
              </a:solidFill>
              <a:round/>
            </a:ln>
            <a:effectLst/>
          </c:spPr>
          <c:marker>
            <c:symbol val="none"/>
          </c:marker>
          <c:cat>
            <c:numRef>
              <c:f>RANGKUMAN!$AV$59:$AV$79</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RANGKUMAN!$AW$59:$AW$79</c:f>
              <c:numCache>
                <c:formatCode>_(* #,##0.00_);_(* \(#,##0.00\);_(* "-"_);_(@_)</c:formatCode>
                <c:ptCount val="21"/>
                <c:pt idx="0">
                  <c:v>387581.14847833745</c:v>
                </c:pt>
                <c:pt idx="1">
                  <c:v>359275.84513268934</c:v>
                </c:pt>
                <c:pt idx="2">
                  <c:v>360811.83876152034</c:v>
                </c:pt>
                <c:pt idx="3">
                  <c:v>365378.88022511284</c:v>
                </c:pt>
                <c:pt idx="4">
                  <c:v>375184.33250906435</c:v>
                </c:pt>
              </c:numCache>
            </c:numRef>
          </c:val>
          <c:smooth val="1"/>
          <c:extLst>
            <c:ext xmlns:c16="http://schemas.microsoft.com/office/drawing/2014/chart" uri="{C3380CC4-5D6E-409C-BE32-E72D297353CC}">
              <c16:uniqueId val="{00000000-8402-4E1A-B99C-E2C084EC71E1}"/>
            </c:ext>
          </c:extLst>
        </c:ser>
        <c:ser>
          <c:idx val="1"/>
          <c:order val="1"/>
          <c:tx>
            <c:strRef>
              <c:f>RANGKUMAN!$AX$58</c:f>
              <c:strCache>
                <c:ptCount val="1"/>
                <c:pt idx="0">
                  <c:v>Forwardlooking</c:v>
                </c:pt>
              </c:strCache>
            </c:strRef>
          </c:tx>
          <c:spPr>
            <a:ln w="28575" cap="rnd">
              <a:solidFill>
                <a:schemeClr val="accent2"/>
              </a:solidFill>
              <a:round/>
            </a:ln>
            <a:effectLst/>
          </c:spPr>
          <c:marker>
            <c:symbol val="none"/>
          </c:marker>
          <c:cat>
            <c:numRef>
              <c:f>RANGKUMAN!$AV$59:$AV$79</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RANGKUMAN!$AX$59:$AX$79</c:f>
              <c:numCache>
                <c:formatCode>General</c:formatCode>
                <c:ptCount val="21"/>
                <c:pt idx="0">
                  <c:v>359275.84513268934</c:v>
                </c:pt>
                <c:pt idx="1">
                  <c:v>360811.83876152034</c:v>
                </c:pt>
                <c:pt idx="2">
                  <c:v>365378.88022511284</c:v>
                </c:pt>
                <c:pt idx="3">
                  <c:v>375184.33250906435</c:v>
                </c:pt>
                <c:pt idx="4">
                  <c:v>367177.19227891648</c:v>
                </c:pt>
                <c:pt idx="5">
                  <c:v>374970.81108754943</c:v>
                </c:pt>
                <c:pt idx="6">
                  <c:v>381247.74957726011</c:v>
                </c:pt>
                <c:pt idx="7">
                  <c:v>387647.75426076364</c:v>
                </c:pt>
                <c:pt idx="8">
                  <c:v>394173.25609662273</c:v>
                </c:pt>
                <c:pt idx="9">
                  <c:v>400826.7342345033</c:v>
                </c:pt>
                <c:pt idx="10">
                  <c:v>407607.11137707077</c:v>
                </c:pt>
                <c:pt idx="11">
                  <c:v>414520.54991040588</c:v>
                </c:pt>
                <c:pt idx="12">
                  <c:v>420728.48837569839</c:v>
                </c:pt>
                <c:pt idx="13">
                  <c:v>420639.01750204677</c:v>
                </c:pt>
                <c:pt idx="14">
                  <c:v>420550.43279113492</c:v>
                </c:pt>
                <c:pt idx="15">
                  <c:v>420462.7324803971</c:v>
                </c:pt>
                <c:pt idx="16">
                  <c:v>420375.91483191366</c:v>
                </c:pt>
                <c:pt idx="17">
                  <c:v>420289.97813238419</c:v>
                </c:pt>
                <c:pt idx="18">
                  <c:v>420204.92069309979</c:v>
                </c:pt>
                <c:pt idx="19">
                  <c:v>420120.74084991857</c:v>
                </c:pt>
                <c:pt idx="20">
                  <c:v>391814.01483648858</c:v>
                </c:pt>
              </c:numCache>
            </c:numRef>
          </c:val>
          <c:smooth val="1"/>
          <c:extLst>
            <c:ext xmlns:c16="http://schemas.microsoft.com/office/drawing/2014/chart" uri="{C3380CC4-5D6E-409C-BE32-E72D297353CC}">
              <c16:uniqueId val="{00000001-8402-4E1A-B99C-E2C084EC71E1}"/>
            </c:ext>
          </c:extLst>
        </c:ser>
        <c:dLbls>
          <c:showLegendKey val="0"/>
          <c:showVal val="0"/>
          <c:showCatName val="0"/>
          <c:showSerName val="0"/>
          <c:showPercent val="0"/>
          <c:showBubbleSize val="0"/>
        </c:dLbls>
        <c:smooth val="0"/>
        <c:axId val="241343464"/>
        <c:axId val="243515568"/>
      </c:lineChart>
      <c:catAx>
        <c:axId val="241343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43515568"/>
        <c:crosses val="autoZero"/>
        <c:auto val="1"/>
        <c:lblAlgn val="ctr"/>
        <c:lblOffset val="100"/>
        <c:noMultiLvlLbl val="0"/>
      </c:catAx>
      <c:valAx>
        <c:axId val="2435155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343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25262204724409448"/>
                  <c:y val="-4.8310367454068241E-2"/>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xVal>
            <c:numRef>
              <c:f>RANGKUMAN!$AV$35:$AV$38</c:f>
              <c:numCache>
                <c:formatCode>General</c:formatCode>
                <c:ptCount val="4"/>
                <c:pt idx="0">
                  <c:v>2011</c:v>
                </c:pt>
                <c:pt idx="1">
                  <c:v>2012</c:v>
                </c:pt>
                <c:pt idx="2">
                  <c:v>2013</c:v>
                </c:pt>
                <c:pt idx="3">
                  <c:v>2014</c:v>
                </c:pt>
              </c:numCache>
            </c:numRef>
          </c:xVal>
          <c:yVal>
            <c:numRef>
              <c:f>RANGKUMAN!$AW$35:$AW$38</c:f>
              <c:numCache>
                <c:formatCode>General</c:formatCode>
                <c:ptCount val="4"/>
                <c:pt idx="0">
                  <c:v>359275.84513268934</c:v>
                </c:pt>
                <c:pt idx="1">
                  <c:v>360811.83876152034</c:v>
                </c:pt>
                <c:pt idx="2">
                  <c:v>365378.88022511284</c:v>
                </c:pt>
                <c:pt idx="3">
                  <c:v>375184.33250906435</c:v>
                </c:pt>
              </c:numCache>
            </c:numRef>
          </c:yVal>
          <c:smooth val="0"/>
          <c:extLst>
            <c:ext xmlns:c16="http://schemas.microsoft.com/office/drawing/2014/chart" uri="{C3380CC4-5D6E-409C-BE32-E72D297353CC}">
              <c16:uniqueId val="{00000001-44B6-4275-9746-E20FC5333BAD}"/>
            </c:ext>
          </c:extLst>
        </c:ser>
        <c:dLbls>
          <c:showLegendKey val="0"/>
          <c:showVal val="0"/>
          <c:showCatName val="0"/>
          <c:showSerName val="0"/>
          <c:showPercent val="0"/>
          <c:showBubbleSize val="0"/>
        </c:dLbls>
        <c:axId val="478909968"/>
        <c:axId val="478910360"/>
      </c:scatterChart>
      <c:valAx>
        <c:axId val="478909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910360"/>
        <c:crosses val="autoZero"/>
        <c:crossBetween val="midCat"/>
      </c:valAx>
      <c:valAx>
        <c:axId val="478910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9099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RANGKUMAN!$BN$31</c:f>
              <c:strCache>
                <c:ptCount val="1"/>
                <c:pt idx="0">
                  <c:v>Aplikasi Urea</c:v>
                </c:pt>
              </c:strCache>
            </c:strRef>
          </c:tx>
          <c:spPr>
            <a:solidFill>
              <a:schemeClr val="accent1"/>
            </a:solidFill>
            <a:ln>
              <a:noFill/>
            </a:ln>
            <a:effectLst/>
          </c:spPr>
          <c:invertIfNegative val="0"/>
          <c:cat>
            <c:numRef>
              <c:f>RANGKUMAN!$BO$30:$BS$30</c:f>
              <c:numCache>
                <c:formatCode>General</c:formatCode>
                <c:ptCount val="5"/>
                <c:pt idx="0">
                  <c:v>2010</c:v>
                </c:pt>
                <c:pt idx="1">
                  <c:v>2011</c:v>
                </c:pt>
                <c:pt idx="2">
                  <c:v>2012</c:v>
                </c:pt>
                <c:pt idx="3">
                  <c:v>2013</c:v>
                </c:pt>
                <c:pt idx="4">
                  <c:v>2014</c:v>
                </c:pt>
              </c:numCache>
            </c:numRef>
          </c:cat>
          <c:val>
            <c:numRef>
              <c:f>RANGKUMAN!$BO$31:$BS$31</c:f>
              <c:numCache>
                <c:formatCode>_(* #,##0.00_);_(* \(#,##0.00\);_(* "-"??_);_(@_)</c:formatCode>
                <c:ptCount val="5"/>
                <c:pt idx="0">
                  <c:v>14403.18</c:v>
                </c:pt>
                <c:pt idx="1">
                  <c:v>14403.18</c:v>
                </c:pt>
                <c:pt idx="2">
                  <c:v>14403.18</c:v>
                </c:pt>
                <c:pt idx="3">
                  <c:v>14403.18</c:v>
                </c:pt>
                <c:pt idx="4">
                  <c:v>18412.826666666668</c:v>
                </c:pt>
              </c:numCache>
            </c:numRef>
          </c:val>
          <c:extLst>
            <c:ext xmlns:c16="http://schemas.microsoft.com/office/drawing/2014/chart" uri="{C3380CC4-5D6E-409C-BE32-E72D297353CC}">
              <c16:uniqueId val="{00000000-C94D-4693-A879-3FE7D0DA6A00}"/>
            </c:ext>
          </c:extLst>
        </c:ser>
        <c:ser>
          <c:idx val="1"/>
          <c:order val="1"/>
          <c:tx>
            <c:strRef>
              <c:f>RANGKUMAN!$BN$32</c:f>
              <c:strCache>
                <c:ptCount val="1"/>
                <c:pt idx="0">
                  <c:v>N2O langsung pengolahan tanah</c:v>
                </c:pt>
              </c:strCache>
            </c:strRef>
          </c:tx>
          <c:spPr>
            <a:solidFill>
              <a:schemeClr val="accent2"/>
            </a:solidFill>
            <a:ln>
              <a:noFill/>
            </a:ln>
            <a:effectLst/>
          </c:spPr>
          <c:invertIfNegative val="0"/>
          <c:cat>
            <c:numRef>
              <c:f>RANGKUMAN!$BO$30:$BS$30</c:f>
              <c:numCache>
                <c:formatCode>General</c:formatCode>
                <c:ptCount val="5"/>
                <c:pt idx="0">
                  <c:v>2010</c:v>
                </c:pt>
                <c:pt idx="1">
                  <c:v>2011</c:v>
                </c:pt>
                <c:pt idx="2">
                  <c:v>2012</c:v>
                </c:pt>
                <c:pt idx="3">
                  <c:v>2013</c:v>
                </c:pt>
                <c:pt idx="4">
                  <c:v>2014</c:v>
                </c:pt>
              </c:numCache>
            </c:numRef>
          </c:cat>
          <c:val>
            <c:numRef>
              <c:f>RANGKUMAN!$BO$32:$BS$32</c:f>
              <c:numCache>
                <c:formatCode>_(* #,##0.00_);_(* \(#,##0.00\);_(* "-"??_);_(@_)</c:formatCode>
                <c:ptCount val="5"/>
                <c:pt idx="0">
                  <c:v>63310.677940714297</c:v>
                </c:pt>
                <c:pt idx="1">
                  <c:v>63310.677940714297</c:v>
                </c:pt>
                <c:pt idx="2">
                  <c:v>63310.677940714297</c:v>
                </c:pt>
                <c:pt idx="3">
                  <c:v>63310.677940714297</c:v>
                </c:pt>
                <c:pt idx="4">
                  <c:v>83896.497685000024</c:v>
                </c:pt>
              </c:numCache>
            </c:numRef>
          </c:val>
          <c:extLst>
            <c:ext xmlns:c16="http://schemas.microsoft.com/office/drawing/2014/chart" uri="{C3380CC4-5D6E-409C-BE32-E72D297353CC}">
              <c16:uniqueId val="{00000001-C94D-4693-A879-3FE7D0DA6A00}"/>
            </c:ext>
          </c:extLst>
        </c:ser>
        <c:ser>
          <c:idx val="2"/>
          <c:order val="2"/>
          <c:tx>
            <c:strRef>
              <c:f>RANGKUMAN!$BN$33</c:f>
              <c:strCache>
                <c:ptCount val="1"/>
                <c:pt idx="0">
                  <c:v>Budidaya Padi</c:v>
                </c:pt>
              </c:strCache>
            </c:strRef>
          </c:tx>
          <c:spPr>
            <a:solidFill>
              <a:schemeClr val="accent3"/>
            </a:solidFill>
            <a:ln>
              <a:noFill/>
            </a:ln>
            <a:effectLst/>
          </c:spPr>
          <c:invertIfNegative val="0"/>
          <c:cat>
            <c:numRef>
              <c:f>RANGKUMAN!$BO$30:$BS$30</c:f>
              <c:numCache>
                <c:formatCode>General</c:formatCode>
                <c:ptCount val="5"/>
                <c:pt idx="0">
                  <c:v>2010</c:v>
                </c:pt>
                <c:pt idx="1">
                  <c:v>2011</c:v>
                </c:pt>
                <c:pt idx="2">
                  <c:v>2012</c:v>
                </c:pt>
                <c:pt idx="3">
                  <c:v>2013</c:v>
                </c:pt>
                <c:pt idx="4">
                  <c:v>2014</c:v>
                </c:pt>
              </c:numCache>
            </c:numRef>
          </c:cat>
          <c:val>
            <c:numRef>
              <c:f>RANGKUMAN!$BO$33:$BS$33</c:f>
              <c:numCache>
                <c:formatCode>_(* #,##0.00_);_(* \(#,##0.00\);_(* "-"??_);_(@_)</c:formatCode>
                <c:ptCount val="5"/>
                <c:pt idx="0">
                  <c:v>240389.88575467726</c:v>
                </c:pt>
                <c:pt idx="1">
                  <c:v>213431.08769664564</c:v>
                </c:pt>
                <c:pt idx="2">
                  <c:v>213934.05522325399</c:v>
                </c:pt>
                <c:pt idx="3">
                  <c:v>223091.89687597755</c:v>
                </c:pt>
                <c:pt idx="4">
                  <c:v>212064.97599803147</c:v>
                </c:pt>
              </c:numCache>
            </c:numRef>
          </c:val>
          <c:extLst>
            <c:ext xmlns:c16="http://schemas.microsoft.com/office/drawing/2014/chart" uri="{C3380CC4-5D6E-409C-BE32-E72D297353CC}">
              <c16:uniqueId val="{00000002-C94D-4693-A879-3FE7D0DA6A00}"/>
            </c:ext>
          </c:extLst>
        </c:ser>
        <c:dLbls>
          <c:showLegendKey val="0"/>
          <c:showVal val="0"/>
          <c:showCatName val="0"/>
          <c:showSerName val="0"/>
          <c:showPercent val="0"/>
          <c:showBubbleSize val="0"/>
        </c:dLbls>
        <c:gapWidth val="219"/>
        <c:overlap val="100"/>
        <c:axId val="478911144"/>
        <c:axId val="478911536"/>
      </c:barChart>
      <c:lineChart>
        <c:grouping val="stacked"/>
        <c:varyColors val="0"/>
        <c:ser>
          <c:idx val="3"/>
          <c:order val="3"/>
          <c:tx>
            <c:strRef>
              <c:f>RANGKUMAN!$BN$34</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Lbl>
              <c:idx val="0"/>
              <c:layout>
                <c:manualLayout>
                  <c:x val="4.2906941937785612E-3"/>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4D-4693-A879-3FE7D0DA6A00}"/>
                </c:ext>
              </c:extLst>
            </c:dLbl>
            <c:dLbl>
              <c:idx val="1"/>
              <c:layout>
                <c:manualLayout>
                  <c:x val="0"/>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94D-4693-A879-3FE7D0DA6A00}"/>
                </c:ext>
              </c:extLst>
            </c:dLbl>
            <c:dLbl>
              <c:idx val="2"/>
              <c:layout>
                <c:manualLayout>
                  <c:x val="4.2906941937784823E-3"/>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4D-4693-A879-3FE7D0DA6A00}"/>
                </c:ext>
              </c:extLst>
            </c:dLbl>
            <c:dLbl>
              <c:idx val="3"/>
              <c:layout>
                <c:manualLayout>
                  <c:x val="1.5732363635580843E-16"/>
                  <c:y val="-3.70370370370370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94D-4693-A879-3FE7D0DA6A00}"/>
                </c:ext>
              </c:extLst>
            </c:dLbl>
            <c:dLbl>
              <c:idx val="4"/>
              <c:layout>
                <c:manualLayout>
                  <c:x val="0"/>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94D-4693-A879-3FE7D0DA6A0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RANGKUMAN!$BO$30:$BS$30</c:f>
              <c:numCache>
                <c:formatCode>General</c:formatCode>
                <c:ptCount val="5"/>
                <c:pt idx="0">
                  <c:v>2010</c:v>
                </c:pt>
                <c:pt idx="1">
                  <c:v>2011</c:v>
                </c:pt>
                <c:pt idx="2">
                  <c:v>2012</c:v>
                </c:pt>
                <c:pt idx="3">
                  <c:v>2013</c:v>
                </c:pt>
                <c:pt idx="4">
                  <c:v>2014</c:v>
                </c:pt>
              </c:numCache>
            </c:numRef>
          </c:cat>
          <c:val>
            <c:numRef>
              <c:f>RANGKUMAN!$BO$34:$BS$34</c:f>
              <c:numCache>
                <c:formatCode>_(* #,##0.00_);_(* \(#,##0.00\);_(* "-"??_);_(@_)</c:formatCode>
                <c:ptCount val="5"/>
                <c:pt idx="0">
                  <c:v>318103.74369539157</c:v>
                </c:pt>
                <c:pt idx="1">
                  <c:v>291144.94563735992</c:v>
                </c:pt>
                <c:pt idx="2">
                  <c:v>291647.9131639683</c:v>
                </c:pt>
                <c:pt idx="3">
                  <c:v>300805.75481669186</c:v>
                </c:pt>
                <c:pt idx="4">
                  <c:v>314374.30034969817</c:v>
                </c:pt>
              </c:numCache>
            </c:numRef>
          </c:val>
          <c:smooth val="0"/>
          <c:extLst>
            <c:ext xmlns:c16="http://schemas.microsoft.com/office/drawing/2014/chart" uri="{C3380CC4-5D6E-409C-BE32-E72D297353CC}">
              <c16:uniqueId val="{00000008-C94D-4693-A879-3FE7D0DA6A00}"/>
            </c:ext>
          </c:extLst>
        </c:ser>
        <c:dLbls>
          <c:showLegendKey val="0"/>
          <c:showVal val="0"/>
          <c:showCatName val="0"/>
          <c:showSerName val="0"/>
          <c:showPercent val="0"/>
          <c:showBubbleSize val="0"/>
        </c:dLbls>
        <c:marker val="1"/>
        <c:smooth val="0"/>
        <c:axId val="478911144"/>
        <c:axId val="478911536"/>
      </c:lineChart>
      <c:catAx>
        <c:axId val="478911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911536"/>
        <c:crosses val="autoZero"/>
        <c:auto val="1"/>
        <c:lblAlgn val="ctr"/>
        <c:lblOffset val="100"/>
        <c:noMultiLvlLbl val="0"/>
      </c:catAx>
      <c:valAx>
        <c:axId val="4789115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911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Sheet1!$C$12</c:f>
              <c:strCache>
                <c:ptCount val="1"/>
                <c:pt idx="0">
                  <c:v> Fermentasi Enterik </c:v>
                </c:pt>
              </c:strCache>
            </c:strRef>
          </c:tx>
          <c:spPr>
            <a:solidFill>
              <a:schemeClr val="accent1"/>
            </a:solidFill>
            <a:ln>
              <a:noFill/>
            </a:ln>
            <a:effectLst/>
          </c:spPr>
          <c:invertIfNegative val="0"/>
          <c:cat>
            <c:numRef>
              <c:f>Sheet1!$B$13:$B$33</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Sheet1!$C$13:$C$33</c:f>
              <c:numCache>
                <c:formatCode>_(* #,##0.00_);_(* \(#,##0.00\);_(* "-"??_);_(@_)</c:formatCode>
                <c:ptCount val="21"/>
                <c:pt idx="0">
                  <c:v>50723.02199999999</c:v>
                </c:pt>
                <c:pt idx="1">
                  <c:v>49549.332000000002</c:v>
                </c:pt>
                <c:pt idx="2">
                  <c:v>50292.9</c:v>
                </c:pt>
                <c:pt idx="3">
                  <c:v>47425.349999999991</c:v>
                </c:pt>
                <c:pt idx="4">
                  <c:v>44747.493000000002</c:v>
                </c:pt>
                <c:pt idx="5">
                  <c:v>44760.817500000012</c:v>
                </c:pt>
                <c:pt idx="6">
                  <c:v>44774.221947000005</c:v>
                </c:pt>
                <c:pt idx="7">
                  <c:v>44787.706820682004</c:v>
                </c:pt>
                <c:pt idx="8">
                  <c:v>44801.272603606085</c:v>
                </c:pt>
                <c:pt idx="9">
                  <c:v>44814.919781227727</c:v>
                </c:pt>
                <c:pt idx="10">
                  <c:v>44828.648841915099</c:v>
                </c:pt>
                <c:pt idx="11">
                  <c:v>44842.460276966587</c:v>
                </c:pt>
                <c:pt idx="12">
                  <c:v>44856.354580628387</c:v>
                </c:pt>
                <c:pt idx="13">
                  <c:v>44870.332250112158</c:v>
                </c:pt>
                <c:pt idx="14">
                  <c:v>44884.393785612832</c:v>
                </c:pt>
                <c:pt idx="15">
                  <c:v>44898.539690326506</c:v>
                </c:pt>
                <c:pt idx="16">
                  <c:v>44912.770470468466</c:v>
                </c:pt>
                <c:pt idx="17">
                  <c:v>44927.086635291278</c:v>
                </c:pt>
                <c:pt idx="18">
                  <c:v>44941.488697103028</c:v>
                </c:pt>
                <c:pt idx="19">
                  <c:v>44955.977171285638</c:v>
                </c:pt>
                <c:pt idx="20">
                  <c:v>44970.552576313363</c:v>
                </c:pt>
              </c:numCache>
            </c:numRef>
          </c:val>
          <c:extLst>
            <c:ext xmlns:c16="http://schemas.microsoft.com/office/drawing/2014/chart" uri="{C3380CC4-5D6E-409C-BE32-E72D297353CC}">
              <c16:uniqueId val="{00000000-0C1A-42BC-9D19-31C45D03A805}"/>
            </c:ext>
          </c:extLst>
        </c:ser>
        <c:ser>
          <c:idx val="1"/>
          <c:order val="1"/>
          <c:tx>
            <c:strRef>
              <c:f>Sheet1!$D$12</c:f>
              <c:strCache>
                <c:ptCount val="1"/>
                <c:pt idx="0">
                  <c:v> Pengelolaan Limbah Ternak </c:v>
                </c:pt>
              </c:strCache>
            </c:strRef>
          </c:tx>
          <c:spPr>
            <a:solidFill>
              <a:schemeClr val="accent2"/>
            </a:solidFill>
            <a:ln>
              <a:noFill/>
            </a:ln>
            <a:effectLst/>
          </c:spPr>
          <c:invertIfNegative val="0"/>
          <c:cat>
            <c:numRef>
              <c:f>Sheet1!$B$13:$B$33</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Sheet1!$D$13:$D$33</c:f>
              <c:numCache>
                <c:formatCode>_(* #,##0.00_);_(* \(#,##0.00\);_(* "-"??_);_(@_)</c:formatCode>
                <c:ptCount val="21"/>
                <c:pt idx="0">
                  <c:v>18754.382782945937</c:v>
                </c:pt>
                <c:pt idx="1">
                  <c:v>18581.56749532944</c:v>
                </c:pt>
                <c:pt idx="2">
                  <c:v>18871.025597552041</c:v>
                </c:pt>
                <c:pt idx="3">
                  <c:v>17147.77540842101</c:v>
                </c:pt>
                <c:pt idx="4">
                  <c:v>16062.539159366175</c:v>
                </c:pt>
                <c:pt idx="5">
                  <c:v>16090.771722117675</c:v>
                </c:pt>
                <c:pt idx="6">
                  <c:v>16119.173680245687</c:v>
                </c:pt>
                <c:pt idx="7">
                  <c:v>16147.746050122463</c:v>
                </c:pt>
                <c:pt idx="8">
                  <c:v>16176.489854218502</c:v>
                </c:pt>
                <c:pt idx="9">
                  <c:v>16205.40612113912</c:v>
                </c:pt>
                <c:pt idx="10">
                  <c:v>16234.495885661257</c:v>
                </c:pt>
                <c:pt idx="11">
                  <c:v>16260.154593012167</c:v>
                </c:pt>
                <c:pt idx="12">
                  <c:v>16285.967252607183</c:v>
                </c:pt>
                <c:pt idx="13">
                  <c:v>16311.934788159768</c:v>
                </c:pt>
                <c:pt idx="14">
                  <c:v>16338.058128925666</c:v>
                </c:pt>
                <c:pt idx="15">
                  <c:v>16364.338209736165</c:v>
                </c:pt>
                <c:pt idx="16">
                  <c:v>16390.775971031522</c:v>
                </c:pt>
                <c:pt idx="17">
                  <c:v>16417.372358894649</c:v>
                </c:pt>
                <c:pt idx="18">
                  <c:v>16444.128325084966</c:v>
                </c:pt>
                <c:pt idx="19">
                  <c:v>16471.044827072416</c:v>
                </c:pt>
                <c:pt idx="20">
                  <c:v>16498.122828071791</c:v>
                </c:pt>
              </c:numCache>
            </c:numRef>
          </c:val>
          <c:extLst>
            <c:ext xmlns:c16="http://schemas.microsoft.com/office/drawing/2014/chart" uri="{C3380CC4-5D6E-409C-BE32-E72D297353CC}">
              <c16:uniqueId val="{00000001-0C1A-42BC-9D19-31C45D03A805}"/>
            </c:ext>
          </c:extLst>
        </c:ser>
        <c:ser>
          <c:idx val="2"/>
          <c:order val="2"/>
          <c:tx>
            <c:strRef>
              <c:f>Sheet1!$E$12</c:f>
              <c:strCache>
                <c:ptCount val="1"/>
                <c:pt idx="0">
                  <c:v> Aplikasi Urea </c:v>
                </c:pt>
              </c:strCache>
            </c:strRef>
          </c:tx>
          <c:spPr>
            <a:solidFill>
              <a:schemeClr val="accent3"/>
            </a:solidFill>
            <a:ln>
              <a:noFill/>
            </a:ln>
            <a:effectLst/>
          </c:spPr>
          <c:invertIfNegative val="0"/>
          <c:cat>
            <c:numRef>
              <c:f>Sheet1!$B$13:$B$33</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Sheet1!$E$13:$E$33</c:f>
              <c:numCache>
                <c:formatCode>_(* #,##0.00_);_(* \(#,##0.00\);_(* "-"??_);_(@_)</c:formatCode>
                <c:ptCount val="21"/>
                <c:pt idx="0">
                  <c:v>14403.18</c:v>
                </c:pt>
                <c:pt idx="1">
                  <c:v>14403.18</c:v>
                </c:pt>
                <c:pt idx="2">
                  <c:v>14403.18</c:v>
                </c:pt>
                <c:pt idx="3">
                  <c:v>14403.18</c:v>
                </c:pt>
                <c:pt idx="4">
                  <c:v>18412.826666666668</c:v>
                </c:pt>
                <c:pt idx="5">
                  <c:v>14556.593333333336</c:v>
                </c:pt>
                <c:pt idx="6">
                  <c:v>19156.704864000003</c:v>
                </c:pt>
                <c:pt idx="7">
                  <c:v>19539.838961280002</c:v>
                </c:pt>
                <c:pt idx="8">
                  <c:v>19930.635740505601</c:v>
                </c:pt>
                <c:pt idx="9">
                  <c:v>20329.248455315716</c:v>
                </c:pt>
                <c:pt idx="10">
                  <c:v>20735.833424422028</c:v>
                </c:pt>
                <c:pt idx="11">
                  <c:v>21150.550092910471</c:v>
                </c:pt>
                <c:pt idx="12">
                  <c:v>21573.56109476868</c:v>
                </c:pt>
                <c:pt idx="13">
                  <c:v>22005.032316664048</c:v>
                </c:pt>
                <c:pt idx="14">
                  <c:v>22005.032316664048</c:v>
                </c:pt>
                <c:pt idx="15">
                  <c:v>22005.032316664048</c:v>
                </c:pt>
                <c:pt idx="16">
                  <c:v>22005.032316664048</c:v>
                </c:pt>
                <c:pt idx="17">
                  <c:v>22005.032316664048</c:v>
                </c:pt>
                <c:pt idx="18">
                  <c:v>22005.032316664048</c:v>
                </c:pt>
                <c:pt idx="19">
                  <c:v>22005.032316664048</c:v>
                </c:pt>
                <c:pt idx="20">
                  <c:v>22005.032316664048</c:v>
                </c:pt>
              </c:numCache>
            </c:numRef>
          </c:val>
          <c:extLst>
            <c:ext xmlns:c16="http://schemas.microsoft.com/office/drawing/2014/chart" uri="{C3380CC4-5D6E-409C-BE32-E72D297353CC}">
              <c16:uniqueId val="{00000002-0C1A-42BC-9D19-31C45D03A805}"/>
            </c:ext>
          </c:extLst>
        </c:ser>
        <c:ser>
          <c:idx val="3"/>
          <c:order val="3"/>
          <c:tx>
            <c:strRef>
              <c:f>Sheet1!$F$12</c:f>
              <c:strCache>
                <c:ptCount val="1"/>
                <c:pt idx="0">
                  <c:v> N2O dari Pengolahan Tanah </c:v>
                </c:pt>
              </c:strCache>
            </c:strRef>
          </c:tx>
          <c:spPr>
            <a:solidFill>
              <a:schemeClr val="accent4"/>
            </a:solidFill>
            <a:ln>
              <a:noFill/>
            </a:ln>
            <a:effectLst/>
          </c:spPr>
          <c:invertIfNegative val="0"/>
          <c:cat>
            <c:numRef>
              <c:f>Sheet1!$B$13:$B$33</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Sheet1!$F$13:$F$33</c:f>
              <c:numCache>
                <c:formatCode>_(* #,##0.00_);_(* \(#,##0.00\);_(* "-"??_);_(@_)</c:formatCode>
                <c:ptCount val="21"/>
                <c:pt idx="0">
                  <c:v>63310.677940714297</c:v>
                </c:pt>
                <c:pt idx="1">
                  <c:v>63310.677940714297</c:v>
                </c:pt>
                <c:pt idx="2">
                  <c:v>63310.677940714297</c:v>
                </c:pt>
                <c:pt idx="3">
                  <c:v>63310.677940714297</c:v>
                </c:pt>
                <c:pt idx="4">
                  <c:v>83896.497685000024</c:v>
                </c:pt>
                <c:pt idx="5">
                  <c:v>64023.168699285707</c:v>
                </c:pt>
                <c:pt idx="6">
                  <c:v>62634.791275331794</c:v>
                </c:pt>
                <c:pt idx="7">
                  <c:v>63857.515904481283</c:v>
                </c:pt>
                <c:pt idx="8">
                  <c:v>65104.695026213762</c:v>
                </c:pt>
                <c:pt idx="9">
                  <c:v>66376.817730380921</c:v>
                </c:pt>
                <c:pt idx="10">
                  <c:v>67674.382888631371</c:v>
                </c:pt>
                <c:pt idx="11">
                  <c:v>68997.89935004685</c:v>
                </c:pt>
                <c:pt idx="12">
                  <c:v>70347.886140690665</c:v>
                </c:pt>
                <c:pt idx="13">
                  <c:v>71724.872667147341</c:v>
                </c:pt>
                <c:pt idx="14">
                  <c:v>71724.872667147341</c:v>
                </c:pt>
                <c:pt idx="15">
                  <c:v>71724.872667147341</c:v>
                </c:pt>
                <c:pt idx="16">
                  <c:v>71724.872667147341</c:v>
                </c:pt>
                <c:pt idx="17">
                  <c:v>71724.872667147341</c:v>
                </c:pt>
                <c:pt idx="18">
                  <c:v>71724.872667147341</c:v>
                </c:pt>
                <c:pt idx="19">
                  <c:v>71724.872667147341</c:v>
                </c:pt>
                <c:pt idx="20">
                  <c:v>71724.872667147341</c:v>
                </c:pt>
              </c:numCache>
            </c:numRef>
          </c:val>
          <c:extLst>
            <c:ext xmlns:c16="http://schemas.microsoft.com/office/drawing/2014/chart" uri="{C3380CC4-5D6E-409C-BE32-E72D297353CC}">
              <c16:uniqueId val="{00000003-0C1A-42BC-9D19-31C45D03A805}"/>
            </c:ext>
          </c:extLst>
        </c:ser>
        <c:ser>
          <c:idx val="4"/>
          <c:order val="4"/>
          <c:tx>
            <c:strRef>
              <c:f>Sheet1!$G$12</c:f>
              <c:strCache>
                <c:ptCount val="1"/>
                <c:pt idx="0">
                  <c:v> Budidaya Padi </c:v>
                </c:pt>
              </c:strCache>
            </c:strRef>
          </c:tx>
          <c:spPr>
            <a:solidFill>
              <a:schemeClr val="accent5"/>
            </a:solidFill>
            <a:ln>
              <a:noFill/>
            </a:ln>
            <a:effectLst/>
          </c:spPr>
          <c:invertIfNegative val="0"/>
          <c:cat>
            <c:numRef>
              <c:f>Sheet1!$B$13:$B$33</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Sheet1!$G$13:$G$33</c:f>
              <c:numCache>
                <c:formatCode>_(* #,##0.00_);_(* \(#,##0.00\);_(* "-"??_);_(@_)</c:formatCode>
                <c:ptCount val="21"/>
                <c:pt idx="0">
                  <c:v>240389.88575467726</c:v>
                </c:pt>
                <c:pt idx="1">
                  <c:v>213431.08769664564</c:v>
                </c:pt>
                <c:pt idx="2">
                  <c:v>213934.05522325399</c:v>
                </c:pt>
                <c:pt idx="3">
                  <c:v>223091.89687597755</c:v>
                </c:pt>
                <c:pt idx="4">
                  <c:v>212064.97599803147</c:v>
                </c:pt>
                <c:pt idx="5">
                  <c:v>227745.84102417971</c:v>
                </c:pt>
                <c:pt idx="6">
                  <c:v>232285.91932097194</c:v>
                </c:pt>
                <c:pt idx="7">
                  <c:v>236914.94184069434</c:v>
                </c:pt>
                <c:pt idx="8">
                  <c:v>241634.66103621968</c:v>
                </c:pt>
                <c:pt idx="9">
                  <c:v>246446.86400855926</c:v>
                </c:pt>
                <c:pt idx="10">
                  <c:v>251353.37319387356</c:v>
                </c:pt>
                <c:pt idx="11">
                  <c:v>256356.04706413471</c:v>
                </c:pt>
                <c:pt idx="12">
                  <c:v>261456.78084171095</c:v>
                </c:pt>
                <c:pt idx="13">
                  <c:v>265816.31635361508</c:v>
                </c:pt>
                <c:pt idx="14">
                  <c:v>265686.66060369689</c:v>
                </c:pt>
                <c:pt idx="15">
                  <c:v>265557.6499072609</c:v>
                </c:pt>
                <c:pt idx="16">
                  <c:v>265429.28105508571</c:v>
                </c:pt>
                <c:pt idx="17">
                  <c:v>265301.55085391633</c:v>
                </c:pt>
                <c:pt idx="18">
                  <c:v>265174.45612638479</c:v>
                </c:pt>
                <c:pt idx="19">
                  <c:v>265047.99371093034</c:v>
                </c:pt>
                <c:pt idx="20">
                  <c:v>264922.160461722</c:v>
                </c:pt>
              </c:numCache>
            </c:numRef>
          </c:val>
          <c:extLst>
            <c:ext xmlns:c16="http://schemas.microsoft.com/office/drawing/2014/chart" uri="{C3380CC4-5D6E-409C-BE32-E72D297353CC}">
              <c16:uniqueId val="{00000004-0C1A-42BC-9D19-31C45D03A805}"/>
            </c:ext>
          </c:extLst>
        </c:ser>
        <c:dLbls>
          <c:showLegendKey val="0"/>
          <c:showVal val="0"/>
          <c:showCatName val="0"/>
          <c:showSerName val="0"/>
          <c:showPercent val="0"/>
          <c:showBubbleSize val="0"/>
        </c:dLbls>
        <c:gapWidth val="219"/>
        <c:overlap val="100"/>
        <c:axId val="478912320"/>
        <c:axId val="478912712"/>
      </c:barChart>
      <c:lineChart>
        <c:grouping val="standard"/>
        <c:varyColors val="0"/>
        <c:ser>
          <c:idx val="5"/>
          <c:order val="5"/>
          <c:tx>
            <c:strRef>
              <c:f>Sheet1!$H$12</c:f>
              <c:strCache>
                <c:ptCount val="1"/>
                <c:pt idx="0">
                  <c:v> TOTAL </c:v>
                </c:pt>
              </c:strCache>
            </c:strRef>
          </c:tx>
          <c:spPr>
            <a:ln w="28575" cap="rnd">
              <a:solidFill>
                <a:schemeClr val="accent6"/>
              </a:solidFill>
              <a:round/>
            </a:ln>
            <a:effectLst/>
          </c:spPr>
          <c:marker>
            <c:symbol val="circle"/>
            <c:size val="5"/>
            <c:spPr>
              <a:solidFill>
                <a:schemeClr val="tx2"/>
              </a:solidFill>
              <a:ln w="9525">
                <a:solidFill>
                  <a:schemeClr val="tx2"/>
                </a:solidFill>
              </a:ln>
              <a:effectLst/>
            </c:spPr>
          </c:marker>
          <c:cat>
            <c:numRef>
              <c:f>Sheet1!$B$13:$B$33</c:f>
              <c:numCache>
                <c:formatCode>General</c:formatCode>
                <c:ptCount val="2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numCache>
            </c:numRef>
          </c:cat>
          <c:val>
            <c:numRef>
              <c:f>Sheet1!$H$13:$H$33</c:f>
              <c:numCache>
                <c:formatCode>_(* #,##0.00_);_(* \(#,##0.00\);_(* "-"??_);_(@_)</c:formatCode>
                <c:ptCount val="21"/>
                <c:pt idx="0">
                  <c:v>389591.14847833745</c:v>
                </c:pt>
                <c:pt idx="1">
                  <c:v>361286.84513268934</c:v>
                </c:pt>
                <c:pt idx="2">
                  <c:v>362823.83876152034</c:v>
                </c:pt>
                <c:pt idx="3">
                  <c:v>367391.88022511284</c:v>
                </c:pt>
                <c:pt idx="4">
                  <c:v>377198.33250906435</c:v>
                </c:pt>
                <c:pt idx="5">
                  <c:v>369192.19227891648</c:v>
                </c:pt>
                <c:pt idx="6">
                  <c:v>376986.81108754943</c:v>
                </c:pt>
                <c:pt idx="7">
                  <c:v>383264.74957726011</c:v>
                </c:pt>
                <c:pt idx="8">
                  <c:v>389665.75426076364</c:v>
                </c:pt>
                <c:pt idx="9">
                  <c:v>396192.25609662273</c:v>
                </c:pt>
                <c:pt idx="10">
                  <c:v>402846.7342345033</c:v>
                </c:pt>
                <c:pt idx="11">
                  <c:v>409628.11137707077</c:v>
                </c:pt>
                <c:pt idx="12">
                  <c:v>416542.54991040588</c:v>
                </c:pt>
                <c:pt idx="13">
                  <c:v>422751.48837569839</c:v>
                </c:pt>
                <c:pt idx="14">
                  <c:v>422663.01750204677</c:v>
                </c:pt>
                <c:pt idx="15">
                  <c:v>422575.43279113492</c:v>
                </c:pt>
                <c:pt idx="16">
                  <c:v>422488.7324803971</c:v>
                </c:pt>
                <c:pt idx="17">
                  <c:v>422402.91483191366</c:v>
                </c:pt>
                <c:pt idx="18">
                  <c:v>422317.97813238419</c:v>
                </c:pt>
                <c:pt idx="19">
                  <c:v>422233.92069309979</c:v>
                </c:pt>
                <c:pt idx="20">
                  <c:v>422150.74084991857</c:v>
                </c:pt>
              </c:numCache>
            </c:numRef>
          </c:val>
          <c:smooth val="0"/>
          <c:extLst>
            <c:ext xmlns:c16="http://schemas.microsoft.com/office/drawing/2014/chart" uri="{C3380CC4-5D6E-409C-BE32-E72D297353CC}">
              <c16:uniqueId val="{00000005-0C1A-42BC-9D19-31C45D03A805}"/>
            </c:ext>
          </c:extLst>
        </c:ser>
        <c:dLbls>
          <c:showLegendKey val="0"/>
          <c:showVal val="0"/>
          <c:showCatName val="0"/>
          <c:showSerName val="0"/>
          <c:showPercent val="0"/>
          <c:showBubbleSize val="0"/>
        </c:dLbls>
        <c:marker val="1"/>
        <c:smooth val="0"/>
        <c:axId val="478912320"/>
        <c:axId val="478912712"/>
      </c:lineChart>
      <c:catAx>
        <c:axId val="47891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912712"/>
        <c:crosses val="autoZero"/>
        <c:auto val="1"/>
        <c:lblAlgn val="ctr"/>
        <c:lblOffset val="100"/>
        <c:noMultiLvlLbl val="0"/>
      </c:catAx>
      <c:valAx>
        <c:axId val="4789127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912320"/>
        <c:crosses val="autoZero"/>
        <c:crossBetween val="between"/>
      </c:valAx>
      <c:spPr>
        <a:noFill/>
        <a:ln>
          <a:noFill/>
        </a:ln>
        <a:effectLst/>
      </c:spPr>
    </c:plotArea>
    <c:legend>
      <c:legendPos val="b"/>
      <c:layout>
        <c:manualLayout>
          <c:xMode val="edge"/>
          <c:yMode val="edge"/>
          <c:x val="0.13911211742309035"/>
          <c:y val="0.86525678233158487"/>
          <c:w val="0.83431749142945111"/>
          <c:h val="0.113607157191544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8.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27</xdr:row>
      <xdr:rowOff>28575</xdr:rowOff>
    </xdr:from>
    <xdr:to>
      <xdr:col>7</xdr:col>
      <xdr:colOff>247650</xdr:colOff>
      <xdr:row>48</xdr:row>
      <xdr:rowOff>9525</xdr:rowOff>
    </xdr:to>
    <xdr:pic>
      <xdr:nvPicPr>
        <xdr:cNvPr id="1037" name="Picture 2">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28600" y="5553075"/>
          <a:ext cx="6210300"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23</xdr:row>
      <xdr:rowOff>28575</xdr:rowOff>
    </xdr:from>
    <xdr:to>
      <xdr:col>8</xdr:col>
      <xdr:colOff>430742</xdr:colOff>
      <xdr:row>51</xdr:row>
      <xdr:rowOff>9525</xdr:rowOff>
    </xdr:to>
    <xdr:pic>
      <xdr:nvPicPr>
        <xdr:cNvPr id="5140" name="Picture 10">
          <a:extLst>
            <a:ext uri="{FF2B5EF4-FFF2-40B4-BE49-F238E27FC236}">
              <a16:creationId xmlns:a16="http://schemas.microsoft.com/office/drawing/2014/main" id="{00000000-0008-0000-0200-0000141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550" y="5553075"/>
          <a:ext cx="7098242" cy="5343525"/>
        </a:xfrm>
        <a:prstGeom prst="rect">
          <a:avLst/>
        </a:prstGeom>
        <a:noFill/>
        <a:ln w="9525">
          <a:noFill/>
          <a:miter lim="800000"/>
          <a:headEnd/>
          <a:tailEnd/>
        </a:ln>
      </xdr:spPr>
    </xdr:pic>
    <xdr:clientData/>
  </xdr:twoCellAnchor>
  <xdr:twoCellAnchor>
    <xdr:from>
      <xdr:col>63</xdr:col>
      <xdr:colOff>710141</xdr:colOff>
      <xdr:row>23</xdr:row>
      <xdr:rowOff>10584</xdr:rowOff>
    </xdr:from>
    <xdr:to>
      <xdr:col>72</xdr:col>
      <xdr:colOff>10583</xdr:colOff>
      <xdr:row>40</xdr:row>
      <xdr:rowOff>85724</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9</xdr:col>
      <xdr:colOff>133348</xdr:colOff>
      <xdr:row>42</xdr:row>
      <xdr:rowOff>342900</xdr:rowOff>
    </xdr:from>
    <xdr:to>
      <xdr:col>19</xdr:col>
      <xdr:colOff>533399</xdr:colOff>
      <xdr:row>49</xdr:row>
      <xdr:rowOff>571500</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8362948" y="89630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166688</xdr:colOff>
      <xdr:row>42</xdr:row>
      <xdr:rowOff>79375</xdr:rowOff>
    </xdr:from>
    <xdr:to>
      <xdr:col>8</xdr:col>
      <xdr:colOff>479425</xdr:colOff>
      <xdr:row>63</xdr:row>
      <xdr:rowOff>58737</xdr:rowOff>
    </xdr:to>
    <xdr:pic>
      <xdr:nvPicPr>
        <xdr:cNvPr id="2119" name="Picture 62">
          <a:extLst>
            <a:ext uri="{FF2B5EF4-FFF2-40B4-BE49-F238E27FC236}">
              <a16:creationId xmlns:a16="http://schemas.microsoft.com/office/drawing/2014/main" id="{00000000-0008-0000-0400-000047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6688" y="8778875"/>
          <a:ext cx="6805612" cy="3813175"/>
        </a:xfrm>
        <a:prstGeom prst="rect">
          <a:avLst/>
        </a:prstGeom>
        <a:noFill/>
        <a:ln w="9525">
          <a:noFill/>
          <a:miter lim="800000"/>
          <a:headEnd/>
          <a:tailEnd/>
        </a:ln>
      </xdr:spPr>
    </xdr:pic>
    <xdr:clientData/>
  </xdr:twoCellAnchor>
  <xdr:twoCellAnchor>
    <xdr:from>
      <xdr:col>5</xdr:col>
      <xdr:colOff>381000</xdr:colOff>
      <xdr:row>0</xdr:row>
      <xdr:rowOff>57150</xdr:rowOff>
    </xdr:from>
    <xdr:to>
      <xdr:col>7</xdr:col>
      <xdr:colOff>573882</xdr:colOff>
      <xdr:row>3</xdr:row>
      <xdr:rowOff>38100</xdr:rowOff>
    </xdr:to>
    <xdr:sp macro="" textlink="">
      <xdr:nvSpPr>
        <xdr:cNvPr id="3" name="Rounded Rectangular Callout 2">
          <a:extLst>
            <a:ext uri="{FF2B5EF4-FFF2-40B4-BE49-F238E27FC236}">
              <a16:creationId xmlns:a16="http://schemas.microsoft.com/office/drawing/2014/main" id="{00000000-0008-0000-0400-000003000000}"/>
            </a:ext>
          </a:extLst>
        </xdr:cNvPr>
        <xdr:cNvSpPr/>
      </xdr:nvSpPr>
      <xdr:spPr>
        <a:xfrm>
          <a:off x="3571875" y="57150"/>
          <a:ext cx="2488407" cy="590550"/>
        </a:xfrm>
        <a:prstGeom prst="wedgeRoundRectCallout">
          <a:avLst>
            <a:gd name="adj1" fmla="val -111359"/>
            <a:gd name="adj2" fmla="val 449625"/>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1600"/>
            <a:t>Data</a:t>
          </a:r>
          <a:r>
            <a:rPr lang="id-ID" sz="1600" baseline="0"/>
            <a:t> dari sheet data sawah</a:t>
          </a:r>
          <a:endParaRPr lang="id-ID" sz="16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123825</xdr:colOff>
      <xdr:row>34</xdr:row>
      <xdr:rowOff>28575</xdr:rowOff>
    </xdr:from>
    <xdr:to>
      <xdr:col>4</xdr:col>
      <xdr:colOff>923925</xdr:colOff>
      <xdr:row>50</xdr:row>
      <xdr:rowOff>123825</xdr:rowOff>
    </xdr:to>
    <xdr:pic>
      <xdr:nvPicPr>
        <xdr:cNvPr id="7178" name="Picture 1">
          <a:extLst>
            <a:ext uri="{FF2B5EF4-FFF2-40B4-BE49-F238E27FC236}">
              <a16:creationId xmlns:a16="http://schemas.microsoft.com/office/drawing/2014/main" id="{00000000-0008-0000-0600-00000A1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3743325"/>
          <a:ext cx="5067300" cy="31432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43</xdr:row>
      <xdr:rowOff>123825</xdr:rowOff>
    </xdr:from>
    <xdr:to>
      <xdr:col>6</xdr:col>
      <xdr:colOff>1085850</xdr:colOff>
      <xdr:row>65</xdr:row>
      <xdr:rowOff>133350</xdr:rowOff>
    </xdr:to>
    <xdr:pic>
      <xdr:nvPicPr>
        <xdr:cNvPr id="3160" name="Picture 79">
          <a:extLst>
            <a:ext uri="{FF2B5EF4-FFF2-40B4-BE49-F238E27FC236}">
              <a16:creationId xmlns:a16="http://schemas.microsoft.com/office/drawing/2014/main" id="{00000000-0008-0000-0700-0000580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50</xdr:col>
      <xdr:colOff>273843</xdr:colOff>
      <xdr:row>1</xdr:row>
      <xdr:rowOff>119062</xdr:rowOff>
    </xdr:from>
    <xdr:to>
      <xdr:col>53</xdr:col>
      <xdr:colOff>238125</xdr:colOff>
      <xdr:row>7</xdr:row>
      <xdr:rowOff>0</xdr:rowOff>
    </xdr:to>
    <xdr:sp macro="" textlink="">
      <xdr:nvSpPr>
        <xdr:cNvPr id="2" name="Rounded Rectangular Callout 1">
          <a:extLst>
            <a:ext uri="{FF2B5EF4-FFF2-40B4-BE49-F238E27FC236}">
              <a16:creationId xmlns:a16="http://schemas.microsoft.com/office/drawing/2014/main" id="{00000000-0008-0000-0800-000002000000}"/>
            </a:ext>
          </a:extLst>
        </xdr:cNvPr>
        <xdr:cNvSpPr/>
      </xdr:nvSpPr>
      <xdr:spPr>
        <a:xfrm>
          <a:off x="54304406" y="285750"/>
          <a:ext cx="2488407" cy="1345406"/>
        </a:xfrm>
        <a:prstGeom prst="wedgeRoundRectCallout">
          <a:avLst>
            <a:gd name="adj1" fmla="val -46670"/>
            <a:gd name="adj2" fmla="val 117367"/>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id-ID" sz="2400"/>
            <a:t>Data</a:t>
          </a:r>
          <a:r>
            <a:rPr lang="id-ID" sz="2400" baseline="0"/>
            <a:t> dari sheet data sawah</a:t>
          </a:r>
          <a:endParaRPr lang="id-ID" sz="24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47626</xdr:colOff>
      <xdr:row>28</xdr:row>
      <xdr:rowOff>185736</xdr:rowOff>
    </xdr:from>
    <xdr:to>
      <xdr:col>82</xdr:col>
      <xdr:colOff>695325</xdr:colOff>
      <xdr:row>49</xdr:row>
      <xdr:rowOff>104775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50</xdr:col>
      <xdr:colOff>485775</xdr:colOff>
      <xdr:row>56</xdr:row>
      <xdr:rowOff>61912</xdr:rowOff>
    </xdr:from>
    <xdr:to>
      <xdr:col>61</xdr:col>
      <xdr:colOff>28575</xdr:colOff>
      <xdr:row>76</xdr:row>
      <xdr:rowOff>104775</xdr:rowOff>
    </xdr:to>
    <xdr:graphicFrame macro="">
      <xdr:nvGraphicFramePr>
        <xdr:cNvPr id="4" name="Chart 3">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51</xdr:col>
      <xdr:colOff>295275</xdr:colOff>
      <xdr:row>34</xdr:row>
      <xdr:rowOff>4762</xdr:rowOff>
    </xdr:from>
    <xdr:to>
      <xdr:col>58</xdr:col>
      <xdr:colOff>600075</xdr:colOff>
      <xdr:row>48</xdr:row>
      <xdr:rowOff>80962</xdr:rowOff>
    </xdr:to>
    <xdr:graphicFrame macro="">
      <xdr:nvGraphicFramePr>
        <xdr:cNvPr id="5" name="Chart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65</xdr:col>
      <xdr:colOff>4762</xdr:colOff>
      <xdr:row>43</xdr:row>
      <xdr:rowOff>33337</xdr:rowOff>
    </xdr:from>
    <xdr:to>
      <xdr:col>68</xdr:col>
      <xdr:colOff>828675</xdr:colOff>
      <xdr:row>57</xdr:row>
      <xdr:rowOff>109537</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276224</xdr:colOff>
      <xdr:row>11</xdr:row>
      <xdr:rowOff>14286</xdr:rowOff>
    </xdr:from>
    <xdr:to>
      <xdr:col>16</xdr:col>
      <xdr:colOff>761999</xdr:colOff>
      <xdr:row>29</xdr:row>
      <xdr:rowOff>190499</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deptan.go.id/tampil.php?page=inf_basis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50"/>
  <sheetViews>
    <sheetView workbookViewId="0">
      <selection activeCell="D13" sqref="D13"/>
    </sheetView>
  </sheetViews>
  <sheetFormatPr defaultColWidth="9.109375" defaultRowHeight="14.4" x14ac:dyDescent="0.3"/>
  <cols>
    <col min="1" max="1" width="5.6640625" style="30" customWidth="1"/>
    <col min="2" max="2" width="29.44140625" style="30" customWidth="1"/>
    <col min="3" max="3" width="16.6640625" style="30" customWidth="1"/>
    <col min="4" max="4" width="18.33203125" style="30" customWidth="1"/>
    <col min="5" max="5" width="12.5546875" style="30" customWidth="1"/>
    <col min="6" max="6" width="14" style="30" customWidth="1"/>
    <col min="7" max="7" width="13.33203125" style="30" customWidth="1"/>
    <col min="8" max="9" width="14.109375" style="30" customWidth="1"/>
    <col min="10" max="10" width="15.33203125" style="30" bestFit="1" customWidth="1"/>
    <col min="11" max="16384" width="9.109375" style="30"/>
  </cols>
  <sheetData>
    <row r="1" spans="1:8" x14ac:dyDescent="0.3">
      <c r="A1" s="29" t="s">
        <v>57</v>
      </c>
    </row>
    <row r="3" spans="1:8" ht="16.2" thickBot="1" x14ac:dyDescent="0.35">
      <c r="A3" s="45" t="s">
        <v>318</v>
      </c>
    </row>
    <row r="4" spans="1:8" ht="30.75" customHeight="1" thickBot="1" x14ac:dyDescent="0.35">
      <c r="A4" s="55" t="s">
        <v>58</v>
      </c>
      <c r="B4" s="56" t="s">
        <v>59</v>
      </c>
      <c r="C4" s="56" t="s">
        <v>60</v>
      </c>
      <c r="D4" s="57" t="s">
        <v>61</v>
      </c>
    </row>
    <row r="5" spans="1:8" x14ac:dyDescent="0.3">
      <c r="A5" s="52">
        <v>1</v>
      </c>
      <c r="B5" s="53" t="s">
        <v>62</v>
      </c>
      <c r="C5" s="53">
        <v>47</v>
      </c>
      <c r="D5" s="54">
        <v>0.72</v>
      </c>
    </row>
    <row r="6" spans="1:8" x14ac:dyDescent="0.3">
      <c r="A6" s="47">
        <v>2</v>
      </c>
      <c r="B6" s="46" t="s">
        <v>63</v>
      </c>
      <c r="C6" s="46">
        <v>61</v>
      </c>
      <c r="D6" s="48">
        <v>0.75</v>
      </c>
    </row>
    <row r="7" spans="1:8" x14ac:dyDescent="0.3">
      <c r="A7" s="47">
        <v>3</v>
      </c>
      <c r="B7" s="46" t="s">
        <v>22</v>
      </c>
      <c r="C7" s="46">
        <v>55</v>
      </c>
      <c r="D7" s="48">
        <v>0.72</v>
      </c>
    </row>
    <row r="8" spans="1:8" x14ac:dyDescent="0.3">
      <c r="A8" s="47">
        <v>4</v>
      </c>
      <c r="B8" s="46" t="s">
        <v>64</v>
      </c>
      <c r="C8" s="46">
        <v>5</v>
      </c>
      <c r="D8" s="48"/>
    </row>
    <row r="9" spans="1:8" x14ac:dyDescent="0.3">
      <c r="A9" s="47">
        <v>5</v>
      </c>
      <c r="B9" s="46" t="s">
        <v>23</v>
      </c>
      <c r="C9" s="46">
        <v>5</v>
      </c>
      <c r="D9" s="48"/>
    </row>
    <row r="10" spans="1:8" x14ac:dyDescent="0.3">
      <c r="A10" s="47">
        <v>6</v>
      </c>
      <c r="B10" s="46" t="s">
        <v>65</v>
      </c>
      <c r="C10" s="46">
        <v>1</v>
      </c>
      <c r="D10" s="48"/>
    </row>
    <row r="11" spans="1:8" ht="15" thickBot="1" x14ac:dyDescent="0.35">
      <c r="A11" s="49">
        <v>7</v>
      </c>
      <c r="B11" s="50" t="s">
        <v>24</v>
      </c>
      <c r="C11" s="50">
        <v>18</v>
      </c>
      <c r="D11" s="51"/>
    </row>
    <row r="13" spans="1:8" ht="16.2" thickBot="1" x14ac:dyDescent="0.35">
      <c r="A13" s="45" t="s">
        <v>319</v>
      </c>
      <c r="H13" s="31"/>
    </row>
    <row r="14" spans="1:8" ht="29.4" thickBot="1" x14ac:dyDescent="0.35">
      <c r="A14" s="55" t="s">
        <v>58</v>
      </c>
      <c r="B14" s="56" t="s">
        <v>59</v>
      </c>
      <c r="C14" s="57" t="s">
        <v>60</v>
      </c>
      <c r="H14" s="31"/>
    </row>
    <row r="15" spans="1:8" x14ac:dyDescent="0.3">
      <c r="A15" s="52">
        <v>1</v>
      </c>
      <c r="B15" s="53" t="s">
        <v>62</v>
      </c>
      <c r="C15" s="54">
        <v>1</v>
      </c>
      <c r="H15" s="31"/>
    </row>
    <row r="16" spans="1:8" x14ac:dyDescent="0.3">
      <c r="A16" s="47">
        <v>2</v>
      </c>
      <c r="B16" s="46" t="s">
        <v>63</v>
      </c>
      <c r="C16" s="48">
        <v>31</v>
      </c>
      <c r="H16" s="31"/>
    </row>
    <row r="17" spans="1:8" x14ac:dyDescent="0.3">
      <c r="A17" s="47">
        <v>3</v>
      </c>
      <c r="B17" s="46" t="s">
        <v>22</v>
      </c>
      <c r="C17" s="48">
        <v>2</v>
      </c>
      <c r="H17" s="31"/>
    </row>
    <row r="18" spans="1:8" x14ac:dyDescent="0.3">
      <c r="A18" s="47">
        <v>4</v>
      </c>
      <c r="B18" s="46" t="s">
        <v>64</v>
      </c>
      <c r="C18" s="48">
        <v>0.2</v>
      </c>
      <c r="H18" s="31"/>
    </row>
    <row r="19" spans="1:8" x14ac:dyDescent="0.3">
      <c r="A19" s="47">
        <v>5</v>
      </c>
      <c r="B19" s="46" t="s">
        <v>23</v>
      </c>
      <c r="C19" s="48">
        <v>0.22</v>
      </c>
      <c r="H19" s="31"/>
    </row>
    <row r="20" spans="1:8" x14ac:dyDescent="0.3">
      <c r="A20" s="47">
        <v>6</v>
      </c>
      <c r="B20" s="46" t="s">
        <v>65</v>
      </c>
      <c r="C20" s="48">
        <v>7</v>
      </c>
      <c r="H20" s="31"/>
    </row>
    <row r="21" spans="1:8" x14ac:dyDescent="0.3">
      <c r="A21" s="47">
        <v>7</v>
      </c>
      <c r="B21" s="46" t="s">
        <v>24</v>
      </c>
      <c r="C21" s="48">
        <v>2.19</v>
      </c>
      <c r="H21" s="31"/>
    </row>
    <row r="22" spans="1:8" x14ac:dyDescent="0.3">
      <c r="A22" s="47">
        <v>8</v>
      </c>
      <c r="B22" s="46" t="s">
        <v>66</v>
      </c>
      <c r="C22" s="48">
        <v>0.02</v>
      </c>
      <c r="H22" s="31"/>
    </row>
    <row r="23" spans="1:8" x14ac:dyDescent="0.3">
      <c r="A23" s="47">
        <v>9</v>
      </c>
      <c r="B23" s="46" t="s">
        <v>67</v>
      </c>
      <c r="C23" s="48">
        <v>0.02</v>
      </c>
    </row>
    <row r="24" spans="1:8" x14ac:dyDescent="0.3">
      <c r="A24" s="47">
        <v>10</v>
      </c>
      <c r="B24" s="46" t="s">
        <v>68</v>
      </c>
      <c r="C24" s="48">
        <v>0.02</v>
      </c>
    </row>
    <row r="25" spans="1:8" ht="15" thickBot="1" x14ac:dyDescent="0.35">
      <c r="A25" s="49">
        <v>11</v>
      </c>
      <c r="B25" s="50" t="s">
        <v>69</v>
      </c>
      <c r="C25" s="51">
        <v>0.02</v>
      </c>
    </row>
    <row r="26" spans="1:8" x14ac:dyDescent="0.3">
      <c r="A26" s="31"/>
    </row>
    <row r="27" spans="1:8" ht="16.2" thickBot="1" x14ac:dyDescent="0.35">
      <c r="A27" s="45" t="s">
        <v>320</v>
      </c>
    </row>
    <row r="28" spans="1:8" ht="43.8" thickBot="1" x14ac:dyDescent="0.35">
      <c r="A28" s="67" t="s">
        <v>58</v>
      </c>
      <c r="B28" s="68" t="s">
        <v>80</v>
      </c>
      <c r="C28" s="68" t="s">
        <v>81</v>
      </c>
      <c r="D28" s="69" t="s">
        <v>82</v>
      </c>
    </row>
    <row r="29" spans="1:8" x14ac:dyDescent="0.3">
      <c r="A29" s="64">
        <v>1</v>
      </c>
      <c r="B29" s="65" t="s">
        <v>83</v>
      </c>
      <c r="C29" s="65" t="s">
        <v>84</v>
      </c>
      <c r="D29" s="66" t="s">
        <v>84</v>
      </c>
    </row>
    <row r="30" spans="1:8" x14ac:dyDescent="0.3">
      <c r="A30" s="59">
        <v>2</v>
      </c>
      <c r="B30" s="58" t="s">
        <v>85</v>
      </c>
      <c r="C30" s="58">
        <v>0</v>
      </c>
      <c r="D30" s="60">
        <v>0.01</v>
      </c>
    </row>
    <row r="31" spans="1:8" x14ac:dyDescent="0.3">
      <c r="A31" s="59">
        <v>3</v>
      </c>
      <c r="B31" s="58" t="s">
        <v>86</v>
      </c>
      <c r="C31" s="58">
        <v>0.02</v>
      </c>
      <c r="D31" s="60">
        <v>0.01</v>
      </c>
    </row>
    <row r="32" spans="1:8" x14ac:dyDescent="0.3">
      <c r="A32" s="59">
        <v>4</v>
      </c>
      <c r="B32" s="58" t="s">
        <v>87</v>
      </c>
      <c r="C32" s="58">
        <v>0.01</v>
      </c>
      <c r="D32" s="60">
        <v>0.01</v>
      </c>
    </row>
    <row r="33" spans="1:7" ht="15" thickBot="1" x14ac:dyDescent="0.35">
      <c r="A33" s="61">
        <v>5</v>
      </c>
      <c r="B33" s="62" t="s">
        <v>88</v>
      </c>
      <c r="C33" s="62">
        <v>0.01</v>
      </c>
      <c r="D33" s="63">
        <v>0.01</v>
      </c>
    </row>
    <row r="34" spans="1:7" ht="44.25" customHeight="1" x14ac:dyDescent="0.3">
      <c r="A34" s="32"/>
      <c r="B34" s="32"/>
      <c r="C34" s="32"/>
      <c r="D34" s="33"/>
      <c r="E34" s="33"/>
      <c r="F34" s="33"/>
      <c r="G34" s="33"/>
    </row>
    <row r="35" spans="1:7" x14ac:dyDescent="0.3">
      <c r="A35" s="34"/>
      <c r="B35" s="34"/>
      <c r="C35" s="34"/>
      <c r="D35" s="34"/>
      <c r="E35" s="34"/>
      <c r="F35" s="34"/>
      <c r="G35" s="34"/>
    </row>
    <row r="36" spans="1:7" x14ac:dyDescent="0.3">
      <c r="A36" s="31"/>
      <c r="C36" s="35"/>
      <c r="E36" s="36"/>
      <c r="G36" s="36"/>
    </row>
    <row r="40" spans="1:7" x14ac:dyDescent="0.3">
      <c r="E40" s="37"/>
    </row>
    <row r="41" spans="1:7" x14ac:dyDescent="0.3">
      <c r="F41" s="38"/>
    </row>
    <row r="42" spans="1:7" x14ac:dyDescent="0.3">
      <c r="F42" s="38"/>
    </row>
    <row r="43" spans="1:7" x14ac:dyDescent="0.3">
      <c r="F43" s="38"/>
    </row>
    <row r="44" spans="1:7" x14ac:dyDescent="0.3">
      <c r="F44" s="38"/>
    </row>
    <row r="45" spans="1:7" x14ac:dyDescent="0.3">
      <c r="F45" s="38"/>
    </row>
    <row r="46" spans="1:7" x14ac:dyDescent="0.3">
      <c r="F46" s="38"/>
    </row>
    <row r="47" spans="1:7" x14ac:dyDescent="0.3">
      <c r="F47" s="38"/>
    </row>
    <row r="48" spans="1:7" x14ac:dyDescent="0.3">
      <c r="F48" s="38"/>
    </row>
    <row r="49" spans="6:6" x14ac:dyDescent="0.3">
      <c r="F49" s="38"/>
    </row>
    <row r="50" spans="6:6" x14ac:dyDescent="0.3">
      <c r="F50" s="38"/>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3:CI104"/>
  <sheetViews>
    <sheetView workbookViewId="0">
      <selection activeCell="C23" sqref="C23"/>
    </sheetView>
  </sheetViews>
  <sheetFormatPr defaultRowHeight="14.4" x14ac:dyDescent="0.3"/>
  <cols>
    <col min="1" max="1" width="44.44140625" customWidth="1"/>
    <col min="2" max="2" width="13.33203125" bestFit="1" customWidth="1"/>
    <col min="3" max="17" width="8.6640625" customWidth="1"/>
    <col min="18" max="18" width="10.5546875" customWidth="1"/>
    <col min="19" max="23" width="11.5546875" bestFit="1" customWidth="1"/>
    <col min="49" max="49" width="12" bestFit="1" customWidth="1"/>
    <col min="59" max="63" width="11.5546875" bestFit="1" customWidth="1"/>
    <col min="66" max="66" width="51.88671875" customWidth="1"/>
    <col min="67" max="87" width="11.5546875" customWidth="1"/>
  </cols>
  <sheetData>
    <row r="3" spans="1:87" x14ac:dyDescent="0.3">
      <c r="A3" t="s">
        <v>405</v>
      </c>
    </row>
    <row r="4" spans="1:87" x14ac:dyDescent="0.3">
      <c r="B4" t="s">
        <v>357</v>
      </c>
      <c r="C4" t="s">
        <v>358</v>
      </c>
      <c r="D4" t="s">
        <v>359</v>
      </c>
      <c r="E4" t="s">
        <v>360</v>
      </c>
    </row>
    <row r="5" spans="1:87" x14ac:dyDescent="0.3">
      <c r="A5" t="s">
        <v>352</v>
      </c>
      <c r="B5" s="196">
        <f>'3C5 Lahan sawah'!K33</f>
        <v>0</v>
      </c>
      <c r="C5" s="196"/>
      <c r="D5" s="196"/>
      <c r="E5" s="171">
        <f>B5*21*10^3</f>
        <v>0</v>
      </c>
    </row>
    <row r="6" spans="1:87" x14ac:dyDescent="0.3">
      <c r="A6" t="s">
        <v>404</v>
      </c>
      <c r="B6" s="196">
        <f>'3A1 dan 2 Peternakan-CH4'!BP26</f>
        <v>2.6268786</v>
      </c>
      <c r="C6" s="196"/>
      <c r="D6" s="196"/>
      <c r="E6" s="171">
        <f>B6*21*10^3</f>
        <v>55164.450600000004</v>
      </c>
    </row>
    <row r="7" spans="1:87" x14ac:dyDescent="0.3">
      <c r="A7" t="s">
        <v>353</v>
      </c>
      <c r="B7" s="196"/>
      <c r="C7" s="196">
        <f>'3A2 Peternakan-N2O'!BC22</f>
        <v>4515.302617021428</v>
      </c>
      <c r="D7" s="196"/>
      <c r="E7" s="171">
        <f>C7*296*10^-3</f>
        <v>1336.5295746383426</v>
      </c>
    </row>
    <row r="8" spans="1:87" x14ac:dyDescent="0.3">
      <c r="A8" t="s">
        <v>354</v>
      </c>
      <c r="B8" s="196"/>
      <c r="C8" s="196"/>
      <c r="D8" s="196">
        <f>'Kapur pertanian-CO2'!G33</f>
        <v>0</v>
      </c>
      <c r="E8" s="171">
        <f>D8*44/12</f>
        <v>0</v>
      </c>
    </row>
    <row r="9" spans="1:87" x14ac:dyDescent="0.3">
      <c r="A9" t="s">
        <v>355</v>
      </c>
      <c r="B9" s="196"/>
      <c r="C9" s="196"/>
      <c r="D9" s="196">
        <f>'Pupuk Urea-CO2'!E32</f>
        <v>0</v>
      </c>
      <c r="E9" s="171">
        <f>D9*44/12</f>
        <v>0</v>
      </c>
    </row>
    <row r="10" spans="1:87" x14ac:dyDescent="0.3">
      <c r="A10" t="s">
        <v>403</v>
      </c>
      <c r="B10" s="196"/>
      <c r="C10" s="196">
        <f>'Direct N2O'!AA18</f>
        <v>0</v>
      </c>
      <c r="D10" s="196"/>
      <c r="E10" s="171"/>
    </row>
    <row r="11" spans="1:87" ht="15" thickBot="1" x14ac:dyDescent="0.35">
      <c r="E11" s="171"/>
    </row>
    <row r="12" spans="1:87" x14ac:dyDescent="0.3">
      <c r="A12" s="437" t="s">
        <v>422</v>
      </c>
      <c r="B12" s="436" t="s">
        <v>438</v>
      </c>
      <c r="C12" s="436"/>
      <c r="D12" s="436"/>
      <c r="E12" s="436"/>
      <c r="F12" s="436"/>
      <c r="G12" s="436"/>
      <c r="H12" s="436"/>
      <c r="I12" s="436"/>
      <c r="J12" s="436"/>
      <c r="K12" s="436"/>
      <c r="L12" s="436"/>
      <c r="M12" s="436"/>
      <c r="N12" s="436"/>
      <c r="O12" s="436"/>
      <c r="P12" s="436"/>
      <c r="Q12" s="436"/>
      <c r="R12" s="436"/>
      <c r="S12" s="436"/>
      <c r="T12" s="436"/>
      <c r="U12" s="436"/>
      <c r="V12" s="436"/>
      <c r="W12" s="436"/>
      <c r="X12" s="436"/>
      <c r="Y12" s="436"/>
      <c r="Z12" s="436"/>
      <c r="AA12" s="436"/>
      <c r="AB12" s="436"/>
      <c r="AC12" s="436"/>
      <c r="AD12" s="436"/>
      <c r="AE12" s="436"/>
      <c r="AF12" s="436"/>
      <c r="AG12" s="436"/>
      <c r="AH12" s="436"/>
      <c r="AI12" s="436"/>
      <c r="AJ12" s="436"/>
      <c r="AK12" s="436"/>
      <c r="AL12" s="436"/>
      <c r="AM12" s="436"/>
      <c r="AN12" s="436"/>
      <c r="AO12" s="436"/>
      <c r="AP12" s="436"/>
      <c r="AQ12" s="436"/>
      <c r="AR12" s="436"/>
      <c r="AS12" s="436"/>
      <c r="AT12" s="436"/>
      <c r="AU12" s="436"/>
      <c r="AV12" s="436"/>
      <c r="AW12" s="436"/>
      <c r="AX12" s="436"/>
      <c r="AY12" s="436"/>
      <c r="AZ12" s="436"/>
      <c r="BA12" s="436"/>
      <c r="BB12" s="436"/>
      <c r="BC12" s="436"/>
      <c r="BD12" s="436"/>
      <c r="BE12" s="436"/>
      <c r="BF12" s="436"/>
      <c r="BG12" s="436"/>
      <c r="BH12" s="436"/>
      <c r="BI12" s="436"/>
      <c r="BJ12" s="436"/>
      <c r="BK12" s="436"/>
      <c r="BL12" s="439"/>
      <c r="BO12" s="196">
        <v>69477.404782945945</v>
      </c>
    </row>
    <row r="13" spans="1:87" x14ac:dyDescent="0.3">
      <c r="A13" s="438"/>
      <c r="B13" s="436">
        <v>2010</v>
      </c>
      <c r="C13" s="436"/>
      <c r="D13" s="436"/>
      <c r="E13" s="436">
        <f>B13+1</f>
        <v>2011</v>
      </c>
      <c r="F13" s="436"/>
      <c r="G13" s="436"/>
      <c r="H13" s="436">
        <f>E13+1</f>
        <v>2012</v>
      </c>
      <c r="I13" s="436"/>
      <c r="J13" s="436"/>
      <c r="K13" s="436">
        <f>H13+1</f>
        <v>2013</v>
      </c>
      <c r="L13" s="436"/>
      <c r="M13" s="436"/>
      <c r="N13" s="436">
        <f>K13+1</f>
        <v>2014</v>
      </c>
      <c r="O13" s="436"/>
      <c r="P13" s="436"/>
      <c r="Q13" s="436">
        <f>N13+1</f>
        <v>2015</v>
      </c>
      <c r="R13" s="436"/>
      <c r="S13" s="436"/>
      <c r="T13" s="436">
        <f>Q13+1</f>
        <v>2016</v>
      </c>
      <c r="U13" s="436"/>
      <c r="V13" s="436"/>
      <c r="W13" s="436">
        <f>T13+1</f>
        <v>2017</v>
      </c>
      <c r="X13" s="436"/>
      <c r="Y13" s="436"/>
      <c r="Z13" s="436">
        <f>W13+1</f>
        <v>2018</v>
      </c>
      <c r="AA13" s="436"/>
      <c r="AB13" s="436"/>
      <c r="AC13" s="436">
        <f>Z13+1</f>
        <v>2019</v>
      </c>
      <c r="AD13" s="436"/>
      <c r="AE13" s="436"/>
      <c r="AF13" s="436">
        <f>AC13+1</f>
        <v>2020</v>
      </c>
      <c r="AG13" s="436"/>
      <c r="AH13" s="436"/>
      <c r="AI13" s="436">
        <f>AF13+1</f>
        <v>2021</v>
      </c>
      <c r="AJ13" s="436"/>
      <c r="AK13" s="436"/>
      <c r="AL13" s="436">
        <f>AI13+1</f>
        <v>2022</v>
      </c>
      <c r="AM13" s="436"/>
      <c r="AN13" s="436"/>
      <c r="AO13" s="436">
        <f>AL13+1</f>
        <v>2023</v>
      </c>
      <c r="AP13" s="436"/>
      <c r="AQ13" s="436"/>
      <c r="AR13" s="436">
        <f>AO13+1</f>
        <v>2024</v>
      </c>
      <c r="AS13" s="436"/>
      <c r="AT13" s="436"/>
      <c r="AU13" s="436">
        <f>AR13+1</f>
        <v>2025</v>
      </c>
      <c r="AV13" s="436"/>
      <c r="AW13" s="436"/>
      <c r="AX13" s="436">
        <f>AU13+1</f>
        <v>2026</v>
      </c>
      <c r="AY13" s="436"/>
      <c r="AZ13" s="436"/>
      <c r="BA13" s="436">
        <f>AX13+1</f>
        <v>2027</v>
      </c>
      <c r="BB13" s="436"/>
      <c r="BC13" s="436"/>
      <c r="BD13" s="436">
        <f>BA13+1</f>
        <v>2028</v>
      </c>
      <c r="BE13" s="436"/>
      <c r="BF13" s="436"/>
      <c r="BG13" s="436">
        <f>BD13+1</f>
        <v>2029</v>
      </c>
      <c r="BH13" s="436"/>
      <c r="BI13" s="436"/>
      <c r="BJ13" s="436">
        <f>BG13+1</f>
        <v>2030</v>
      </c>
      <c r="BK13" s="436"/>
      <c r="BL13" s="439"/>
      <c r="BO13" s="188"/>
    </row>
    <row r="14" spans="1:87" x14ac:dyDescent="0.3">
      <c r="A14" s="438"/>
      <c r="B14" s="283" t="s">
        <v>435</v>
      </c>
      <c r="C14" s="283" t="s">
        <v>436</v>
      </c>
      <c r="D14" s="283" t="s">
        <v>437</v>
      </c>
      <c r="E14" s="283" t="s">
        <v>435</v>
      </c>
      <c r="F14" s="283" t="s">
        <v>436</v>
      </c>
      <c r="G14" s="283" t="s">
        <v>437</v>
      </c>
      <c r="H14" s="283" t="s">
        <v>435</v>
      </c>
      <c r="I14" s="283" t="s">
        <v>436</v>
      </c>
      <c r="J14" s="283" t="s">
        <v>437</v>
      </c>
      <c r="K14" s="283" t="s">
        <v>435</v>
      </c>
      <c r="L14" s="283" t="s">
        <v>436</v>
      </c>
      <c r="M14" s="283" t="s">
        <v>437</v>
      </c>
      <c r="N14" s="283" t="s">
        <v>435</v>
      </c>
      <c r="O14" s="283" t="s">
        <v>436</v>
      </c>
      <c r="P14" s="283" t="s">
        <v>437</v>
      </c>
      <c r="Q14" s="283" t="s">
        <v>435</v>
      </c>
      <c r="R14" s="283" t="s">
        <v>436</v>
      </c>
      <c r="S14" s="283" t="s">
        <v>437</v>
      </c>
      <c r="T14" s="283" t="s">
        <v>435</v>
      </c>
      <c r="U14" s="283" t="s">
        <v>436</v>
      </c>
      <c r="V14" s="283" t="s">
        <v>437</v>
      </c>
      <c r="W14" s="283" t="s">
        <v>435</v>
      </c>
      <c r="X14" s="283" t="s">
        <v>436</v>
      </c>
      <c r="Y14" s="283" t="s">
        <v>437</v>
      </c>
      <c r="Z14" s="283" t="s">
        <v>435</v>
      </c>
      <c r="AA14" s="283" t="s">
        <v>436</v>
      </c>
      <c r="AB14" s="283" t="s">
        <v>437</v>
      </c>
      <c r="AC14" s="283" t="s">
        <v>435</v>
      </c>
      <c r="AD14" s="283" t="s">
        <v>436</v>
      </c>
      <c r="AE14" s="283" t="s">
        <v>437</v>
      </c>
      <c r="AF14" s="283" t="s">
        <v>435</v>
      </c>
      <c r="AG14" s="283" t="s">
        <v>436</v>
      </c>
      <c r="AH14" s="283" t="s">
        <v>437</v>
      </c>
      <c r="AI14" s="283" t="s">
        <v>435</v>
      </c>
      <c r="AJ14" s="283" t="s">
        <v>436</v>
      </c>
      <c r="AK14" s="283" t="s">
        <v>437</v>
      </c>
      <c r="AL14" s="283" t="s">
        <v>435</v>
      </c>
      <c r="AM14" s="283" t="s">
        <v>436</v>
      </c>
      <c r="AN14" s="283" t="s">
        <v>437</v>
      </c>
      <c r="AO14" s="283" t="s">
        <v>435</v>
      </c>
      <c r="AP14" s="283" t="s">
        <v>436</v>
      </c>
      <c r="AQ14" s="283" t="s">
        <v>437</v>
      </c>
      <c r="AR14" s="283" t="s">
        <v>435</v>
      </c>
      <c r="AS14" s="283" t="s">
        <v>436</v>
      </c>
      <c r="AT14" s="283" t="s">
        <v>437</v>
      </c>
      <c r="AU14" s="283" t="s">
        <v>435</v>
      </c>
      <c r="AV14" s="283" t="s">
        <v>436</v>
      </c>
      <c r="AW14" s="283" t="s">
        <v>437</v>
      </c>
      <c r="AX14" s="283" t="s">
        <v>435</v>
      </c>
      <c r="AY14" s="283" t="s">
        <v>436</v>
      </c>
      <c r="AZ14" s="283" t="s">
        <v>437</v>
      </c>
      <c r="BA14" s="283" t="s">
        <v>435</v>
      </c>
      <c r="BB14" s="283" t="s">
        <v>436</v>
      </c>
      <c r="BC14" s="283" t="s">
        <v>437</v>
      </c>
      <c r="BD14" s="283" t="s">
        <v>435</v>
      </c>
      <c r="BE14" s="283" t="s">
        <v>436</v>
      </c>
      <c r="BF14" s="283" t="s">
        <v>437</v>
      </c>
      <c r="BG14" s="283" t="s">
        <v>435</v>
      </c>
      <c r="BH14" s="283" t="s">
        <v>436</v>
      </c>
      <c r="BI14" s="283" t="s">
        <v>437</v>
      </c>
      <c r="BJ14" s="283" t="s">
        <v>435</v>
      </c>
      <c r="BK14" s="283" t="s">
        <v>436</v>
      </c>
      <c r="BL14" s="239" t="s">
        <v>437</v>
      </c>
    </row>
    <row r="15" spans="1:87" x14ac:dyDescent="0.3">
      <c r="A15" s="231" t="s">
        <v>424</v>
      </c>
      <c r="B15" s="232">
        <f>SUM(B16:B17)</f>
        <v>0</v>
      </c>
      <c r="C15" s="232">
        <f>SUM(C16:C17)</f>
        <v>3.2416506699999994</v>
      </c>
      <c r="D15" s="232">
        <f>SUM(D16:D17)</f>
        <v>4524.9700417610866</v>
      </c>
      <c r="E15" s="232">
        <f>SUM(E16:E17)</f>
        <v>0</v>
      </c>
      <c r="F15" s="232">
        <f>SUM(F16:F17)</f>
        <v>3.1777360799999999</v>
      </c>
      <c r="G15" s="232">
        <f t="shared" ref="G15:BL15" si="0">SUM(G16:G17)</f>
        <v>4511.1026300949725</v>
      </c>
      <c r="H15" s="232">
        <f t="shared" si="0"/>
        <v>0</v>
      </c>
      <c r="I15" s="232">
        <f t="shared" si="0"/>
        <v>3.2254508600000005</v>
      </c>
      <c r="J15" s="232">
        <f t="shared" si="0"/>
        <v>4611.1533469420574</v>
      </c>
      <c r="K15" s="232">
        <f t="shared" si="0"/>
        <v>0</v>
      </c>
      <c r="L15" s="232">
        <f t="shared" si="0"/>
        <v>3.0072064399999996</v>
      </c>
      <c r="M15" s="232">
        <f t="shared" si="0"/>
        <v>4586.4198981322852</v>
      </c>
      <c r="N15" s="232">
        <f t="shared" si="0"/>
        <v>0</v>
      </c>
      <c r="O15" s="232">
        <f t="shared" si="0"/>
        <v>2.8258964199999999</v>
      </c>
      <c r="P15" s="232">
        <f t="shared" si="0"/>
        <v>4729.7010947295994</v>
      </c>
      <c r="Q15" s="232">
        <f t="shared" si="0"/>
        <v>0</v>
      </c>
      <c r="R15" s="232">
        <f t="shared" si="0"/>
        <v>2.8277175486400004</v>
      </c>
      <c r="S15" s="232">
        <f t="shared" si="0"/>
        <v>4740.3893570247665</v>
      </c>
      <c r="T15" s="232">
        <f t="shared" si="0"/>
        <v>0</v>
      </c>
      <c r="U15" s="232">
        <f t="shared" si="0"/>
        <v>2.8295496040518402</v>
      </c>
      <c r="V15" s="232">
        <f t="shared" si="0"/>
        <v>4751.1417488937013</v>
      </c>
      <c r="W15" s="232">
        <f t="shared" si="0"/>
        <v>0</v>
      </c>
      <c r="X15" s="232">
        <f t="shared" si="0"/>
        <v>2.8313926517961514</v>
      </c>
      <c r="Y15" s="232">
        <f t="shared" si="0"/>
        <v>4761.9586551138536</v>
      </c>
      <c r="Z15" s="232">
        <f t="shared" si="0"/>
        <v>0</v>
      </c>
      <c r="AA15" s="232">
        <f t="shared" si="0"/>
        <v>2.8332467578269278</v>
      </c>
      <c r="AB15" s="232">
        <f t="shared" si="0"/>
        <v>4772.8404627713244</v>
      </c>
      <c r="AC15" s="232">
        <f t="shared" si="0"/>
        <v>0</v>
      </c>
      <c r="AD15" s="232">
        <f t="shared" si="0"/>
        <v>2.8351119884938893</v>
      </c>
      <c r="AE15" s="232">
        <f t="shared" si="0"/>
        <v>4783.7875612747403</v>
      </c>
      <c r="AF15" s="232">
        <f t="shared" si="0"/>
        <v>0</v>
      </c>
      <c r="AG15" s="232">
        <f t="shared" si="0"/>
        <v>2.8369884105448531</v>
      </c>
      <c r="AH15" s="232">
        <f t="shared" si="0"/>
        <v>4794.8003423691762</v>
      </c>
      <c r="AI15" s="232">
        <f t="shared" si="0"/>
        <v>0</v>
      </c>
      <c r="AJ15" s="232">
        <f t="shared" si="0"/>
        <v>2.8387205905706301</v>
      </c>
      <c r="AK15" s="232">
        <f t="shared" si="0"/>
        <v>4804.7821548242582</v>
      </c>
      <c r="AL15" s="232">
        <f t="shared" si="0"/>
        <v>0</v>
      </c>
      <c r="AM15" s="232">
        <f t="shared" si="0"/>
        <v>2.8404631636765623</v>
      </c>
      <c r="AN15" s="232">
        <f t="shared" si="0"/>
        <v>4814.8238581540709</v>
      </c>
      <c r="AO15" s="232">
        <f t="shared" si="0"/>
        <v>0</v>
      </c>
      <c r="AP15" s="232">
        <f t="shared" si="0"/>
        <v>2.8422161922211302</v>
      </c>
      <c r="AQ15" s="232">
        <f t="shared" si="0"/>
        <v>4824.9258117038607</v>
      </c>
      <c r="AR15" s="232">
        <f t="shared" si="0"/>
        <v>0</v>
      </c>
      <c r="AS15" s="232">
        <f t="shared" si="0"/>
        <v>2.843979738936965</v>
      </c>
      <c r="AT15" s="232">
        <f t="shared" si="0"/>
        <v>4835.0883769749516</v>
      </c>
      <c r="AU15" s="232">
        <f t="shared" si="0"/>
        <v>0</v>
      </c>
      <c r="AV15" s="232">
        <f t="shared" si="0"/>
        <v>2.8457538669330948</v>
      </c>
      <c r="AW15" s="232">
        <f t="shared" si="0"/>
        <v>4845.3119176376676</v>
      </c>
      <c r="AX15" s="232">
        <f t="shared" si="0"/>
        <v>0</v>
      </c>
      <c r="AY15" s="232">
        <f t="shared" si="0"/>
        <v>2.8475386396972016</v>
      </c>
      <c r="AZ15" s="232">
        <f t="shared" si="0"/>
        <v>4855.5967995443598</v>
      </c>
      <c r="BA15" s="232">
        <f t="shared" si="0"/>
        <v>0</v>
      </c>
      <c r="BB15" s="232">
        <f t="shared" si="0"/>
        <v>2.8493341210978929</v>
      </c>
      <c r="BC15" s="232">
        <f t="shared" si="0"/>
        <v>4865.9433907424909</v>
      </c>
      <c r="BD15" s="232">
        <f t="shared" si="0"/>
        <v>0</v>
      </c>
      <c r="BE15" s="232">
        <f t="shared" si="0"/>
        <v>2.8511403753869891</v>
      </c>
      <c r="BF15" s="232">
        <f t="shared" si="0"/>
        <v>4876.3520614878144</v>
      </c>
      <c r="BG15" s="232">
        <f t="shared" si="0"/>
        <v>0</v>
      </c>
      <c r="BH15" s="232">
        <f t="shared" si="0"/>
        <v>2.852957467201819</v>
      </c>
      <c r="BI15" s="232">
        <f t="shared" si="0"/>
        <v>4886.823184257606</v>
      </c>
      <c r="BJ15" s="232">
        <f t="shared" si="0"/>
        <v>0</v>
      </c>
      <c r="BK15" s="232">
        <f t="shared" si="0"/>
        <v>2.8547854615675381</v>
      </c>
      <c r="BL15" s="233">
        <f t="shared" si="0"/>
        <v>4897.3571337640187</v>
      </c>
      <c r="BO15">
        <v>2010</v>
      </c>
      <c r="BP15">
        <f>BO15+1</f>
        <v>2011</v>
      </c>
      <c r="BQ15">
        <f t="shared" ref="BQ15:CI15" si="1">BP15+1</f>
        <v>2012</v>
      </c>
      <c r="BR15">
        <f t="shared" si="1"/>
        <v>2013</v>
      </c>
      <c r="BS15">
        <f t="shared" si="1"/>
        <v>2014</v>
      </c>
      <c r="BT15">
        <f t="shared" si="1"/>
        <v>2015</v>
      </c>
      <c r="BU15">
        <f t="shared" si="1"/>
        <v>2016</v>
      </c>
      <c r="BV15">
        <f t="shared" si="1"/>
        <v>2017</v>
      </c>
      <c r="BW15">
        <f t="shared" si="1"/>
        <v>2018</v>
      </c>
      <c r="BX15">
        <f t="shared" si="1"/>
        <v>2019</v>
      </c>
      <c r="BY15">
        <f t="shared" si="1"/>
        <v>2020</v>
      </c>
      <c r="BZ15">
        <f t="shared" si="1"/>
        <v>2021</v>
      </c>
      <c r="CA15">
        <f t="shared" si="1"/>
        <v>2022</v>
      </c>
      <c r="CB15">
        <f t="shared" si="1"/>
        <v>2023</v>
      </c>
      <c r="CC15">
        <f t="shared" si="1"/>
        <v>2024</v>
      </c>
      <c r="CD15">
        <f t="shared" si="1"/>
        <v>2025</v>
      </c>
      <c r="CE15">
        <f t="shared" si="1"/>
        <v>2026</v>
      </c>
      <c r="CF15">
        <f t="shared" si="1"/>
        <v>2027</v>
      </c>
      <c r="CG15">
        <f t="shared" si="1"/>
        <v>2028</v>
      </c>
      <c r="CH15">
        <f t="shared" si="1"/>
        <v>2029</v>
      </c>
      <c r="CI15">
        <f t="shared" si="1"/>
        <v>2030</v>
      </c>
    </row>
    <row r="16" spans="1:87" x14ac:dyDescent="0.3">
      <c r="A16" s="234" t="s">
        <v>423</v>
      </c>
      <c r="B16" s="235"/>
      <c r="C16" s="235">
        <f>'3A1 dan 2 Peternakan-CH4'!Y26</f>
        <v>2.4153819999999997</v>
      </c>
      <c r="D16" s="235"/>
      <c r="E16" s="235"/>
      <c r="F16" s="235">
        <f>'3A1 dan 2 Peternakan-CH4'!Z26</f>
        <v>2.3594919999999999</v>
      </c>
      <c r="G16" s="235"/>
      <c r="H16" s="235"/>
      <c r="I16" s="235">
        <f>'3A1 dan 2 Peternakan-CH4'!AA26</f>
        <v>2.3949000000000003</v>
      </c>
      <c r="J16" s="235"/>
      <c r="K16" s="235"/>
      <c r="L16" s="235">
        <f>'3A1 dan 2 Peternakan-CH4'!AB26</f>
        <v>2.2583499999999996</v>
      </c>
      <c r="M16" s="235"/>
      <c r="N16" s="235"/>
      <c r="O16" s="235">
        <f>'3A1 dan 2 Peternakan-CH4'!AC26</f>
        <v>2.130833</v>
      </c>
      <c r="P16" s="235"/>
      <c r="Q16" s="58"/>
      <c r="R16" s="235">
        <f>'3A1 dan 2 Peternakan-CH4'!AD26</f>
        <v>2.1314675000000003</v>
      </c>
      <c r="S16" s="290"/>
      <c r="T16" s="290"/>
      <c r="U16" s="235">
        <f>'3A1 dan 2 Peternakan-CH4'!AE26</f>
        <v>2.1321058070000003</v>
      </c>
      <c r="V16" s="290"/>
      <c r="W16" s="290"/>
      <c r="X16" s="235">
        <f>'3A1 dan 2 Peternakan-CH4'!AF26</f>
        <v>2.1327479438420003</v>
      </c>
      <c r="Y16" s="58"/>
      <c r="Z16" s="58"/>
      <c r="AA16" s="235">
        <f>'3A1 dan 2 Peternakan-CH4'!AG26</f>
        <v>2.1333939335050518</v>
      </c>
      <c r="AB16" s="58"/>
      <c r="AC16" s="58"/>
      <c r="AD16" s="235">
        <f>'3A1 dan 2 Peternakan-CH4'!AH26</f>
        <v>2.1340437991060823</v>
      </c>
      <c r="AE16" s="58"/>
      <c r="AF16" s="58"/>
      <c r="AG16" s="235">
        <f>'3A1 dan 2 Peternakan-CH4'!AI26</f>
        <v>2.1346975639007191</v>
      </c>
      <c r="AH16" s="58"/>
      <c r="AI16" s="58"/>
      <c r="AJ16" s="235">
        <f>'3A1 dan 2 Peternakan-CH4'!AJ26</f>
        <v>2.135355251284123</v>
      </c>
      <c r="AK16" s="58"/>
      <c r="AL16" s="58"/>
      <c r="AM16" s="235">
        <f>'3A1 dan 2 Peternakan-CH4'!AK26</f>
        <v>2.1360168847918279</v>
      </c>
      <c r="AN16" s="58"/>
      <c r="AO16" s="58"/>
      <c r="AP16" s="235">
        <f>'3A1 dan 2 Peternakan-CH4'!AL26</f>
        <v>2.136682488100579</v>
      </c>
      <c r="AQ16" s="58"/>
      <c r="AR16" s="58"/>
      <c r="AS16" s="235">
        <f>'3A1 dan 2 Peternakan-CH4'!AM26</f>
        <v>2.1373520850291823</v>
      </c>
      <c r="AT16" s="58"/>
      <c r="AU16" s="58"/>
      <c r="AV16" s="235">
        <f>'3A1 dan 2 Peternakan-CH4'!AN26</f>
        <v>2.1380256995393574</v>
      </c>
      <c r="AW16" s="58"/>
      <c r="AX16" s="58"/>
      <c r="AY16" s="235">
        <f>'3A1 dan 2 Peternakan-CH4'!AO26</f>
        <v>2.1387033557365935</v>
      </c>
      <c r="AZ16" s="58"/>
      <c r="BA16" s="58"/>
      <c r="BB16" s="235">
        <f>'3A1 dan 2 Peternakan-CH4'!AP26</f>
        <v>2.1393850778710131</v>
      </c>
      <c r="BC16" s="58"/>
      <c r="BD16" s="58"/>
      <c r="BE16" s="235">
        <f>'3A1 dan 2 Peternakan-CH4'!AQ26</f>
        <v>2.1400708903382393</v>
      </c>
      <c r="BF16" s="58"/>
      <c r="BG16" s="58"/>
      <c r="BH16" s="235">
        <f>'3A1 dan 2 Peternakan-CH4'!AR26</f>
        <v>2.1407608176802686</v>
      </c>
      <c r="BI16" s="58"/>
      <c r="BJ16" s="58"/>
      <c r="BK16" s="235">
        <f>'3A1 dan 2 Peternakan-CH4'!AS26</f>
        <v>2.1414548845863504</v>
      </c>
      <c r="BL16" s="60"/>
      <c r="BN16" t="str">
        <f>A16</f>
        <v>3A1 Fermentasi Enterik</v>
      </c>
      <c r="BO16" s="196">
        <f>'3A1 dan 2 Peternakan-CH4'!Y26*21*1000</f>
        <v>50723.02199999999</v>
      </c>
      <c r="BP16" s="196">
        <f>'3A1 dan 2 Peternakan-CH4'!Z26*21*1000</f>
        <v>49549.332000000002</v>
      </c>
      <c r="BQ16" s="196">
        <f>'3A1 dan 2 Peternakan-CH4'!AA26*21*1000</f>
        <v>50292.9</v>
      </c>
      <c r="BR16" s="196">
        <f>'3A1 dan 2 Peternakan-CH4'!AB26*21*1000</f>
        <v>47425.349999999991</v>
      </c>
      <c r="BS16" s="196">
        <f>'3A1 dan 2 Peternakan-CH4'!AC26*21*1000</f>
        <v>44747.493000000002</v>
      </c>
      <c r="BT16" s="196">
        <f>'3A1 dan 2 Peternakan-CH4'!AD26*21*1000</f>
        <v>44760.817500000012</v>
      </c>
      <c r="BU16" s="196">
        <f>'3A1 dan 2 Peternakan-CH4'!AE26*21*1000</f>
        <v>44774.221947000005</v>
      </c>
      <c r="BV16" s="196">
        <f>'3A1 dan 2 Peternakan-CH4'!AF26*21*1000</f>
        <v>44787.706820682004</v>
      </c>
      <c r="BW16" s="196">
        <f>'3A1 dan 2 Peternakan-CH4'!AG26*21*1000</f>
        <v>44801.272603606085</v>
      </c>
      <c r="BX16" s="196">
        <f>'3A1 dan 2 Peternakan-CH4'!AH26*21*1000</f>
        <v>44814.919781227727</v>
      </c>
      <c r="BY16" s="196">
        <f>'3A1 dan 2 Peternakan-CH4'!AI26*21*1000</f>
        <v>44828.648841915099</v>
      </c>
      <c r="BZ16" s="196">
        <f>'3A1 dan 2 Peternakan-CH4'!AJ26*21*1000</f>
        <v>44842.460276966587</v>
      </c>
      <c r="CA16" s="196">
        <f>'3A1 dan 2 Peternakan-CH4'!AK26*21*1000</f>
        <v>44856.354580628387</v>
      </c>
      <c r="CB16" s="196">
        <f>'3A1 dan 2 Peternakan-CH4'!AL26*21*1000</f>
        <v>44870.332250112158</v>
      </c>
      <c r="CC16" s="196">
        <f>'3A1 dan 2 Peternakan-CH4'!AM26*21*1000</f>
        <v>44884.393785612832</v>
      </c>
      <c r="CD16" s="196">
        <f>'3A1 dan 2 Peternakan-CH4'!AN26*21*1000</f>
        <v>44898.539690326506</v>
      </c>
      <c r="CE16" s="196">
        <f>'3A1 dan 2 Peternakan-CH4'!AO26*21*1000</f>
        <v>44912.770470468466</v>
      </c>
      <c r="CF16" s="196">
        <f>'3A1 dan 2 Peternakan-CH4'!AP26*21*1000</f>
        <v>44927.086635291278</v>
      </c>
      <c r="CG16" s="196">
        <f>'3A1 dan 2 Peternakan-CH4'!AQ26*21*1000</f>
        <v>44941.488697103028</v>
      </c>
      <c r="CH16" s="196">
        <f>'3A1 dan 2 Peternakan-CH4'!AR26*21*1000</f>
        <v>44955.977171285638</v>
      </c>
      <c r="CI16" s="196">
        <f>'3A1 dan 2 Peternakan-CH4'!AS26*21*1000</f>
        <v>44970.552576313363</v>
      </c>
    </row>
    <row r="17" spans="1:87" x14ac:dyDescent="0.3">
      <c r="A17" s="234" t="s">
        <v>425</v>
      </c>
      <c r="B17" s="235"/>
      <c r="C17" s="235">
        <f>'3A1 dan 2 Peternakan-CH4'!AU26</f>
        <v>0.82626866999999982</v>
      </c>
      <c r="D17" s="235">
        <f>'3A2 Peternakan-N2O'!AY22+'3A2 Peternakan-N2O'!DQ22</f>
        <v>4524.9700417610866</v>
      </c>
      <c r="E17" s="235"/>
      <c r="F17" s="235">
        <f>'3A1 dan 2 Peternakan-CH4'!AV26</f>
        <v>0.81824408000000004</v>
      </c>
      <c r="G17" s="235">
        <f>'3A2 Peternakan-N2O'!AZ22+'3A2 Peternakan-N2O'!DR22</f>
        <v>4511.1026300949725</v>
      </c>
      <c r="H17" s="235"/>
      <c r="I17" s="235">
        <f>'3A1 dan 2 Peternakan-CH4'!AW26</f>
        <v>0.83055086</v>
      </c>
      <c r="J17" s="235">
        <f>'3A2 Peternakan-N2O'!BA22+'3A2 Peternakan-N2O'!DS22</f>
        <v>4611.1533469420574</v>
      </c>
      <c r="K17" s="235"/>
      <c r="L17" s="235">
        <f>'3A1 dan 2 Peternakan-CH4'!AX26</f>
        <v>0.74885644000000007</v>
      </c>
      <c r="M17" s="235">
        <f>'3A2 Peternakan-N2O'!BB22+'3A2 Peternakan-N2O'!DT22</f>
        <v>4586.4198981322852</v>
      </c>
      <c r="N17" s="235"/>
      <c r="O17" s="235">
        <f>'3A1 dan 2 Peternakan-CH4'!AY26</f>
        <v>0.69506341999999988</v>
      </c>
      <c r="P17" s="235">
        <f>'3A2 Peternakan-N2O'!BC22+'3A2 Peternakan-N2O'!DU22</f>
        <v>4729.7010947295994</v>
      </c>
      <c r="Q17" s="58"/>
      <c r="R17" s="235">
        <f>'3A1 dan 2 Peternakan-CH4'!AZ26</f>
        <v>0.69625004863999995</v>
      </c>
      <c r="S17" s="235">
        <f>'3A2 Peternakan-N2O'!BD22+'3A2 Peternakan-N2O'!DV22</f>
        <v>4740.3893570247665</v>
      </c>
      <c r="T17" s="290"/>
      <c r="U17" s="235">
        <f>'3A1 dan 2 Peternakan-CH4'!BA26</f>
        <v>0.69744379705184001</v>
      </c>
      <c r="V17" s="235">
        <f>'3A2 Peternakan-N2O'!BE22+'3A2 Peternakan-N2O'!DW22</f>
        <v>4751.1417488937013</v>
      </c>
      <c r="W17" s="290"/>
      <c r="X17" s="235">
        <f>'3A1 dan 2 Peternakan-CH4'!BB26</f>
        <v>0.6986447079541509</v>
      </c>
      <c r="Y17" s="235">
        <f>'3A2 Peternakan-N2O'!BF22+'3A2 Peternakan-N2O'!DX22</f>
        <v>4761.9586551138536</v>
      </c>
      <c r="Z17" s="58"/>
      <c r="AA17" s="235">
        <f>'3A1 dan 2 Peternakan-CH4'!BC26</f>
        <v>0.6998528243218759</v>
      </c>
      <c r="AB17" s="235">
        <f>'3A2 Peternakan-N2O'!BG22+'3A2 Peternakan-N2O'!DY22</f>
        <v>4772.8404627713244</v>
      </c>
      <c r="AC17" s="58"/>
      <c r="AD17" s="235">
        <f>'3A1 dan 2 Peternakan-CH4'!BD26</f>
        <v>0.70106818938780713</v>
      </c>
      <c r="AE17" s="235">
        <f>'3A2 Peternakan-N2O'!BH22+'3A2 Peternakan-N2O'!DZ22</f>
        <v>4783.7875612747403</v>
      </c>
      <c r="AF17" s="58"/>
      <c r="AG17" s="235">
        <f>'3A1 dan 2 Peternakan-CH4'!BE26</f>
        <v>0.70229084664413388</v>
      </c>
      <c r="AH17" s="235">
        <f>'3A2 Peternakan-N2O'!BI22+'3A2 Peternakan-N2O'!EA22</f>
        <v>4794.8003423691762</v>
      </c>
      <c r="AI17" s="58"/>
      <c r="AJ17" s="235">
        <f>'3A1 dan 2 Peternakan-CH4'!BF26</f>
        <v>0.70336533928650691</v>
      </c>
      <c r="AK17" s="235">
        <f>'3A2 Peternakan-N2O'!BJ22+'3A2 Peternakan-N2O'!EB22</f>
        <v>4804.7821548242582</v>
      </c>
      <c r="AL17" s="58"/>
      <c r="AM17" s="235">
        <f>'3A1 dan 2 Peternakan-CH4'!BG26</f>
        <v>0.70444627888473432</v>
      </c>
      <c r="AN17" s="235">
        <f>'3A2 Peternakan-N2O'!BK22+'3A2 Peternakan-N2O'!EC22</f>
        <v>4814.8238581540709</v>
      </c>
      <c r="AO17" s="58"/>
      <c r="AP17" s="235">
        <f>'3A1 dan 2 Peternakan-CH4'!BH26</f>
        <v>0.70553370412055094</v>
      </c>
      <c r="AQ17" s="235">
        <f>'3A2 Peternakan-N2O'!BL22+'3A2 Peternakan-N2O'!ED22</f>
        <v>4824.9258117038607</v>
      </c>
      <c r="AR17" s="58"/>
      <c r="AS17" s="235">
        <f>'3A1 dan 2 Peternakan-CH4'!BI26</f>
        <v>0.70662765390778248</v>
      </c>
      <c r="AT17" s="235">
        <f>'3A2 Peternakan-N2O'!BM22+'3A2 Peternakan-N2O'!EE22</f>
        <v>4835.0883769749516</v>
      </c>
      <c r="AU17" s="58"/>
      <c r="AV17" s="235">
        <f>'3A1 dan 2 Peternakan-CH4'!BJ26</f>
        <v>0.70772816739373745</v>
      </c>
      <c r="AW17" s="235">
        <f>'3A2 Peternakan-N2O'!BN22+'3A2 Peternakan-N2O'!EF22</f>
        <v>4845.3119176376676</v>
      </c>
      <c r="AX17" s="58"/>
      <c r="AY17" s="235">
        <f>'3A1 dan 2 Peternakan-CH4'!BK26</f>
        <v>0.70883528396060813</v>
      </c>
      <c r="AZ17" s="235">
        <f>'3A2 Peternakan-N2O'!BO22+'3A2 Peternakan-N2O'!EG22</f>
        <v>4855.5967995443598</v>
      </c>
      <c r="BA17" s="58"/>
      <c r="BB17" s="235">
        <f>'3A1 dan 2 Peternakan-CH4'!BL26</f>
        <v>0.70994904322687991</v>
      </c>
      <c r="BC17" s="235">
        <f>'3A2 Peternakan-N2O'!BP22+'3A2 Peternakan-N2O'!EH22</f>
        <v>4865.9433907424909</v>
      </c>
      <c r="BD17" s="58"/>
      <c r="BE17" s="235">
        <f>'3A1 dan 2 Peternakan-CH4'!BM26</f>
        <v>0.71106948504874967</v>
      </c>
      <c r="BF17" s="235">
        <f>'3A2 Peternakan-N2O'!BQ22+'3A2 Peternakan-N2O'!EI22</f>
        <v>4876.3520614878144</v>
      </c>
      <c r="BG17" s="58"/>
      <c r="BH17" s="235">
        <f>'3A1 dan 2 Peternakan-CH4'!BN26</f>
        <v>0.71219664952155026</v>
      </c>
      <c r="BI17" s="235">
        <f>'3A2 Peternakan-N2O'!BR22+'3A2 Peternakan-N2O'!EJ22</f>
        <v>4886.823184257606</v>
      </c>
      <c r="BJ17" s="58"/>
      <c r="BK17" s="235">
        <f>'3A1 dan 2 Peternakan-CH4'!BO26</f>
        <v>0.71333057698118785</v>
      </c>
      <c r="BL17" s="236">
        <f>'3A2 Peternakan-N2O'!BS22+'3A2 Peternakan-N2O'!EK22</f>
        <v>4897.3571337640187</v>
      </c>
      <c r="BN17" t="str">
        <f>A17</f>
        <v>3A2 Pengelolaan Limbah Ternak</v>
      </c>
      <c r="BO17" s="196">
        <f>('3A1 dan 2 Peternakan-CH4'!AU26*21+(('3A2 Peternakan-N2O'!DQ22+'3A2 Peternakan-N2O'!AY22)*310))*1000</f>
        <v>1402758064.588007</v>
      </c>
      <c r="BP17" s="196">
        <f>('3A1 dan 2 Peternakan-CH4'!AV26*21+(('3A2 Peternakan-N2O'!DR22+'3A2 Peternakan-N2O'!AZ22)*310))*1000</f>
        <v>1398458998.4551218</v>
      </c>
      <c r="BQ17" s="196">
        <f>('3A1 dan 2 Peternakan-CH4'!AW26*21+(('3A2 Peternakan-N2O'!DS22+'3A2 Peternakan-N2O'!BA22)*310))*1000</f>
        <v>1429474979.1200979</v>
      </c>
      <c r="BR17" s="196">
        <f>('3A1 dan 2 Peternakan-CH4'!AX26*21+(('3A2 Peternakan-N2O'!DT22+'3A2 Peternakan-N2O'!BB22)*310))*1000</f>
        <v>1421805894.4062483</v>
      </c>
      <c r="BS17" s="196">
        <f>('3A1 dan 2 Peternakan-CH4'!AY26*21+(('3A2 Peternakan-N2O'!DU22+'3A2 Peternakan-N2O'!BC22)*310))*1000</f>
        <v>1466221935.6979957</v>
      </c>
      <c r="BT17" s="196">
        <f>('3A1 dan 2 Peternakan-CH4'!AZ26*21+(('3A2 Peternakan-N2O'!DV22+'3A2 Peternakan-N2O'!BD22)*310))*1000</f>
        <v>1469535321.928699</v>
      </c>
      <c r="BU17" s="196">
        <f>('3A1 dan 2 Peternakan-CH4'!BA26*21+(('3A2 Peternakan-N2O'!DW22+'3A2 Peternakan-N2O'!BE22)*310))*1000</f>
        <v>1472868588.4767854</v>
      </c>
      <c r="BV17" s="196">
        <f>('3A1 dan 2 Peternakan-CH4'!BB26*21+(('3A2 Peternakan-N2O'!DX22+'3A2 Peternakan-N2O'!BF22)*310))*1000</f>
        <v>1476221854.6241617</v>
      </c>
      <c r="BW17" s="196">
        <f>('3A1 dan 2 Peternakan-CH4'!BC26*21+(('3A2 Peternakan-N2O'!DY22+'3A2 Peternakan-N2O'!BG22)*310))*1000</f>
        <v>1479595240.3684213</v>
      </c>
      <c r="BX17" s="196">
        <f>('3A1 dan 2 Peternakan-CH4'!BD26*21+(('3A2 Peternakan-N2O'!DZ22+'3A2 Peternakan-N2O'!BH22)*310))*1000</f>
        <v>1482988866.4271467</v>
      </c>
      <c r="BY17" s="196">
        <f>('3A1 dan 2 Peternakan-CH4'!BE26*21+(('3A2 Peternakan-N2O'!EA22+'3A2 Peternakan-N2O'!BI22)*310))*1000</f>
        <v>1486402854.2422242</v>
      </c>
      <c r="BZ17" s="196">
        <f>('3A1 dan 2 Peternakan-CH4'!BF26*21+(('3A2 Peternakan-N2O'!EB22+'3A2 Peternakan-N2O'!BJ22)*310))*1000</f>
        <v>1489497238.667645</v>
      </c>
      <c r="CA17" s="196">
        <f>('3A1 dan 2 Peternakan-CH4'!BG26*21+(('3A2 Peternakan-N2O'!EC22+'3A2 Peternakan-N2O'!BK22)*310))*1000</f>
        <v>1492610189.3996186</v>
      </c>
      <c r="CB17" s="196">
        <f>('3A1 dan 2 Peternakan-CH4'!BH26*21+(('3A2 Peternakan-N2O'!ED22+'3A2 Peternakan-N2O'!BL22)*310))*1000</f>
        <v>1495741817.8359833</v>
      </c>
      <c r="CC17" s="196">
        <f>('3A1 dan 2 Peternakan-CH4'!BI26*21+(('3A2 Peternakan-N2O'!EE22+'3A2 Peternakan-N2O'!BM22)*310))*1000</f>
        <v>1498892236.0429671</v>
      </c>
      <c r="CD17" s="196">
        <f>('3A1 dan 2 Peternakan-CH4'!BJ26*21+(('3A2 Peternakan-N2O'!EF22+'3A2 Peternakan-N2O'!BN22)*310))*1000</f>
        <v>1502061556.7591925</v>
      </c>
      <c r="CE17" s="196">
        <f>('3A1 dan 2 Peternakan-CH4'!BK26*21+(('3A2 Peternakan-N2O'!EG22+'3A2 Peternakan-N2O'!BO22)*310))*1000</f>
        <v>1505249893.3997147</v>
      </c>
      <c r="CF17" s="196">
        <f>('3A1 dan 2 Peternakan-CH4'!BL26*21+(('3A2 Peternakan-N2O'!EH22+'3A2 Peternakan-N2O'!BP22)*310))*1000</f>
        <v>1508457360.0600801</v>
      </c>
      <c r="CG17" s="196">
        <f>('3A1 dan 2 Peternakan-CH4'!BM26*21+(('3A2 Peternakan-N2O'!EI22+'3A2 Peternakan-N2O'!BQ22)*310))*1000</f>
        <v>1511684071.5204086</v>
      </c>
      <c r="CH17" s="196">
        <f>('3A1 dan 2 Peternakan-CH4'!BN26*21+(('3A2 Peternakan-N2O'!EJ22+'3A2 Peternakan-N2O'!BR22)*310))*1000</f>
        <v>1514930143.2494977</v>
      </c>
      <c r="CI17" s="196">
        <f>('3A1 dan 2 Peternakan-CH4'!BO26*21+(('3A2 Peternakan-N2O'!EK22+'3A2 Peternakan-N2O'!BS22)*310))*1000</f>
        <v>1518195691.4089625</v>
      </c>
    </row>
    <row r="18" spans="1:87" x14ac:dyDescent="0.3">
      <c r="A18" s="234"/>
      <c r="B18" s="58"/>
      <c r="C18" s="58"/>
      <c r="D18" s="58"/>
      <c r="E18" s="58"/>
      <c r="F18" s="58"/>
      <c r="G18" s="58"/>
      <c r="H18" s="58"/>
      <c r="I18" s="58"/>
      <c r="J18" s="58"/>
      <c r="K18" s="58"/>
      <c r="L18" s="58"/>
      <c r="M18" s="58"/>
      <c r="N18" s="58"/>
      <c r="O18" s="58"/>
      <c r="P18" s="58"/>
      <c r="Q18" s="58"/>
      <c r="R18" s="58"/>
      <c r="S18" s="290"/>
      <c r="T18" s="290"/>
      <c r="U18" s="290"/>
      <c r="V18" s="290"/>
      <c r="W18" s="290"/>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60"/>
      <c r="BN18" t="str">
        <f t="shared" ref="BN18:BN24" si="2">A22</f>
        <v>3C1 Pembakaran Biomasa</v>
      </c>
      <c r="BO18" s="196"/>
      <c r="BP18" s="196"/>
      <c r="BQ18" s="196"/>
      <c r="BR18" s="196"/>
      <c r="BS18" s="196"/>
      <c r="BT18" s="196"/>
      <c r="BU18" s="196"/>
      <c r="BV18" s="196"/>
      <c r="BW18" s="196"/>
      <c r="BX18" s="196"/>
      <c r="BY18" s="196"/>
      <c r="BZ18" s="196"/>
      <c r="CA18" s="196"/>
      <c r="CB18" s="196"/>
      <c r="CC18" s="196"/>
      <c r="CD18" s="196"/>
      <c r="CE18" s="196"/>
      <c r="CF18" s="196"/>
      <c r="CG18" s="196"/>
      <c r="CH18" s="196"/>
      <c r="CI18" s="196"/>
    </row>
    <row r="19" spans="1:87" x14ac:dyDescent="0.3">
      <c r="A19" s="231" t="s">
        <v>426</v>
      </c>
      <c r="B19" s="271"/>
      <c r="C19" s="232"/>
      <c r="D19" s="232"/>
      <c r="E19" s="271"/>
      <c r="F19" s="232"/>
      <c r="G19" s="232"/>
      <c r="H19" s="271"/>
      <c r="I19" s="232"/>
      <c r="J19" s="232"/>
      <c r="K19" s="271"/>
      <c r="L19" s="232"/>
      <c r="M19" s="232"/>
      <c r="N19" s="271"/>
      <c r="O19" s="232"/>
      <c r="P19" s="232"/>
      <c r="Q19" s="58"/>
      <c r="R19" s="58"/>
      <c r="S19" s="290"/>
      <c r="T19" s="290"/>
      <c r="U19" s="290"/>
      <c r="V19" s="290"/>
      <c r="W19" s="290"/>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60"/>
      <c r="BN19" t="str">
        <f t="shared" si="2"/>
        <v>3C2 Aplikasi Kapur</v>
      </c>
      <c r="BO19" s="196"/>
      <c r="BP19" s="196"/>
      <c r="BQ19" s="196"/>
      <c r="BR19" s="196"/>
      <c r="BS19" s="196"/>
      <c r="BT19" s="196"/>
      <c r="BU19" s="196"/>
      <c r="BV19" s="196"/>
      <c r="BW19" s="196"/>
      <c r="BX19" s="196"/>
      <c r="BY19" s="196"/>
      <c r="BZ19" s="196"/>
      <c r="CA19" s="196"/>
      <c r="CB19" s="196"/>
      <c r="CC19" s="196"/>
      <c r="CD19" s="196"/>
      <c r="CE19" s="196"/>
      <c r="CF19" s="196"/>
      <c r="CG19" s="196"/>
      <c r="CH19" s="196"/>
      <c r="CI19" s="196"/>
    </row>
    <row r="20" spans="1:87" x14ac:dyDescent="0.3">
      <c r="A20" s="234"/>
      <c r="B20" s="235"/>
      <c r="C20" s="235"/>
      <c r="D20" s="235"/>
      <c r="E20" s="235"/>
      <c r="F20" s="235"/>
      <c r="G20" s="235"/>
      <c r="H20" s="235"/>
      <c r="I20" s="235"/>
      <c r="J20" s="235"/>
      <c r="K20" s="235"/>
      <c r="L20" s="235"/>
      <c r="M20" s="235"/>
      <c r="N20" s="235"/>
      <c r="O20" s="235"/>
      <c r="P20" s="235"/>
      <c r="Q20" s="58"/>
      <c r="R20" s="58"/>
      <c r="S20" s="290"/>
      <c r="T20" s="290"/>
      <c r="U20" s="290"/>
      <c r="V20" s="290"/>
      <c r="W20" s="290"/>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60"/>
      <c r="BN20" t="str">
        <f t="shared" si="2"/>
        <v>3C3 Aplikasi Urea</v>
      </c>
      <c r="BO20" s="196">
        <f>'Pupuk Urea-CO2'!$E11*1000</f>
        <v>14403.18</v>
      </c>
      <c r="BP20" s="196">
        <f>'Pupuk Urea-CO2'!$E12*1000</f>
        <v>14403.18</v>
      </c>
      <c r="BQ20" s="196">
        <f>'Pupuk Urea-CO2'!$E13*1000</f>
        <v>14403.18</v>
      </c>
      <c r="BR20" s="196">
        <f>'Pupuk Urea-CO2'!$E14*1000</f>
        <v>14403.18</v>
      </c>
      <c r="BS20" s="196">
        <f>'Pupuk Urea-CO2'!$E15*1000</f>
        <v>18412.826666666668</v>
      </c>
      <c r="BT20" s="196">
        <f>'Pupuk Urea-CO2'!$E16*1000</f>
        <v>14556.593333333336</v>
      </c>
      <c r="BU20" s="196">
        <f>'Pupuk Urea-CO2'!$E17*1000</f>
        <v>19156.704864000003</v>
      </c>
      <c r="BV20" s="196">
        <f>'Pupuk Urea-CO2'!$E18*1000</f>
        <v>19539.838961280002</v>
      </c>
      <c r="BW20" s="196">
        <f>'Pupuk Urea-CO2'!$E19*1000</f>
        <v>19930.635740505601</v>
      </c>
      <c r="BX20" s="196">
        <f>'Pupuk Urea-CO2'!$E20*1000</f>
        <v>20329.248455315716</v>
      </c>
      <c r="BY20" s="196">
        <f>'Pupuk Urea-CO2'!$E21*1000</f>
        <v>20735.833424422028</v>
      </c>
      <c r="BZ20" s="196">
        <f>'Pupuk Urea-CO2'!$E22*1000</f>
        <v>21150.550092910471</v>
      </c>
      <c r="CA20" s="196">
        <f>'Pupuk Urea-CO2'!$E23*1000</f>
        <v>21573.56109476868</v>
      </c>
      <c r="CB20" s="196">
        <f>'Pupuk Urea-CO2'!$E24*1000</f>
        <v>22005.032316664048</v>
      </c>
      <c r="CC20" s="196">
        <f>'Pupuk Urea-CO2'!$E25*1000</f>
        <v>22005.032316664048</v>
      </c>
      <c r="CD20" s="196">
        <f>'Pupuk Urea-CO2'!$E26*1000</f>
        <v>22005.032316664048</v>
      </c>
      <c r="CE20" s="196">
        <f>'Pupuk Urea-CO2'!$E27*1000</f>
        <v>22005.032316664048</v>
      </c>
      <c r="CF20" s="196">
        <f>'Pupuk Urea-CO2'!$E28*1000</f>
        <v>22005.032316664048</v>
      </c>
      <c r="CG20" s="196">
        <f>'Pupuk Urea-CO2'!$E29*1000</f>
        <v>22005.032316664048</v>
      </c>
      <c r="CH20" s="196">
        <f>'Pupuk Urea-CO2'!$E30*1000</f>
        <v>22005.032316664048</v>
      </c>
      <c r="CI20" s="196">
        <f>'Pupuk Urea-CO2'!$E31*1000</f>
        <v>22005.032316664048</v>
      </c>
    </row>
    <row r="21" spans="1:87" x14ac:dyDescent="0.3">
      <c r="A21" s="231" t="s">
        <v>427</v>
      </c>
      <c r="B21" s="232">
        <f>SUM(B22:B28)</f>
        <v>14.403180000000001</v>
      </c>
      <c r="C21" s="232">
        <f t="shared" ref="C21:BL21" si="3">SUM(C22:C28)</f>
        <v>11.447137416889394</v>
      </c>
      <c r="D21" s="232">
        <f t="shared" si="3"/>
        <v>0.2042279933571429</v>
      </c>
      <c r="E21" s="232">
        <f t="shared" si="3"/>
        <v>14.403180000000001</v>
      </c>
      <c r="F21" s="232">
        <f t="shared" si="3"/>
        <v>10.163385128411697</v>
      </c>
      <c r="G21" s="232">
        <f t="shared" si="3"/>
        <v>0.2042279933571429</v>
      </c>
      <c r="H21" s="232">
        <f t="shared" si="3"/>
        <v>14.403180000000001</v>
      </c>
      <c r="I21" s="232">
        <f t="shared" si="3"/>
        <v>10.187335963012094</v>
      </c>
      <c r="J21" s="232">
        <f t="shared" si="3"/>
        <v>0.2042279933571429</v>
      </c>
      <c r="K21" s="232">
        <f t="shared" si="3"/>
        <v>14.403180000000001</v>
      </c>
      <c r="L21" s="232">
        <f t="shared" si="3"/>
        <v>10.623423660760835</v>
      </c>
      <c r="M21" s="232">
        <f t="shared" si="3"/>
        <v>0.2042279933571429</v>
      </c>
      <c r="N21" s="232">
        <f t="shared" si="3"/>
        <v>18.412826666666668</v>
      </c>
      <c r="O21" s="232">
        <f t="shared" si="3"/>
        <v>10.09833219038245</v>
      </c>
      <c r="P21" s="232">
        <f t="shared" si="3"/>
        <v>0.27063386350000007</v>
      </c>
      <c r="Q21" s="232">
        <f t="shared" si="3"/>
        <v>14.556593333333335</v>
      </c>
      <c r="R21" s="232">
        <f t="shared" si="3"/>
        <v>10.845040048770462</v>
      </c>
      <c r="S21" s="232">
        <f t="shared" si="3"/>
        <v>0.2065263506428571</v>
      </c>
      <c r="T21" s="232">
        <f t="shared" si="3"/>
        <v>19.156704864000002</v>
      </c>
      <c r="U21" s="232">
        <f t="shared" si="3"/>
        <v>11.061234253379617</v>
      </c>
      <c r="V21" s="232">
        <f t="shared" si="3"/>
        <v>0.20204771379139289</v>
      </c>
      <c r="W21" s="232">
        <f t="shared" si="3"/>
        <v>19.539838961280001</v>
      </c>
      <c r="X21" s="232">
        <f t="shared" si="3"/>
        <v>11.281663897175921</v>
      </c>
      <c r="Y21" s="232">
        <f t="shared" si="3"/>
        <v>0.2059919867886493</v>
      </c>
      <c r="Z21" s="232">
        <f t="shared" si="3"/>
        <v>19.9306357405056</v>
      </c>
      <c r="AA21" s="232">
        <f t="shared" si="3"/>
        <v>11.506412430296175</v>
      </c>
      <c r="AB21" s="232">
        <f t="shared" si="3"/>
        <v>0.21001514524585085</v>
      </c>
      <c r="AC21" s="232">
        <f t="shared" si="3"/>
        <v>20.329248455315717</v>
      </c>
      <c r="AD21" s="232">
        <f t="shared" si="3"/>
        <v>11.735564952788536</v>
      </c>
      <c r="AE21" s="232">
        <f t="shared" si="3"/>
        <v>0.2141187668721965</v>
      </c>
      <c r="AF21" s="232">
        <f t="shared" si="3"/>
        <v>20.735833424422029</v>
      </c>
      <c r="AG21" s="232">
        <f t="shared" si="3"/>
        <v>11.969208247327312</v>
      </c>
      <c r="AH21" s="232">
        <f t="shared" si="3"/>
        <v>0.21830446093106895</v>
      </c>
      <c r="AI21" s="232">
        <f t="shared" si="3"/>
        <v>21.150550092910471</v>
      </c>
      <c r="AJ21" s="232">
        <f t="shared" si="3"/>
        <v>12.207430812577844</v>
      </c>
      <c r="AK21" s="232">
        <f t="shared" si="3"/>
        <v>0.22257386887111888</v>
      </c>
      <c r="AL21" s="232">
        <f t="shared" si="3"/>
        <v>21.573561094768682</v>
      </c>
      <c r="AM21" s="232">
        <f t="shared" si="3"/>
        <v>12.45032289722433</v>
      </c>
      <c r="AN21" s="232">
        <f t="shared" si="3"/>
        <v>0.22692866496996986</v>
      </c>
      <c r="AO21" s="232">
        <f t="shared" si="3"/>
        <v>22.00503231666405</v>
      </c>
      <c r="AP21" s="232">
        <f t="shared" si="3"/>
        <v>12.657919826362624</v>
      </c>
      <c r="AQ21" s="232">
        <f t="shared" si="3"/>
        <v>0.23137055699079787</v>
      </c>
      <c r="AR21" s="232">
        <f t="shared" si="3"/>
        <v>22.00503231666405</v>
      </c>
      <c r="AS21" s="232">
        <f t="shared" si="3"/>
        <v>12.651745743033187</v>
      </c>
      <c r="AT21" s="232">
        <f t="shared" si="3"/>
        <v>0.23137055699079787</v>
      </c>
      <c r="AU21" s="232">
        <f t="shared" si="3"/>
        <v>22.00503231666405</v>
      </c>
      <c r="AV21" s="232">
        <f t="shared" si="3"/>
        <v>12.645602376536234</v>
      </c>
      <c r="AW21" s="232">
        <f t="shared" si="3"/>
        <v>0.23137055699079787</v>
      </c>
      <c r="AX21" s="232">
        <f t="shared" si="3"/>
        <v>22.00503231666405</v>
      </c>
      <c r="AY21" s="232">
        <f t="shared" si="3"/>
        <v>12.639489574051701</v>
      </c>
      <c r="AZ21" s="232">
        <f t="shared" si="3"/>
        <v>0.23137055699079787</v>
      </c>
      <c r="BA21" s="232">
        <f t="shared" si="3"/>
        <v>22.00503231666405</v>
      </c>
      <c r="BB21" s="232">
        <f t="shared" si="3"/>
        <v>12.633407183519827</v>
      </c>
      <c r="BC21" s="232">
        <f t="shared" si="3"/>
        <v>0.23137055699079787</v>
      </c>
      <c r="BD21" s="232">
        <f t="shared" si="3"/>
        <v>22.00503231666405</v>
      </c>
      <c r="BE21" s="232">
        <f t="shared" si="3"/>
        <v>12.62735505363737</v>
      </c>
      <c r="BF21" s="232">
        <f t="shared" si="3"/>
        <v>0.23137055699079787</v>
      </c>
      <c r="BG21" s="232">
        <f t="shared" si="3"/>
        <v>22.00503231666405</v>
      </c>
      <c r="BH21" s="232">
        <f t="shared" si="3"/>
        <v>12.621333033853826</v>
      </c>
      <c r="BI21" s="232">
        <f t="shared" si="3"/>
        <v>0.23137055699079787</v>
      </c>
      <c r="BJ21" s="232">
        <f t="shared" si="3"/>
        <v>22.00503231666405</v>
      </c>
      <c r="BK21" s="232">
        <f t="shared" si="3"/>
        <v>12.615340974367713</v>
      </c>
      <c r="BL21" s="233">
        <f t="shared" si="3"/>
        <v>0.23137055699079787</v>
      </c>
      <c r="BN21" t="str">
        <f t="shared" si="2"/>
        <v>3C4 N2O Langsung dari Pengolahan Tanah</v>
      </c>
      <c r="BO21" s="196">
        <f>'Direct N2O'!AA16*310*1000</f>
        <v>63310.677940714297</v>
      </c>
      <c r="BP21" s="196">
        <f>'Direct N2O'!AB16*310*1000</f>
        <v>63310.677940714297</v>
      </c>
      <c r="BQ21" s="196">
        <f>'Direct N2O'!AC16*310*1000</f>
        <v>63310.677940714297</v>
      </c>
      <c r="BR21" s="196">
        <f>'Direct N2O'!AD16*310*1000</f>
        <v>63310.677940714297</v>
      </c>
      <c r="BS21" s="196">
        <f>'Direct N2O'!AE16*310*1000</f>
        <v>83896.497685000024</v>
      </c>
      <c r="BT21" s="196">
        <f>'Direct N2O'!AF16*310*1000</f>
        <v>64023.168699285707</v>
      </c>
      <c r="BU21" s="196">
        <f>'Direct N2O'!AG16*310*1000</f>
        <v>62634.791275331794</v>
      </c>
      <c r="BV21" s="196">
        <f>'Direct N2O'!AH16*310*1000</f>
        <v>63857.515904481283</v>
      </c>
      <c r="BW21" s="196">
        <f>'Direct N2O'!AI16*310*1000</f>
        <v>65104.695026213762</v>
      </c>
      <c r="BX21" s="196">
        <f>'Direct N2O'!AJ16*310*1000</f>
        <v>66376.817730380921</v>
      </c>
      <c r="BY21" s="196">
        <f>'Direct N2O'!AK16*310*1000</f>
        <v>67674.382888631371</v>
      </c>
      <c r="BZ21" s="196">
        <f>'Direct N2O'!AL16*310*1000</f>
        <v>68997.89935004685</v>
      </c>
      <c r="CA21" s="196">
        <f>'Direct N2O'!AM16*310*1000</f>
        <v>70347.886140690665</v>
      </c>
      <c r="CB21" s="196">
        <f>'Direct N2O'!AN16*310*1000</f>
        <v>71724.872667147341</v>
      </c>
      <c r="CC21" s="196">
        <f>'Direct N2O'!AO16*310*1000</f>
        <v>71724.872667147341</v>
      </c>
      <c r="CD21" s="196">
        <f>'Direct N2O'!AP16*310*1000</f>
        <v>71724.872667147341</v>
      </c>
      <c r="CE21" s="196">
        <f>'Direct N2O'!AQ16*310*1000</f>
        <v>71724.872667147341</v>
      </c>
      <c r="CF21" s="196">
        <f>'Direct N2O'!AR16*310*1000</f>
        <v>71724.872667147341</v>
      </c>
      <c r="CG21" s="196">
        <f>'Direct N2O'!AS16*310*1000</f>
        <v>71724.872667147341</v>
      </c>
      <c r="CH21" s="196">
        <f>'Direct N2O'!AT16*310*1000</f>
        <v>71724.872667147341</v>
      </c>
      <c r="CI21" s="196">
        <f>'Direct N2O'!AU16*310*1000</f>
        <v>71724.872667147341</v>
      </c>
    </row>
    <row r="22" spans="1:87" x14ac:dyDescent="0.3">
      <c r="A22" s="234" t="s">
        <v>428</v>
      </c>
      <c r="B22" s="235"/>
      <c r="C22" s="235"/>
      <c r="D22" s="235"/>
      <c r="E22" s="235"/>
      <c r="F22" s="235"/>
      <c r="G22" s="235"/>
      <c r="H22" s="235"/>
      <c r="I22" s="235"/>
      <c r="J22" s="235"/>
      <c r="K22" s="235"/>
      <c r="L22" s="235"/>
      <c r="M22" s="235"/>
      <c r="N22" s="235"/>
      <c r="O22" s="235"/>
      <c r="P22" s="235"/>
      <c r="Q22" s="58"/>
      <c r="R22" s="58"/>
      <c r="S22" s="290"/>
      <c r="T22" s="290"/>
      <c r="U22" s="290"/>
      <c r="V22" s="290"/>
      <c r="W22" s="290"/>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60"/>
      <c r="BN22" t="str">
        <f t="shared" si="2"/>
        <v>3C5 N2O Tidak Langsung dari Pengolahan Tanah</v>
      </c>
      <c r="BO22" s="196"/>
      <c r="BP22" s="196"/>
      <c r="BQ22" s="196"/>
      <c r="BR22" s="196"/>
      <c r="BS22" s="196"/>
      <c r="BT22" s="196"/>
      <c r="BU22" s="196"/>
      <c r="BV22" s="196"/>
      <c r="BW22" s="196"/>
      <c r="BX22" s="196"/>
      <c r="BY22" s="196"/>
      <c r="BZ22" s="196"/>
      <c r="CA22" s="196"/>
      <c r="CB22" s="196"/>
      <c r="CC22" s="196"/>
      <c r="CD22" s="196"/>
      <c r="CE22" s="196"/>
      <c r="CF22" s="196"/>
      <c r="CG22" s="196"/>
      <c r="CH22" s="196"/>
      <c r="CI22" s="196"/>
    </row>
    <row r="23" spans="1:87" x14ac:dyDescent="0.3">
      <c r="A23" s="234" t="s">
        <v>429</v>
      </c>
      <c r="B23" s="235"/>
      <c r="C23" s="235"/>
      <c r="D23" s="235"/>
      <c r="E23" s="235"/>
      <c r="F23" s="235"/>
      <c r="G23" s="235"/>
      <c r="H23" s="235"/>
      <c r="I23" s="235"/>
      <c r="J23" s="235"/>
      <c r="K23" s="235"/>
      <c r="L23" s="235"/>
      <c r="M23" s="235"/>
      <c r="N23" s="235"/>
      <c r="O23" s="235"/>
      <c r="P23" s="235"/>
      <c r="Q23" s="58"/>
      <c r="R23" s="58"/>
      <c r="S23" s="290"/>
      <c r="T23" s="290"/>
      <c r="U23" s="290"/>
      <c r="V23" s="290"/>
      <c r="W23" s="290"/>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60"/>
      <c r="BN23" t="str">
        <f t="shared" si="2"/>
        <v>3C6 N2O Tidak Langsung dari Penggunaan Pupuk</v>
      </c>
      <c r="BO23" s="196"/>
      <c r="BP23" s="196"/>
      <c r="BQ23" s="196"/>
      <c r="BR23" s="196"/>
      <c r="BS23" s="196"/>
      <c r="BT23" s="196"/>
      <c r="BU23" s="196"/>
      <c r="BV23" s="196"/>
      <c r="BW23" s="196"/>
      <c r="BX23" s="196"/>
      <c r="BY23" s="196"/>
      <c r="BZ23" s="196"/>
      <c r="CA23" s="196"/>
      <c r="CB23" s="196"/>
      <c r="CC23" s="196"/>
      <c r="CD23" s="196"/>
      <c r="CE23" s="196"/>
      <c r="CF23" s="196"/>
      <c r="CG23" s="196"/>
      <c r="CH23" s="196"/>
      <c r="CI23" s="196"/>
    </row>
    <row r="24" spans="1:87" x14ac:dyDescent="0.3">
      <c r="A24" s="234" t="s">
        <v>430</v>
      </c>
      <c r="B24" s="235">
        <f>'Pupuk Urea-CO2'!$E11</f>
        <v>14.403180000000001</v>
      </c>
      <c r="C24" s="235"/>
      <c r="D24" s="235"/>
      <c r="E24" s="235">
        <f>'Pupuk Urea-CO2'!$E12</f>
        <v>14.403180000000001</v>
      </c>
      <c r="F24" s="235"/>
      <c r="G24" s="235"/>
      <c r="H24" s="235">
        <f>'Pupuk Urea-CO2'!$E13</f>
        <v>14.403180000000001</v>
      </c>
      <c r="I24" s="235"/>
      <c r="J24" s="235"/>
      <c r="K24" s="235">
        <f>'Pupuk Urea-CO2'!$E14</f>
        <v>14.403180000000001</v>
      </c>
      <c r="L24" s="235"/>
      <c r="M24" s="235"/>
      <c r="N24" s="235">
        <f>'Pupuk Urea-CO2'!$E15</f>
        <v>18.412826666666668</v>
      </c>
      <c r="O24" s="235"/>
      <c r="P24" s="235"/>
      <c r="Q24" s="235">
        <f>'Pupuk Urea-CO2'!$E16</f>
        <v>14.556593333333335</v>
      </c>
      <c r="R24" s="58"/>
      <c r="S24" s="290"/>
      <c r="T24" s="235">
        <f>'Pupuk Urea-CO2'!$E17</f>
        <v>19.156704864000002</v>
      </c>
      <c r="U24" s="290"/>
      <c r="V24" s="290"/>
      <c r="W24" s="235">
        <f>'Pupuk Urea-CO2'!$E18</f>
        <v>19.539838961280001</v>
      </c>
      <c r="X24" s="58"/>
      <c r="Y24" s="58"/>
      <c r="Z24" s="235">
        <f>'Pupuk Urea-CO2'!$E19</f>
        <v>19.9306357405056</v>
      </c>
      <c r="AA24" s="58"/>
      <c r="AB24" s="58"/>
      <c r="AC24" s="235">
        <f>'Pupuk Urea-CO2'!$E20</f>
        <v>20.329248455315717</v>
      </c>
      <c r="AD24" s="58"/>
      <c r="AE24" s="58"/>
      <c r="AF24" s="235">
        <f>'Pupuk Urea-CO2'!$E21</f>
        <v>20.735833424422029</v>
      </c>
      <c r="AG24" s="58"/>
      <c r="AH24" s="58"/>
      <c r="AI24" s="235">
        <f>'Pupuk Urea-CO2'!$E22</f>
        <v>21.150550092910471</v>
      </c>
      <c r="AJ24" s="58"/>
      <c r="AK24" s="58"/>
      <c r="AL24" s="235">
        <f>'Pupuk Urea-CO2'!$E23</f>
        <v>21.573561094768682</v>
      </c>
      <c r="AM24" s="58"/>
      <c r="AN24" s="58"/>
      <c r="AO24" s="235">
        <f>'Pupuk Urea-CO2'!$E24</f>
        <v>22.00503231666405</v>
      </c>
      <c r="AP24" s="58"/>
      <c r="AQ24" s="58"/>
      <c r="AR24" s="235">
        <f>'Pupuk Urea-CO2'!$E25</f>
        <v>22.00503231666405</v>
      </c>
      <c r="AS24" s="58"/>
      <c r="AT24" s="58"/>
      <c r="AU24" s="235">
        <f>'Pupuk Urea-CO2'!$E26</f>
        <v>22.00503231666405</v>
      </c>
      <c r="AV24" s="58"/>
      <c r="AW24" s="58"/>
      <c r="AX24" s="235">
        <f>'Pupuk Urea-CO2'!$E27</f>
        <v>22.00503231666405</v>
      </c>
      <c r="AY24" s="58"/>
      <c r="AZ24" s="58"/>
      <c r="BA24" s="235">
        <f>'Pupuk Urea-CO2'!$E28</f>
        <v>22.00503231666405</v>
      </c>
      <c r="BB24" s="58"/>
      <c r="BC24" s="58"/>
      <c r="BD24" s="235">
        <f>'Pupuk Urea-CO2'!$E29</f>
        <v>22.00503231666405</v>
      </c>
      <c r="BE24" s="58"/>
      <c r="BF24" s="58"/>
      <c r="BG24" s="235">
        <f>'Pupuk Urea-CO2'!$E30</f>
        <v>22.00503231666405</v>
      </c>
      <c r="BH24" s="58"/>
      <c r="BI24" s="58"/>
      <c r="BJ24" s="235">
        <f>'Pupuk Urea-CO2'!$E31</f>
        <v>22.00503231666405</v>
      </c>
      <c r="BK24" s="58"/>
      <c r="BL24" s="60"/>
      <c r="BN24" t="str">
        <f t="shared" si="2"/>
        <v>3C7 Budidaya Padi</v>
      </c>
      <c r="BO24" s="196">
        <f>'3C5 Lahan sawah'!$K11*21*1000</f>
        <v>240389.88575467726</v>
      </c>
      <c r="BP24" s="196">
        <f>'3C5 Lahan sawah'!$K12*21*1000</f>
        <v>213431.08769664564</v>
      </c>
      <c r="BQ24" s="196">
        <f>'3C5 Lahan sawah'!$K13*21*1000</f>
        <v>213934.05522325399</v>
      </c>
      <c r="BR24" s="196">
        <f>'3C5 Lahan sawah'!$K14*21*1000</f>
        <v>223091.89687597755</v>
      </c>
      <c r="BS24" s="196">
        <f>'3C5 Lahan sawah'!$K15*21*1000</f>
        <v>212064.97599803147</v>
      </c>
      <c r="BT24" s="196">
        <f>'3C5 Lahan sawah'!$K16*21*1000</f>
        <v>227745.84102417971</v>
      </c>
      <c r="BU24" s="196">
        <f>'3C5 Lahan sawah'!$K17*21*1000</f>
        <v>232285.91932097194</v>
      </c>
      <c r="BV24" s="196">
        <f>'3C5 Lahan sawah'!$K18*21*1000</f>
        <v>236914.94184069434</v>
      </c>
      <c r="BW24" s="196">
        <f>'3C5 Lahan sawah'!$K19*21*1000</f>
        <v>241634.66103621968</v>
      </c>
      <c r="BX24" s="196">
        <f>'3C5 Lahan sawah'!$K20*21*1000</f>
        <v>246446.86400855926</v>
      </c>
      <c r="BY24" s="196">
        <f>'3C5 Lahan sawah'!$K21*21*1000</f>
        <v>251353.37319387356</v>
      </c>
      <c r="BZ24" s="196">
        <f>'3C5 Lahan sawah'!$K22*21*1000</f>
        <v>256356.04706413471</v>
      </c>
      <c r="CA24" s="196">
        <f>'3C5 Lahan sawah'!$K23*21*1000</f>
        <v>261456.78084171095</v>
      </c>
      <c r="CB24" s="196">
        <f>'3C5 Lahan sawah'!$K24*21*1000</f>
        <v>265816.31635361508</v>
      </c>
      <c r="CC24" s="196">
        <f>'3C5 Lahan sawah'!$K25*21*1000</f>
        <v>265686.66060369689</v>
      </c>
      <c r="CD24" s="196">
        <f>'3C5 Lahan sawah'!$K26*21*1000</f>
        <v>265557.6499072609</v>
      </c>
      <c r="CE24" s="196">
        <f>'3C5 Lahan sawah'!$K27*21*1000</f>
        <v>265429.28105508571</v>
      </c>
      <c r="CF24" s="196">
        <f>'3C5 Lahan sawah'!$K28*21*1000</f>
        <v>265301.55085391633</v>
      </c>
      <c r="CG24" s="196">
        <f>'3C5 Lahan sawah'!$K29*21*1000</f>
        <v>265174.45612638479</v>
      </c>
      <c r="CH24" s="196">
        <f>'3C5 Lahan sawah'!$K30*21*1000</f>
        <v>265047.99371093034</v>
      </c>
      <c r="CI24" s="196">
        <f>'3C5 Lahan sawah'!$K31*21*1000</f>
        <v>264922.160461722</v>
      </c>
    </row>
    <row r="25" spans="1:87" x14ac:dyDescent="0.3">
      <c r="A25" s="234" t="s">
        <v>431</v>
      </c>
      <c r="B25" s="235"/>
      <c r="C25" s="235"/>
      <c r="D25" s="235">
        <f>'Direct N2O'!AA16</f>
        <v>0.2042279933571429</v>
      </c>
      <c r="E25" s="235"/>
      <c r="F25" s="235"/>
      <c r="G25" s="235">
        <f>'Direct N2O'!AB16</f>
        <v>0.2042279933571429</v>
      </c>
      <c r="H25" s="235"/>
      <c r="I25" s="235"/>
      <c r="J25" s="235">
        <f>'Direct N2O'!AC16</f>
        <v>0.2042279933571429</v>
      </c>
      <c r="K25" s="235"/>
      <c r="L25" s="235"/>
      <c r="M25" s="235">
        <f>'Direct N2O'!AD16</f>
        <v>0.2042279933571429</v>
      </c>
      <c r="N25" s="235"/>
      <c r="O25" s="235"/>
      <c r="P25" s="235">
        <f>'Direct N2O'!AE16</f>
        <v>0.27063386350000007</v>
      </c>
      <c r="Q25" s="58"/>
      <c r="R25" s="58"/>
      <c r="S25" s="235">
        <f>'Direct N2O'!AF16</f>
        <v>0.2065263506428571</v>
      </c>
      <c r="T25" s="58"/>
      <c r="U25" s="58"/>
      <c r="V25" s="235">
        <f>'Direct N2O'!AG16</f>
        <v>0.20204771379139289</v>
      </c>
      <c r="W25" s="58"/>
      <c r="X25" s="58"/>
      <c r="Y25" s="235">
        <f>'Direct N2O'!AH16</f>
        <v>0.2059919867886493</v>
      </c>
      <c r="Z25" s="58"/>
      <c r="AA25" s="58"/>
      <c r="AB25" s="235">
        <f>'Direct N2O'!AI16</f>
        <v>0.21001514524585085</v>
      </c>
      <c r="AC25" s="58"/>
      <c r="AD25" s="58"/>
      <c r="AE25" s="235">
        <f>'Direct N2O'!AJ16</f>
        <v>0.2141187668721965</v>
      </c>
      <c r="AF25" s="58"/>
      <c r="AG25" s="58"/>
      <c r="AH25" s="235">
        <f>'Direct N2O'!AK16</f>
        <v>0.21830446093106895</v>
      </c>
      <c r="AI25" s="58"/>
      <c r="AJ25" s="58"/>
      <c r="AK25" s="235">
        <f>'Direct N2O'!AL16</f>
        <v>0.22257386887111888</v>
      </c>
      <c r="AL25" s="58"/>
      <c r="AM25" s="58"/>
      <c r="AN25" s="235">
        <f>'Direct N2O'!AM16</f>
        <v>0.22692866496996986</v>
      </c>
      <c r="AO25" s="58"/>
      <c r="AP25" s="58"/>
      <c r="AQ25" s="235">
        <f>'Direct N2O'!AN16</f>
        <v>0.23137055699079787</v>
      </c>
      <c r="AR25" s="58"/>
      <c r="AS25" s="58"/>
      <c r="AT25" s="235">
        <f>'Direct N2O'!AO16</f>
        <v>0.23137055699079787</v>
      </c>
      <c r="AU25" s="58"/>
      <c r="AV25" s="58"/>
      <c r="AW25" s="235">
        <f>'Direct N2O'!AP16</f>
        <v>0.23137055699079787</v>
      </c>
      <c r="AX25" s="58"/>
      <c r="AY25" s="58"/>
      <c r="AZ25" s="235">
        <f>'Direct N2O'!AQ16</f>
        <v>0.23137055699079787</v>
      </c>
      <c r="BA25" s="58"/>
      <c r="BB25" s="58"/>
      <c r="BC25" s="235">
        <f>'Direct N2O'!AR16</f>
        <v>0.23137055699079787</v>
      </c>
      <c r="BD25" s="58"/>
      <c r="BE25" s="58"/>
      <c r="BF25" s="235">
        <f>'Direct N2O'!AS16</f>
        <v>0.23137055699079787</v>
      </c>
      <c r="BG25" s="58"/>
      <c r="BH25" s="58"/>
      <c r="BI25" s="235">
        <f>'Direct N2O'!AT16</f>
        <v>0.23137055699079787</v>
      </c>
      <c r="BJ25" s="58"/>
      <c r="BK25" s="58"/>
      <c r="BL25" s="236">
        <f>'Direct N2O'!AU16</f>
        <v>0.23137055699079787</v>
      </c>
      <c r="BN25" s="210" t="s">
        <v>439</v>
      </c>
      <c r="BO25" s="331">
        <f>SUM(BO16:BO24)</f>
        <v>1403126891.3537023</v>
      </c>
      <c r="BP25" s="331">
        <f t="shared" ref="BP25:CI25" si="4">SUM(BP16:BP24)</f>
        <v>1398799692.732759</v>
      </c>
      <c r="BQ25" s="331">
        <f t="shared" si="4"/>
        <v>1429816919.9332619</v>
      </c>
      <c r="BR25" s="331">
        <f t="shared" si="4"/>
        <v>1422154125.511065</v>
      </c>
      <c r="BS25" s="331">
        <f t="shared" si="4"/>
        <v>1466581057.4913452</v>
      </c>
      <c r="BT25" s="331">
        <f t="shared" si="4"/>
        <v>1469886408.3492558</v>
      </c>
      <c r="BU25" s="331">
        <f t="shared" si="4"/>
        <v>1473227440.1141927</v>
      </c>
      <c r="BV25" s="331">
        <f t="shared" si="4"/>
        <v>1476586954.6276889</v>
      </c>
      <c r="BW25" s="331">
        <f t="shared" si="4"/>
        <v>1479966711.6328278</v>
      </c>
      <c r="BX25" s="331">
        <f t="shared" si="4"/>
        <v>1483366834.2771223</v>
      </c>
      <c r="BY25" s="331">
        <f t="shared" si="4"/>
        <v>1486787446.4805729</v>
      </c>
      <c r="BZ25" s="331">
        <f t="shared" si="4"/>
        <v>1489888585.624429</v>
      </c>
      <c r="CA25" s="331">
        <f t="shared" si="4"/>
        <v>1493008423.9822764</v>
      </c>
      <c r="CB25" s="331">
        <f t="shared" si="4"/>
        <v>1496146234.3895707</v>
      </c>
      <c r="CC25" s="331">
        <f t="shared" si="4"/>
        <v>1499296537.0023403</v>
      </c>
      <c r="CD25" s="331">
        <f t="shared" si="4"/>
        <v>1502465742.8537738</v>
      </c>
      <c r="CE25" s="331">
        <f t="shared" si="4"/>
        <v>1505653965.3562238</v>
      </c>
      <c r="CF25" s="331">
        <f t="shared" si="4"/>
        <v>1508861318.6025531</v>
      </c>
      <c r="CG25" s="331">
        <f t="shared" si="4"/>
        <v>1512087917.3702159</v>
      </c>
      <c r="CH25" s="331">
        <f t="shared" si="4"/>
        <v>1515333877.1253636</v>
      </c>
      <c r="CI25" s="331">
        <f t="shared" si="4"/>
        <v>1518599314.0269842</v>
      </c>
    </row>
    <row r="26" spans="1:87" x14ac:dyDescent="0.3">
      <c r="A26" s="234" t="s">
        <v>432</v>
      </c>
      <c r="B26" s="235"/>
      <c r="C26" s="235"/>
      <c r="D26" s="235"/>
      <c r="E26" s="235"/>
      <c r="F26" s="235"/>
      <c r="G26" s="235"/>
      <c r="H26" s="235"/>
      <c r="I26" s="235"/>
      <c r="J26" s="235"/>
      <c r="K26" s="235"/>
      <c r="L26" s="235"/>
      <c r="M26" s="235"/>
      <c r="N26" s="235"/>
      <c r="O26" s="235"/>
      <c r="P26" s="235"/>
      <c r="Q26" s="58"/>
      <c r="R26" s="58"/>
      <c r="S26" s="58"/>
      <c r="T26" s="58"/>
      <c r="U26" s="58"/>
      <c r="V26" s="58"/>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60"/>
      <c r="BO26" s="316"/>
      <c r="CI26" s="315">
        <f>(CI25-BO25)/BO25</f>
        <v>8.2296493200181606E-2</v>
      </c>
    </row>
    <row r="27" spans="1:87" x14ac:dyDescent="0.3">
      <c r="A27" s="234" t="s">
        <v>433</v>
      </c>
      <c r="B27" s="235"/>
      <c r="C27" s="235"/>
      <c r="D27" s="235"/>
      <c r="E27" s="235"/>
      <c r="F27" s="235"/>
      <c r="G27" s="235"/>
      <c r="H27" s="235"/>
      <c r="I27" s="235"/>
      <c r="J27" s="235"/>
      <c r="K27" s="235"/>
      <c r="L27" s="235"/>
      <c r="M27" s="235"/>
      <c r="N27" s="235"/>
      <c r="O27" s="235"/>
      <c r="P27" s="235"/>
      <c r="Q27" s="58"/>
      <c r="R27" s="58"/>
      <c r="S27" s="58"/>
      <c r="T27" s="58"/>
      <c r="U27" s="58"/>
      <c r="V27" s="58"/>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60"/>
      <c r="BO27" s="196">
        <f>BO20+BO21+BO24</f>
        <v>318103.74369539157</v>
      </c>
      <c r="BP27" s="196">
        <f>BP20+BP21+BP24</f>
        <v>291144.94563735992</v>
      </c>
      <c r="BQ27" s="196">
        <f>BQ20+BQ21+BQ24</f>
        <v>291647.9131639683</v>
      </c>
      <c r="BR27" s="196">
        <f>BR20+BR21+BR24</f>
        <v>300805.75481669186</v>
      </c>
      <c r="BS27" s="196">
        <f>BS20+BS21+BS24</f>
        <v>314374.30034969817</v>
      </c>
    </row>
    <row r="28" spans="1:87" x14ac:dyDescent="0.3">
      <c r="A28" s="234" t="s">
        <v>434</v>
      </c>
      <c r="B28" s="235"/>
      <c r="C28" s="235">
        <f>'3C5 Lahan sawah'!$K11</f>
        <v>11.447137416889394</v>
      </c>
      <c r="D28" s="235"/>
      <c r="E28" s="235"/>
      <c r="F28" s="235">
        <f>'3C5 Lahan sawah'!$K12</f>
        <v>10.163385128411697</v>
      </c>
      <c r="G28" s="235"/>
      <c r="H28" s="235"/>
      <c r="I28" s="235">
        <f>'3C5 Lahan sawah'!$K13</f>
        <v>10.187335963012094</v>
      </c>
      <c r="J28" s="235"/>
      <c r="K28" s="235"/>
      <c r="L28" s="235">
        <f>'3C5 Lahan sawah'!$K14</f>
        <v>10.623423660760835</v>
      </c>
      <c r="M28" s="235"/>
      <c r="N28" s="235"/>
      <c r="O28" s="235">
        <f>'3C5 Lahan sawah'!$K15</f>
        <v>10.09833219038245</v>
      </c>
      <c r="P28" s="235"/>
      <c r="Q28" s="58"/>
      <c r="R28" s="235">
        <f>'3C5 Lahan sawah'!$K16</f>
        <v>10.845040048770462</v>
      </c>
      <c r="S28" s="58"/>
      <c r="T28" s="58"/>
      <c r="U28" s="235">
        <f>'3C5 Lahan sawah'!$K17</f>
        <v>11.061234253379617</v>
      </c>
      <c r="V28" s="58"/>
      <c r="W28" s="58"/>
      <c r="X28" s="235">
        <f>'3C5 Lahan sawah'!$K18</f>
        <v>11.281663897175921</v>
      </c>
      <c r="Y28" s="58"/>
      <c r="Z28" s="58"/>
      <c r="AA28" s="235">
        <f>'3C5 Lahan sawah'!$K19</f>
        <v>11.506412430296175</v>
      </c>
      <c r="AB28" s="58"/>
      <c r="AC28" s="58"/>
      <c r="AD28" s="235">
        <f>'3C5 Lahan sawah'!$K20</f>
        <v>11.735564952788536</v>
      </c>
      <c r="AE28" s="58"/>
      <c r="AF28" s="58"/>
      <c r="AG28" s="235">
        <f>'3C5 Lahan sawah'!$K21</f>
        <v>11.969208247327312</v>
      </c>
      <c r="AH28" s="58"/>
      <c r="AI28" s="58"/>
      <c r="AJ28" s="235">
        <f>'3C5 Lahan sawah'!$K22</f>
        <v>12.207430812577844</v>
      </c>
      <c r="AK28" s="58"/>
      <c r="AL28" s="58"/>
      <c r="AM28" s="235">
        <f>'3C5 Lahan sawah'!$K23</f>
        <v>12.45032289722433</v>
      </c>
      <c r="AN28" s="58"/>
      <c r="AO28" s="58"/>
      <c r="AP28" s="235">
        <f>'3C5 Lahan sawah'!$K24</f>
        <v>12.657919826362624</v>
      </c>
      <c r="AQ28" s="58"/>
      <c r="AR28" s="58"/>
      <c r="AS28" s="235">
        <f>'3C5 Lahan sawah'!$K25</f>
        <v>12.651745743033187</v>
      </c>
      <c r="AT28" s="58"/>
      <c r="AU28" s="58"/>
      <c r="AV28" s="235">
        <f>'3C5 Lahan sawah'!$K26</f>
        <v>12.645602376536234</v>
      </c>
      <c r="AW28" s="58"/>
      <c r="AX28" s="58"/>
      <c r="AY28" s="235">
        <f>'3C5 Lahan sawah'!$K27</f>
        <v>12.639489574051701</v>
      </c>
      <c r="AZ28" s="58"/>
      <c r="BA28" s="58"/>
      <c r="BB28" s="235">
        <f>'3C5 Lahan sawah'!$K28</f>
        <v>12.633407183519827</v>
      </c>
      <c r="BC28" s="58"/>
      <c r="BD28" s="58"/>
      <c r="BE28" s="235">
        <f>'3C5 Lahan sawah'!$K29</f>
        <v>12.62735505363737</v>
      </c>
      <c r="BF28" s="58"/>
      <c r="BG28" s="58"/>
      <c r="BH28" s="235">
        <f>'3C5 Lahan sawah'!$K30</f>
        <v>12.621333033853826</v>
      </c>
      <c r="BI28" s="58"/>
      <c r="BJ28" s="58"/>
      <c r="BK28" s="235">
        <f>'3C5 Lahan sawah'!$K31</f>
        <v>12.615340974367713</v>
      </c>
      <c r="BL28" s="60"/>
      <c r="BO28" s="171"/>
      <c r="BP28" s="171"/>
      <c r="BQ28" s="171"/>
      <c r="BR28" s="171"/>
      <c r="BS28" s="171"/>
    </row>
    <row r="29" spans="1:87" x14ac:dyDescent="0.3">
      <c r="A29" s="234"/>
      <c r="B29" s="58"/>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c r="AH29" s="58"/>
      <c r="AI29" s="58"/>
      <c r="AJ29" s="58"/>
      <c r="AK29" s="58"/>
      <c r="AL29" s="58"/>
      <c r="AM29" s="58"/>
      <c r="AN29" s="58"/>
      <c r="AO29" s="58"/>
      <c r="AP29" s="58"/>
      <c r="AQ29" s="58"/>
      <c r="AR29" s="58"/>
      <c r="AS29" s="58"/>
      <c r="AT29" s="58"/>
      <c r="AU29" s="58"/>
      <c r="AV29" s="58"/>
      <c r="AW29" s="58"/>
      <c r="AX29" s="58"/>
      <c r="AY29" s="58"/>
      <c r="AZ29" s="58"/>
      <c r="BA29" s="58"/>
      <c r="BB29" s="58"/>
      <c r="BC29" s="58"/>
      <c r="BD29" s="58"/>
      <c r="BE29" s="58"/>
      <c r="BF29" s="58"/>
      <c r="BG29" s="58"/>
      <c r="BH29" s="58"/>
      <c r="BI29" s="58"/>
      <c r="BJ29" s="58"/>
      <c r="BK29" s="58"/>
      <c r="BL29" s="60"/>
    </row>
    <row r="30" spans="1:87" ht="15" thickBot="1" x14ac:dyDescent="0.35">
      <c r="A30" s="237" t="s">
        <v>439</v>
      </c>
      <c r="B30" s="238">
        <f>B15+B19+B21</f>
        <v>14.403180000000001</v>
      </c>
      <c r="C30" s="238">
        <f>C15+C19+C21</f>
        <v>14.688788086889392</v>
      </c>
      <c r="D30" s="238">
        <f>D15+D19+D21</f>
        <v>4525.1742697544441</v>
      </c>
      <c r="E30" s="238">
        <f t="shared" ref="E30:BL30" si="5">E15+E19+E21</f>
        <v>14.403180000000001</v>
      </c>
      <c r="F30" s="238">
        <f t="shared" si="5"/>
        <v>13.341121208411696</v>
      </c>
      <c r="G30" s="238">
        <f t="shared" si="5"/>
        <v>4511.30685808833</v>
      </c>
      <c r="H30" s="238">
        <f t="shared" si="5"/>
        <v>14.403180000000001</v>
      </c>
      <c r="I30" s="238">
        <f t="shared" si="5"/>
        <v>13.412786823012095</v>
      </c>
      <c r="J30" s="238">
        <f t="shared" si="5"/>
        <v>4611.357574935415</v>
      </c>
      <c r="K30" s="238">
        <f t="shared" si="5"/>
        <v>14.403180000000001</v>
      </c>
      <c r="L30" s="238">
        <f t="shared" si="5"/>
        <v>13.630630100760834</v>
      </c>
      <c r="M30" s="238">
        <f t="shared" si="5"/>
        <v>4586.6241261256428</v>
      </c>
      <c r="N30" s="238">
        <f t="shared" si="5"/>
        <v>18.412826666666668</v>
      </c>
      <c r="O30" s="238">
        <f t="shared" si="5"/>
        <v>12.92422861038245</v>
      </c>
      <c r="P30" s="238">
        <f t="shared" si="5"/>
        <v>4729.9717285930992</v>
      </c>
      <c r="Q30" s="238">
        <f t="shared" si="5"/>
        <v>14.556593333333335</v>
      </c>
      <c r="R30" s="238">
        <f t="shared" si="5"/>
        <v>13.672757597410463</v>
      </c>
      <c r="S30" s="238">
        <f t="shared" si="5"/>
        <v>4740.5958833754094</v>
      </c>
      <c r="T30" s="238">
        <f t="shared" si="5"/>
        <v>19.156704864000002</v>
      </c>
      <c r="U30" s="238">
        <f t="shared" si="5"/>
        <v>13.890783857431456</v>
      </c>
      <c r="V30" s="238">
        <f t="shared" si="5"/>
        <v>4751.3437966074925</v>
      </c>
      <c r="W30" s="238">
        <f t="shared" si="5"/>
        <v>19.539838961280001</v>
      </c>
      <c r="X30" s="238">
        <f t="shared" si="5"/>
        <v>14.113056548972072</v>
      </c>
      <c r="Y30" s="238">
        <f t="shared" si="5"/>
        <v>4762.1646471006425</v>
      </c>
      <c r="Z30" s="238">
        <f t="shared" si="5"/>
        <v>19.9306357405056</v>
      </c>
      <c r="AA30" s="238">
        <f t="shared" si="5"/>
        <v>14.339659188123102</v>
      </c>
      <c r="AB30" s="238">
        <f t="shared" si="5"/>
        <v>4773.0504779165703</v>
      </c>
      <c r="AC30" s="238">
        <f t="shared" si="5"/>
        <v>20.329248455315717</v>
      </c>
      <c r="AD30" s="238">
        <f t="shared" si="5"/>
        <v>14.570676941282425</v>
      </c>
      <c r="AE30" s="238">
        <f t="shared" si="5"/>
        <v>4784.0016800416124</v>
      </c>
      <c r="AF30" s="238">
        <f t="shared" si="5"/>
        <v>20.735833424422029</v>
      </c>
      <c r="AG30" s="238">
        <f t="shared" si="5"/>
        <v>14.806196657872166</v>
      </c>
      <c r="AH30" s="238">
        <f t="shared" si="5"/>
        <v>4795.0186468301072</v>
      </c>
      <c r="AI30" s="238">
        <f t="shared" si="5"/>
        <v>21.150550092910471</v>
      </c>
      <c r="AJ30" s="238">
        <f t="shared" si="5"/>
        <v>15.046151403148475</v>
      </c>
      <c r="AK30" s="238">
        <f t="shared" si="5"/>
        <v>4805.0047286931294</v>
      </c>
      <c r="AL30" s="238">
        <f t="shared" si="5"/>
        <v>21.573561094768682</v>
      </c>
      <c r="AM30" s="238">
        <f t="shared" si="5"/>
        <v>15.290786060900892</v>
      </c>
      <c r="AN30" s="238">
        <f t="shared" si="5"/>
        <v>4815.0507868190407</v>
      </c>
      <c r="AO30" s="238">
        <f t="shared" si="5"/>
        <v>22.00503231666405</v>
      </c>
      <c r="AP30" s="238">
        <f t="shared" si="5"/>
        <v>15.500136018583754</v>
      </c>
      <c r="AQ30" s="238">
        <f t="shared" si="5"/>
        <v>4825.1571822608512</v>
      </c>
      <c r="AR30" s="238">
        <f t="shared" si="5"/>
        <v>22.00503231666405</v>
      </c>
      <c r="AS30" s="238">
        <f t="shared" si="5"/>
        <v>15.495725481970151</v>
      </c>
      <c r="AT30" s="238">
        <f t="shared" si="5"/>
        <v>4835.3197475319421</v>
      </c>
      <c r="AU30" s="238">
        <f t="shared" si="5"/>
        <v>22.00503231666405</v>
      </c>
      <c r="AV30" s="238">
        <f t="shared" si="5"/>
        <v>15.491356243469328</v>
      </c>
      <c r="AW30" s="238">
        <f t="shared" si="5"/>
        <v>4845.5432881946581</v>
      </c>
      <c r="AX30" s="238">
        <f t="shared" si="5"/>
        <v>22.00503231666405</v>
      </c>
      <c r="AY30" s="238">
        <f t="shared" si="5"/>
        <v>15.487028213748903</v>
      </c>
      <c r="AZ30" s="238">
        <f t="shared" si="5"/>
        <v>4855.8281701013502</v>
      </c>
      <c r="BA30" s="238">
        <f t="shared" si="5"/>
        <v>22.00503231666405</v>
      </c>
      <c r="BB30" s="238">
        <f t="shared" si="5"/>
        <v>15.48274130461772</v>
      </c>
      <c r="BC30" s="238">
        <f t="shared" si="5"/>
        <v>4866.1747612994814</v>
      </c>
      <c r="BD30" s="238">
        <f t="shared" si="5"/>
        <v>22.00503231666405</v>
      </c>
      <c r="BE30" s="238">
        <f t="shared" si="5"/>
        <v>15.47849542902436</v>
      </c>
      <c r="BF30" s="238">
        <f t="shared" si="5"/>
        <v>4876.5834320448048</v>
      </c>
      <c r="BG30" s="238">
        <f t="shared" si="5"/>
        <v>22.00503231666405</v>
      </c>
      <c r="BH30" s="238">
        <f t="shared" si="5"/>
        <v>15.474290501055645</v>
      </c>
      <c r="BI30" s="238">
        <f t="shared" si="5"/>
        <v>4887.0545548145965</v>
      </c>
      <c r="BJ30" s="238">
        <f t="shared" si="5"/>
        <v>22.00503231666405</v>
      </c>
      <c r="BK30" s="238">
        <f t="shared" si="5"/>
        <v>15.470126435935251</v>
      </c>
      <c r="BL30" s="240">
        <f t="shared" si="5"/>
        <v>4897.5885043210092</v>
      </c>
      <c r="BO30">
        <v>2010</v>
      </c>
      <c r="BP30">
        <v>2011</v>
      </c>
      <c r="BQ30">
        <v>2012</v>
      </c>
      <c r="BR30">
        <v>2013</v>
      </c>
      <c r="BS30">
        <v>2014</v>
      </c>
    </row>
    <row r="31" spans="1:87" x14ac:dyDescent="0.3">
      <c r="B31" s="188">
        <f>B30+C30*21+D30*310</f>
        <v>1403126.8913537024</v>
      </c>
      <c r="BN31" t="s">
        <v>480</v>
      </c>
      <c r="BO31" s="196">
        <f>BO20</f>
        <v>14403.18</v>
      </c>
      <c r="BP31" s="196">
        <f t="shared" ref="BP31:BS31" si="6">BP20</f>
        <v>14403.18</v>
      </c>
      <c r="BQ31" s="196">
        <f t="shared" si="6"/>
        <v>14403.18</v>
      </c>
      <c r="BR31" s="196">
        <f t="shared" si="6"/>
        <v>14403.18</v>
      </c>
      <c r="BS31" s="196">
        <f t="shared" si="6"/>
        <v>18412.826666666668</v>
      </c>
    </row>
    <row r="32" spans="1:87" x14ac:dyDescent="0.3">
      <c r="BN32" t="s">
        <v>481</v>
      </c>
      <c r="BO32" s="196">
        <f>BO21</f>
        <v>63310.677940714297</v>
      </c>
      <c r="BP32" s="196">
        <f t="shared" ref="BP32:BS32" si="7">BP21</f>
        <v>63310.677940714297</v>
      </c>
      <c r="BQ32" s="196">
        <f t="shared" si="7"/>
        <v>63310.677940714297</v>
      </c>
      <c r="BR32" s="196">
        <f t="shared" si="7"/>
        <v>63310.677940714297</v>
      </c>
      <c r="BS32" s="196">
        <f t="shared" si="7"/>
        <v>83896.497685000024</v>
      </c>
    </row>
    <row r="33" spans="15:71" x14ac:dyDescent="0.3">
      <c r="O33" s="146"/>
      <c r="P33" s="146"/>
      <c r="AU33" t="s">
        <v>470</v>
      </c>
      <c r="BN33" t="s">
        <v>482</v>
      </c>
      <c r="BO33" s="196">
        <f>BO24</f>
        <v>240389.88575467726</v>
      </c>
      <c r="BP33" s="196">
        <f t="shared" ref="BP33:BS33" si="8">BP24</f>
        <v>213431.08769664564</v>
      </c>
      <c r="BQ33" s="196">
        <f t="shared" si="8"/>
        <v>213934.05522325399</v>
      </c>
      <c r="BR33" s="196">
        <f t="shared" si="8"/>
        <v>223091.89687597755</v>
      </c>
      <c r="BS33" s="196">
        <f t="shared" si="8"/>
        <v>212064.97599803147</v>
      </c>
    </row>
    <row r="34" spans="15:71" x14ac:dyDescent="0.3">
      <c r="AU34">
        <v>1</v>
      </c>
      <c r="AV34">
        <v>2010</v>
      </c>
      <c r="AW34">
        <v>387581.14847833745</v>
      </c>
      <c r="BN34" t="s">
        <v>439</v>
      </c>
      <c r="BO34" s="196">
        <f>SUM(BO31:BO33)</f>
        <v>318103.74369539157</v>
      </c>
      <c r="BP34" s="196">
        <f t="shared" ref="BP34:BS34" si="9">SUM(BP31:BP33)</f>
        <v>291144.94563735992</v>
      </c>
      <c r="BQ34" s="196">
        <f t="shared" si="9"/>
        <v>291647.9131639683</v>
      </c>
      <c r="BR34" s="196">
        <f t="shared" si="9"/>
        <v>300805.75481669186</v>
      </c>
      <c r="BS34" s="196">
        <f t="shared" si="9"/>
        <v>314374.30034969817</v>
      </c>
    </row>
    <row r="35" spans="15:71" x14ac:dyDescent="0.3">
      <c r="AU35">
        <v>2</v>
      </c>
      <c r="AV35">
        <f>AV34+1</f>
        <v>2011</v>
      </c>
      <c r="AW35">
        <v>359275.84513268934</v>
      </c>
    </row>
    <row r="36" spans="15:71" x14ac:dyDescent="0.3">
      <c r="AU36">
        <v>3</v>
      </c>
      <c r="AV36">
        <f t="shared" ref="AV36:AV53" si="10">AV35+1</f>
        <v>2012</v>
      </c>
      <c r="AW36">
        <v>360811.83876152034</v>
      </c>
      <c r="BO36" s="196">
        <f>SUM(BO34:BS34)/5</f>
        <v>303215.33153262199</v>
      </c>
    </row>
    <row r="37" spans="15:71" x14ac:dyDescent="0.3">
      <c r="AU37">
        <v>4</v>
      </c>
      <c r="AV37">
        <f t="shared" si="10"/>
        <v>2013</v>
      </c>
      <c r="AW37">
        <v>365378.88022511284</v>
      </c>
    </row>
    <row r="38" spans="15:71" x14ac:dyDescent="0.3">
      <c r="AU38">
        <v>5</v>
      </c>
      <c r="AV38">
        <f t="shared" si="10"/>
        <v>2014</v>
      </c>
      <c r="AW38">
        <v>375184.33250906435</v>
      </c>
    </row>
    <row r="39" spans="15:71" x14ac:dyDescent="0.3">
      <c r="AU39">
        <v>6</v>
      </c>
      <c r="AV39">
        <f t="shared" si="10"/>
        <v>2015</v>
      </c>
    </row>
    <row r="40" spans="15:71" x14ac:dyDescent="0.3">
      <c r="AU40">
        <v>7</v>
      </c>
      <c r="AV40">
        <f t="shared" si="10"/>
        <v>2016</v>
      </c>
    </row>
    <row r="41" spans="15:71" x14ac:dyDescent="0.3">
      <c r="AU41">
        <v>8</v>
      </c>
      <c r="AV41">
        <f t="shared" si="10"/>
        <v>2017</v>
      </c>
    </row>
    <row r="42" spans="15:71" x14ac:dyDescent="0.3">
      <c r="AU42">
        <v>9</v>
      </c>
      <c r="AV42">
        <f t="shared" si="10"/>
        <v>2018</v>
      </c>
    </row>
    <row r="43" spans="15:71" x14ac:dyDescent="0.3">
      <c r="AU43">
        <v>10</v>
      </c>
      <c r="AV43">
        <f t="shared" si="10"/>
        <v>2019</v>
      </c>
    </row>
    <row r="44" spans="15:71" x14ac:dyDescent="0.3">
      <c r="AU44">
        <v>11</v>
      </c>
      <c r="AV44">
        <f t="shared" si="10"/>
        <v>2020</v>
      </c>
    </row>
    <row r="45" spans="15:71" x14ac:dyDescent="0.3">
      <c r="AU45">
        <v>12</v>
      </c>
      <c r="AV45">
        <f t="shared" si="10"/>
        <v>2021</v>
      </c>
    </row>
    <row r="46" spans="15:71" x14ac:dyDescent="0.3">
      <c r="AU46">
        <v>13</v>
      </c>
      <c r="AV46">
        <f t="shared" si="10"/>
        <v>2022</v>
      </c>
    </row>
    <row r="47" spans="15:71" x14ac:dyDescent="0.3">
      <c r="AU47">
        <v>14</v>
      </c>
      <c r="AV47">
        <f t="shared" si="10"/>
        <v>2023</v>
      </c>
    </row>
    <row r="48" spans="15:71" x14ac:dyDescent="0.3">
      <c r="AU48">
        <v>15</v>
      </c>
      <c r="AV48">
        <f t="shared" si="10"/>
        <v>2024</v>
      </c>
    </row>
    <row r="49" spans="47:63" x14ac:dyDescent="0.3">
      <c r="AU49">
        <v>16</v>
      </c>
      <c r="AV49">
        <f t="shared" si="10"/>
        <v>2025</v>
      </c>
    </row>
    <row r="50" spans="47:63" x14ac:dyDescent="0.3">
      <c r="AU50">
        <v>17</v>
      </c>
      <c r="AV50">
        <f t="shared" si="10"/>
        <v>2026</v>
      </c>
      <c r="BG50" s="317"/>
      <c r="BH50" s="317"/>
      <c r="BI50" s="317"/>
      <c r="BJ50" s="317"/>
      <c r="BK50" s="317"/>
    </row>
    <row r="51" spans="47:63" x14ac:dyDescent="0.3">
      <c r="AU51">
        <v>18</v>
      </c>
      <c r="AV51">
        <f t="shared" si="10"/>
        <v>2027</v>
      </c>
    </row>
    <row r="52" spans="47:63" x14ac:dyDescent="0.3">
      <c r="AU52">
        <v>19</v>
      </c>
      <c r="AV52">
        <f t="shared" si="10"/>
        <v>2028</v>
      </c>
    </row>
    <row r="53" spans="47:63" x14ac:dyDescent="0.3">
      <c r="AU53">
        <v>20</v>
      </c>
      <c r="AV53">
        <f t="shared" si="10"/>
        <v>2029</v>
      </c>
    </row>
    <row r="54" spans="47:63" x14ac:dyDescent="0.3">
      <c r="AU54">
        <v>21</v>
      </c>
      <c r="AV54">
        <f>AV53+1</f>
        <v>2030</v>
      </c>
    </row>
    <row r="58" spans="47:63" x14ac:dyDescent="0.3">
      <c r="AV58" s="58" t="s">
        <v>406</v>
      </c>
      <c r="AW58" s="58" t="s">
        <v>471</v>
      </c>
      <c r="AX58" s="58" t="s">
        <v>472</v>
      </c>
    </row>
    <row r="59" spans="47:63" x14ac:dyDescent="0.3">
      <c r="AV59" s="58">
        <f>AV34</f>
        <v>2010</v>
      </c>
      <c r="AW59" s="319">
        <f>AW34</f>
        <v>387581.14847833745</v>
      </c>
      <c r="AX59">
        <v>359275.84513268934</v>
      </c>
    </row>
    <row r="60" spans="47:63" x14ac:dyDescent="0.3">
      <c r="AV60" s="58">
        <f t="shared" ref="AV60:AW60" si="11">AV35</f>
        <v>2011</v>
      </c>
      <c r="AW60" s="319">
        <f t="shared" si="11"/>
        <v>359275.84513268934</v>
      </c>
      <c r="AX60">
        <v>360811.83876152034</v>
      </c>
    </row>
    <row r="61" spans="47:63" x14ac:dyDescent="0.3">
      <c r="AV61" s="58">
        <f t="shared" ref="AV61:AW61" si="12">AV36</f>
        <v>2012</v>
      </c>
      <c r="AW61" s="319">
        <f t="shared" si="12"/>
        <v>360811.83876152034</v>
      </c>
      <c r="AX61">
        <v>365378.88022511284</v>
      </c>
    </row>
    <row r="62" spans="47:63" x14ac:dyDescent="0.3">
      <c r="AV62" s="58">
        <f t="shared" ref="AV62:AW62" si="13">AV37</f>
        <v>2013</v>
      </c>
      <c r="AW62" s="319">
        <f t="shared" si="13"/>
        <v>365378.88022511284</v>
      </c>
      <c r="AX62">
        <v>375184.33250906435</v>
      </c>
    </row>
    <row r="63" spans="47:63" x14ac:dyDescent="0.3">
      <c r="AV63" s="58">
        <f t="shared" ref="AV63:AW63" si="14">AV38</f>
        <v>2014</v>
      </c>
      <c r="AW63" s="319">
        <f t="shared" si="14"/>
        <v>375184.33250906435</v>
      </c>
      <c r="AX63">
        <v>367177.19227891648</v>
      </c>
    </row>
    <row r="64" spans="47:63" x14ac:dyDescent="0.3">
      <c r="AV64" s="58">
        <f t="shared" ref="AV64" si="15">AV39</f>
        <v>2015</v>
      </c>
      <c r="AW64" s="319"/>
      <c r="AX64">
        <v>374970.81108754943</v>
      </c>
    </row>
    <row r="65" spans="48:50" x14ac:dyDescent="0.3">
      <c r="AV65" s="58">
        <f t="shared" ref="AV65" si="16">AV40</f>
        <v>2016</v>
      </c>
      <c r="AW65" s="319"/>
      <c r="AX65">
        <v>381247.74957726011</v>
      </c>
    </row>
    <row r="66" spans="48:50" x14ac:dyDescent="0.3">
      <c r="AV66" s="58">
        <f t="shared" ref="AV66" si="17">AV41</f>
        <v>2017</v>
      </c>
      <c r="AW66" s="319"/>
      <c r="AX66">
        <v>387647.75426076364</v>
      </c>
    </row>
    <row r="67" spans="48:50" x14ac:dyDescent="0.3">
      <c r="AV67" s="58">
        <f t="shared" ref="AV67" si="18">AV42</f>
        <v>2018</v>
      </c>
      <c r="AW67" s="319"/>
      <c r="AX67">
        <v>394173.25609662273</v>
      </c>
    </row>
    <row r="68" spans="48:50" x14ac:dyDescent="0.3">
      <c r="AV68" s="58">
        <f t="shared" ref="AV68" si="19">AV43</f>
        <v>2019</v>
      </c>
      <c r="AW68" s="319"/>
      <c r="AX68">
        <v>400826.7342345033</v>
      </c>
    </row>
    <row r="69" spans="48:50" x14ac:dyDescent="0.3">
      <c r="AV69" s="58">
        <f t="shared" ref="AV69" si="20">AV44</f>
        <v>2020</v>
      </c>
      <c r="AW69" s="319"/>
      <c r="AX69">
        <v>407607.11137707077</v>
      </c>
    </row>
    <row r="70" spans="48:50" x14ac:dyDescent="0.3">
      <c r="AV70" s="58">
        <f t="shared" ref="AV70" si="21">AV45</f>
        <v>2021</v>
      </c>
      <c r="AW70" s="319"/>
      <c r="AX70">
        <v>414520.54991040588</v>
      </c>
    </row>
    <row r="71" spans="48:50" x14ac:dyDescent="0.3">
      <c r="AV71" s="58">
        <f t="shared" ref="AV71" si="22">AV46</f>
        <v>2022</v>
      </c>
      <c r="AW71" s="319"/>
      <c r="AX71">
        <v>420728.48837569839</v>
      </c>
    </row>
    <row r="72" spans="48:50" x14ac:dyDescent="0.3">
      <c r="AV72" s="58">
        <f t="shared" ref="AV72" si="23">AV47</f>
        <v>2023</v>
      </c>
      <c r="AW72" s="319"/>
      <c r="AX72">
        <v>420639.01750204677</v>
      </c>
    </row>
    <row r="73" spans="48:50" x14ac:dyDescent="0.3">
      <c r="AV73" s="58">
        <f t="shared" ref="AV73" si="24">AV48</f>
        <v>2024</v>
      </c>
      <c r="AW73" s="319"/>
      <c r="AX73">
        <v>420550.43279113492</v>
      </c>
    </row>
    <row r="74" spans="48:50" x14ac:dyDescent="0.3">
      <c r="AV74" s="58">
        <f t="shared" ref="AV74" si="25">AV49</f>
        <v>2025</v>
      </c>
      <c r="AW74" s="319"/>
      <c r="AX74">
        <v>420462.7324803971</v>
      </c>
    </row>
    <row r="75" spans="48:50" x14ac:dyDescent="0.3">
      <c r="AV75" s="58">
        <f t="shared" ref="AV75" si="26">AV50</f>
        <v>2026</v>
      </c>
      <c r="AW75" s="319"/>
      <c r="AX75">
        <v>420375.91483191366</v>
      </c>
    </row>
    <row r="76" spans="48:50" x14ac:dyDescent="0.3">
      <c r="AV76" s="58">
        <f t="shared" ref="AV76" si="27">AV51</f>
        <v>2027</v>
      </c>
      <c r="AW76" s="319"/>
      <c r="AX76">
        <v>420289.97813238419</v>
      </c>
    </row>
    <row r="77" spans="48:50" x14ac:dyDescent="0.3">
      <c r="AV77" s="58">
        <f t="shared" ref="AV77" si="28">AV52</f>
        <v>2028</v>
      </c>
      <c r="AW77" s="319"/>
      <c r="AX77">
        <v>420204.92069309979</v>
      </c>
    </row>
    <row r="78" spans="48:50" x14ac:dyDescent="0.3">
      <c r="AV78" s="58">
        <f t="shared" ref="AV78" si="29">AV53</f>
        <v>2029</v>
      </c>
      <c r="AW78" s="319"/>
      <c r="AX78">
        <v>420120.74084991857</v>
      </c>
    </row>
    <row r="79" spans="48:50" x14ac:dyDescent="0.3">
      <c r="AV79" s="58">
        <f t="shared" ref="AV79" si="30">AV54</f>
        <v>2030</v>
      </c>
      <c r="AW79" s="319"/>
      <c r="AX79" s="58">
        <v>391814.01483648858</v>
      </c>
    </row>
    <row r="80" spans="48:50" x14ac:dyDescent="0.3">
      <c r="AW80" s="318"/>
    </row>
    <row r="81" spans="49:49" x14ac:dyDescent="0.3">
      <c r="AW81" s="318"/>
    </row>
    <row r="82" spans="49:49" x14ac:dyDescent="0.3">
      <c r="AW82" s="318"/>
    </row>
    <row r="83" spans="49:49" x14ac:dyDescent="0.3">
      <c r="AW83" s="318"/>
    </row>
    <row r="84" spans="49:49" x14ac:dyDescent="0.3">
      <c r="AW84" s="318"/>
    </row>
    <row r="85" spans="49:49" x14ac:dyDescent="0.3">
      <c r="AW85" s="318"/>
    </row>
    <row r="86" spans="49:49" x14ac:dyDescent="0.3">
      <c r="AW86" s="318"/>
    </row>
    <row r="87" spans="49:49" x14ac:dyDescent="0.3">
      <c r="AW87" s="318"/>
    </row>
    <row r="88" spans="49:49" x14ac:dyDescent="0.3">
      <c r="AW88" s="318"/>
    </row>
    <row r="89" spans="49:49" x14ac:dyDescent="0.3">
      <c r="AW89" s="318"/>
    </row>
    <row r="90" spans="49:49" x14ac:dyDescent="0.3">
      <c r="AW90" s="318"/>
    </row>
    <row r="91" spans="49:49" x14ac:dyDescent="0.3">
      <c r="AW91" s="318"/>
    </row>
    <row r="92" spans="49:49" x14ac:dyDescent="0.3">
      <c r="AW92" s="318"/>
    </row>
    <row r="93" spans="49:49" x14ac:dyDescent="0.3">
      <c r="AW93" s="318"/>
    </row>
    <row r="94" spans="49:49" x14ac:dyDescent="0.3">
      <c r="AW94" s="318"/>
    </row>
    <row r="95" spans="49:49" x14ac:dyDescent="0.3">
      <c r="AW95" s="318"/>
    </row>
    <row r="96" spans="49:49" x14ac:dyDescent="0.3">
      <c r="AW96" s="318"/>
    </row>
    <row r="97" spans="49:49" x14ac:dyDescent="0.3">
      <c r="AW97" s="318"/>
    </row>
    <row r="98" spans="49:49" x14ac:dyDescent="0.3">
      <c r="AW98" s="318"/>
    </row>
    <row r="99" spans="49:49" x14ac:dyDescent="0.3">
      <c r="AW99" s="318"/>
    </row>
    <row r="100" spans="49:49" x14ac:dyDescent="0.3">
      <c r="AW100" s="318"/>
    </row>
    <row r="101" spans="49:49" x14ac:dyDescent="0.3">
      <c r="AW101" s="318"/>
    </row>
    <row r="102" spans="49:49" x14ac:dyDescent="0.3">
      <c r="AW102" s="318"/>
    </row>
    <row r="103" spans="49:49" x14ac:dyDescent="0.3">
      <c r="AW103" s="318"/>
    </row>
    <row r="104" spans="49:49" x14ac:dyDescent="0.3">
      <c r="AW104" s="318"/>
    </row>
  </sheetData>
  <mergeCells count="23">
    <mergeCell ref="BJ13:BL13"/>
    <mergeCell ref="B12:BL12"/>
    <mergeCell ref="AU13:AW13"/>
    <mergeCell ref="AX13:AZ13"/>
    <mergeCell ref="BA13:BC13"/>
    <mergeCell ref="BD13:BF13"/>
    <mergeCell ref="BG13:BI13"/>
    <mergeCell ref="AF13:AH13"/>
    <mergeCell ref="AI13:AK13"/>
    <mergeCell ref="AL13:AN13"/>
    <mergeCell ref="AO13:AQ13"/>
    <mergeCell ref="AR13:AT13"/>
    <mergeCell ref="Q13:S13"/>
    <mergeCell ref="T13:V13"/>
    <mergeCell ref="W13:Y13"/>
    <mergeCell ref="Z13:AB13"/>
    <mergeCell ref="AC13:AE13"/>
    <mergeCell ref="A12:A14"/>
    <mergeCell ref="B13:D13"/>
    <mergeCell ref="E13:G13"/>
    <mergeCell ref="H13:J13"/>
    <mergeCell ref="K13:M13"/>
    <mergeCell ref="N13:P13"/>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B3:W37"/>
  <sheetViews>
    <sheetView workbookViewId="0">
      <selection activeCell="E13" sqref="E13"/>
    </sheetView>
  </sheetViews>
  <sheetFormatPr defaultRowHeight="14.4" x14ac:dyDescent="0.3"/>
  <cols>
    <col min="2" max="2" width="27.33203125" bestFit="1" customWidth="1"/>
    <col min="3" max="23" width="11.5546875" bestFit="1" customWidth="1"/>
  </cols>
  <sheetData>
    <row r="3" spans="2:23" x14ac:dyDescent="0.3">
      <c r="B3" s="333"/>
      <c r="C3" s="333">
        <v>2010</v>
      </c>
      <c r="D3" s="333">
        <v>2011</v>
      </c>
      <c r="E3" s="333">
        <v>2012</v>
      </c>
      <c r="F3" s="333">
        <v>2013</v>
      </c>
      <c r="G3" s="333">
        <v>2014</v>
      </c>
      <c r="H3" s="333">
        <v>2015</v>
      </c>
      <c r="I3" s="333">
        <v>2016</v>
      </c>
      <c r="J3" s="333">
        <v>2017</v>
      </c>
      <c r="K3" s="333">
        <v>2018</v>
      </c>
      <c r="L3" s="333">
        <v>2019</v>
      </c>
      <c r="M3" s="333">
        <v>2020</v>
      </c>
      <c r="N3" s="333">
        <v>2021</v>
      </c>
      <c r="O3" s="333">
        <v>2022</v>
      </c>
      <c r="P3" s="333">
        <v>2023</v>
      </c>
      <c r="Q3" s="333">
        <v>2024</v>
      </c>
      <c r="R3" s="333">
        <v>2025</v>
      </c>
      <c r="S3" s="333">
        <v>2026</v>
      </c>
      <c r="T3" s="333">
        <v>2027</v>
      </c>
      <c r="U3" s="333">
        <v>2028</v>
      </c>
      <c r="V3" s="333">
        <v>2029</v>
      </c>
      <c r="W3" s="333">
        <v>2030</v>
      </c>
    </row>
    <row r="4" spans="2:23" x14ac:dyDescent="0.3">
      <c r="B4" s="196" t="s">
        <v>485</v>
      </c>
      <c r="C4" s="196">
        <v>50723.02199999999</v>
      </c>
      <c r="D4" s="196">
        <v>49549.332000000002</v>
      </c>
      <c r="E4" s="196">
        <v>50292.9</v>
      </c>
      <c r="F4" s="196">
        <v>47425.349999999991</v>
      </c>
      <c r="G4" s="196">
        <v>44747.493000000002</v>
      </c>
      <c r="H4" s="196">
        <v>44760.817500000012</v>
      </c>
      <c r="I4" s="196">
        <v>44774.221947000005</v>
      </c>
      <c r="J4" s="196">
        <v>44787.706820682004</v>
      </c>
      <c r="K4" s="196">
        <v>44801.272603606085</v>
      </c>
      <c r="L4" s="196">
        <v>44814.919781227727</v>
      </c>
      <c r="M4" s="196">
        <v>44828.648841915099</v>
      </c>
      <c r="N4" s="196">
        <v>44842.460276966587</v>
      </c>
      <c r="O4" s="196">
        <v>44856.354580628387</v>
      </c>
      <c r="P4" s="196">
        <v>44870.332250112158</v>
      </c>
      <c r="Q4" s="196">
        <v>44884.393785612832</v>
      </c>
      <c r="R4" s="196">
        <v>44898.539690326506</v>
      </c>
      <c r="S4" s="196">
        <v>44912.770470468466</v>
      </c>
      <c r="T4" s="196">
        <v>44927.086635291278</v>
      </c>
      <c r="U4" s="196">
        <v>44941.488697103028</v>
      </c>
      <c r="V4" s="196">
        <v>44955.977171285638</v>
      </c>
      <c r="W4" s="196">
        <v>44970.552576313363</v>
      </c>
    </row>
    <row r="5" spans="2:23" x14ac:dyDescent="0.3">
      <c r="B5" s="196" t="s">
        <v>484</v>
      </c>
      <c r="C5" s="196">
        <v>18754.382782945937</v>
      </c>
      <c r="D5" s="196">
        <v>18581.56749532944</v>
      </c>
      <c r="E5" s="196">
        <v>18871.025597552041</v>
      </c>
      <c r="F5" s="196">
        <v>17147.77540842101</v>
      </c>
      <c r="G5" s="196">
        <v>16062.539159366175</v>
      </c>
      <c r="H5" s="196">
        <v>16090.771722117675</v>
      </c>
      <c r="I5" s="196">
        <v>16119.173680245687</v>
      </c>
      <c r="J5" s="196">
        <v>16147.746050122463</v>
      </c>
      <c r="K5" s="196">
        <v>16176.489854218502</v>
      </c>
      <c r="L5" s="196">
        <v>16205.40612113912</v>
      </c>
      <c r="M5" s="196">
        <v>16234.495885661257</v>
      </c>
      <c r="N5" s="196">
        <v>16260.154593012167</v>
      </c>
      <c r="O5" s="196">
        <v>16285.967252607183</v>
      </c>
      <c r="P5" s="196">
        <v>16311.934788159768</v>
      </c>
      <c r="Q5" s="196">
        <v>16338.058128925666</v>
      </c>
      <c r="R5" s="196">
        <v>16364.338209736165</v>
      </c>
      <c r="S5" s="196">
        <v>16390.775971031522</v>
      </c>
      <c r="T5" s="196">
        <v>16417.372358894649</v>
      </c>
      <c r="U5" s="196">
        <v>16444.128325084966</v>
      </c>
      <c r="V5" s="196">
        <v>16471.044827072416</v>
      </c>
      <c r="W5" s="196">
        <v>16498.122828071791</v>
      </c>
    </row>
    <row r="6" spans="2:23" x14ac:dyDescent="0.3">
      <c r="B6" s="196" t="s">
        <v>480</v>
      </c>
      <c r="C6" s="196">
        <v>14403.18</v>
      </c>
      <c r="D6" s="196">
        <v>14403.18</v>
      </c>
      <c r="E6" s="196">
        <v>14403.18</v>
      </c>
      <c r="F6" s="196">
        <v>14403.18</v>
      </c>
      <c r="G6" s="196">
        <v>18412.826666666668</v>
      </c>
      <c r="H6" s="196">
        <v>14556.593333333336</v>
      </c>
      <c r="I6" s="196">
        <v>19156.704864000003</v>
      </c>
      <c r="J6" s="196">
        <v>19539.838961280002</v>
      </c>
      <c r="K6" s="196">
        <v>19930.635740505601</v>
      </c>
      <c r="L6" s="196">
        <v>20329.248455315716</v>
      </c>
      <c r="M6" s="196">
        <v>20735.833424422028</v>
      </c>
      <c r="N6" s="196">
        <v>21150.550092910471</v>
      </c>
      <c r="O6" s="196">
        <v>21573.56109476868</v>
      </c>
      <c r="P6" s="196">
        <v>22005.032316664048</v>
      </c>
      <c r="Q6" s="196">
        <v>22005.032316664048</v>
      </c>
      <c r="R6" s="196">
        <v>22005.032316664048</v>
      </c>
      <c r="S6" s="196">
        <v>22005.032316664048</v>
      </c>
      <c r="T6" s="196">
        <v>22005.032316664048</v>
      </c>
      <c r="U6" s="196">
        <v>22005.032316664048</v>
      </c>
      <c r="V6" s="196">
        <v>22005.032316664048</v>
      </c>
      <c r="W6" s="196">
        <v>22005.032316664048</v>
      </c>
    </row>
    <row r="7" spans="2:23" x14ac:dyDescent="0.3">
      <c r="B7" s="196" t="s">
        <v>483</v>
      </c>
      <c r="C7" s="196">
        <v>63310.677940714297</v>
      </c>
      <c r="D7" s="196">
        <v>63310.677940714297</v>
      </c>
      <c r="E7" s="196">
        <v>63310.677940714297</v>
      </c>
      <c r="F7" s="196">
        <v>63310.677940714297</v>
      </c>
      <c r="G7" s="196">
        <v>83896.497685000024</v>
      </c>
      <c r="H7" s="196">
        <v>64023.168699285707</v>
      </c>
      <c r="I7" s="196">
        <v>62634.791275331794</v>
      </c>
      <c r="J7" s="196">
        <v>63857.515904481283</v>
      </c>
      <c r="K7" s="196">
        <v>65104.695026213762</v>
      </c>
      <c r="L7" s="196">
        <v>66376.817730380921</v>
      </c>
      <c r="M7" s="196">
        <v>67674.382888631371</v>
      </c>
      <c r="N7" s="196">
        <v>68997.89935004685</v>
      </c>
      <c r="O7" s="196">
        <v>70347.886140690665</v>
      </c>
      <c r="P7" s="196">
        <v>71724.872667147341</v>
      </c>
      <c r="Q7" s="196">
        <v>71724.872667147341</v>
      </c>
      <c r="R7" s="196">
        <v>71724.872667147341</v>
      </c>
      <c r="S7" s="196">
        <v>71724.872667147341</v>
      </c>
      <c r="T7" s="196">
        <v>71724.872667147341</v>
      </c>
      <c r="U7" s="196">
        <v>71724.872667147341</v>
      </c>
      <c r="V7" s="196">
        <v>71724.872667147341</v>
      </c>
      <c r="W7" s="196">
        <v>71724.872667147341</v>
      </c>
    </row>
    <row r="8" spans="2:23" x14ac:dyDescent="0.3">
      <c r="B8" s="196" t="s">
        <v>482</v>
      </c>
      <c r="C8" s="196">
        <v>240389.88575467726</v>
      </c>
      <c r="D8" s="196">
        <v>213431.08769664564</v>
      </c>
      <c r="E8" s="196">
        <v>213934.05522325399</v>
      </c>
      <c r="F8" s="196">
        <v>223091.89687597755</v>
      </c>
      <c r="G8" s="196">
        <v>212064.97599803147</v>
      </c>
      <c r="H8" s="196">
        <v>227745.84102417971</v>
      </c>
      <c r="I8" s="196">
        <v>232285.91932097194</v>
      </c>
      <c r="J8" s="196">
        <v>236914.94184069434</v>
      </c>
      <c r="K8" s="196">
        <v>241634.66103621968</v>
      </c>
      <c r="L8" s="196">
        <v>246446.86400855926</v>
      </c>
      <c r="M8" s="196">
        <v>251353.37319387356</v>
      </c>
      <c r="N8" s="196">
        <v>256356.04706413471</v>
      </c>
      <c r="O8" s="196">
        <v>261456.78084171095</v>
      </c>
      <c r="P8" s="196">
        <v>265816.31635361508</v>
      </c>
      <c r="Q8" s="196">
        <v>265686.66060369689</v>
      </c>
      <c r="R8" s="196">
        <v>265557.6499072609</v>
      </c>
      <c r="S8" s="196">
        <v>265429.28105508571</v>
      </c>
      <c r="T8" s="196">
        <v>265301.55085391633</v>
      </c>
      <c r="U8" s="196">
        <v>265174.45612638479</v>
      </c>
      <c r="V8" s="196">
        <v>265047.99371093034</v>
      </c>
      <c r="W8" s="196">
        <v>264922.160461722</v>
      </c>
    </row>
    <row r="9" spans="2:23" x14ac:dyDescent="0.3">
      <c r="B9" s="196" t="s">
        <v>439</v>
      </c>
      <c r="C9" s="196">
        <f>SUM(C3:C8)</f>
        <v>389591.14847833745</v>
      </c>
      <c r="D9" s="196">
        <f t="shared" ref="D9:W9" si="0">SUM(D3:D8)</f>
        <v>361286.84513268934</v>
      </c>
      <c r="E9" s="196">
        <f t="shared" si="0"/>
        <v>362823.83876152034</v>
      </c>
      <c r="F9" s="196">
        <f t="shared" si="0"/>
        <v>367391.88022511284</v>
      </c>
      <c r="G9" s="196">
        <f t="shared" si="0"/>
        <v>377198.33250906435</v>
      </c>
      <c r="H9" s="196">
        <f t="shared" si="0"/>
        <v>369192.19227891648</v>
      </c>
      <c r="I9" s="196">
        <f t="shared" si="0"/>
        <v>376986.81108754943</v>
      </c>
      <c r="J9" s="196">
        <f t="shared" si="0"/>
        <v>383264.74957726011</v>
      </c>
      <c r="K9" s="196">
        <f t="shared" si="0"/>
        <v>389665.75426076364</v>
      </c>
      <c r="L9" s="196">
        <f t="shared" si="0"/>
        <v>396192.25609662273</v>
      </c>
      <c r="M9" s="196">
        <f t="shared" si="0"/>
        <v>402846.7342345033</v>
      </c>
      <c r="N9" s="196">
        <f t="shared" si="0"/>
        <v>409628.11137707077</v>
      </c>
      <c r="O9" s="196">
        <f t="shared" si="0"/>
        <v>416542.54991040588</v>
      </c>
      <c r="P9" s="196">
        <f t="shared" si="0"/>
        <v>422751.48837569839</v>
      </c>
      <c r="Q9" s="196">
        <f t="shared" si="0"/>
        <v>422663.01750204677</v>
      </c>
      <c r="R9" s="196">
        <f t="shared" si="0"/>
        <v>422575.43279113492</v>
      </c>
      <c r="S9" s="196">
        <f t="shared" si="0"/>
        <v>422488.7324803971</v>
      </c>
      <c r="T9" s="196">
        <f t="shared" si="0"/>
        <v>422402.91483191366</v>
      </c>
      <c r="U9" s="196">
        <f t="shared" si="0"/>
        <v>422317.97813238419</v>
      </c>
      <c r="V9" s="196">
        <f t="shared" si="0"/>
        <v>422233.92069309979</v>
      </c>
      <c r="W9" s="196">
        <f t="shared" si="0"/>
        <v>422150.74084991857</v>
      </c>
    </row>
    <row r="12" spans="2:23" x14ac:dyDescent="0.3">
      <c r="B12" s="333"/>
      <c r="C12" s="196" t="s">
        <v>485</v>
      </c>
      <c r="D12" s="196" t="s">
        <v>484</v>
      </c>
      <c r="E12" s="196" t="s">
        <v>480</v>
      </c>
      <c r="F12" s="196" t="s">
        <v>483</v>
      </c>
      <c r="G12" s="196" t="s">
        <v>482</v>
      </c>
      <c r="H12" s="196" t="s">
        <v>439</v>
      </c>
    </row>
    <row r="13" spans="2:23" x14ac:dyDescent="0.3">
      <c r="B13" s="333">
        <v>2010</v>
      </c>
      <c r="C13" s="196">
        <v>50723.02199999999</v>
      </c>
      <c r="D13" s="196">
        <v>18754.382782945937</v>
      </c>
      <c r="E13" s="196">
        <v>14403.18</v>
      </c>
      <c r="F13" s="196">
        <v>63310.677940714297</v>
      </c>
      <c r="G13" s="196">
        <v>240389.88575467726</v>
      </c>
      <c r="H13" s="196">
        <f t="shared" ref="H13:H33" si="1">SUM(B13:G13)</f>
        <v>389591.14847833745</v>
      </c>
    </row>
    <row r="14" spans="2:23" x14ac:dyDescent="0.3">
      <c r="B14" s="333">
        <v>2011</v>
      </c>
      <c r="C14" s="196">
        <v>49549.332000000002</v>
      </c>
      <c r="D14" s="196">
        <v>18581.56749532944</v>
      </c>
      <c r="E14" s="196">
        <v>14403.18</v>
      </c>
      <c r="F14" s="196">
        <v>63310.677940714297</v>
      </c>
      <c r="G14" s="196">
        <v>213431.08769664564</v>
      </c>
      <c r="H14" s="196">
        <f t="shared" si="1"/>
        <v>361286.84513268934</v>
      </c>
    </row>
    <row r="15" spans="2:23" x14ac:dyDescent="0.3">
      <c r="B15" s="333">
        <v>2012</v>
      </c>
      <c r="C15" s="196">
        <v>50292.9</v>
      </c>
      <c r="D15" s="196">
        <v>18871.025597552041</v>
      </c>
      <c r="E15" s="196">
        <v>14403.18</v>
      </c>
      <c r="F15" s="196">
        <v>63310.677940714297</v>
      </c>
      <c r="G15" s="196">
        <v>213934.05522325399</v>
      </c>
      <c r="H15" s="196">
        <f t="shared" si="1"/>
        <v>362823.83876152034</v>
      </c>
    </row>
    <row r="16" spans="2:23" x14ac:dyDescent="0.3">
      <c r="B16" s="333">
        <v>2013</v>
      </c>
      <c r="C16" s="196">
        <v>47425.349999999991</v>
      </c>
      <c r="D16" s="196">
        <v>17147.77540842101</v>
      </c>
      <c r="E16" s="196">
        <v>14403.18</v>
      </c>
      <c r="F16" s="196">
        <v>63310.677940714297</v>
      </c>
      <c r="G16" s="196">
        <v>223091.89687597755</v>
      </c>
      <c r="H16" s="196">
        <f t="shared" si="1"/>
        <v>367391.88022511284</v>
      </c>
    </row>
    <row r="17" spans="2:8" x14ac:dyDescent="0.3">
      <c r="B17" s="333">
        <v>2014</v>
      </c>
      <c r="C17" s="196">
        <v>44747.493000000002</v>
      </c>
      <c r="D17" s="196">
        <v>16062.539159366175</v>
      </c>
      <c r="E17" s="196">
        <v>18412.826666666668</v>
      </c>
      <c r="F17" s="196">
        <v>83896.497685000024</v>
      </c>
      <c r="G17" s="196">
        <v>212064.97599803147</v>
      </c>
      <c r="H17" s="196">
        <f t="shared" si="1"/>
        <v>377198.33250906435</v>
      </c>
    </row>
    <row r="18" spans="2:8" x14ac:dyDescent="0.3">
      <c r="B18" s="333">
        <v>2015</v>
      </c>
      <c r="C18" s="196">
        <v>44760.817500000012</v>
      </c>
      <c r="D18" s="196">
        <v>16090.771722117675</v>
      </c>
      <c r="E18" s="196">
        <v>14556.593333333336</v>
      </c>
      <c r="F18" s="196">
        <v>64023.168699285707</v>
      </c>
      <c r="G18" s="196">
        <v>227745.84102417971</v>
      </c>
      <c r="H18" s="196">
        <f t="shared" si="1"/>
        <v>369192.19227891648</v>
      </c>
    </row>
    <row r="19" spans="2:8" x14ac:dyDescent="0.3">
      <c r="B19" s="333">
        <v>2016</v>
      </c>
      <c r="C19" s="196">
        <v>44774.221947000005</v>
      </c>
      <c r="D19" s="196">
        <v>16119.173680245687</v>
      </c>
      <c r="E19" s="196">
        <v>19156.704864000003</v>
      </c>
      <c r="F19" s="196">
        <v>62634.791275331794</v>
      </c>
      <c r="G19" s="196">
        <v>232285.91932097194</v>
      </c>
      <c r="H19" s="196">
        <f t="shared" si="1"/>
        <v>376986.81108754943</v>
      </c>
    </row>
    <row r="20" spans="2:8" x14ac:dyDescent="0.3">
      <c r="B20" s="333">
        <v>2017</v>
      </c>
      <c r="C20" s="196">
        <v>44787.706820682004</v>
      </c>
      <c r="D20" s="196">
        <v>16147.746050122463</v>
      </c>
      <c r="E20" s="196">
        <v>19539.838961280002</v>
      </c>
      <c r="F20" s="196">
        <v>63857.515904481283</v>
      </c>
      <c r="G20" s="196">
        <v>236914.94184069434</v>
      </c>
      <c r="H20" s="196">
        <f t="shared" si="1"/>
        <v>383264.74957726011</v>
      </c>
    </row>
    <row r="21" spans="2:8" x14ac:dyDescent="0.3">
      <c r="B21" s="333">
        <v>2018</v>
      </c>
      <c r="C21" s="196">
        <v>44801.272603606085</v>
      </c>
      <c r="D21" s="196">
        <v>16176.489854218502</v>
      </c>
      <c r="E21" s="196">
        <v>19930.635740505601</v>
      </c>
      <c r="F21" s="196">
        <v>65104.695026213762</v>
      </c>
      <c r="G21" s="196">
        <v>241634.66103621968</v>
      </c>
      <c r="H21" s="196">
        <f t="shared" si="1"/>
        <v>389665.75426076364</v>
      </c>
    </row>
    <row r="22" spans="2:8" x14ac:dyDescent="0.3">
      <c r="B22" s="333">
        <v>2019</v>
      </c>
      <c r="C22" s="196">
        <v>44814.919781227727</v>
      </c>
      <c r="D22" s="196">
        <v>16205.40612113912</v>
      </c>
      <c r="E22" s="196">
        <v>20329.248455315716</v>
      </c>
      <c r="F22" s="196">
        <v>66376.817730380921</v>
      </c>
      <c r="G22" s="196">
        <v>246446.86400855926</v>
      </c>
      <c r="H22" s="196">
        <f t="shared" si="1"/>
        <v>396192.25609662273</v>
      </c>
    </row>
    <row r="23" spans="2:8" x14ac:dyDescent="0.3">
      <c r="B23" s="333">
        <v>2020</v>
      </c>
      <c r="C23" s="196">
        <v>44828.648841915099</v>
      </c>
      <c r="D23" s="196">
        <v>16234.495885661257</v>
      </c>
      <c r="E23" s="196">
        <v>20735.833424422028</v>
      </c>
      <c r="F23" s="196">
        <v>67674.382888631371</v>
      </c>
      <c r="G23" s="196">
        <v>251353.37319387356</v>
      </c>
      <c r="H23" s="196">
        <f t="shared" si="1"/>
        <v>402846.7342345033</v>
      </c>
    </row>
    <row r="24" spans="2:8" x14ac:dyDescent="0.3">
      <c r="B24" s="333">
        <v>2021</v>
      </c>
      <c r="C24" s="196">
        <v>44842.460276966587</v>
      </c>
      <c r="D24" s="196">
        <v>16260.154593012167</v>
      </c>
      <c r="E24" s="196">
        <v>21150.550092910471</v>
      </c>
      <c r="F24" s="196">
        <v>68997.89935004685</v>
      </c>
      <c r="G24" s="196">
        <v>256356.04706413471</v>
      </c>
      <c r="H24" s="196">
        <f t="shared" si="1"/>
        <v>409628.11137707077</v>
      </c>
    </row>
    <row r="25" spans="2:8" x14ac:dyDescent="0.3">
      <c r="B25" s="333">
        <v>2022</v>
      </c>
      <c r="C25" s="196">
        <v>44856.354580628387</v>
      </c>
      <c r="D25" s="196">
        <v>16285.967252607183</v>
      </c>
      <c r="E25" s="196">
        <v>21573.56109476868</v>
      </c>
      <c r="F25" s="196">
        <v>70347.886140690665</v>
      </c>
      <c r="G25" s="196">
        <v>261456.78084171095</v>
      </c>
      <c r="H25" s="196">
        <f t="shared" si="1"/>
        <v>416542.54991040588</v>
      </c>
    </row>
    <row r="26" spans="2:8" x14ac:dyDescent="0.3">
      <c r="B26" s="333">
        <v>2023</v>
      </c>
      <c r="C26" s="196">
        <v>44870.332250112158</v>
      </c>
      <c r="D26" s="196">
        <v>16311.934788159768</v>
      </c>
      <c r="E26" s="196">
        <v>22005.032316664048</v>
      </c>
      <c r="F26" s="196">
        <v>71724.872667147341</v>
      </c>
      <c r="G26" s="196">
        <v>265816.31635361508</v>
      </c>
      <c r="H26" s="196">
        <f t="shared" si="1"/>
        <v>422751.48837569839</v>
      </c>
    </row>
    <row r="27" spans="2:8" x14ac:dyDescent="0.3">
      <c r="B27" s="333">
        <v>2024</v>
      </c>
      <c r="C27" s="196">
        <v>44884.393785612832</v>
      </c>
      <c r="D27" s="196">
        <v>16338.058128925666</v>
      </c>
      <c r="E27" s="196">
        <v>22005.032316664048</v>
      </c>
      <c r="F27" s="196">
        <v>71724.872667147341</v>
      </c>
      <c r="G27" s="196">
        <v>265686.66060369689</v>
      </c>
      <c r="H27" s="196">
        <f t="shared" si="1"/>
        <v>422663.01750204677</v>
      </c>
    </row>
    <row r="28" spans="2:8" x14ac:dyDescent="0.3">
      <c r="B28" s="333">
        <v>2025</v>
      </c>
      <c r="C28" s="196">
        <v>44898.539690326506</v>
      </c>
      <c r="D28" s="196">
        <v>16364.338209736165</v>
      </c>
      <c r="E28" s="196">
        <v>22005.032316664048</v>
      </c>
      <c r="F28" s="196">
        <v>71724.872667147341</v>
      </c>
      <c r="G28" s="196">
        <v>265557.6499072609</v>
      </c>
      <c r="H28" s="196">
        <f t="shared" si="1"/>
        <v>422575.43279113492</v>
      </c>
    </row>
    <row r="29" spans="2:8" x14ac:dyDescent="0.3">
      <c r="B29" s="333">
        <v>2026</v>
      </c>
      <c r="C29" s="196">
        <v>44912.770470468466</v>
      </c>
      <c r="D29" s="196">
        <v>16390.775971031522</v>
      </c>
      <c r="E29" s="196">
        <v>22005.032316664048</v>
      </c>
      <c r="F29" s="196">
        <v>71724.872667147341</v>
      </c>
      <c r="G29" s="196">
        <v>265429.28105508571</v>
      </c>
      <c r="H29" s="196">
        <f t="shared" si="1"/>
        <v>422488.7324803971</v>
      </c>
    </row>
    <row r="30" spans="2:8" x14ac:dyDescent="0.3">
      <c r="B30" s="333">
        <v>2027</v>
      </c>
      <c r="C30" s="196">
        <v>44927.086635291278</v>
      </c>
      <c r="D30" s="196">
        <v>16417.372358894649</v>
      </c>
      <c r="E30" s="196">
        <v>22005.032316664048</v>
      </c>
      <c r="F30" s="196">
        <v>71724.872667147341</v>
      </c>
      <c r="G30" s="196">
        <v>265301.55085391633</v>
      </c>
      <c r="H30" s="196">
        <f t="shared" si="1"/>
        <v>422402.91483191366</v>
      </c>
    </row>
    <row r="31" spans="2:8" x14ac:dyDescent="0.3">
      <c r="B31" s="333">
        <v>2028</v>
      </c>
      <c r="C31" s="196">
        <v>44941.488697103028</v>
      </c>
      <c r="D31" s="196">
        <v>16444.128325084966</v>
      </c>
      <c r="E31" s="196">
        <v>22005.032316664048</v>
      </c>
      <c r="F31" s="196">
        <v>71724.872667147341</v>
      </c>
      <c r="G31" s="196">
        <v>265174.45612638479</v>
      </c>
      <c r="H31" s="196">
        <f t="shared" si="1"/>
        <v>422317.97813238419</v>
      </c>
    </row>
    <row r="32" spans="2:8" x14ac:dyDescent="0.3">
      <c r="B32" s="333">
        <v>2029</v>
      </c>
      <c r="C32" s="196">
        <v>44955.977171285638</v>
      </c>
      <c r="D32" s="196">
        <v>16471.044827072416</v>
      </c>
      <c r="E32" s="196">
        <v>22005.032316664048</v>
      </c>
      <c r="F32" s="196">
        <v>71724.872667147341</v>
      </c>
      <c r="G32" s="196">
        <v>265047.99371093034</v>
      </c>
      <c r="H32" s="196">
        <f t="shared" si="1"/>
        <v>422233.92069309979</v>
      </c>
    </row>
    <row r="33" spans="2:8" x14ac:dyDescent="0.3">
      <c r="B33" s="333">
        <v>2030</v>
      </c>
      <c r="C33" s="196">
        <v>44970.552576313363</v>
      </c>
      <c r="D33" s="196">
        <v>16498.122828071791</v>
      </c>
      <c r="E33" s="196">
        <v>22005.032316664048</v>
      </c>
      <c r="F33" s="196">
        <v>71724.872667147341</v>
      </c>
      <c r="G33" s="196">
        <v>264922.160461722</v>
      </c>
      <c r="H33" s="196">
        <f t="shared" si="1"/>
        <v>422150.74084991857</v>
      </c>
    </row>
    <row r="35" spans="2:8" x14ac:dyDescent="0.3">
      <c r="D35" s="315">
        <f>D33/H33</f>
        <v>3.9081117789479709E-2</v>
      </c>
      <c r="G35" s="315">
        <f>G33/H33</f>
        <v>0.62755346568468096</v>
      </c>
    </row>
    <row r="37" spans="2:8" x14ac:dyDescent="0.3">
      <c r="C37" s="315">
        <f>(C33+D33)/H33</f>
        <v>0.14560835610670708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2:V33"/>
  <sheetViews>
    <sheetView workbookViewId="0">
      <selection activeCell="I9" sqref="I9"/>
    </sheetView>
  </sheetViews>
  <sheetFormatPr defaultRowHeight="14.4" x14ac:dyDescent="0.3"/>
  <cols>
    <col min="2" max="2" width="12.5546875" customWidth="1"/>
    <col min="3" max="3" width="14.33203125" customWidth="1"/>
    <col min="4" max="4" width="12.5546875" customWidth="1"/>
    <col min="5" max="5" width="13" customWidth="1"/>
    <col min="10" max="10" width="11.5546875" bestFit="1" customWidth="1"/>
    <col min="12" max="12" width="9.5546875" bestFit="1" customWidth="1"/>
    <col min="13" max="13" width="9.5546875" customWidth="1"/>
    <col min="15" max="15" width="9.5546875" bestFit="1" customWidth="1"/>
    <col min="16" max="16" width="9.5546875" customWidth="1"/>
    <col min="19" max="19" width="9.5546875" bestFit="1" customWidth="1"/>
  </cols>
  <sheetData>
    <row r="2" spans="1:21" x14ac:dyDescent="0.3">
      <c r="A2" s="58" t="s">
        <v>469</v>
      </c>
      <c r="B2" s="58" t="s">
        <v>478</v>
      </c>
      <c r="C2" s="58" t="s">
        <v>477</v>
      </c>
      <c r="D2" s="58" t="s">
        <v>468</v>
      </c>
      <c r="E2" s="58" t="s">
        <v>462</v>
      </c>
      <c r="F2" s="58" t="s">
        <v>466</v>
      </c>
      <c r="G2" s="58" t="s">
        <v>467</v>
      </c>
      <c r="H2" s="58" t="s">
        <v>463</v>
      </c>
      <c r="I2" s="58" t="s">
        <v>464</v>
      </c>
      <c r="J2" s="58"/>
      <c r="K2" s="58" t="s">
        <v>324</v>
      </c>
      <c r="L2" s="58" t="s">
        <v>465</v>
      </c>
      <c r="M2" s="58" t="s">
        <v>479</v>
      </c>
      <c r="N2" s="58" t="s">
        <v>326</v>
      </c>
      <c r="O2" s="58" t="s">
        <v>465</v>
      </c>
      <c r="P2" s="58" t="s">
        <v>479</v>
      </c>
      <c r="Q2" s="58" t="s">
        <v>325</v>
      </c>
      <c r="R2" s="58" t="s">
        <v>465</v>
      </c>
      <c r="S2" s="10" t="s">
        <v>474</v>
      </c>
    </row>
    <row r="3" spans="1:21" x14ac:dyDescent="0.3">
      <c r="A3" s="58">
        <f>A4-1</f>
        <v>2010</v>
      </c>
      <c r="B3" s="301">
        <v>25910</v>
      </c>
      <c r="C3" s="301">
        <v>2814</v>
      </c>
      <c r="D3" s="301">
        <f>B3+C3</f>
        <v>28724</v>
      </c>
      <c r="E3" s="301">
        <v>71674</v>
      </c>
      <c r="F3" s="303">
        <f>(E3-C3)/B3</f>
        <v>2.6576611346970282</v>
      </c>
      <c r="G3" s="303">
        <f t="shared" ref="G3:G23" si="0">E3/(B3+C3)</f>
        <v>2.4952652833867148</v>
      </c>
      <c r="H3" s="305">
        <f t="shared" ref="H3:H23" si="1">((0.49*C3)+((E3-C3)*1))/E3</f>
        <v>0.97997683957920589</v>
      </c>
      <c r="I3" s="290">
        <f>((0.4*1.2)+(0.3*1)+(0.3*0.57)/1)</f>
        <v>0.95100000000000007</v>
      </c>
      <c r="J3" s="290"/>
      <c r="K3" s="300">
        <v>19640.7</v>
      </c>
      <c r="L3" s="302">
        <f>K3*1000/E3</f>
        <v>274.02823897089598</v>
      </c>
      <c r="M3" s="302"/>
      <c r="N3" s="301">
        <v>4838.8</v>
      </c>
      <c r="O3" s="301"/>
      <c r="P3" s="301"/>
      <c r="Q3" s="301">
        <v>1500</v>
      </c>
      <c r="R3" s="58"/>
      <c r="S3" s="314"/>
      <c r="T3" s="321">
        <f>1800/E3</f>
        <v>2.5113709294862851E-2</v>
      </c>
    </row>
    <row r="4" spans="1:21" x14ac:dyDescent="0.3">
      <c r="A4" s="58">
        <f>A5-1</f>
        <v>2011</v>
      </c>
      <c r="B4" s="301">
        <v>25989</v>
      </c>
      <c r="C4" s="301">
        <v>2805</v>
      </c>
      <c r="D4" s="301">
        <f t="shared" ref="D4:D23" si="2">B4+C4</f>
        <v>28794</v>
      </c>
      <c r="E4" s="301">
        <v>64123</v>
      </c>
      <c r="F4" s="303">
        <f t="shared" ref="F4:F6" si="3">(E4-C4)/B4</f>
        <v>2.3593828158066876</v>
      </c>
      <c r="G4" s="303">
        <f t="shared" si="0"/>
        <v>2.2269570049315828</v>
      </c>
      <c r="H4" s="305">
        <f t="shared" si="1"/>
        <v>0.97769053225831604</v>
      </c>
      <c r="I4" s="290">
        <f t="shared" ref="I4:I15" si="4">((0.4*1.2)+(0.3*1)+(0.3*0.57)/1)</f>
        <v>0.95100000000000007</v>
      </c>
      <c r="J4" s="290"/>
      <c r="K4" s="300">
        <v>19640.7</v>
      </c>
      <c r="L4" s="302">
        <f>K4*1000/E4</f>
        <v>306.29727242954948</v>
      </c>
      <c r="M4" s="302"/>
      <c r="N4" s="301">
        <v>4838.8</v>
      </c>
      <c r="O4" s="301"/>
      <c r="P4" s="301"/>
      <c r="Q4" s="301">
        <v>1500</v>
      </c>
      <c r="R4" s="58"/>
      <c r="S4" s="314"/>
    </row>
    <row r="5" spans="1:21" x14ac:dyDescent="0.3">
      <c r="A5" s="58">
        <f>A6-1</f>
        <v>2012</v>
      </c>
      <c r="B5" s="301">
        <v>25909</v>
      </c>
      <c r="C5" s="301">
        <v>2661</v>
      </c>
      <c r="D5" s="301">
        <f t="shared" si="2"/>
        <v>28570</v>
      </c>
      <c r="E5" s="301">
        <v>64338</v>
      </c>
      <c r="F5" s="303">
        <f t="shared" si="3"/>
        <v>2.3805241421899725</v>
      </c>
      <c r="G5" s="303">
        <f t="shared" si="0"/>
        <v>2.2519425971298563</v>
      </c>
      <c r="H5" s="305">
        <f t="shared" si="1"/>
        <v>0.97890655600111909</v>
      </c>
      <c r="I5" s="290">
        <f t="shared" si="4"/>
        <v>0.95100000000000007</v>
      </c>
      <c r="J5" s="290"/>
      <c r="K5" s="300">
        <v>19640.7</v>
      </c>
      <c r="L5" s="302">
        <f>K5*1000/E5</f>
        <v>305.27371071528489</v>
      </c>
      <c r="M5" s="302"/>
      <c r="N5" s="301">
        <v>4838.8</v>
      </c>
      <c r="O5" s="301"/>
      <c r="P5" s="301"/>
      <c r="Q5" s="301">
        <v>1500</v>
      </c>
      <c r="R5" s="58"/>
      <c r="S5" s="314"/>
    </row>
    <row r="6" spans="1:21" x14ac:dyDescent="0.3">
      <c r="A6" s="58">
        <f>A7-1</f>
        <v>2013</v>
      </c>
      <c r="B6" s="301">
        <v>25823</v>
      </c>
      <c r="C6" s="301">
        <v>2339</v>
      </c>
      <c r="D6" s="301">
        <f t="shared" si="2"/>
        <v>28162</v>
      </c>
      <c r="E6" s="301">
        <v>67151</v>
      </c>
      <c r="F6" s="303">
        <f t="shared" si="3"/>
        <v>2.5098555551252759</v>
      </c>
      <c r="G6" s="303">
        <f t="shared" si="0"/>
        <v>2.3844542291030466</v>
      </c>
      <c r="H6" s="305">
        <f t="shared" si="1"/>
        <v>0.98223570758439938</v>
      </c>
      <c r="I6" s="290">
        <f t="shared" si="4"/>
        <v>0.95100000000000007</v>
      </c>
      <c r="J6" s="290"/>
      <c r="K6" s="300">
        <v>19640.7</v>
      </c>
      <c r="L6" s="302">
        <f>K6*1000/E6</f>
        <v>292.48559217286413</v>
      </c>
      <c r="M6" s="302"/>
      <c r="N6" s="301">
        <v>4838.8</v>
      </c>
      <c r="O6" s="301"/>
      <c r="P6" s="301"/>
      <c r="Q6" s="301">
        <v>1500</v>
      </c>
      <c r="R6" s="58"/>
      <c r="S6" s="314"/>
    </row>
    <row r="7" spans="1:21" x14ac:dyDescent="0.3">
      <c r="A7" s="58">
        <v>2014</v>
      </c>
      <c r="B7" s="312">
        <v>24752</v>
      </c>
      <c r="C7" s="312">
        <v>2279</v>
      </c>
      <c r="D7" s="312">
        <f t="shared" si="2"/>
        <v>27031</v>
      </c>
      <c r="E7" s="312">
        <v>63831</v>
      </c>
      <c r="F7" s="303">
        <f>(E7-C7)/B7</f>
        <v>2.486748545572075</v>
      </c>
      <c r="G7" s="303">
        <f t="shared" si="0"/>
        <v>2.3613998742184901</v>
      </c>
      <c r="H7" s="305">
        <f t="shared" si="1"/>
        <v>0.98179113596841661</v>
      </c>
      <c r="I7" s="290">
        <f t="shared" si="4"/>
        <v>0.95100000000000007</v>
      </c>
      <c r="J7" s="290"/>
      <c r="K7" s="300">
        <v>25108.400000000001</v>
      </c>
      <c r="L7" s="302">
        <f>K7*1000/E7</f>
        <v>393.35745954160205</v>
      </c>
      <c r="M7" s="302"/>
      <c r="N7" s="312">
        <v>9742.1</v>
      </c>
      <c r="O7" s="313">
        <f>N7*1000/E7</f>
        <v>152.62333348999704</v>
      </c>
      <c r="P7" s="313"/>
      <c r="Q7" s="312">
        <v>2157</v>
      </c>
      <c r="R7" s="314">
        <f>Q7*1000/E7</f>
        <v>33.792357945199043</v>
      </c>
      <c r="S7" s="327">
        <v>5110</v>
      </c>
    </row>
    <row r="8" spans="1:21" x14ac:dyDescent="0.3">
      <c r="A8" s="306">
        <f>A7+1</f>
        <v>2015</v>
      </c>
      <c r="B8" s="307">
        <f t="shared" ref="B8:B23" si="5">B7*1.005</f>
        <v>24875.759999999998</v>
      </c>
      <c r="C8" s="307">
        <v>2814</v>
      </c>
      <c r="D8" s="307">
        <f t="shared" si="2"/>
        <v>27689.759999999998</v>
      </c>
      <c r="E8" s="307">
        <f>E7*1.02</f>
        <v>65107.62</v>
      </c>
      <c r="F8" s="308">
        <f t="shared" ref="F8:F23" si="6">E8/B8</f>
        <v>2.6173117926849274</v>
      </c>
      <c r="G8" s="308">
        <f t="shared" si="0"/>
        <v>2.3513248218836136</v>
      </c>
      <c r="H8" s="309">
        <f t="shared" si="1"/>
        <v>0.97795741880904263</v>
      </c>
      <c r="I8" s="290">
        <f t="shared" si="4"/>
        <v>0.95100000000000007</v>
      </c>
      <c r="J8" s="58"/>
      <c r="K8" s="300">
        <v>19849.900000000001</v>
      </c>
      <c r="L8" s="302">
        <f>L7</f>
        <v>393.35745954160205</v>
      </c>
      <c r="M8" s="302"/>
      <c r="N8" s="312">
        <v>4947.3</v>
      </c>
      <c r="O8" s="313">
        <f>O7</f>
        <v>152.62333348999704</v>
      </c>
      <c r="P8" s="313"/>
      <c r="Q8" s="301">
        <v>1095.2</v>
      </c>
      <c r="R8" s="314">
        <f>R7</f>
        <v>33.792357945199043</v>
      </c>
      <c r="S8" s="314">
        <v>1328.1</v>
      </c>
    </row>
    <row r="9" spans="1:21" x14ac:dyDescent="0.3">
      <c r="A9" s="58">
        <f t="shared" ref="A9:A23" si="7">A8+1</f>
        <v>2016</v>
      </c>
      <c r="B9" s="301">
        <f t="shared" si="5"/>
        <v>25000.138799999997</v>
      </c>
      <c r="C9" s="301">
        <v>2814</v>
      </c>
      <c r="D9" s="301">
        <f t="shared" si="2"/>
        <v>27814.138799999997</v>
      </c>
      <c r="E9" s="301">
        <f t="shared" ref="E9:E16" si="8">E8*1.02</f>
        <v>66409.772400000002</v>
      </c>
      <c r="F9" s="303">
        <f t="shared" si="6"/>
        <v>2.6563761477996279</v>
      </c>
      <c r="G9" s="303">
        <f t="shared" si="0"/>
        <v>2.3876264110683163</v>
      </c>
      <c r="H9" s="305">
        <f t="shared" si="1"/>
        <v>0.97838962628337511</v>
      </c>
      <c r="I9" s="290">
        <f>((0.4*1.2)+(0.3*1)+(0.3*0.57)/1)</f>
        <v>0.95100000000000007</v>
      </c>
      <c r="J9" s="58"/>
      <c r="K9" s="300">
        <f t="shared" ref="K9:K23" si="9">E9*$L$7/1000</f>
        <v>26122.779360000004</v>
      </c>
      <c r="L9" s="320"/>
      <c r="M9" s="320">
        <f>0.375*(K9+N9)</f>
        <v>13596.922575000001</v>
      </c>
      <c r="N9" s="307">
        <f t="shared" ref="N9:N23" si="10">$O$7/1000*E9</f>
        <v>10135.680840000001</v>
      </c>
      <c r="O9" s="310"/>
      <c r="P9" s="310">
        <f>0.625*(K9+N9)</f>
        <v>22661.537625000001</v>
      </c>
      <c r="Q9" s="307">
        <f>Q8</f>
        <v>1095.2</v>
      </c>
      <c r="R9" s="311"/>
      <c r="S9" s="314" t="s">
        <v>473</v>
      </c>
      <c r="U9" s="325">
        <f>5/8</f>
        <v>0.625</v>
      </c>
    </row>
    <row r="10" spans="1:21" x14ac:dyDescent="0.3">
      <c r="A10" s="58">
        <f t="shared" si="7"/>
        <v>2017</v>
      </c>
      <c r="B10" s="301">
        <f t="shared" si="5"/>
        <v>25125.139493999995</v>
      </c>
      <c r="C10" s="301">
        <v>2814</v>
      </c>
      <c r="D10" s="301">
        <f t="shared" si="2"/>
        <v>27939.139493999995</v>
      </c>
      <c r="E10" s="301">
        <f t="shared" si="8"/>
        <v>67737.967848</v>
      </c>
      <c r="F10" s="303">
        <f t="shared" si="6"/>
        <v>2.6960235529906673</v>
      </c>
      <c r="G10" s="303">
        <f t="shared" si="0"/>
        <v>2.4244829681510738</v>
      </c>
      <c r="H10" s="305">
        <f t="shared" si="1"/>
        <v>0.97881335910134815</v>
      </c>
      <c r="I10" s="290">
        <f t="shared" si="4"/>
        <v>0.95100000000000007</v>
      </c>
      <c r="J10" s="58"/>
      <c r="K10" s="300">
        <f t="shared" si="9"/>
        <v>26645.234947199999</v>
      </c>
      <c r="L10" s="58"/>
      <c r="M10" s="320">
        <f t="shared" ref="M10:M23" si="11">0.375*(K10+N10)</f>
        <v>13868.861026499999</v>
      </c>
      <c r="N10" s="301">
        <f t="shared" si="10"/>
        <v>10338.394456800001</v>
      </c>
      <c r="O10" s="301"/>
      <c r="P10" s="310">
        <f t="shared" ref="P10:P23" si="12">0.625*(K10+N10)</f>
        <v>23114.7683775</v>
      </c>
      <c r="Q10" s="307">
        <f t="shared" ref="Q10:Q23" si="13">Q9</f>
        <v>1095.2</v>
      </c>
      <c r="R10" s="58"/>
      <c r="S10" s="314"/>
      <c r="U10" s="326">
        <f>100%-U9</f>
        <v>0.375</v>
      </c>
    </row>
    <row r="11" spans="1:21" x14ac:dyDescent="0.3">
      <c r="A11" s="58">
        <f t="shared" si="7"/>
        <v>2018</v>
      </c>
      <c r="B11" s="301">
        <f t="shared" si="5"/>
        <v>25250.765191469993</v>
      </c>
      <c r="C11" s="301">
        <v>2814</v>
      </c>
      <c r="D11" s="301">
        <f t="shared" si="2"/>
        <v>28064.765191469993</v>
      </c>
      <c r="E11" s="301">
        <f t="shared" si="8"/>
        <v>69092.72720496</v>
      </c>
      <c r="F11" s="303">
        <f t="shared" si="6"/>
        <v>2.7362627104979906</v>
      </c>
      <c r="G11" s="303">
        <f t="shared" si="0"/>
        <v>2.4619029139769908</v>
      </c>
      <c r="H11" s="305">
        <f t="shared" si="1"/>
        <v>0.97922878343269426</v>
      </c>
      <c r="I11" s="290">
        <f t="shared" si="4"/>
        <v>0.95100000000000007</v>
      </c>
      <c r="J11" s="58"/>
      <c r="K11" s="300">
        <f t="shared" si="9"/>
        <v>27178.139646143998</v>
      </c>
      <c r="L11" s="58"/>
      <c r="M11" s="320">
        <f t="shared" si="11"/>
        <v>14146.23824703</v>
      </c>
      <c r="N11" s="301">
        <f t="shared" si="10"/>
        <v>10545.162345936002</v>
      </c>
      <c r="O11" s="301"/>
      <c r="P11" s="310">
        <f t="shared" si="12"/>
        <v>23577.06374505</v>
      </c>
      <c r="Q11" s="307">
        <f t="shared" si="13"/>
        <v>1095.2</v>
      </c>
      <c r="R11" s="58"/>
      <c r="S11" s="314"/>
    </row>
    <row r="12" spans="1:21" x14ac:dyDescent="0.3">
      <c r="A12" s="58">
        <f t="shared" si="7"/>
        <v>2019</v>
      </c>
      <c r="B12" s="301">
        <f t="shared" si="5"/>
        <v>25377.019017427341</v>
      </c>
      <c r="C12" s="301">
        <v>2814</v>
      </c>
      <c r="D12" s="301">
        <f t="shared" si="2"/>
        <v>28191.019017427341</v>
      </c>
      <c r="E12" s="301">
        <f t="shared" si="8"/>
        <v>70474.581749059202</v>
      </c>
      <c r="F12" s="303">
        <f t="shared" si="6"/>
        <v>2.7771024524457224</v>
      </c>
      <c r="G12" s="303">
        <f t="shared" si="0"/>
        <v>2.4998947964772995</v>
      </c>
      <c r="H12" s="305">
        <f t="shared" si="1"/>
        <v>0.97963606218891597</v>
      </c>
      <c r="I12" s="290">
        <f t="shared" si="4"/>
        <v>0.95100000000000007</v>
      </c>
      <c r="J12" s="58"/>
      <c r="K12" s="300">
        <f t="shared" si="9"/>
        <v>27721.702439066885</v>
      </c>
      <c r="L12" s="58"/>
      <c r="M12" s="320">
        <f t="shared" si="11"/>
        <v>14429.163011970602</v>
      </c>
      <c r="N12" s="301">
        <f t="shared" si="10"/>
        <v>10756.065592854722</v>
      </c>
      <c r="O12" s="301"/>
      <c r="P12" s="310">
        <f t="shared" si="12"/>
        <v>24048.605019951006</v>
      </c>
      <c r="Q12" s="307">
        <f t="shared" si="13"/>
        <v>1095.2</v>
      </c>
      <c r="R12" s="58"/>
      <c r="S12" s="314"/>
      <c r="T12">
        <f>10551+5032+7179+3227</f>
        <v>25989</v>
      </c>
    </row>
    <row r="13" spans="1:21" x14ac:dyDescent="0.3">
      <c r="A13" s="58">
        <f t="shared" si="7"/>
        <v>2020</v>
      </c>
      <c r="B13" s="301">
        <f t="shared" si="5"/>
        <v>25503.904112514476</v>
      </c>
      <c r="C13" s="301">
        <v>2814</v>
      </c>
      <c r="D13" s="301">
        <f t="shared" si="2"/>
        <v>28317.904112514476</v>
      </c>
      <c r="E13" s="301">
        <f t="shared" si="8"/>
        <v>71884.073384040385</v>
      </c>
      <c r="F13" s="303">
        <f t="shared" si="6"/>
        <v>2.8185517427807332</v>
      </c>
      <c r="G13" s="303">
        <f t="shared" si="0"/>
        <v>2.5384672925802017</v>
      </c>
      <c r="H13" s="305">
        <f t="shared" si="1"/>
        <v>0.98003535508717254</v>
      </c>
      <c r="I13" s="290">
        <f t="shared" si="4"/>
        <v>0.95100000000000007</v>
      </c>
      <c r="J13" s="58"/>
      <c r="K13" s="300">
        <f t="shared" si="9"/>
        <v>28276.13648784822</v>
      </c>
      <c r="L13" s="58"/>
      <c r="M13" s="320">
        <f t="shared" si="11"/>
        <v>14717.746272210014</v>
      </c>
      <c r="N13" s="301">
        <f t="shared" si="10"/>
        <v>10971.186904711816</v>
      </c>
      <c r="O13" s="301"/>
      <c r="P13" s="310">
        <f t="shared" si="12"/>
        <v>24529.577120350023</v>
      </c>
      <c r="Q13" s="307">
        <f t="shared" si="13"/>
        <v>1095.2</v>
      </c>
      <c r="R13" s="58"/>
      <c r="S13" s="314"/>
      <c r="T13">
        <f>10448+4752+7570+3140</f>
        <v>25910</v>
      </c>
    </row>
    <row r="14" spans="1:21" x14ac:dyDescent="0.3">
      <c r="A14" s="58">
        <f t="shared" si="7"/>
        <v>2021</v>
      </c>
      <c r="B14" s="301">
        <f t="shared" si="5"/>
        <v>25631.423633077047</v>
      </c>
      <c r="C14" s="301">
        <v>2814</v>
      </c>
      <c r="D14" s="301">
        <f t="shared" si="2"/>
        <v>28445.423633077047</v>
      </c>
      <c r="E14" s="301">
        <f t="shared" si="8"/>
        <v>73321.754851721198</v>
      </c>
      <c r="F14" s="303">
        <f t="shared" si="6"/>
        <v>2.8606196792401475</v>
      </c>
      <c r="G14" s="303">
        <f t="shared" si="0"/>
        <v>2.5776292101503748</v>
      </c>
      <c r="H14" s="305">
        <f t="shared" si="1"/>
        <v>0.98042681871291426</v>
      </c>
      <c r="I14" s="290">
        <f t="shared" si="4"/>
        <v>0.95100000000000007</v>
      </c>
      <c r="J14" s="58"/>
      <c r="K14" s="300">
        <f t="shared" si="9"/>
        <v>28841.659217605185</v>
      </c>
      <c r="L14" s="58"/>
      <c r="M14" s="320">
        <f t="shared" si="11"/>
        <v>15012.101197654214</v>
      </c>
      <c r="N14" s="301">
        <f t="shared" si="10"/>
        <v>11190.610642806054</v>
      </c>
      <c r="O14" s="301"/>
      <c r="P14" s="310">
        <f t="shared" si="12"/>
        <v>25020.168662757023</v>
      </c>
      <c r="Q14" s="307">
        <f t="shared" si="13"/>
        <v>1095.2</v>
      </c>
      <c r="R14" s="58"/>
      <c r="S14" s="314"/>
    </row>
    <row r="15" spans="1:21" x14ac:dyDescent="0.3">
      <c r="A15" s="58">
        <f t="shared" si="7"/>
        <v>2022</v>
      </c>
      <c r="B15" s="301">
        <f t="shared" si="5"/>
        <v>25759.580751242429</v>
      </c>
      <c r="C15" s="301">
        <v>2814</v>
      </c>
      <c r="D15" s="301">
        <f t="shared" si="2"/>
        <v>28573.580751242429</v>
      </c>
      <c r="E15" s="301">
        <f t="shared" si="8"/>
        <v>74788.189948755622</v>
      </c>
      <c r="F15" s="303">
        <f t="shared" si="6"/>
        <v>2.9033154953482097</v>
      </c>
      <c r="G15" s="303">
        <f t="shared" si="0"/>
        <v>2.6173894899575618</v>
      </c>
      <c r="H15" s="305">
        <f t="shared" si="1"/>
        <v>0.98081060658128849</v>
      </c>
      <c r="I15" s="290">
        <f t="shared" si="4"/>
        <v>0.95100000000000007</v>
      </c>
      <c r="J15" s="58"/>
      <c r="K15" s="300">
        <f t="shared" si="9"/>
        <v>29418.49240195729</v>
      </c>
      <c r="L15" s="58"/>
      <c r="M15" s="320">
        <f t="shared" si="11"/>
        <v>15312.343221607298</v>
      </c>
      <c r="N15" s="301">
        <f t="shared" si="10"/>
        <v>11414.422855662175</v>
      </c>
      <c r="O15" s="301"/>
      <c r="P15" s="310">
        <f t="shared" si="12"/>
        <v>25520.572036012163</v>
      </c>
      <c r="Q15" s="307">
        <f t="shared" si="13"/>
        <v>1095.2</v>
      </c>
      <c r="R15" s="58"/>
      <c r="S15" s="314"/>
    </row>
    <row r="16" spans="1:21" x14ac:dyDescent="0.3">
      <c r="A16" s="306">
        <f t="shared" si="7"/>
        <v>2023</v>
      </c>
      <c r="B16" s="307">
        <f t="shared" si="5"/>
        <v>25888.37865499864</v>
      </c>
      <c r="C16" s="307">
        <v>2814</v>
      </c>
      <c r="D16" s="307">
        <f t="shared" si="2"/>
        <v>28702.37865499864</v>
      </c>
      <c r="E16" s="307">
        <f t="shared" si="8"/>
        <v>76283.953747730731</v>
      </c>
      <c r="F16" s="308">
        <f t="shared" si="6"/>
        <v>2.946648562442959</v>
      </c>
      <c r="G16" s="308">
        <f t="shared" si="0"/>
        <v>2.6577572076746874</v>
      </c>
      <c r="H16" s="309">
        <f t="shared" si="1"/>
        <v>0.98118686919734166</v>
      </c>
      <c r="I16" s="290">
        <f>((0.6*1.2)+(0.4*0.57))/1</f>
        <v>0.94799999999999995</v>
      </c>
      <c r="J16" s="58"/>
      <c r="K16" s="300">
        <f t="shared" si="9"/>
        <v>30006.862249996433</v>
      </c>
      <c r="L16" s="58"/>
      <c r="M16" s="320">
        <f t="shared" si="11"/>
        <v>15618.590086039445</v>
      </c>
      <c r="N16" s="301">
        <f t="shared" si="10"/>
        <v>11642.711312775416</v>
      </c>
      <c r="O16" s="301"/>
      <c r="P16" s="310">
        <f t="shared" si="12"/>
        <v>26030.983476732406</v>
      </c>
      <c r="Q16" s="307">
        <f t="shared" si="13"/>
        <v>1095.2</v>
      </c>
      <c r="R16" s="58"/>
      <c r="S16" s="314"/>
    </row>
    <row r="17" spans="1:22" x14ac:dyDescent="0.3">
      <c r="A17" s="58">
        <f t="shared" si="7"/>
        <v>2024</v>
      </c>
      <c r="B17" s="301">
        <f t="shared" si="5"/>
        <v>26017.82054827363</v>
      </c>
      <c r="C17" s="301">
        <v>2814</v>
      </c>
      <c r="D17" s="301">
        <f t="shared" si="2"/>
        <v>28831.82054827363</v>
      </c>
      <c r="E17" s="301">
        <f>E16</f>
        <v>76283.953747730731</v>
      </c>
      <c r="F17" s="303">
        <f t="shared" si="6"/>
        <v>2.9319886193462286</v>
      </c>
      <c r="G17" s="303">
        <f t="shared" si="0"/>
        <v>2.645825074417592</v>
      </c>
      <c r="H17" s="305">
        <f t="shared" si="1"/>
        <v>0.98118686919734166</v>
      </c>
      <c r="I17" s="290">
        <f t="shared" ref="I17:I23" si="14">((0.6*1.2)+(0.4*0.57))/1</f>
        <v>0.94799999999999995</v>
      </c>
      <c r="J17" s="58"/>
      <c r="K17" s="300">
        <f t="shared" si="9"/>
        <v>30006.862249996433</v>
      </c>
      <c r="L17" s="58"/>
      <c r="M17" s="320">
        <f t="shared" si="11"/>
        <v>15618.590086039445</v>
      </c>
      <c r="N17" s="301">
        <f t="shared" si="10"/>
        <v>11642.711312775416</v>
      </c>
      <c r="O17" s="301"/>
      <c r="P17" s="310">
        <f t="shared" si="12"/>
        <v>26030.983476732406</v>
      </c>
      <c r="Q17" s="307">
        <f t="shared" si="13"/>
        <v>1095.2</v>
      </c>
      <c r="R17" s="58"/>
      <c r="S17" s="314"/>
    </row>
    <row r="18" spans="1:22" x14ac:dyDescent="0.3">
      <c r="A18" s="58">
        <f t="shared" si="7"/>
        <v>2025</v>
      </c>
      <c r="B18" s="301">
        <f t="shared" si="5"/>
        <v>26147.909651014994</v>
      </c>
      <c r="C18" s="301">
        <v>2814</v>
      </c>
      <c r="D18" s="301">
        <f t="shared" si="2"/>
        <v>28961.909651014994</v>
      </c>
      <c r="E18" s="301">
        <f t="shared" ref="E18:E23" si="15">E17</f>
        <v>76283.953747730731</v>
      </c>
      <c r="F18" s="303">
        <f t="shared" si="6"/>
        <v>2.91740161128978</v>
      </c>
      <c r="G18" s="303">
        <f t="shared" si="0"/>
        <v>2.633940740335722</v>
      </c>
      <c r="H18" s="305">
        <f t="shared" si="1"/>
        <v>0.98118686919734166</v>
      </c>
      <c r="I18" s="290">
        <f t="shared" si="14"/>
        <v>0.94799999999999995</v>
      </c>
      <c r="J18" s="58"/>
      <c r="K18" s="300">
        <f t="shared" si="9"/>
        <v>30006.862249996433</v>
      </c>
      <c r="L18" s="58"/>
      <c r="M18" s="320">
        <f t="shared" si="11"/>
        <v>15618.590086039445</v>
      </c>
      <c r="N18" s="301">
        <f t="shared" si="10"/>
        <v>11642.711312775416</v>
      </c>
      <c r="O18" s="301"/>
      <c r="P18" s="310">
        <f t="shared" si="12"/>
        <v>26030.983476732406</v>
      </c>
      <c r="Q18" s="307">
        <f t="shared" si="13"/>
        <v>1095.2</v>
      </c>
      <c r="R18" s="58"/>
      <c r="S18" s="314"/>
    </row>
    <row r="19" spans="1:22" x14ac:dyDescent="0.3">
      <c r="A19" s="58">
        <f t="shared" si="7"/>
        <v>2026</v>
      </c>
      <c r="B19" s="301">
        <f t="shared" si="5"/>
        <v>26278.649199270065</v>
      </c>
      <c r="C19" s="301">
        <v>2814</v>
      </c>
      <c r="D19" s="301">
        <f t="shared" si="2"/>
        <v>29092.649199270065</v>
      </c>
      <c r="E19" s="301">
        <f t="shared" si="15"/>
        <v>76283.953747730731</v>
      </c>
      <c r="F19" s="303">
        <f t="shared" si="6"/>
        <v>2.902887175412717</v>
      </c>
      <c r="G19" s="303">
        <f t="shared" si="0"/>
        <v>2.6221040657117158</v>
      </c>
      <c r="H19" s="305">
        <f t="shared" si="1"/>
        <v>0.98118686919734166</v>
      </c>
      <c r="I19" s="290">
        <f t="shared" si="14"/>
        <v>0.94799999999999995</v>
      </c>
      <c r="J19" s="58"/>
      <c r="K19" s="300">
        <f t="shared" si="9"/>
        <v>30006.862249996433</v>
      </c>
      <c r="L19" s="58"/>
      <c r="M19" s="320">
        <f t="shared" si="11"/>
        <v>15618.590086039445</v>
      </c>
      <c r="N19" s="301">
        <f t="shared" si="10"/>
        <v>11642.711312775416</v>
      </c>
      <c r="O19" s="301"/>
      <c r="P19" s="310">
        <f t="shared" si="12"/>
        <v>26030.983476732406</v>
      </c>
      <c r="Q19" s="307">
        <f t="shared" si="13"/>
        <v>1095.2</v>
      </c>
      <c r="R19" s="58"/>
      <c r="S19" s="314"/>
    </row>
    <row r="20" spans="1:22" x14ac:dyDescent="0.3">
      <c r="A20" s="58">
        <f t="shared" si="7"/>
        <v>2027</v>
      </c>
      <c r="B20" s="301">
        <f t="shared" si="5"/>
        <v>26410.042445266412</v>
      </c>
      <c r="C20" s="301">
        <v>2814</v>
      </c>
      <c r="D20" s="301">
        <f t="shared" si="2"/>
        <v>29224.042445266412</v>
      </c>
      <c r="E20" s="301">
        <f t="shared" si="15"/>
        <v>76283.953747730731</v>
      </c>
      <c r="F20" s="303">
        <f t="shared" si="6"/>
        <v>2.8884449506594199</v>
      </c>
      <c r="G20" s="303">
        <f t="shared" si="0"/>
        <v>2.6103149107657719</v>
      </c>
      <c r="H20" s="305">
        <f t="shared" si="1"/>
        <v>0.98118686919734166</v>
      </c>
      <c r="I20" s="290">
        <f t="shared" si="14"/>
        <v>0.94799999999999995</v>
      </c>
      <c r="J20" s="58"/>
      <c r="K20" s="300">
        <f t="shared" si="9"/>
        <v>30006.862249996433</v>
      </c>
      <c r="L20" s="58"/>
      <c r="M20" s="320">
        <f t="shared" si="11"/>
        <v>15618.590086039445</v>
      </c>
      <c r="N20" s="301">
        <f t="shared" si="10"/>
        <v>11642.711312775416</v>
      </c>
      <c r="O20" s="301"/>
      <c r="P20" s="310">
        <f t="shared" si="12"/>
        <v>26030.983476732406</v>
      </c>
      <c r="Q20" s="307">
        <f t="shared" si="13"/>
        <v>1095.2</v>
      </c>
      <c r="R20" s="58"/>
      <c r="S20" s="314"/>
    </row>
    <row r="21" spans="1:22" x14ac:dyDescent="0.3">
      <c r="A21" s="58">
        <f t="shared" si="7"/>
        <v>2028</v>
      </c>
      <c r="B21" s="301">
        <f t="shared" si="5"/>
        <v>26542.09265749274</v>
      </c>
      <c r="C21" s="301">
        <v>2814</v>
      </c>
      <c r="D21" s="301">
        <f t="shared" si="2"/>
        <v>29356.09265749274</v>
      </c>
      <c r="E21" s="301">
        <f t="shared" si="15"/>
        <v>76283.953747730731</v>
      </c>
      <c r="F21" s="303">
        <f t="shared" si="6"/>
        <v>2.8740745777705676</v>
      </c>
      <c r="G21" s="303">
        <f t="shared" si="0"/>
        <v>2.5985731356608284</v>
      </c>
      <c r="H21" s="305">
        <f t="shared" si="1"/>
        <v>0.98118686919734166</v>
      </c>
      <c r="I21" s="290">
        <f t="shared" si="14"/>
        <v>0.94799999999999995</v>
      </c>
      <c r="J21" s="58"/>
      <c r="K21" s="300">
        <f t="shared" si="9"/>
        <v>30006.862249996433</v>
      </c>
      <c r="L21" s="58"/>
      <c r="M21" s="320">
        <f t="shared" si="11"/>
        <v>15618.590086039445</v>
      </c>
      <c r="N21" s="301">
        <f t="shared" si="10"/>
        <v>11642.711312775416</v>
      </c>
      <c r="O21" s="301"/>
      <c r="P21" s="310">
        <f t="shared" si="12"/>
        <v>26030.983476732406</v>
      </c>
      <c r="Q21" s="307">
        <f t="shared" si="13"/>
        <v>1095.2</v>
      </c>
      <c r="R21" s="58"/>
      <c r="S21" s="314"/>
    </row>
    <row r="22" spans="1:22" x14ac:dyDescent="0.3">
      <c r="A22" s="58">
        <f t="shared" si="7"/>
        <v>2029</v>
      </c>
      <c r="B22" s="301">
        <f t="shared" si="5"/>
        <v>26674.803120780201</v>
      </c>
      <c r="C22" s="301">
        <v>2814</v>
      </c>
      <c r="D22" s="301">
        <f t="shared" si="2"/>
        <v>29488.803120780201</v>
      </c>
      <c r="E22" s="301">
        <f t="shared" si="15"/>
        <v>76283.953747730731</v>
      </c>
      <c r="F22" s="303">
        <f t="shared" si="6"/>
        <v>2.8597756992741967</v>
      </c>
      <c r="G22" s="303">
        <f t="shared" si="0"/>
        <v>2.5868786005076916</v>
      </c>
      <c r="H22" s="305">
        <f t="shared" si="1"/>
        <v>0.98118686919734166</v>
      </c>
      <c r="I22" s="290">
        <f t="shared" si="14"/>
        <v>0.94799999999999995</v>
      </c>
      <c r="J22" s="58"/>
      <c r="K22" s="300">
        <f t="shared" si="9"/>
        <v>30006.862249996433</v>
      </c>
      <c r="L22" s="58"/>
      <c r="M22" s="320">
        <f t="shared" si="11"/>
        <v>15618.590086039445</v>
      </c>
      <c r="N22" s="301">
        <f t="shared" si="10"/>
        <v>11642.711312775416</v>
      </c>
      <c r="O22" s="301"/>
      <c r="P22" s="310">
        <f t="shared" si="12"/>
        <v>26030.983476732406</v>
      </c>
      <c r="Q22" s="307">
        <f t="shared" si="13"/>
        <v>1095.2</v>
      </c>
      <c r="R22" s="58"/>
      <c r="S22" s="314"/>
    </row>
    <row r="23" spans="1:22" x14ac:dyDescent="0.3">
      <c r="A23" s="58">
        <f t="shared" si="7"/>
        <v>2030</v>
      </c>
      <c r="B23" s="301">
        <f t="shared" si="5"/>
        <v>26808.1771363841</v>
      </c>
      <c r="C23" s="301">
        <v>2814</v>
      </c>
      <c r="D23" s="301">
        <f t="shared" si="2"/>
        <v>29622.1771363841</v>
      </c>
      <c r="E23" s="301">
        <f t="shared" si="15"/>
        <v>76283.953747730731</v>
      </c>
      <c r="F23" s="303">
        <f t="shared" si="6"/>
        <v>2.8455479594768129</v>
      </c>
      <c r="G23" s="303">
        <f t="shared" si="0"/>
        <v>2.5752311653701261</v>
      </c>
      <c r="H23" s="305">
        <f t="shared" si="1"/>
        <v>0.98118686919734166</v>
      </c>
      <c r="I23" s="290">
        <f t="shared" si="14"/>
        <v>0.94799999999999995</v>
      </c>
      <c r="J23" s="58"/>
      <c r="K23" s="300">
        <f t="shared" si="9"/>
        <v>30006.862249996433</v>
      </c>
      <c r="L23" s="58"/>
      <c r="M23" s="320">
        <f t="shared" si="11"/>
        <v>15618.590086039445</v>
      </c>
      <c r="N23" s="301">
        <f t="shared" si="10"/>
        <v>11642.711312775416</v>
      </c>
      <c r="O23" s="301"/>
      <c r="P23" s="310">
        <f t="shared" si="12"/>
        <v>26030.983476732406</v>
      </c>
      <c r="Q23" s="307">
        <f t="shared" si="13"/>
        <v>1095.2</v>
      </c>
      <c r="R23" s="58"/>
      <c r="S23" t="s">
        <v>475</v>
      </c>
    </row>
    <row r="25" spans="1:22" x14ac:dyDescent="0.3">
      <c r="B25">
        <f>24752+2814</f>
        <v>27566</v>
      </c>
      <c r="F25" s="75"/>
    </row>
    <row r="26" spans="1:22" x14ac:dyDescent="0.3">
      <c r="A26" t="s">
        <v>447</v>
      </c>
      <c r="B26" t="s">
        <v>444</v>
      </c>
    </row>
    <row r="27" spans="1:22" x14ac:dyDescent="0.3">
      <c r="A27" s="58"/>
      <c r="B27" s="58">
        <v>2010</v>
      </c>
      <c r="C27" s="58">
        <f>B27+1</f>
        <v>2011</v>
      </c>
      <c r="D27" s="58">
        <f t="shared" ref="D27:V27" si="16">C27+1</f>
        <v>2012</v>
      </c>
      <c r="E27" s="58">
        <f t="shared" si="16"/>
        <v>2013</v>
      </c>
      <c r="F27" s="58">
        <f t="shared" si="16"/>
        <v>2014</v>
      </c>
      <c r="G27" s="58">
        <f t="shared" si="16"/>
        <v>2015</v>
      </c>
      <c r="H27" s="58">
        <f t="shared" si="16"/>
        <v>2016</v>
      </c>
      <c r="I27" s="58">
        <f t="shared" si="16"/>
        <v>2017</v>
      </c>
      <c r="J27" s="58">
        <f t="shared" si="16"/>
        <v>2018</v>
      </c>
      <c r="K27" s="58">
        <f t="shared" si="16"/>
        <v>2019</v>
      </c>
      <c r="L27" s="58">
        <f t="shared" si="16"/>
        <v>2020</v>
      </c>
      <c r="M27" s="58">
        <f t="shared" si="16"/>
        <v>2021</v>
      </c>
      <c r="N27" s="58">
        <f t="shared" si="16"/>
        <v>2022</v>
      </c>
      <c r="O27" s="58">
        <f t="shared" si="16"/>
        <v>2023</v>
      </c>
      <c r="P27" s="58">
        <f t="shared" si="16"/>
        <v>2024</v>
      </c>
      <c r="Q27" s="58">
        <f t="shared" si="16"/>
        <v>2025</v>
      </c>
      <c r="R27" s="58">
        <f t="shared" si="16"/>
        <v>2026</v>
      </c>
      <c r="S27" s="58">
        <f t="shared" si="16"/>
        <v>2027</v>
      </c>
      <c r="T27" s="58">
        <f t="shared" si="16"/>
        <v>2028</v>
      </c>
      <c r="U27" s="58">
        <f t="shared" si="16"/>
        <v>2029</v>
      </c>
      <c r="V27" s="58">
        <f t="shared" si="16"/>
        <v>2030</v>
      </c>
    </row>
    <row r="28" spans="1:22" x14ac:dyDescent="0.3">
      <c r="A28" s="58" t="s">
        <v>324</v>
      </c>
      <c r="B28" s="58">
        <v>19640.7</v>
      </c>
      <c r="C28" s="58">
        <v>19640.7</v>
      </c>
      <c r="D28" s="58">
        <v>19640.7</v>
      </c>
      <c r="E28" s="58">
        <v>19640.7</v>
      </c>
      <c r="F28" s="58">
        <v>25108.400000000001</v>
      </c>
      <c r="G28" s="58">
        <v>19849.900000000001</v>
      </c>
      <c r="H28" s="58">
        <v>13596.922575000001</v>
      </c>
      <c r="I28" s="58">
        <v>13868.861026499999</v>
      </c>
      <c r="J28" s="58">
        <v>14146.23824703</v>
      </c>
      <c r="K28" s="58">
        <v>14429.163011970602</v>
      </c>
      <c r="L28" s="58">
        <v>14717.746272210014</v>
      </c>
      <c r="M28" s="58">
        <v>15012.101197654214</v>
      </c>
      <c r="N28" s="58">
        <v>15312.343221607298</v>
      </c>
      <c r="O28" s="58">
        <v>15618.590086039445</v>
      </c>
      <c r="P28" s="58">
        <v>15618.590086039445</v>
      </c>
      <c r="Q28" s="58">
        <v>15618.590086039445</v>
      </c>
      <c r="R28" s="58">
        <v>15618.590086039445</v>
      </c>
      <c r="S28" s="58">
        <v>15618.590086039445</v>
      </c>
      <c r="T28" s="58">
        <v>15618.590086039445</v>
      </c>
      <c r="U28" s="58">
        <v>15618.590086039445</v>
      </c>
      <c r="V28" s="58">
        <v>15618.590086039445</v>
      </c>
    </row>
    <row r="29" spans="1:22" x14ac:dyDescent="0.3">
      <c r="A29" s="58" t="s">
        <v>326</v>
      </c>
      <c r="B29" s="58">
        <v>4838.8</v>
      </c>
      <c r="C29" s="58">
        <v>4838.8</v>
      </c>
      <c r="D29" s="58">
        <v>4838.8</v>
      </c>
      <c r="E29" s="58">
        <v>4838.8</v>
      </c>
      <c r="F29" s="58">
        <v>9742.1</v>
      </c>
      <c r="G29" s="58">
        <v>4947.3</v>
      </c>
      <c r="H29" s="58">
        <v>22661.537625000001</v>
      </c>
      <c r="I29" s="58">
        <v>23114.7683775</v>
      </c>
      <c r="J29" s="58">
        <v>23577.06374505</v>
      </c>
      <c r="K29" s="58">
        <v>24048.605019951006</v>
      </c>
      <c r="L29" s="58">
        <v>24529.577120350023</v>
      </c>
      <c r="M29" s="58">
        <v>25020.168662757023</v>
      </c>
      <c r="N29" s="58">
        <v>25520.572036012163</v>
      </c>
      <c r="O29" s="58">
        <v>26030.983476732406</v>
      </c>
      <c r="P29" s="58">
        <v>26030.983476732406</v>
      </c>
      <c r="Q29" s="58">
        <v>26030.983476732406</v>
      </c>
      <c r="R29" s="58">
        <v>26030.983476732406</v>
      </c>
      <c r="S29" s="58">
        <v>26030.983476732406</v>
      </c>
      <c r="T29" s="58">
        <v>26030.983476732406</v>
      </c>
      <c r="U29" s="58">
        <v>26030.983476732406</v>
      </c>
      <c r="V29" s="58">
        <v>26030.983476732406</v>
      </c>
    </row>
    <row r="30" spans="1:22" x14ac:dyDescent="0.3">
      <c r="A30" s="58" t="s">
        <v>325</v>
      </c>
      <c r="B30" s="303">
        <v>1095.2</v>
      </c>
      <c r="C30" s="303">
        <f>B30</f>
        <v>1095.2</v>
      </c>
      <c r="D30" s="303">
        <f t="shared" ref="D30:V30" si="17">C30</f>
        <v>1095.2</v>
      </c>
      <c r="E30" s="303">
        <f t="shared" si="17"/>
        <v>1095.2</v>
      </c>
      <c r="F30" s="303">
        <f t="shared" si="17"/>
        <v>1095.2</v>
      </c>
      <c r="G30" s="303">
        <f t="shared" si="17"/>
        <v>1095.2</v>
      </c>
      <c r="H30" s="303">
        <f t="shared" si="17"/>
        <v>1095.2</v>
      </c>
      <c r="I30" s="303">
        <f t="shared" si="17"/>
        <v>1095.2</v>
      </c>
      <c r="J30" s="303">
        <f t="shared" si="17"/>
        <v>1095.2</v>
      </c>
      <c r="K30" s="303">
        <f t="shared" si="17"/>
        <v>1095.2</v>
      </c>
      <c r="L30" s="303">
        <f t="shared" si="17"/>
        <v>1095.2</v>
      </c>
      <c r="M30" s="303">
        <f t="shared" si="17"/>
        <v>1095.2</v>
      </c>
      <c r="N30" s="303">
        <f t="shared" si="17"/>
        <v>1095.2</v>
      </c>
      <c r="O30" s="303">
        <f t="shared" si="17"/>
        <v>1095.2</v>
      </c>
      <c r="P30" s="303">
        <f t="shared" si="17"/>
        <v>1095.2</v>
      </c>
      <c r="Q30" s="303">
        <f t="shared" si="17"/>
        <v>1095.2</v>
      </c>
      <c r="R30" s="303">
        <f t="shared" si="17"/>
        <v>1095.2</v>
      </c>
      <c r="S30" s="303">
        <f t="shared" si="17"/>
        <v>1095.2</v>
      </c>
      <c r="T30" s="303">
        <f t="shared" si="17"/>
        <v>1095.2</v>
      </c>
      <c r="U30" s="303">
        <f t="shared" si="17"/>
        <v>1095.2</v>
      </c>
      <c r="V30" s="303">
        <f t="shared" si="17"/>
        <v>1095.2</v>
      </c>
    </row>
    <row r="31" spans="1:22" x14ac:dyDescent="0.3">
      <c r="A31" s="58" t="s">
        <v>270</v>
      </c>
      <c r="B31" s="303">
        <v>1328.1</v>
      </c>
      <c r="C31" s="303">
        <f>B31</f>
        <v>1328.1</v>
      </c>
      <c r="D31" s="303">
        <f t="shared" ref="D31:V31" si="18">C31</f>
        <v>1328.1</v>
      </c>
      <c r="E31" s="303">
        <f t="shared" si="18"/>
        <v>1328.1</v>
      </c>
      <c r="F31" s="303">
        <f t="shared" si="18"/>
        <v>1328.1</v>
      </c>
      <c r="G31" s="303">
        <f t="shared" si="18"/>
        <v>1328.1</v>
      </c>
      <c r="H31" s="303">
        <f t="shared" si="18"/>
        <v>1328.1</v>
      </c>
      <c r="I31" s="303">
        <f t="shared" si="18"/>
        <v>1328.1</v>
      </c>
      <c r="J31" s="303">
        <f t="shared" si="18"/>
        <v>1328.1</v>
      </c>
      <c r="K31" s="303">
        <f t="shared" si="18"/>
        <v>1328.1</v>
      </c>
      <c r="L31" s="303">
        <f t="shared" si="18"/>
        <v>1328.1</v>
      </c>
      <c r="M31" s="303">
        <f t="shared" si="18"/>
        <v>1328.1</v>
      </c>
      <c r="N31" s="303">
        <f t="shared" si="18"/>
        <v>1328.1</v>
      </c>
      <c r="O31" s="303">
        <f t="shared" si="18"/>
        <v>1328.1</v>
      </c>
      <c r="P31" s="303">
        <f t="shared" si="18"/>
        <v>1328.1</v>
      </c>
      <c r="Q31" s="303">
        <f t="shared" si="18"/>
        <v>1328.1</v>
      </c>
      <c r="R31" s="303">
        <f t="shared" si="18"/>
        <v>1328.1</v>
      </c>
      <c r="S31" s="303">
        <f t="shared" si="18"/>
        <v>1328.1</v>
      </c>
      <c r="T31" s="303">
        <f t="shared" si="18"/>
        <v>1328.1</v>
      </c>
      <c r="U31" s="303">
        <f t="shared" si="18"/>
        <v>1328.1</v>
      </c>
      <c r="V31" s="303">
        <f t="shared" si="18"/>
        <v>1328.1</v>
      </c>
    </row>
    <row r="32" spans="1:22" x14ac:dyDescent="0.3">
      <c r="A32" s="58" t="s">
        <v>446</v>
      </c>
      <c r="B32" s="58"/>
      <c r="C32" s="58"/>
      <c r="D32" s="58"/>
      <c r="E32" s="58"/>
      <c r="F32" s="58"/>
      <c r="G32" s="58"/>
      <c r="H32" s="58"/>
      <c r="I32" s="58"/>
      <c r="J32" s="58"/>
      <c r="K32" s="58"/>
      <c r="L32" s="58"/>
      <c r="M32" s="58"/>
      <c r="N32" s="58"/>
      <c r="O32" s="58"/>
      <c r="P32" s="58"/>
      <c r="Q32" s="58"/>
      <c r="R32" s="58"/>
      <c r="S32" s="58"/>
      <c r="T32" s="58"/>
      <c r="U32" s="58"/>
      <c r="V32" s="58"/>
    </row>
    <row r="33" spans="1:22" x14ac:dyDescent="0.3">
      <c r="A33" s="58" t="s">
        <v>271</v>
      </c>
      <c r="B33" s="58"/>
      <c r="C33" s="58"/>
      <c r="D33" s="58"/>
      <c r="E33" s="58"/>
      <c r="F33" s="58"/>
      <c r="G33" s="58"/>
      <c r="H33" s="58"/>
      <c r="I33" s="58"/>
      <c r="J33" s="58"/>
      <c r="K33" s="58"/>
      <c r="L33" s="58"/>
      <c r="M33" s="58"/>
      <c r="N33" s="58"/>
      <c r="O33" s="58"/>
      <c r="P33" s="58"/>
      <c r="Q33" s="58"/>
      <c r="R33" s="58"/>
      <c r="S33" s="58"/>
      <c r="T33" s="58"/>
      <c r="U33" s="58"/>
      <c r="V33" s="58"/>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CF40"/>
  <sheetViews>
    <sheetView topLeftCell="A4" zoomScaleNormal="100" workbookViewId="0">
      <selection activeCell="AA20" sqref="AA20"/>
    </sheetView>
  </sheetViews>
  <sheetFormatPr defaultRowHeight="14.4" x14ac:dyDescent="0.3"/>
  <cols>
    <col min="1" max="1" width="3.44140625" customWidth="1"/>
    <col min="2" max="6" width="14.88671875" customWidth="1"/>
    <col min="7" max="23" width="15.109375" customWidth="1"/>
    <col min="24" max="24" width="20" customWidth="1"/>
    <col min="25" max="28" width="10.6640625" customWidth="1"/>
    <col min="29" max="29" width="10.44140625" customWidth="1"/>
    <col min="30" max="45" width="8.6640625" customWidth="1"/>
    <col min="46" max="46" width="20.6640625" customWidth="1"/>
    <col min="47" max="50" width="10.6640625" customWidth="1"/>
    <col min="51" max="51" width="11.44140625" customWidth="1"/>
    <col min="52" max="67" width="8.6640625" customWidth="1"/>
    <col min="68" max="68" width="10.33203125" customWidth="1"/>
  </cols>
  <sheetData>
    <row r="2" spans="2:84" x14ac:dyDescent="0.3">
      <c r="B2" t="s">
        <v>0</v>
      </c>
      <c r="G2" t="s">
        <v>2</v>
      </c>
    </row>
    <row r="3" spans="2:84" x14ac:dyDescent="0.3">
      <c r="B3" t="s">
        <v>1</v>
      </c>
      <c r="G3" t="s">
        <v>78</v>
      </c>
    </row>
    <row r="4" spans="2:84" ht="15" thickBot="1" x14ac:dyDescent="0.35"/>
    <row r="5" spans="2:84" x14ac:dyDescent="0.3">
      <c r="B5" s="205" t="s">
        <v>3</v>
      </c>
      <c r="C5" s="275"/>
      <c r="D5" s="275"/>
      <c r="E5" s="275"/>
      <c r="F5" s="275"/>
      <c r="G5" s="334" t="s">
        <v>4</v>
      </c>
      <c r="H5" s="334"/>
      <c r="I5" s="334"/>
      <c r="J5" s="334"/>
      <c r="K5" s="334"/>
      <c r="L5" s="334"/>
      <c r="M5" s="334"/>
      <c r="N5" s="334"/>
      <c r="O5" s="334"/>
      <c r="P5" s="334"/>
      <c r="Q5" s="334"/>
      <c r="R5" s="334"/>
      <c r="S5" s="334"/>
      <c r="T5" s="334"/>
      <c r="U5" s="334"/>
      <c r="V5" s="334"/>
      <c r="W5" s="334"/>
      <c r="X5" s="335"/>
      <c r="Y5" s="275"/>
      <c r="Z5" s="275"/>
      <c r="AA5" s="275"/>
      <c r="AB5" s="275"/>
      <c r="AC5" s="345" t="s">
        <v>9</v>
      </c>
      <c r="AD5" s="334"/>
      <c r="AE5" s="334"/>
      <c r="AF5" s="334"/>
      <c r="AG5" s="334"/>
      <c r="AH5" s="334"/>
      <c r="AI5" s="334"/>
      <c r="AJ5" s="334"/>
      <c r="AK5" s="334"/>
      <c r="AL5" s="334"/>
      <c r="AM5" s="334"/>
      <c r="AN5" s="334"/>
      <c r="AO5" s="334"/>
      <c r="AP5" s="334"/>
      <c r="AQ5" s="334"/>
      <c r="AR5" s="334"/>
      <c r="AS5" s="334"/>
      <c r="AT5" s="334" t="s">
        <v>17</v>
      </c>
      <c r="AU5" s="334"/>
      <c r="AV5" s="334"/>
      <c r="AW5" s="334"/>
      <c r="AX5" s="334"/>
      <c r="AY5" s="334"/>
      <c r="AZ5" s="334"/>
      <c r="BA5" s="334"/>
      <c r="BB5" s="334"/>
      <c r="BC5" s="334"/>
      <c r="BD5" s="334"/>
      <c r="BE5" s="334"/>
      <c r="BF5" s="334"/>
      <c r="BG5" s="334"/>
      <c r="BH5" s="334"/>
      <c r="BI5" s="334"/>
      <c r="BJ5" s="334"/>
      <c r="BK5" s="334"/>
      <c r="BL5" s="334"/>
      <c r="BM5" s="334"/>
      <c r="BN5" s="334"/>
      <c r="BO5" s="349"/>
      <c r="BP5" s="336" t="s">
        <v>413</v>
      </c>
      <c r="BQ5" s="337"/>
      <c r="BR5" s="337"/>
      <c r="BS5" s="337"/>
      <c r="BT5" s="337"/>
      <c r="BU5" s="337"/>
      <c r="BV5" s="337"/>
      <c r="BW5" s="337"/>
      <c r="BX5" s="337"/>
      <c r="BY5" s="337"/>
      <c r="BZ5" s="337"/>
      <c r="CA5" s="337"/>
      <c r="CB5" s="337"/>
      <c r="CC5" s="337"/>
      <c r="CD5" s="337"/>
      <c r="CE5" s="337"/>
      <c r="CF5" s="338"/>
    </row>
    <row r="6" spans="2:84" ht="33" customHeight="1" x14ac:dyDescent="0.3">
      <c r="B6" s="70" t="s">
        <v>12</v>
      </c>
      <c r="C6" s="18"/>
      <c r="D6" s="18"/>
      <c r="E6" s="18"/>
      <c r="F6" s="18"/>
      <c r="G6" s="346" t="s">
        <v>5</v>
      </c>
      <c r="H6" s="347"/>
      <c r="I6" s="347"/>
      <c r="J6" s="347"/>
      <c r="K6" s="347"/>
      <c r="L6" s="347"/>
      <c r="M6" s="347"/>
      <c r="N6" s="347"/>
      <c r="O6" s="347"/>
      <c r="P6" s="347"/>
      <c r="Q6" s="347"/>
      <c r="R6" s="347"/>
      <c r="S6" s="347"/>
      <c r="T6" s="347"/>
      <c r="U6" s="347"/>
      <c r="V6" s="347"/>
      <c r="W6" s="348"/>
      <c r="X6" s="23" t="s">
        <v>7</v>
      </c>
      <c r="Y6" s="277"/>
      <c r="Z6" s="277"/>
      <c r="AA6" s="277"/>
      <c r="AB6" s="277"/>
      <c r="AC6" s="353" t="s">
        <v>16</v>
      </c>
      <c r="AD6" s="340"/>
      <c r="AE6" s="340"/>
      <c r="AF6" s="340"/>
      <c r="AG6" s="340"/>
      <c r="AH6" s="340"/>
      <c r="AI6" s="340"/>
      <c r="AJ6" s="340"/>
      <c r="AK6" s="340"/>
      <c r="AL6" s="340"/>
      <c r="AM6" s="340"/>
      <c r="AN6" s="340"/>
      <c r="AO6" s="340"/>
      <c r="AP6" s="340"/>
      <c r="AQ6" s="340"/>
      <c r="AR6" s="340"/>
      <c r="AS6" s="354"/>
      <c r="AT6" s="22" t="s">
        <v>56</v>
      </c>
      <c r="AU6" s="135"/>
      <c r="AV6" s="135"/>
      <c r="AW6" s="135"/>
      <c r="AX6" s="135"/>
      <c r="AY6" s="353" t="s">
        <v>18</v>
      </c>
      <c r="AZ6" s="340"/>
      <c r="BA6" s="340"/>
      <c r="BB6" s="340"/>
      <c r="BC6" s="340"/>
      <c r="BD6" s="340"/>
      <c r="BE6" s="340"/>
      <c r="BF6" s="340"/>
      <c r="BG6" s="340"/>
      <c r="BH6" s="340"/>
      <c r="BI6" s="340"/>
      <c r="BJ6" s="340"/>
      <c r="BK6" s="340"/>
      <c r="BL6" s="340"/>
      <c r="BM6" s="340"/>
      <c r="BN6" s="340"/>
      <c r="BO6" s="340"/>
      <c r="BP6" s="339" t="s">
        <v>356</v>
      </c>
      <c r="BQ6" s="340"/>
      <c r="BR6" s="340"/>
      <c r="BS6" s="340"/>
      <c r="BT6" s="340"/>
      <c r="BU6" s="340"/>
      <c r="BV6" s="340"/>
      <c r="BW6" s="340"/>
      <c r="BX6" s="340"/>
      <c r="BY6" s="340"/>
      <c r="BZ6" s="340"/>
      <c r="CA6" s="340"/>
      <c r="CB6" s="340"/>
      <c r="CC6" s="340"/>
      <c r="CD6" s="340"/>
      <c r="CE6" s="340"/>
      <c r="CF6" s="341"/>
    </row>
    <row r="7" spans="2:84" ht="15.6" x14ac:dyDescent="0.35">
      <c r="B7" s="5"/>
      <c r="C7" s="7"/>
      <c r="D7" s="7"/>
      <c r="E7" s="7"/>
      <c r="F7" s="7"/>
      <c r="G7" s="7" t="s">
        <v>6</v>
      </c>
      <c r="H7" s="7"/>
      <c r="I7" s="7"/>
      <c r="J7" s="7"/>
      <c r="K7" s="7"/>
      <c r="L7" s="7"/>
      <c r="M7" s="7"/>
      <c r="N7" s="7"/>
      <c r="O7" s="7"/>
      <c r="P7" s="7"/>
      <c r="Q7" s="7"/>
      <c r="R7" s="7"/>
      <c r="S7" s="7"/>
      <c r="T7" s="7"/>
      <c r="U7" s="7"/>
      <c r="V7" s="7"/>
      <c r="W7" s="7"/>
      <c r="X7" s="7" t="s">
        <v>8</v>
      </c>
      <c r="Y7" s="44"/>
      <c r="Z7" s="44"/>
      <c r="AA7" s="44"/>
      <c r="AB7" s="44"/>
      <c r="AC7" s="355" t="s">
        <v>15</v>
      </c>
      <c r="AD7" s="343"/>
      <c r="AE7" s="343"/>
      <c r="AF7" s="343"/>
      <c r="AG7" s="343"/>
      <c r="AH7" s="343"/>
      <c r="AI7" s="343"/>
      <c r="AJ7" s="343"/>
      <c r="AK7" s="343"/>
      <c r="AL7" s="343"/>
      <c r="AM7" s="343"/>
      <c r="AN7" s="343"/>
      <c r="AO7" s="343"/>
      <c r="AP7" s="343"/>
      <c r="AQ7" s="343"/>
      <c r="AR7" s="343"/>
      <c r="AS7" s="356"/>
      <c r="AT7" s="9" t="s">
        <v>8</v>
      </c>
      <c r="AU7" s="136"/>
      <c r="AV7" s="136"/>
      <c r="AW7" s="136"/>
      <c r="AX7" s="136"/>
      <c r="AY7" s="355" t="s">
        <v>15</v>
      </c>
      <c r="AZ7" s="343"/>
      <c r="BA7" s="343"/>
      <c r="BB7" s="343"/>
      <c r="BC7" s="343"/>
      <c r="BD7" s="343"/>
      <c r="BE7" s="343"/>
      <c r="BF7" s="343"/>
      <c r="BG7" s="343"/>
      <c r="BH7" s="343"/>
      <c r="BI7" s="343"/>
      <c r="BJ7" s="343"/>
      <c r="BK7" s="343"/>
      <c r="BL7" s="343"/>
      <c r="BM7" s="343"/>
      <c r="BN7" s="343"/>
      <c r="BO7" s="343"/>
      <c r="BP7" s="342" t="s">
        <v>15</v>
      </c>
      <c r="BQ7" s="343"/>
      <c r="BR7" s="343"/>
      <c r="BS7" s="343"/>
      <c r="BT7" s="343"/>
      <c r="BU7" s="343"/>
      <c r="BV7" s="343"/>
      <c r="BW7" s="343"/>
      <c r="BX7" s="343"/>
      <c r="BY7" s="343"/>
      <c r="BZ7" s="343"/>
      <c r="CA7" s="343"/>
      <c r="CB7" s="343"/>
      <c r="CC7" s="343"/>
      <c r="CD7" s="343"/>
      <c r="CE7" s="343"/>
      <c r="CF7" s="344"/>
    </row>
    <row r="8" spans="2:84" ht="16.8" x14ac:dyDescent="0.35">
      <c r="B8" s="5"/>
      <c r="C8" s="7"/>
      <c r="D8" s="7"/>
      <c r="E8" s="7"/>
      <c r="F8" s="7"/>
      <c r="G8" s="7"/>
      <c r="H8" s="7"/>
      <c r="I8" s="7"/>
      <c r="J8" s="7"/>
      <c r="K8" s="7"/>
      <c r="L8" s="7"/>
      <c r="M8" s="7"/>
      <c r="N8" s="7"/>
      <c r="O8" s="7"/>
      <c r="P8" s="7"/>
      <c r="Q8" s="7"/>
      <c r="R8" s="7"/>
      <c r="S8" s="7"/>
      <c r="T8" s="7"/>
      <c r="U8" s="7"/>
      <c r="V8" s="7"/>
      <c r="W8" s="7"/>
      <c r="X8" s="7"/>
      <c r="Y8" s="44"/>
      <c r="Z8" s="44"/>
      <c r="AA8" s="44"/>
      <c r="AB8" s="44"/>
      <c r="AC8" s="355" t="s">
        <v>19</v>
      </c>
      <c r="AD8" s="343"/>
      <c r="AE8" s="343"/>
      <c r="AF8" s="343"/>
      <c r="AG8" s="343"/>
      <c r="AH8" s="343"/>
      <c r="AI8" s="343"/>
      <c r="AJ8" s="343"/>
      <c r="AK8" s="343"/>
      <c r="AL8" s="343"/>
      <c r="AM8" s="343"/>
      <c r="AN8" s="343"/>
      <c r="AO8" s="343"/>
      <c r="AP8" s="343"/>
      <c r="AQ8" s="343"/>
      <c r="AR8" s="343"/>
      <c r="AS8" s="356"/>
      <c r="AT8" s="9"/>
      <c r="AU8" s="136"/>
      <c r="AV8" s="136"/>
      <c r="AW8" s="136"/>
      <c r="AX8" s="136"/>
      <c r="AY8" s="355" t="s">
        <v>20</v>
      </c>
      <c r="AZ8" s="343"/>
      <c r="BA8" s="343"/>
      <c r="BB8" s="343"/>
      <c r="BC8" s="343"/>
      <c r="BD8" s="343"/>
      <c r="BE8" s="343"/>
      <c r="BF8" s="343"/>
      <c r="BG8" s="343"/>
      <c r="BH8" s="343"/>
      <c r="BI8" s="343"/>
      <c r="BJ8" s="343"/>
      <c r="BK8" s="343"/>
      <c r="BL8" s="343"/>
      <c r="BM8" s="343"/>
      <c r="BN8" s="343"/>
      <c r="BO8" s="343"/>
      <c r="BP8" s="342"/>
      <c r="BQ8" s="343"/>
      <c r="BR8" s="343"/>
      <c r="BS8" s="343"/>
      <c r="BT8" s="343"/>
      <c r="BU8" s="343"/>
      <c r="BV8" s="343"/>
      <c r="BW8" s="343"/>
      <c r="BX8" s="343"/>
      <c r="BY8" s="343"/>
      <c r="BZ8" s="343"/>
      <c r="CA8" s="343"/>
      <c r="CB8" s="343"/>
      <c r="CC8" s="343"/>
      <c r="CD8" s="343"/>
      <c r="CE8" s="343"/>
      <c r="CF8" s="344"/>
    </row>
    <row r="9" spans="2:84" ht="16.2" thickBot="1" x14ac:dyDescent="0.4">
      <c r="B9" s="13" t="s">
        <v>11</v>
      </c>
      <c r="C9" s="14"/>
      <c r="D9" s="14"/>
      <c r="E9" s="14"/>
      <c r="F9" s="14"/>
      <c r="G9" s="14" t="s">
        <v>13</v>
      </c>
      <c r="H9" s="14"/>
      <c r="I9" s="14"/>
      <c r="J9" s="14"/>
      <c r="K9" s="14"/>
      <c r="L9" s="14"/>
      <c r="M9" s="14"/>
      <c r="N9" s="14"/>
      <c r="O9" s="14"/>
      <c r="P9" s="14"/>
      <c r="Q9" s="14"/>
      <c r="R9" s="14"/>
      <c r="S9" s="14"/>
      <c r="T9" s="14"/>
      <c r="U9" s="14"/>
      <c r="V9" s="14"/>
      <c r="W9" s="14"/>
      <c r="X9" s="14" t="s">
        <v>14</v>
      </c>
      <c r="Y9" s="276"/>
      <c r="Z9" s="276"/>
      <c r="AA9" s="276"/>
      <c r="AB9" s="276"/>
      <c r="AC9" s="357" t="s">
        <v>21</v>
      </c>
      <c r="AD9" s="351"/>
      <c r="AE9" s="351"/>
      <c r="AF9" s="351"/>
      <c r="AG9" s="351"/>
      <c r="AH9" s="351"/>
      <c r="AI9" s="351"/>
      <c r="AJ9" s="351"/>
      <c r="AK9" s="351"/>
      <c r="AL9" s="351"/>
      <c r="AM9" s="351"/>
      <c r="AN9" s="351"/>
      <c r="AO9" s="351"/>
      <c r="AP9" s="351"/>
      <c r="AQ9" s="351"/>
      <c r="AR9" s="351"/>
      <c r="AS9" s="358"/>
      <c r="AT9" s="15" t="s">
        <v>14</v>
      </c>
      <c r="AU9" s="278"/>
      <c r="AV9" s="278"/>
      <c r="AW9" s="278"/>
      <c r="AX9" s="278"/>
      <c r="AY9" s="357" t="s">
        <v>79</v>
      </c>
      <c r="AZ9" s="351"/>
      <c r="BA9" s="351"/>
      <c r="BB9" s="351"/>
      <c r="BC9" s="351"/>
      <c r="BD9" s="351"/>
      <c r="BE9" s="351"/>
      <c r="BF9" s="351"/>
      <c r="BG9" s="351"/>
      <c r="BH9" s="351"/>
      <c r="BI9" s="351"/>
      <c r="BJ9" s="351"/>
      <c r="BK9" s="351"/>
      <c r="BL9" s="351"/>
      <c r="BM9" s="351"/>
      <c r="BN9" s="351"/>
      <c r="BO9" s="351"/>
      <c r="BP9" s="350"/>
      <c r="BQ9" s="351"/>
      <c r="BR9" s="351"/>
      <c r="BS9" s="351"/>
      <c r="BT9" s="351"/>
      <c r="BU9" s="351"/>
      <c r="BV9" s="351"/>
      <c r="BW9" s="351"/>
      <c r="BX9" s="351"/>
      <c r="BY9" s="351"/>
      <c r="BZ9" s="351"/>
      <c r="CA9" s="351"/>
      <c r="CB9" s="351"/>
      <c r="CC9" s="351"/>
      <c r="CD9" s="351"/>
      <c r="CE9" s="351"/>
      <c r="CF9" s="352"/>
    </row>
    <row r="10" spans="2:84" x14ac:dyDescent="0.3">
      <c r="B10" s="6"/>
      <c r="C10" s="294">
        <f t="shared" ref="C10:E10" si="0">D10-1</f>
        <v>2010</v>
      </c>
      <c r="D10" s="294">
        <f t="shared" si="0"/>
        <v>2011</v>
      </c>
      <c r="E10" s="294">
        <f t="shared" si="0"/>
        <v>2012</v>
      </c>
      <c r="F10" s="294">
        <f>G10-1</f>
        <v>2013</v>
      </c>
      <c r="G10" s="295">
        <v>2014</v>
      </c>
      <c r="H10" s="80">
        <f>G10+1</f>
        <v>2015</v>
      </c>
      <c r="I10" s="80">
        <f t="shared" ref="I10:W10" si="1">H10+1</f>
        <v>2016</v>
      </c>
      <c r="J10" s="80">
        <f t="shared" si="1"/>
        <v>2017</v>
      </c>
      <c r="K10" s="80">
        <f t="shared" si="1"/>
        <v>2018</v>
      </c>
      <c r="L10" s="80">
        <f t="shared" si="1"/>
        <v>2019</v>
      </c>
      <c r="M10" s="80">
        <f t="shared" si="1"/>
        <v>2020</v>
      </c>
      <c r="N10" s="80">
        <f t="shared" si="1"/>
        <v>2021</v>
      </c>
      <c r="O10" s="80">
        <f t="shared" si="1"/>
        <v>2022</v>
      </c>
      <c r="P10" s="80">
        <f t="shared" si="1"/>
        <v>2023</v>
      </c>
      <c r="Q10" s="80">
        <f t="shared" si="1"/>
        <v>2024</v>
      </c>
      <c r="R10" s="80">
        <f t="shared" si="1"/>
        <v>2025</v>
      </c>
      <c r="S10" s="80">
        <f t="shared" si="1"/>
        <v>2026</v>
      </c>
      <c r="T10" s="80">
        <f t="shared" si="1"/>
        <v>2027</v>
      </c>
      <c r="U10" s="80">
        <f t="shared" si="1"/>
        <v>2028</v>
      </c>
      <c r="V10" s="80">
        <f t="shared" si="1"/>
        <v>2029</v>
      </c>
      <c r="W10" s="80">
        <f t="shared" si="1"/>
        <v>2030</v>
      </c>
      <c r="X10" s="80" t="s">
        <v>118</v>
      </c>
      <c r="Y10" s="80">
        <f t="shared" ref="Y10:AA10" si="2">Z10-1</f>
        <v>2010</v>
      </c>
      <c r="Z10" s="80">
        <f t="shared" si="2"/>
        <v>2011</v>
      </c>
      <c r="AA10" s="80">
        <f t="shared" si="2"/>
        <v>2012</v>
      </c>
      <c r="AB10" s="80">
        <f>AC10-1</f>
        <v>2013</v>
      </c>
      <c r="AC10" s="102">
        <v>2014</v>
      </c>
      <c r="AD10" s="80">
        <f>AC10+1</f>
        <v>2015</v>
      </c>
      <c r="AE10" s="80">
        <f t="shared" ref="AE10" si="3">AD10+1</f>
        <v>2016</v>
      </c>
      <c r="AF10" s="80">
        <f t="shared" ref="AF10" si="4">AE10+1</f>
        <v>2017</v>
      </c>
      <c r="AG10" s="80">
        <f t="shared" ref="AG10" si="5">AF10+1</f>
        <v>2018</v>
      </c>
      <c r="AH10" s="80">
        <f t="shared" ref="AH10" si="6">AG10+1</f>
        <v>2019</v>
      </c>
      <c r="AI10" s="80">
        <f t="shared" ref="AI10" si="7">AH10+1</f>
        <v>2020</v>
      </c>
      <c r="AJ10" s="80">
        <f t="shared" ref="AJ10" si="8">AI10+1</f>
        <v>2021</v>
      </c>
      <c r="AK10" s="80">
        <f t="shared" ref="AK10" si="9">AJ10+1</f>
        <v>2022</v>
      </c>
      <c r="AL10" s="80">
        <f t="shared" ref="AL10" si="10">AK10+1</f>
        <v>2023</v>
      </c>
      <c r="AM10" s="80">
        <f t="shared" ref="AM10" si="11">AL10+1</f>
        <v>2024</v>
      </c>
      <c r="AN10" s="80">
        <f t="shared" ref="AN10" si="12">AM10+1</f>
        <v>2025</v>
      </c>
      <c r="AO10" s="80">
        <f t="shared" ref="AO10" si="13">AN10+1</f>
        <v>2026</v>
      </c>
      <c r="AP10" s="80">
        <f t="shared" ref="AP10" si="14">AO10+1</f>
        <v>2027</v>
      </c>
      <c r="AQ10" s="80">
        <f t="shared" ref="AQ10" si="15">AP10+1</f>
        <v>2028</v>
      </c>
      <c r="AR10" s="80">
        <f t="shared" ref="AR10:AS10" si="16">AQ10+1</f>
        <v>2029</v>
      </c>
      <c r="AS10" s="80">
        <f t="shared" si="16"/>
        <v>2030</v>
      </c>
      <c r="AT10" s="210" t="s">
        <v>119</v>
      </c>
      <c r="AU10" s="218">
        <f t="shared" ref="AU10:AW10" si="17">AV10-1</f>
        <v>2010</v>
      </c>
      <c r="AV10" s="218">
        <f t="shared" si="17"/>
        <v>2011</v>
      </c>
      <c r="AW10" s="218">
        <f t="shared" si="17"/>
        <v>2012</v>
      </c>
      <c r="AX10" s="218">
        <f>AY10-1</f>
        <v>2013</v>
      </c>
      <c r="AY10" s="200">
        <v>2014</v>
      </c>
      <c r="AZ10" s="200">
        <f>AY10+1</f>
        <v>2015</v>
      </c>
      <c r="BA10" s="200">
        <f t="shared" ref="BA10" si="18">AZ10+1</f>
        <v>2016</v>
      </c>
      <c r="BB10" s="200">
        <f t="shared" ref="BB10" si="19">BA10+1</f>
        <v>2017</v>
      </c>
      <c r="BC10" s="200">
        <f t="shared" ref="BC10" si="20">BB10+1</f>
        <v>2018</v>
      </c>
      <c r="BD10" s="200">
        <f t="shared" ref="BD10" si="21">BC10+1</f>
        <v>2019</v>
      </c>
      <c r="BE10" s="200">
        <f t="shared" ref="BE10" si="22">BD10+1</f>
        <v>2020</v>
      </c>
      <c r="BF10" s="200">
        <f t="shared" ref="BF10" si="23">BE10+1</f>
        <v>2021</v>
      </c>
      <c r="BG10" s="200">
        <f t="shared" ref="BG10" si="24">BF10+1</f>
        <v>2022</v>
      </c>
      <c r="BH10" s="200">
        <f t="shared" ref="BH10" si="25">BG10+1</f>
        <v>2023</v>
      </c>
      <c r="BI10" s="200">
        <f t="shared" ref="BI10" si="26">BH10+1</f>
        <v>2024</v>
      </c>
      <c r="BJ10" s="200">
        <f t="shared" ref="BJ10" si="27">BI10+1</f>
        <v>2025</v>
      </c>
      <c r="BK10" s="200">
        <f t="shared" ref="BK10" si="28">BJ10+1</f>
        <v>2026</v>
      </c>
      <c r="BL10" s="200">
        <f t="shared" ref="BL10" si="29">BK10+1</f>
        <v>2027</v>
      </c>
      <c r="BM10" s="200">
        <f t="shared" ref="BM10" si="30">BL10+1</f>
        <v>2028</v>
      </c>
      <c r="BN10" s="200">
        <f t="shared" ref="BN10" si="31">BM10+1</f>
        <v>2029</v>
      </c>
      <c r="BO10" s="200">
        <f t="shared" ref="BO10" si="32">BN10+1</f>
        <v>2030</v>
      </c>
      <c r="BP10" s="198">
        <v>2014</v>
      </c>
      <c r="BQ10" s="200">
        <f>BP10+1</f>
        <v>2015</v>
      </c>
      <c r="BR10" s="200">
        <f t="shared" ref="BR10:CE10" si="33">BQ10+1</f>
        <v>2016</v>
      </c>
      <c r="BS10" s="200">
        <f t="shared" si="33"/>
        <v>2017</v>
      </c>
      <c r="BT10" s="200">
        <f t="shared" si="33"/>
        <v>2018</v>
      </c>
      <c r="BU10" s="200">
        <f t="shared" si="33"/>
        <v>2019</v>
      </c>
      <c r="BV10" s="200">
        <f t="shared" si="33"/>
        <v>2020</v>
      </c>
      <c r="BW10" s="200">
        <f t="shared" si="33"/>
        <v>2021</v>
      </c>
      <c r="BX10" s="200">
        <f t="shared" si="33"/>
        <v>2022</v>
      </c>
      <c r="BY10" s="200">
        <f t="shared" si="33"/>
        <v>2023</v>
      </c>
      <c r="BZ10" s="200">
        <f t="shared" si="33"/>
        <v>2024</v>
      </c>
      <c r="CA10" s="200">
        <f t="shared" si="33"/>
        <v>2025</v>
      </c>
      <c r="CB10" s="200">
        <f t="shared" si="33"/>
        <v>2026</v>
      </c>
      <c r="CC10" s="200">
        <f t="shared" si="33"/>
        <v>2027</v>
      </c>
      <c r="CD10" s="200">
        <f t="shared" si="33"/>
        <v>2028</v>
      </c>
      <c r="CE10" s="200">
        <f t="shared" si="33"/>
        <v>2029</v>
      </c>
      <c r="CF10" s="201">
        <f>CE10+1</f>
        <v>2030</v>
      </c>
    </row>
    <row r="11" spans="2:84" x14ac:dyDescent="0.3">
      <c r="B11" s="292" t="str">
        <f>'EF peternakan'!B5</f>
        <v>Sapi pedaging</v>
      </c>
      <c r="C11" s="197">
        <v>1124</v>
      </c>
      <c r="D11" s="197">
        <v>1567</v>
      </c>
      <c r="E11" s="197">
        <v>1688</v>
      </c>
      <c r="F11" s="197">
        <v>2213</v>
      </c>
      <c r="G11" s="197">
        <v>2250</v>
      </c>
      <c r="H11" s="197">
        <f>G11*1.006</f>
        <v>2263.5</v>
      </c>
      <c r="I11" s="197">
        <f t="shared" ref="I11:W11" si="34">H11*1.006</f>
        <v>2277.0810000000001</v>
      </c>
      <c r="J11" s="197">
        <f t="shared" si="34"/>
        <v>2290.7434860000003</v>
      </c>
      <c r="K11" s="197">
        <f t="shared" si="34"/>
        <v>2304.4879469160005</v>
      </c>
      <c r="L11" s="197">
        <f t="shared" si="34"/>
        <v>2318.3148745974963</v>
      </c>
      <c r="M11" s="197">
        <f t="shared" si="34"/>
        <v>2332.2247638450813</v>
      </c>
      <c r="N11" s="197">
        <f t="shared" si="34"/>
        <v>2346.2181124281519</v>
      </c>
      <c r="O11" s="197">
        <f t="shared" si="34"/>
        <v>2360.2954211027209</v>
      </c>
      <c r="P11" s="197">
        <f t="shared" si="34"/>
        <v>2374.4571936293373</v>
      </c>
      <c r="Q11" s="197">
        <f t="shared" si="34"/>
        <v>2388.7039367911134</v>
      </c>
      <c r="R11" s="197">
        <f t="shared" si="34"/>
        <v>2403.0361604118602</v>
      </c>
      <c r="S11" s="197">
        <f t="shared" si="34"/>
        <v>2417.4543773743312</v>
      </c>
      <c r="T11" s="197">
        <f t="shared" si="34"/>
        <v>2431.9591036385773</v>
      </c>
      <c r="U11" s="197">
        <f t="shared" si="34"/>
        <v>2446.5508582604089</v>
      </c>
      <c r="V11" s="197">
        <f t="shared" si="34"/>
        <v>2461.2301634099713</v>
      </c>
      <c r="W11" s="197">
        <f t="shared" si="34"/>
        <v>2475.9975443904309</v>
      </c>
      <c r="X11" s="77">
        <f>'EF peternakan'!C5</f>
        <v>47</v>
      </c>
      <c r="Y11" s="244">
        <f t="shared" ref="Y11:Y17" si="35">C11*$X11*10^-6</f>
        <v>5.2828E-2</v>
      </c>
      <c r="Z11" s="244">
        <f t="shared" ref="Z11:Z17" si="36">D11*$X11*10^-6</f>
        <v>7.3648999999999992E-2</v>
      </c>
      <c r="AA11" s="244">
        <f t="shared" ref="AA11:AA17" si="37">E11*$X11*10^-6</f>
        <v>7.933599999999999E-2</v>
      </c>
      <c r="AB11" s="244">
        <f t="shared" ref="AB11:AB17" si="38">F11*$X11*10^-6</f>
        <v>0.10401099999999999</v>
      </c>
      <c r="AC11" s="244">
        <f>G11*$X11*10^-6</f>
        <v>0.10575</v>
      </c>
      <c r="AD11" s="244">
        <f t="shared" ref="AD11:AD17" si="39">H11*$X11*10^-6</f>
        <v>0.10638449999999999</v>
      </c>
      <c r="AE11" s="244">
        <f t="shared" ref="AE11:AE17" si="40">I11*$X11*10^-6</f>
        <v>0.107022807</v>
      </c>
      <c r="AF11" s="244">
        <f t="shared" ref="AF11:AF17" si="41">J11*$X11*10^-6</f>
        <v>0.107664943842</v>
      </c>
      <c r="AG11" s="244">
        <f t="shared" ref="AG11:AG17" si="42">K11*$X11*10^-6</f>
        <v>0.10831093350505203</v>
      </c>
      <c r="AH11" s="244">
        <f t="shared" ref="AH11:AH17" si="43">L11*$X11*10^-6</f>
        <v>0.10896079910608232</v>
      </c>
      <c r="AI11" s="244">
        <f t="shared" ref="AI11:AI17" si="44">M11*$X11*10^-6</f>
        <v>0.1096145639007188</v>
      </c>
      <c r="AJ11" s="244">
        <f t="shared" ref="AJ11:AJ17" si="45">N11*$X11*10^-6</f>
        <v>0.11027225128412313</v>
      </c>
      <c r="AK11" s="244">
        <f t="shared" ref="AK11:AK17" si="46">O11*$X11*10^-6</f>
        <v>0.11093388479182788</v>
      </c>
      <c r="AL11" s="244">
        <f t="shared" ref="AL11:AL17" si="47">P11*$X11*10^-6</f>
        <v>0.11159948810057885</v>
      </c>
      <c r="AM11" s="244">
        <f t="shared" ref="AM11:AM17" si="48">Q11*$X11*10^-6</f>
        <v>0.11226908502918233</v>
      </c>
      <c r="AN11" s="244">
        <f t="shared" ref="AN11:AN17" si="49">R11*$X11*10^-6</f>
        <v>0.11294269953935743</v>
      </c>
      <c r="AO11" s="244">
        <f t="shared" ref="AO11:AO17" si="50">S11*$X11*10^-6</f>
        <v>0.11362035573659357</v>
      </c>
      <c r="AP11" s="244">
        <f t="shared" ref="AP11:AP17" si="51">T11*$X11*10^-6</f>
        <v>0.11430207787101312</v>
      </c>
      <c r="AQ11" s="244">
        <f t="shared" ref="AQ11:AQ17" si="52">U11*$X11*10^-6</f>
        <v>0.11498789033823921</v>
      </c>
      <c r="AR11" s="244">
        <f t="shared" ref="AR11:AR17" si="53">V11*$X11*10^-6</f>
        <v>0.11567781768026865</v>
      </c>
      <c r="AS11" s="244">
        <f t="shared" ref="AS11:AS17" si="54">W11*$X11*10^-6</f>
        <v>0.11637188458635024</v>
      </c>
      <c r="AT11" s="211">
        <f>'EF peternakan'!C15</f>
        <v>1</v>
      </c>
      <c r="AU11" s="288">
        <f t="shared" ref="AU11:AU21" si="55">C11*$AT11*10^-6</f>
        <v>1.124E-3</v>
      </c>
      <c r="AV11" s="288">
        <f t="shared" ref="AV11:AV21" si="56">D11*$AT11*10^-6</f>
        <v>1.567E-3</v>
      </c>
      <c r="AW11" s="288">
        <f t="shared" ref="AW11:AW21" si="57">E11*$AT11*10^-6</f>
        <v>1.6879999999999998E-3</v>
      </c>
      <c r="AX11" s="288">
        <f t="shared" ref="AX11:AX21" si="58">F11*$AT11*10^-6</f>
        <v>2.2129999999999997E-3</v>
      </c>
      <c r="AY11" s="245">
        <f t="shared" ref="AY11:AY21" si="59">G11*$AT11*10^-6</f>
        <v>2.2499999999999998E-3</v>
      </c>
      <c r="AZ11" s="245">
        <f t="shared" ref="AZ11:AZ21" si="60">H11*$AT11*10^-6</f>
        <v>2.2634999999999999E-3</v>
      </c>
      <c r="BA11" s="245">
        <f t="shared" ref="BA11:BA21" si="61">I11*$AT11*10^-6</f>
        <v>2.2770810000000002E-3</v>
      </c>
      <c r="BB11" s="245">
        <f t="shared" ref="BB11:BB21" si="62">J11*$AT11*10^-6</f>
        <v>2.2907434860000003E-3</v>
      </c>
      <c r="BC11" s="245">
        <f t="shared" ref="BC11:BC21" si="63">K11*$AT11*10^-6</f>
        <v>2.3044879469160005E-3</v>
      </c>
      <c r="BD11" s="245">
        <f t="shared" ref="BD11:BD21" si="64">L11*$AT11*10^-6</f>
        <v>2.3183148745974961E-3</v>
      </c>
      <c r="BE11" s="245">
        <f t="shared" ref="BE11:BE21" si="65">M11*$AT11*10^-6</f>
        <v>2.3322247638450813E-3</v>
      </c>
      <c r="BF11" s="245">
        <f t="shared" ref="BF11:BF21" si="66">N11*$AT11*10^-6</f>
        <v>2.346218112428152E-3</v>
      </c>
      <c r="BG11" s="245">
        <f t="shared" ref="BG11:BG21" si="67">O11*$AT11*10^-6</f>
        <v>2.3602954211027209E-3</v>
      </c>
      <c r="BH11" s="245">
        <f t="shared" ref="BH11:BH21" si="68">P11*$AT11*10^-6</f>
        <v>2.3744571936293373E-3</v>
      </c>
      <c r="BI11" s="245">
        <f t="shared" ref="BI11:BI21" si="69">Q11*$AT11*10^-6</f>
        <v>2.3887039367911133E-3</v>
      </c>
      <c r="BJ11" s="245">
        <f t="shared" ref="BJ11:BJ21" si="70">R11*$AT11*10^-6</f>
        <v>2.4030361604118603E-3</v>
      </c>
      <c r="BK11" s="245">
        <f t="shared" ref="BK11:BK21" si="71">S11*$AT11*10^-6</f>
        <v>2.4174543773743313E-3</v>
      </c>
      <c r="BL11" s="245">
        <f t="shared" ref="BL11:BL21" si="72">T11*$AT11*10^-6</f>
        <v>2.4319591036385774E-3</v>
      </c>
      <c r="BM11" s="245">
        <f t="shared" ref="BM11:BM21" si="73">U11*$AT11*10^-6</f>
        <v>2.4465508582604089E-3</v>
      </c>
      <c r="BN11" s="245">
        <f t="shared" ref="BN11:BN21" si="74">V11*$AT11*10^-6</f>
        <v>2.4612301634099713E-3</v>
      </c>
      <c r="BO11" s="246">
        <f t="shared" ref="BO11:BO21" si="75">W11*$AT11*10^-6</f>
        <v>2.4759975443904309E-3</v>
      </c>
      <c r="BP11" s="247">
        <f t="shared" ref="BP11:BP20" si="76">AC11+AY11</f>
        <v>0.108</v>
      </c>
      <c r="BQ11" s="248">
        <f t="shared" ref="BQ11:BQ21" si="77">AD11+AZ11</f>
        <v>0.10864799999999999</v>
      </c>
      <c r="BR11" s="248">
        <f t="shared" ref="BR11:BR21" si="78">AE11+BA11</f>
        <v>0.109299888</v>
      </c>
      <c r="BS11" s="248">
        <f t="shared" ref="BS11:BS21" si="79">AF11+BB11</f>
        <v>0.109955687328</v>
      </c>
      <c r="BT11" s="248">
        <f t="shared" ref="BT11:BT21" si="80">AG11+BC11</f>
        <v>0.11061542145196802</v>
      </c>
      <c r="BU11" s="248">
        <f t="shared" ref="BU11:BU21" si="81">AH11+BD11</f>
        <v>0.11127911398067981</v>
      </c>
      <c r="BV11" s="248">
        <f t="shared" ref="BV11:BV21" si="82">AI11+BE11</f>
        <v>0.11194678866456388</v>
      </c>
      <c r="BW11" s="248">
        <f t="shared" ref="BW11:BW21" si="83">AJ11+BF11</f>
        <v>0.11261846939655128</v>
      </c>
      <c r="BX11" s="248">
        <f t="shared" ref="BX11:BX21" si="84">AK11+BG11</f>
        <v>0.1132941802129306</v>
      </c>
      <c r="BY11" s="248">
        <f t="shared" ref="BY11:BY21" si="85">AL11+BH11</f>
        <v>0.11397394529420818</v>
      </c>
      <c r="BZ11" s="248">
        <f t="shared" ref="BZ11:BZ21" si="86">AM11+BI11</f>
        <v>0.11465778896597344</v>
      </c>
      <c r="CA11" s="248">
        <f t="shared" ref="CA11:CA21" si="87">AN11+BJ11</f>
        <v>0.11534573569976929</v>
      </c>
      <c r="CB11" s="248">
        <f t="shared" ref="CB11:CB21" si="88">AO11+BK11</f>
        <v>0.1160378101139679</v>
      </c>
      <c r="CC11" s="248">
        <f t="shared" ref="CC11:CC21" si="89">AP11+BL11</f>
        <v>0.11673403697465171</v>
      </c>
      <c r="CD11" s="248">
        <f t="shared" ref="CD11:CD21" si="90">AQ11+BM11</f>
        <v>0.11743444119649962</v>
      </c>
      <c r="CE11" s="248">
        <f t="shared" ref="CE11:CE21" si="91">AR11+BN11</f>
        <v>0.11813904784367862</v>
      </c>
      <c r="CF11" s="249">
        <f t="shared" ref="CF11:CF21" si="92">AS11+BO11</f>
        <v>0.11884788213074067</v>
      </c>
    </row>
    <row r="12" spans="2:84" x14ac:dyDescent="0.3">
      <c r="B12" s="272" t="str">
        <f>'EF peternakan'!B6</f>
        <v>Sapi perah</v>
      </c>
      <c r="C12" s="197">
        <v>17655</v>
      </c>
      <c r="D12" s="197">
        <v>17529</v>
      </c>
      <c r="E12" s="197">
        <v>17704</v>
      </c>
      <c r="F12" s="197">
        <v>14845</v>
      </c>
      <c r="G12" s="197">
        <v>12347</v>
      </c>
      <c r="H12" s="197">
        <f>G12</f>
        <v>12347</v>
      </c>
      <c r="I12" s="197">
        <f t="shared" ref="I12:W12" si="93">H12</f>
        <v>12347</v>
      </c>
      <c r="J12" s="197">
        <f t="shared" si="93"/>
        <v>12347</v>
      </c>
      <c r="K12" s="197">
        <f t="shared" si="93"/>
        <v>12347</v>
      </c>
      <c r="L12" s="197">
        <f t="shared" si="93"/>
        <v>12347</v>
      </c>
      <c r="M12" s="197">
        <f t="shared" si="93"/>
        <v>12347</v>
      </c>
      <c r="N12" s="197">
        <f t="shared" si="93"/>
        <v>12347</v>
      </c>
      <c r="O12" s="197">
        <f t="shared" si="93"/>
        <v>12347</v>
      </c>
      <c r="P12" s="197">
        <f t="shared" si="93"/>
        <v>12347</v>
      </c>
      <c r="Q12" s="197">
        <f t="shared" si="93"/>
        <v>12347</v>
      </c>
      <c r="R12" s="197">
        <f t="shared" si="93"/>
        <v>12347</v>
      </c>
      <c r="S12" s="197">
        <f t="shared" si="93"/>
        <v>12347</v>
      </c>
      <c r="T12" s="197">
        <f t="shared" si="93"/>
        <v>12347</v>
      </c>
      <c r="U12" s="197">
        <f t="shared" si="93"/>
        <v>12347</v>
      </c>
      <c r="V12" s="197">
        <f t="shared" si="93"/>
        <v>12347</v>
      </c>
      <c r="W12" s="197">
        <f t="shared" si="93"/>
        <v>12347</v>
      </c>
      <c r="X12" s="77">
        <f>'EF peternakan'!C6</f>
        <v>61</v>
      </c>
      <c r="Y12" s="244">
        <f t="shared" si="35"/>
        <v>1.0769549999999999</v>
      </c>
      <c r="Z12" s="244">
        <f t="shared" si="36"/>
        <v>1.069269</v>
      </c>
      <c r="AA12" s="244">
        <f t="shared" si="37"/>
        <v>1.079944</v>
      </c>
      <c r="AB12" s="244">
        <f t="shared" si="38"/>
        <v>0.90554499999999993</v>
      </c>
      <c r="AC12" s="244">
        <f t="shared" ref="AC12" si="94">G12*$X12*10^-6</f>
        <v>0.75316699999999992</v>
      </c>
      <c r="AD12" s="244">
        <f t="shared" si="39"/>
        <v>0.75316699999999992</v>
      </c>
      <c r="AE12" s="244">
        <f t="shared" si="40"/>
        <v>0.75316699999999992</v>
      </c>
      <c r="AF12" s="244">
        <f t="shared" si="41"/>
        <v>0.75316699999999992</v>
      </c>
      <c r="AG12" s="244">
        <f t="shared" si="42"/>
        <v>0.75316699999999992</v>
      </c>
      <c r="AH12" s="244">
        <f t="shared" si="43"/>
        <v>0.75316699999999992</v>
      </c>
      <c r="AI12" s="244">
        <f t="shared" si="44"/>
        <v>0.75316699999999992</v>
      </c>
      <c r="AJ12" s="244">
        <f t="shared" si="45"/>
        <v>0.75316699999999992</v>
      </c>
      <c r="AK12" s="244">
        <f t="shared" si="46"/>
        <v>0.75316699999999992</v>
      </c>
      <c r="AL12" s="244">
        <f t="shared" si="47"/>
        <v>0.75316699999999992</v>
      </c>
      <c r="AM12" s="244">
        <f t="shared" si="48"/>
        <v>0.75316699999999992</v>
      </c>
      <c r="AN12" s="244">
        <f t="shared" si="49"/>
        <v>0.75316699999999992</v>
      </c>
      <c r="AO12" s="244">
        <f t="shared" si="50"/>
        <v>0.75316699999999992</v>
      </c>
      <c r="AP12" s="244">
        <f t="shared" si="51"/>
        <v>0.75316699999999992</v>
      </c>
      <c r="AQ12" s="244">
        <f t="shared" si="52"/>
        <v>0.75316699999999992</v>
      </c>
      <c r="AR12" s="244">
        <f t="shared" si="53"/>
        <v>0.75316699999999992</v>
      </c>
      <c r="AS12" s="244">
        <f t="shared" si="54"/>
        <v>0.75316699999999992</v>
      </c>
      <c r="AT12" s="211">
        <f>'EF peternakan'!C16</f>
        <v>31</v>
      </c>
      <c r="AU12" s="288">
        <f t="shared" si="55"/>
        <v>0.54730499999999993</v>
      </c>
      <c r="AV12" s="288">
        <f t="shared" si="56"/>
        <v>0.54339899999999997</v>
      </c>
      <c r="AW12" s="288">
        <f t="shared" si="57"/>
        <v>0.54882399999999998</v>
      </c>
      <c r="AX12" s="288">
        <f t="shared" si="58"/>
        <v>0.46019499999999997</v>
      </c>
      <c r="AY12" s="245">
        <f t="shared" si="59"/>
        <v>0.38275699999999996</v>
      </c>
      <c r="AZ12" s="245">
        <f t="shared" si="60"/>
        <v>0.38275699999999996</v>
      </c>
      <c r="BA12" s="245">
        <f t="shared" si="61"/>
        <v>0.38275699999999996</v>
      </c>
      <c r="BB12" s="245">
        <f t="shared" si="62"/>
        <v>0.38275699999999996</v>
      </c>
      <c r="BC12" s="245">
        <f t="shared" si="63"/>
        <v>0.38275699999999996</v>
      </c>
      <c r="BD12" s="245">
        <f t="shared" si="64"/>
        <v>0.38275699999999996</v>
      </c>
      <c r="BE12" s="245">
        <f t="shared" si="65"/>
        <v>0.38275699999999996</v>
      </c>
      <c r="BF12" s="245">
        <f t="shared" si="66"/>
        <v>0.38275699999999996</v>
      </c>
      <c r="BG12" s="245">
        <f t="shared" si="67"/>
        <v>0.38275699999999996</v>
      </c>
      <c r="BH12" s="245">
        <f t="shared" si="68"/>
        <v>0.38275699999999996</v>
      </c>
      <c r="BI12" s="245">
        <f t="shared" si="69"/>
        <v>0.38275699999999996</v>
      </c>
      <c r="BJ12" s="245">
        <f t="shared" si="70"/>
        <v>0.38275699999999996</v>
      </c>
      <c r="BK12" s="245">
        <f t="shared" si="71"/>
        <v>0.38275699999999996</v>
      </c>
      <c r="BL12" s="245">
        <f t="shared" si="72"/>
        <v>0.38275699999999996</v>
      </c>
      <c r="BM12" s="245">
        <f t="shared" si="73"/>
        <v>0.38275699999999996</v>
      </c>
      <c r="BN12" s="245">
        <f t="shared" si="74"/>
        <v>0.38275699999999996</v>
      </c>
      <c r="BO12" s="246">
        <f t="shared" si="75"/>
        <v>0.38275699999999996</v>
      </c>
      <c r="BP12" s="247">
        <f t="shared" si="76"/>
        <v>1.1359239999999999</v>
      </c>
      <c r="BQ12" s="248">
        <f t="shared" si="77"/>
        <v>1.1359239999999999</v>
      </c>
      <c r="BR12" s="248">
        <f t="shared" si="78"/>
        <v>1.1359239999999999</v>
      </c>
      <c r="BS12" s="248">
        <f t="shared" si="79"/>
        <v>1.1359239999999999</v>
      </c>
      <c r="BT12" s="248">
        <f t="shared" si="80"/>
        <v>1.1359239999999999</v>
      </c>
      <c r="BU12" s="248">
        <f t="shared" si="81"/>
        <v>1.1359239999999999</v>
      </c>
      <c r="BV12" s="248">
        <f t="shared" si="82"/>
        <v>1.1359239999999999</v>
      </c>
      <c r="BW12" s="248">
        <f t="shared" si="83"/>
        <v>1.1359239999999999</v>
      </c>
      <c r="BX12" s="248">
        <f t="shared" si="84"/>
        <v>1.1359239999999999</v>
      </c>
      <c r="BY12" s="248">
        <f t="shared" si="85"/>
        <v>1.1359239999999999</v>
      </c>
      <c r="BZ12" s="248">
        <f t="shared" si="86"/>
        <v>1.1359239999999999</v>
      </c>
      <c r="CA12" s="248">
        <f t="shared" si="87"/>
        <v>1.1359239999999999</v>
      </c>
      <c r="CB12" s="248">
        <f t="shared" si="88"/>
        <v>1.1359239999999999</v>
      </c>
      <c r="CC12" s="248">
        <f t="shared" si="89"/>
        <v>1.1359239999999999</v>
      </c>
      <c r="CD12" s="248">
        <f t="shared" si="90"/>
        <v>1.1359239999999999</v>
      </c>
      <c r="CE12" s="248">
        <f t="shared" si="91"/>
        <v>1.1359239999999999</v>
      </c>
      <c r="CF12" s="249">
        <f t="shared" si="92"/>
        <v>1.1359239999999999</v>
      </c>
    </row>
    <row r="13" spans="2:84" x14ac:dyDescent="0.3">
      <c r="B13" s="272" t="str">
        <f>'EF peternakan'!B7</f>
        <v>Kerbau</v>
      </c>
      <c r="C13" s="197">
        <v>3267</v>
      </c>
      <c r="D13" s="197">
        <v>1928</v>
      </c>
      <c r="E13" s="197">
        <v>1818</v>
      </c>
      <c r="F13" s="197">
        <v>1590</v>
      </c>
      <c r="G13" s="197">
        <v>1531</v>
      </c>
      <c r="H13" s="197">
        <f>G13</f>
        <v>1531</v>
      </c>
      <c r="I13" s="197">
        <f t="shared" ref="I13:W13" si="95">H13</f>
        <v>1531</v>
      </c>
      <c r="J13" s="197">
        <f t="shared" si="95"/>
        <v>1531</v>
      </c>
      <c r="K13" s="197">
        <f t="shared" si="95"/>
        <v>1531</v>
      </c>
      <c r="L13" s="197">
        <f t="shared" si="95"/>
        <v>1531</v>
      </c>
      <c r="M13" s="197">
        <f t="shared" si="95"/>
        <v>1531</v>
      </c>
      <c r="N13" s="197">
        <f t="shared" si="95"/>
        <v>1531</v>
      </c>
      <c r="O13" s="197">
        <f t="shared" si="95"/>
        <v>1531</v>
      </c>
      <c r="P13" s="197">
        <f t="shared" si="95"/>
        <v>1531</v>
      </c>
      <c r="Q13" s="197">
        <f t="shared" si="95"/>
        <v>1531</v>
      </c>
      <c r="R13" s="197">
        <f t="shared" si="95"/>
        <v>1531</v>
      </c>
      <c r="S13" s="197">
        <f t="shared" si="95"/>
        <v>1531</v>
      </c>
      <c r="T13" s="197">
        <f t="shared" si="95"/>
        <v>1531</v>
      </c>
      <c r="U13" s="197">
        <f t="shared" si="95"/>
        <v>1531</v>
      </c>
      <c r="V13" s="197">
        <f t="shared" si="95"/>
        <v>1531</v>
      </c>
      <c r="W13" s="197">
        <f t="shared" si="95"/>
        <v>1531</v>
      </c>
      <c r="X13" s="77">
        <f>'EF peternakan'!C7</f>
        <v>55</v>
      </c>
      <c r="Y13" s="244">
        <f t="shared" si="35"/>
        <v>0.17968499999999998</v>
      </c>
      <c r="Z13" s="244">
        <f t="shared" si="36"/>
        <v>0.10604</v>
      </c>
      <c r="AA13" s="244">
        <f t="shared" si="37"/>
        <v>9.9989999999999996E-2</v>
      </c>
      <c r="AB13" s="244">
        <f t="shared" si="38"/>
        <v>8.745E-2</v>
      </c>
      <c r="AC13" s="244">
        <f t="shared" ref="AC13:AC17" si="96">G13*$X13*10^-6</f>
        <v>8.4205000000000002E-2</v>
      </c>
      <c r="AD13" s="244">
        <f t="shared" si="39"/>
        <v>8.4205000000000002E-2</v>
      </c>
      <c r="AE13" s="244">
        <f t="shared" si="40"/>
        <v>8.4205000000000002E-2</v>
      </c>
      <c r="AF13" s="244">
        <f t="shared" si="41"/>
        <v>8.4205000000000002E-2</v>
      </c>
      <c r="AG13" s="244">
        <f t="shared" si="42"/>
        <v>8.4205000000000002E-2</v>
      </c>
      <c r="AH13" s="244">
        <f t="shared" si="43"/>
        <v>8.4205000000000002E-2</v>
      </c>
      <c r="AI13" s="244">
        <f t="shared" si="44"/>
        <v>8.4205000000000002E-2</v>
      </c>
      <c r="AJ13" s="244">
        <f t="shared" si="45"/>
        <v>8.4205000000000002E-2</v>
      </c>
      <c r="AK13" s="244">
        <f t="shared" si="46"/>
        <v>8.4205000000000002E-2</v>
      </c>
      <c r="AL13" s="244">
        <f t="shared" si="47"/>
        <v>8.4205000000000002E-2</v>
      </c>
      <c r="AM13" s="244">
        <f t="shared" si="48"/>
        <v>8.4205000000000002E-2</v>
      </c>
      <c r="AN13" s="244">
        <f t="shared" si="49"/>
        <v>8.4205000000000002E-2</v>
      </c>
      <c r="AO13" s="244">
        <f t="shared" si="50"/>
        <v>8.4205000000000002E-2</v>
      </c>
      <c r="AP13" s="244">
        <f t="shared" si="51"/>
        <v>8.4205000000000002E-2</v>
      </c>
      <c r="AQ13" s="244">
        <f t="shared" si="52"/>
        <v>8.4205000000000002E-2</v>
      </c>
      <c r="AR13" s="244">
        <f t="shared" si="53"/>
        <v>8.4205000000000002E-2</v>
      </c>
      <c r="AS13" s="244">
        <f t="shared" si="54"/>
        <v>8.4205000000000002E-2</v>
      </c>
      <c r="AT13" s="211">
        <f>'EF peternakan'!C17</f>
        <v>2</v>
      </c>
      <c r="AU13" s="288">
        <f t="shared" si="55"/>
        <v>6.5339999999999999E-3</v>
      </c>
      <c r="AV13" s="288">
        <f t="shared" si="56"/>
        <v>3.8559999999999996E-3</v>
      </c>
      <c r="AW13" s="288">
        <f t="shared" si="57"/>
        <v>3.6359999999999999E-3</v>
      </c>
      <c r="AX13" s="288">
        <f t="shared" si="58"/>
        <v>3.1799999999999997E-3</v>
      </c>
      <c r="AY13" s="245">
        <f t="shared" si="59"/>
        <v>3.0620000000000001E-3</v>
      </c>
      <c r="AZ13" s="245">
        <f t="shared" si="60"/>
        <v>3.0620000000000001E-3</v>
      </c>
      <c r="BA13" s="245">
        <f t="shared" si="61"/>
        <v>3.0620000000000001E-3</v>
      </c>
      <c r="BB13" s="245">
        <f t="shared" si="62"/>
        <v>3.0620000000000001E-3</v>
      </c>
      <c r="BC13" s="245">
        <f t="shared" si="63"/>
        <v>3.0620000000000001E-3</v>
      </c>
      <c r="BD13" s="245">
        <f t="shared" si="64"/>
        <v>3.0620000000000001E-3</v>
      </c>
      <c r="BE13" s="245">
        <f t="shared" si="65"/>
        <v>3.0620000000000001E-3</v>
      </c>
      <c r="BF13" s="245">
        <f t="shared" si="66"/>
        <v>3.0620000000000001E-3</v>
      </c>
      <c r="BG13" s="245">
        <f t="shared" si="67"/>
        <v>3.0620000000000001E-3</v>
      </c>
      <c r="BH13" s="245">
        <f t="shared" si="68"/>
        <v>3.0620000000000001E-3</v>
      </c>
      <c r="BI13" s="245">
        <f t="shared" si="69"/>
        <v>3.0620000000000001E-3</v>
      </c>
      <c r="BJ13" s="245">
        <f t="shared" si="70"/>
        <v>3.0620000000000001E-3</v>
      </c>
      <c r="BK13" s="245">
        <f t="shared" si="71"/>
        <v>3.0620000000000001E-3</v>
      </c>
      <c r="BL13" s="245">
        <f t="shared" si="72"/>
        <v>3.0620000000000001E-3</v>
      </c>
      <c r="BM13" s="245">
        <f t="shared" si="73"/>
        <v>3.0620000000000001E-3</v>
      </c>
      <c r="BN13" s="245">
        <f t="shared" si="74"/>
        <v>3.0620000000000001E-3</v>
      </c>
      <c r="BO13" s="246">
        <f t="shared" si="75"/>
        <v>3.0620000000000001E-3</v>
      </c>
      <c r="BP13" s="247">
        <f t="shared" si="76"/>
        <v>8.7266999999999997E-2</v>
      </c>
      <c r="BQ13" s="248">
        <f t="shared" si="77"/>
        <v>8.7266999999999997E-2</v>
      </c>
      <c r="BR13" s="248">
        <f t="shared" si="78"/>
        <v>8.7266999999999997E-2</v>
      </c>
      <c r="BS13" s="248">
        <f t="shared" si="79"/>
        <v>8.7266999999999997E-2</v>
      </c>
      <c r="BT13" s="248">
        <f t="shared" si="80"/>
        <v>8.7266999999999997E-2</v>
      </c>
      <c r="BU13" s="248">
        <f t="shared" si="81"/>
        <v>8.7266999999999997E-2</v>
      </c>
      <c r="BV13" s="248">
        <f t="shared" si="82"/>
        <v>8.7266999999999997E-2</v>
      </c>
      <c r="BW13" s="248">
        <f t="shared" si="83"/>
        <v>8.7266999999999997E-2</v>
      </c>
      <c r="BX13" s="248">
        <f t="shared" si="84"/>
        <v>8.7266999999999997E-2</v>
      </c>
      <c r="BY13" s="248">
        <f t="shared" si="85"/>
        <v>8.7266999999999997E-2</v>
      </c>
      <c r="BZ13" s="248">
        <f t="shared" si="86"/>
        <v>8.7266999999999997E-2</v>
      </c>
      <c r="CA13" s="248">
        <f t="shared" si="87"/>
        <v>8.7266999999999997E-2</v>
      </c>
      <c r="CB13" s="248">
        <f t="shared" si="88"/>
        <v>8.7266999999999997E-2</v>
      </c>
      <c r="CC13" s="248">
        <f t="shared" si="89"/>
        <v>8.7266999999999997E-2</v>
      </c>
      <c r="CD13" s="248">
        <f t="shared" si="90"/>
        <v>8.7266999999999997E-2</v>
      </c>
      <c r="CE13" s="248">
        <f t="shared" si="91"/>
        <v>8.7266999999999997E-2</v>
      </c>
      <c r="CF13" s="249">
        <f t="shared" si="92"/>
        <v>8.7266999999999997E-2</v>
      </c>
    </row>
    <row r="14" spans="2:84" x14ac:dyDescent="0.3">
      <c r="B14" s="272" t="str">
        <f>'EF peternakan'!B8</f>
        <v>Domba</v>
      </c>
      <c r="C14" s="197">
        <v>21269</v>
      </c>
      <c r="D14" s="197">
        <v>21290</v>
      </c>
      <c r="E14" s="197">
        <v>21311</v>
      </c>
      <c r="F14" s="197">
        <v>21332</v>
      </c>
      <c r="G14" s="197">
        <v>21354</v>
      </c>
      <c r="H14" s="197">
        <f t="shared" ref="H14:W18" si="97">G14</f>
        <v>21354</v>
      </c>
      <c r="I14" s="197">
        <f t="shared" si="97"/>
        <v>21354</v>
      </c>
      <c r="J14" s="197">
        <f t="shared" si="97"/>
        <v>21354</v>
      </c>
      <c r="K14" s="197">
        <f t="shared" si="97"/>
        <v>21354</v>
      </c>
      <c r="L14" s="197">
        <f t="shared" si="97"/>
        <v>21354</v>
      </c>
      <c r="M14" s="197">
        <f t="shared" si="97"/>
        <v>21354</v>
      </c>
      <c r="N14" s="197">
        <f t="shared" si="97"/>
        <v>21354</v>
      </c>
      <c r="O14" s="197">
        <f t="shared" si="97"/>
        <v>21354</v>
      </c>
      <c r="P14" s="197">
        <f t="shared" si="97"/>
        <v>21354</v>
      </c>
      <c r="Q14" s="197">
        <f t="shared" si="97"/>
        <v>21354</v>
      </c>
      <c r="R14" s="197">
        <f t="shared" si="97"/>
        <v>21354</v>
      </c>
      <c r="S14" s="197">
        <f t="shared" si="97"/>
        <v>21354</v>
      </c>
      <c r="T14" s="197">
        <f t="shared" si="97"/>
        <v>21354</v>
      </c>
      <c r="U14" s="197">
        <f t="shared" si="97"/>
        <v>21354</v>
      </c>
      <c r="V14" s="197">
        <f t="shared" si="97"/>
        <v>21354</v>
      </c>
      <c r="W14" s="197">
        <f t="shared" si="97"/>
        <v>21354</v>
      </c>
      <c r="X14" s="77">
        <f>'EF peternakan'!C8</f>
        <v>5</v>
      </c>
      <c r="Y14" s="244">
        <f t="shared" si="35"/>
        <v>0.106345</v>
      </c>
      <c r="Z14" s="244">
        <f t="shared" si="36"/>
        <v>0.10644999999999999</v>
      </c>
      <c r="AA14" s="244">
        <f t="shared" si="37"/>
        <v>0.106555</v>
      </c>
      <c r="AB14" s="244">
        <f t="shared" si="38"/>
        <v>0.10665999999999999</v>
      </c>
      <c r="AC14" s="244">
        <f t="shared" si="96"/>
        <v>0.10676999999999999</v>
      </c>
      <c r="AD14" s="244">
        <f t="shared" si="39"/>
        <v>0.10676999999999999</v>
      </c>
      <c r="AE14" s="244">
        <f t="shared" si="40"/>
        <v>0.10676999999999999</v>
      </c>
      <c r="AF14" s="244">
        <f t="shared" si="41"/>
        <v>0.10676999999999999</v>
      </c>
      <c r="AG14" s="244">
        <f t="shared" si="42"/>
        <v>0.10676999999999999</v>
      </c>
      <c r="AH14" s="244">
        <f t="shared" si="43"/>
        <v>0.10676999999999999</v>
      </c>
      <c r="AI14" s="244">
        <f t="shared" si="44"/>
        <v>0.10676999999999999</v>
      </c>
      <c r="AJ14" s="244">
        <f t="shared" si="45"/>
        <v>0.10676999999999999</v>
      </c>
      <c r="AK14" s="244">
        <f t="shared" si="46"/>
        <v>0.10676999999999999</v>
      </c>
      <c r="AL14" s="244">
        <f t="shared" si="47"/>
        <v>0.10676999999999999</v>
      </c>
      <c r="AM14" s="244">
        <f t="shared" si="48"/>
        <v>0.10676999999999999</v>
      </c>
      <c r="AN14" s="244">
        <f t="shared" si="49"/>
        <v>0.10676999999999999</v>
      </c>
      <c r="AO14" s="244">
        <f t="shared" si="50"/>
        <v>0.10676999999999999</v>
      </c>
      <c r="AP14" s="244">
        <f t="shared" si="51"/>
        <v>0.10676999999999999</v>
      </c>
      <c r="AQ14" s="244">
        <f t="shared" si="52"/>
        <v>0.10676999999999999</v>
      </c>
      <c r="AR14" s="244">
        <f t="shared" si="53"/>
        <v>0.10676999999999999</v>
      </c>
      <c r="AS14" s="244">
        <f t="shared" si="54"/>
        <v>0.10676999999999999</v>
      </c>
      <c r="AT14" s="211">
        <f>'EF peternakan'!C18</f>
        <v>0.2</v>
      </c>
      <c r="AU14" s="288">
        <f t="shared" si="55"/>
        <v>4.2538000000000003E-3</v>
      </c>
      <c r="AV14" s="288">
        <f t="shared" si="56"/>
        <v>4.2579999999999996E-3</v>
      </c>
      <c r="AW14" s="288">
        <f t="shared" si="57"/>
        <v>4.2621999999999998E-3</v>
      </c>
      <c r="AX14" s="288">
        <f t="shared" si="58"/>
        <v>4.2664000000000001E-3</v>
      </c>
      <c r="AY14" s="245">
        <f t="shared" si="59"/>
        <v>4.2707999999999999E-3</v>
      </c>
      <c r="AZ14" s="245">
        <f t="shared" si="60"/>
        <v>4.2707999999999999E-3</v>
      </c>
      <c r="BA14" s="245">
        <f t="shared" si="61"/>
        <v>4.2707999999999999E-3</v>
      </c>
      <c r="BB14" s="245">
        <f t="shared" si="62"/>
        <v>4.2707999999999999E-3</v>
      </c>
      <c r="BC14" s="245">
        <f t="shared" si="63"/>
        <v>4.2707999999999999E-3</v>
      </c>
      <c r="BD14" s="245">
        <f t="shared" si="64"/>
        <v>4.2707999999999999E-3</v>
      </c>
      <c r="BE14" s="245">
        <f t="shared" si="65"/>
        <v>4.2707999999999999E-3</v>
      </c>
      <c r="BF14" s="245">
        <f t="shared" si="66"/>
        <v>4.2707999999999999E-3</v>
      </c>
      <c r="BG14" s="245">
        <f t="shared" si="67"/>
        <v>4.2707999999999999E-3</v>
      </c>
      <c r="BH14" s="245">
        <f t="shared" si="68"/>
        <v>4.2707999999999999E-3</v>
      </c>
      <c r="BI14" s="245">
        <f t="shared" si="69"/>
        <v>4.2707999999999999E-3</v>
      </c>
      <c r="BJ14" s="245">
        <f t="shared" si="70"/>
        <v>4.2707999999999999E-3</v>
      </c>
      <c r="BK14" s="245">
        <f t="shared" si="71"/>
        <v>4.2707999999999999E-3</v>
      </c>
      <c r="BL14" s="245">
        <f t="shared" si="72"/>
        <v>4.2707999999999999E-3</v>
      </c>
      <c r="BM14" s="245">
        <f t="shared" si="73"/>
        <v>4.2707999999999999E-3</v>
      </c>
      <c r="BN14" s="245">
        <f t="shared" si="74"/>
        <v>4.2707999999999999E-3</v>
      </c>
      <c r="BO14" s="246">
        <f t="shared" si="75"/>
        <v>4.2707999999999999E-3</v>
      </c>
      <c r="BP14" s="247">
        <f t="shared" si="76"/>
        <v>0.1110408</v>
      </c>
      <c r="BQ14" s="248">
        <f t="shared" si="77"/>
        <v>0.1110408</v>
      </c>
      <c r="BR14" s="248">
        <f t="shared" si="78"/>
        <v>0.1110408</v>
      </c>
      <c r="BS14" s="248">
        <f t="shared" si="79"/>
        <v>0.1110408</v>
      </c>
      <c r="BT14" s="248">
        <f t="shared" si="80"/>
        <v>0.1110408</v>
      </c>
      <c r="BU14" s="248">
        <f t="shared" si="81"/>
        <v>0.1110408</v>
      </c>
      <c r="BV14" s="248">
        <f t="shared" si="82"/>
        <v>0.1110408</v>
      </c>
      <c r="BW14" s="248">
        <f t="shared" si="83"/>
        <v>0.1110408</v>
      </c>
      <c r="BX14" s="248">
        <f t="shared" si="84"/>
        <v>0.1110408</v>
      </c>
      <c r="BY14" s="248">
        <f t="shared" si="85"/>
        <v>0.1110408</v>
      </c>
      <c r="BZ14" s="248">
        <f t="shared" si="86"/>
        <v>0.1110408</v>
      </c>
      <c r="CA14" s="248">
        <f t="shared" si="87"/>
        <v>0.1110408</v>
      </c>
      <c r="CB14" s="248">
        <f t="shared" si="88"/>
        <v>0.1110408</v>
      </c>
      <c r="CC14" s="248">
        <f t="shared" si="89"/>
        <v>0.1110408</v>
      </c>
      <c r="CD14" s="248">
        <f t="shared" si="90"/>
        <v>0.1110408</v>
      </c>
      <c r="CE14" s="248">
        <f t="shared" si="91"/>
        <v>0.1110408</v>
      </c>
      <c r="CF14" s="249">
        <f t="shared" si="92"/>
        <v>0.1110408</v>
      </c>
    </row>
    <row r="15" spans="2:84" x14ac:dyDescent="0.3">
      <c r="B15" s="272" t="str">
        <f>'EF peternakan'!B9</f>
        <v>Kambing</v>
      </c>
      <c r="C15" s="197">
        <v>197715</v>
      </c>
      <c r="D15" s="197">
        <v>198704</v>
      </c>
      <c r="E15" s="197">
        <v>203672</v>
      </c>
      <c r="F15" s="197">
        <v>208763</v>
      </c>
      <c r="G15" s="197">
        <v>213983</v>
      </c>
      <c r="H15" s="197">
        <f t="shared" si="97"/>
        <v>213983</v>
      </c>
      <c r="I15" s="197">
        <f t="shared" si="97"/>
        <v>213983</v>
      </c>
      <c r="J15" s="197">
        <f t="shared" si="97"/>
        <v>213983</v>
      </c>
      <c r="K15" s="197">
        <f t="shared" si="97"/>
        <v>213983</v>
      </c>
      <c r="L15" s="197">
        <f t="shared" si="97"/>
        <v>213983</v>
      </c>
      <c r="M15" s="197">
        <f t="shared" si="97"/>
        <v>213983</v>
      </c>
      <c r="N15" s="197">
        <f t="shared" si="97"/>
        <v>213983</v>
      </c>
      <c r="O15" s="197">
        <f t="shared" si="97"/>
        <v>213983</v>
      </c>
      <c r="P15" s="197">
        <f t="shared" si="97"/>
        <v>213983</v>
      </c>
      <c r="Q15" s="197">
        <f t="shared" si="97"/>
        <v>213983</v>
      </c>
      <c r="R15" s="197">
        <f t="shared" si="97"/>
        <v>213983</v>
      </c>
      <c r="S15" s="197">
        <f t="shared" si="97"/>
        <v>213983</v>
      </c>
      <c r="T15" s="197">
        <f t="shared" si="97"/>
        <v>213983</v>
      </c>
      <c r="U15" s="197">
        <f t="shared" si="97"/>
        <v>213983</v>
      </c>
      <c r="V15" s="197">
        <f t="shared" si="97"/>
        <v>213983</v>
      </c>
      <c r="W15" s="197">
        <f t="shared" si="97"/>
        <v>213983</v>
      </c>
      <c r="X15" s="77">
        <f>'EF peternakan'!C9</f>
        <v>5</v>
      </c>
      <c r="Y15" s="244">
        <f t="shared" si="35"/>
        <v>0.98857499999999998</v>
      </c>
      <c r="Z15" s="244">
        <f t="shared" si="36"/>
        <v>0.99351999999999996</v>
      </c>
      <c r="AA15" s="244">
        <f t="shared" si="37"/>
        <v>1.0183599999999999</v>
      </c>
      <c r="AB15" s="244">
        <f t="shared" si="38"/>
        <v>1.0438149999999999</v>
      </c>
      <c r="AC15" s="244">
        <f t="shared" si="96"/>
        <v>1.0699149999999999</v>
      </c>
      <c r="AD15" s="244">
        <f t="shared" si="39"/>
        <v>1.0699149999999999</v>
      </c>
      <c r="AE15" s="244">
        <f t="shared" si="40"/>
        <v>1.0699149999999999</v>
      </c>
      <c r="AF15" s="244">
        <f t="shared" si="41"/>
        <v>1.0699149999999999</v>
      </c>
      <c r="AG15" s="244">
        <f t="shared" si="42"/>
        <v>1.0699149999999999</v>
      </c>
      <c r="AH15" s="244">
        <f t="shared" si="43"/>
        <v>1.0699149999999999</v>
      </c>
      <c r="AI15" s="244">
        <f t="shared" si="44"/>
        <v>1.0699149999999999</v>
      </c>
      <c r="AJ15" s="244">
        <f t="shared" si="45"/>
        <v>1.0699149999999999</v>
      </c>
      <c r="AK15" s="244">
        <f t="shared" si="46"/>
        <v>1.0699149999999999</v>
      </c>
      <c r="AL15" s="244">
        <f t="shared" si="47"/>
        <v>1.0699149999999999</v>
      </c>
      <c r="AM15" s="244">
        <f t="shared" si="48"/>
        <v>1.0699149999999999</v>
      </c>
      <c r="AN15" s="244">
        <f t="shared" si="49"/>
        <v>1.0699149999999999</v>
      </c>
      <c r="AO15" s="244">
        <f t="shared" si="50"/>
        <v>1.0699149999999999</v>
      </c>
      <c r="AP15" s="244">
        <f t="shared" si="51"/>
        <v>1.0699149999999999</v>
      </c>
      <c r="AQ15" s="244">
        <f t="shared" si="52"/>
        <v>1.0699149999999999</v>
      </c>
      <c r="AR15" s="244">
        <f t="shared" si="53"/>
        <v>1.0699149999999999</v>
      </c>
      <c r="AS15" s="244">
        <f t="shared" si="54"/>
        <v>1.0699149999999999</v>
      </c>
      <c r="AT15" s="211">
        <f>'EF peternakan'!C19</f>
        <v>0.22</v>
      </c>
      <c r="AU15" s="288">
        <f t="shared" si="55"/>
        <v>4.3497300000000003E-2</v>
      </c>
      <c r="AV15" s="288">
        <f t="shared" si="56"/>
        <v>4.3714879999999998E-2</v>
      </c>
      <c r="AW15" s="288">
        <f t="shared" si="57"/>
        <v>4.4807840000000002E-2</v>
      </c>
      <c r="AX15" s="288">
        <f t="shared" si="58"/>
        <v>4.5927860000000001E-2</v>
      </c>
      <c r="AY15" s="245">
        <f t="shared" si="59"/>
        <v>4.7076260000000002E-2</v>
      </c>
      <c r="AZ15" s="245">
        <f t="shared" si="60"/>
        <v>4.7076260000000002E-2</v>
      </c>
      <c r="BA15" s="245">
        <f t="shared" si="61"/>
        <v>4.7076260000000002E-2</v>
      </c>
      <c r="BB15" s="245">
        <f t="shared" si="62"/>
        <v>4.7076260000000002E-2</v>
      </c>
      <c r="BC15" s="245">
        <f t="shared" si="63"/>
        <v>4.7076260000000002E-2</v>
      </c>
      <c r="BD15" s="245">
        <f t="shared" si="64"/>
        <v>4.7076260000000002E-2</v>
      </c>
      <c r="BE15" s="245">
        <f t="shared" si="65"/>
        <v>4.7076260000000002E-2</v>
      </c>
      <c r="BF15" s="245">
        <f t="shared" si="66"/>
        <v>4.7076260000000002E-2</v>
      </c>
      <c r="BG15" s="245">
        <f t="shared" si="67"/>
        <v>4.7076260000000002E-2</v>
      </c>
      <c r="BH15" s="245">
        <f t="shared" si="68"/>
        <v>4.7076260000000002E-2</v>
      </c>
      <c r="BI15" s="245">
        <f t="shared" si="69"/>
        <v>4.7076260000000002E-2</v>
      </c>
      <c r="BJ15" s="245">
        <f t="shared" si="70"/>
        <v>4.7076260000000002E-2</v>
      </c>
      <c r="BK15" s="245">
        <f t="shared" si="71"/>
        <v>4.7076260000000002E-2</v>
      </c>
      <c r="BL15" s="245">
        <f t="shared" si="72"/>
        <v>4.7076260000000002E-2</v>
      </c>
      <c r="BM15" s="245">
        <f t="shared" si="73"/>
        <v>4.7076260000000002E-2</v>
      </c>
      <c r="BN15" s="245">
        <f t="shared" si="74"/>
        <v>4.7076260000000002E-2</v>
      </c>
      <c r="BO15" s="246">
        <f t="shared" si="75"/>
        <v>4.7076260000000002E-2</v>
      </c>
      <c r="BP15" s="247">
        <f t="shared" si="76"/>
        <v>1.11699126</v>
      </c>
      <c r="BQ15" s="248">
        <f t="shared" si="77"/>
        <v>1.11699126</v>
      </c>
      <c r="BR15" s="248">
        <f t="shared" si="78"/>
        <v>1.11699126</v>
      </c>
      <c r="BS15" s="248">
        <f t="shared" si="79"/>
        <v>1.11699126</v>
      </c>
      <c r="BT15" s="248">
        <f t="shared" si="80"/>
        <v>1.11699126</v>
      </c>
      <c r="BU15" s="248">
        <f t="shared" si="81"/>
        <v>1.11699126</v>
      </c>
      <c r="BV15" s="248">
        <f t="shared" si="82"/>
        <v>1.11699126</v>
      </c>
      <c r="BW15" s="248">
        <f t="shared" si="83"/>
        <v>1.11699126</v>
      </c>
      <c r="BX15" s="248">
        <f t="shared" si="84"/>
        <v>1.11699126</v>
      </c>
      <c r="BY15" s="248">
        <f t="shared" si="85"/>
        <v>1.11699126</v>
      </c>
      <c r="BZ15" s="248">
        <f t="shared" si="86"/>
        <v>1.11699126</v>
      </c>
      <c r="CA15" s="248">
        <f t="shared" si="87"/>
        <v>1.11699126</v>
      </c>
      <c r="CB15" s="248">
        <f t="shared" si="88"/>
        <v>1.11699126</v>
      </c>
      <c r="CC15" s="248">
        <f t="shared" si="89"/>
        <v>1.11699126</v>
      </c>
      <c r="CD15" s="248">
        <f t="shared" si="90"/>
        <v>1.11699126</v>
      </c>
      <c r="CE15" s="248">
        <f t="shared" si="91"/>
        <v>1.11699126</v>
      </c>
      <c r="CF15" s="249">
        <f t="shared" si="92"/>
        <v>1.11699126</v>
      </c>
    </row>
    <row r="16" spans="2:84" x14ac:dyDescent="0.3">
      <c r="B16" s="272" t="str">
        <f>'EF peternakan'!B10</f>
        <v>Babi</v>
      </c>
      <c r="C16" s="197">
        <v>8132</v>
      </c>
      <c r="D16" s="197">
        <v>7576</v>
      </c>
      <c r="E16" s="197">
        <v>7727</v>
      </c>
      <c r="F16" s="197">
        <v>7881</v>
      </c>
      <c r="G16" s="197">
        <v>8038</v>
      </c>
      <c r="H16" s="197">
        <f t="shared" si="97"/>
        <v>8038</v>
      </c>
      <c r="I16" s="197">
        <f t="shared" si="97"/>
        <v>8038</v>
      </c>
      <c r="J16" s="197">
        <f t="shared" si="97"/>
        <v>8038</v>
      </c>
      <c r="K16" s="197">
        <f t="shared" si="97"/>
        <v>8038</v>
      </c>
      <c r="L16" s="197">
        <f t="shared" si="97"/>
        <v>8038</v>
      </c>
      <c r="M16" s="197">
        <f t="shared" si="97"/>
        <v>8038</v>
      </c>
      <c r="N16" s="197">
        <f t="shared" si="97"/>
        <v>8038</v>
      </c>
      <c r="O16" s="197">
        <f t="shared" si="97"/>
        <v>8038</v>
      </c>
      <c r="P16" s="197">
        <f t="shared" si="97"/>
        <v>8038</v>
      </c>
      <c r="Q16" s="197">
        <f t="shared" si="97"/>
        <v>8038</v>
      </c>
      <c r="R16" s="197">
        <f t="shared" si="97"/>
        <v>8038</v>
      </c>
      <c r="S16" s="197">
        <f t="shared" si="97"/>
        <v>8038</v>
      </c>
      <c r="T16" s="197">
        <f t="shared" si="97"/>
        <v>8038</v>
      </c>
      <c r="U16" s="197">
        <f t="shared" si="97"/>
        <v>8038</v>
      </c>
      <c r="V16" s="197">
        <f t="shared" si="97"/>
        <v>8038</v>
      </c>
      <c r="W16" s="197">
        <f t="shared" si="97"/>
        <v>8038</v>
      </c>
      <c r="X16" s="77">
        <f>'EF peternakan'!C10</f>
        <v>1</v>
      </c>
      <c r="Y16" s="244">
        <f t="shared" si="35"/>
        <v>8.1320000000000003E-3</v>
      </c>
      <c r="Z16" s="244">
        <f t="shared" si="36"/>
        <v>7.5759999999999994E-3</v>
      </c>
      <c r="AA16" s="244">
        <f t="shared" si="37"/>
        <v>7.7269999999999995E-3</v>
      </c>
      <c r="AB16" s="244">
        <f t="shared" si="38"/>
        <v>7.8809999999999991E-3</v>
      </c>
      <c r="AC16" s="244">
        <f t="shared" si="96"/>
        <v>8.038E-3</v>
      </c>
      <c r="AD16" s="244">
        <f t="shared" si="39"/>
        <v>8.038E-3</v>
      </c>
      <c r="AE16" s="244">
        <f t="shared" si="40"/>
        <v>8.038E-3</v>
      </c>
      <c r="AF16" s="244">
        <f t="shared" si="41"/>
        <v>8.038E-3</v>
      </c>
      <c r="AG16" s="244">
        <f t="shared" si="42"/>
        <v>8.038E-3</v>
      </c>
      <c r="AH16" s="244">
        <f t="shared" si="43"/>
        <v>8.038E-3</v>
      </c>
      <c r="AI16" s="244">
        <f t="shared" si="44"/>
        <v>8.038E-3</v>
      </c>
      <c r="AJ16" s="244">
        <f t="shared" si="45"/>
        <v>8.038E-3</v>
      </c>
      <c r="AK16" s="244">
        <f t="shared" si="46"/>
        <v>8.038E-3</v>
      </c>
      <c r="AL16" s="244">
        <f t="shared" si="47"/>
        <v>8.038E-3</v>
      </c>
      <c r="AM16" s="244">
        <f t="shared" si="48"/>
        <v>8.038E-3</v>
      </c>
      <c r="AN16" s="244">
        <f t="shared" si="49"/>
        <v>8.038E-3</v>
      </c>
      <c r="AO16" s="244">
        <f t="shared" si="50"/>
        <v>8.038E-3</v>
      </c>
      <c r="AP16" s="244">
        <f t="shared" si="51"/>
        <v>8.038E-3</v>
      </c>
      <c r="AQ16" s="244">
        <f t="shared" si="52"/>
        <v>8.038E-3</v>
      </c>
      <c r="AR16" s="244">
        <f t="shared" si="53"/>
        <v>8.038E-3</v>
      </c>
      <c r="AS16" s="244">
        <f t="shared" si="54"/>
        <v>8.038E-3</v>
      </c>
      <c r="AT16" s="211">
        <f>'EF peternakan'!C20</f>
        <v>7</v>
      </c>
      <c r="AU16" s="288">
        <f t="shared" si="55"/>
        <v>5.6923999999999995E-2</v>
      </c>
      <c r="AV16" s="288">
        <f t="shared" si="56"/>
        <v>5.3031999999999996E-2</v>
      </c>
      <c r="AW16" s="288">
        <f t="shared" si="57"/>
        <v>5.4088999999999998E-2</v>
      </c>
      <c r="AX16" s="288">
        <f t="shared" si="58"/>
        <v>5.5167000000000001E-2</v>
      </c>
      <c r="AY16" s="245">
        <f t="shared" si="59"/>
        <v>5.6265999999999997E-2</v>
      </c>
      <c r="AZ16" s="245">
        <f t="shared" si="60"/>
        <v>5.6265999999999997E-2</v>
      </c>
      <c r="BA16" s="245">
        <f t="shared" si="61"/>
        <v>5.6265999999999997E-2</v>
      </c>
      <c r="BB16" s="245">
        <f t="shared" si="62"/>
        <v>5.6265999999999997E-2</v>
      </c>
      <c r="BC16" s="245">
        <f t="shared" si="63"/>
        <v>5.6265999999999997E-2</v>
      </c>
      <c r="BD16" s="245">
        <f t="shared" si="64"/>
        <v>5.6265999999999997E-2</v>
      </c>
      <c r="BE16" s="245">
        <f t="shared" si="65"/>
        <v>5.6265999999999997E-2</v>
      </c>
      <c r="BF16" s="245">
        <f t="shared" si="66"/>
        <v>5.6265999999999997E-2</v>
      </c>
      <c r="BG16" s="245">
        <f t="shared" si="67"/>
        <v>5.6265999999999997E-2</v>
      </c>
      <c r="BH16" s="245">
        <f t="shared" si="68"/>
        <v>5.6265999999999997E-2</v>
      </c>
      <c r="BI16" s="245">
        <f t="shared" si="69"/>
        <v>5.6265999999999997E-2</v>
      </c>
      <c r="BJ16" s="245">
        <f t="shared" si="70"/>
        <v>5.6265999999999997E-2</v>
      </c>
      <c r="BK16" s="245">
        <f t="shared" si="71"/>
        <v>5.6265999999999997E-2</v>
      </c>
      <c r="BL16" s="245">
        <f t="shared" si="72"/>
        <v>5.6265999999999997E-2</v>
      </c>
      <c r="BM16" s="245">
        <f t="shared" si="73"/>
        <v>5.6265999999999997E-2</v>
      </c>
      <c r="BN16" s="245">
        <f t="shared" si="74"/>
        <v>5.6265999999999997E-2</v>
      </c>
      <c r="BO16" s="246">
        <f t="shared" si="75"/>
        <v>5.6265999999999997E-2</v>
      </c>
      <c r="BP16" s="247">
        <f t="shared" si="76"/>
        <v>6.4304E-2</v>
      </c>
      <c r="BQ16" s="248">
        <f t="shared" si="77"/>
        <v>6.4304E-2</v>
      </c>
      <c r="BR16" s="248">
        <f t="shared" si="78"/>
        <v>6.4304E-2</v>
      </c>
      <c r="BS16" s="248">
        <f t="shared" si="79"/>
        <v>6.4304E-2</v>
      </c>
      <c r="BT16" s="248">
        <f t="shared" si="80"/>
        <v>6.4304E-2</v>
      </c>
      <c r="BU16" s="248">
        <f t="shared" si="81"/>
        <v>6.4304E-2</v>
      </c>
      <c r="BV16" s="248">
        <f t="shared" si="82"/>
        <v>6.4304E-2</v>
      </c>
      <c r="BW16" s="248">
        <f t="shared" si="83"/>
        <v>6.4304E-2</v>
      </c>
      <c r="BX16" s="248">
        <f t="shared" si="84"/>
        <v>6.4304E-2</v>
      </c>
      <c r="BY16" s="248">
        <f t="shared" si="85"/>
        <v>6.4304E-2</v>
      </c>
      <c r="BZ16" s="248">
        <f t="shared" si="86"/>
        <v>6.4304E-2</v>
      </c>
      <c r="CA16" s="248">
        <f t="shared" si="87"/>
        <v>6.4304E-2</v>
      </c>
      <c r="CB16" s="248">
        <f t="shared" si="88"/>
        <v>6.4304E-2</v>
      </c>
      <c r="CC16" s="248">
        <f t="shared" si="89"/>
        <v>6.4304E-2</v>
      </c>
      <c r="CD16" s="248">
        <f t="shared" si="90"/>
        <v>6.4304E-2</v>
      </c>
      <c r="CE16" s="248">
        <f t="shared" si="91"/>
        <v>6.4304E-2</v>
      </c>
      <c r="CF16" s="249">
        <f t="shared" si="92"/>
        <v>6.4304E-2</v>
      </c>
    </row>
    <row r="17" spans="2:84" x14ac:dyDescent="0.3">
      <c r="B17" s="272" t="str">
        <f>'EF peternakan'!B11</f>
        <v>Kuda</v>
      </c>
      <c r="C17" s="197">
        <v>159</v>
      </c>
      <c r="D17" s="197">
        <v>166</v>
      </c>
      <c r="E17" s="197">
        <v>166</v>
      </c>
      <c r="F17" s="197">
        <v>166</v>
      </c>
      <c r="G17" s="197">
        <v>166</v>
      </c>
      <c r="H17" s="197">
        <f t="shared" si="97"/>
        <v>166</v>
      </c>
      <c r="I17" s="197">
        <f t="shared" si="97"/>
        <v>166</v>
      </c>
      <c r="J17" s="197">
        <f t="shared" si="97"/>
        <v>166</v>
      </c>
      <c r="K17" s="197">
        <f t="shared" si="97"/>
        <v>166</v>
      </c>
      <c r="L17" s="197">
        <f t="shared" si="97"/>
        <v>166</v>
      </c>
      <c r="M17" s="197">
        <f t="shared" si="97"/>
        <v>166</v>
      </c>
      <c r="N17" s="197">
        <f t="shared" si="97"/>
        <v>166</v>
      </c>
      <c r="O17" s="197">
        <f t="shared" si="97"/>
        <v>166</v>
      </c>
      <c r="P17" s="197">
        <f t="shared" si="97"/>
        <v>166</v>
      </c>
      <c r="Q17" s="197">
        <f t="shared" si="97"/>
        <v>166</v>
      </c>
      <c r="R17" s="197">
        <f t="shared" si="97"/>
        <v>166</v>
      </c>
      <c r="S17" s="197">
        <f t="shared" si="97"/>
        <v>166</v>
      </c>
      <c r="T17" s="197">
        <f t="shared" si="97"/>
        <v>166</v>
      </c>
      <c r="U17" s="197">
        <f t="shared" si="97"/>
        <v>166</v>
      </c>
      <c r="V17" s="197">
        <f t="shared" si="97"/>
        <v>166</v>
      </c>
      <c r="W17" s="197">
        <f t="shared" si="97"/>
        <v>166</v>
      </c>
      <c r="X17" s="77">
        <f>'EF peternakan'!C11</f>
        <v>18</v>
      </c>
      <c r="Y17" s="244">
        <f t="shared" si="35"/>
        <v>2.862E-3</v>
      </c>
      <c r="Z17" s="244">
        <f t="shared" si="36"/>
        <v>2.9879999999999998E-3</v>
      </c>
      <c r="AA17" s="244">
        <f t="shared" si="37"/>
        <v>2.9879999999999998E-3</v>
      </c>
      <c r="AB17" s="244">
        <f t="shared" si="38"/>
        <v>2.9879999999999998E-3</v>
      </c>
      <c r="AC17" s="244">
        <f t="shared" si="96"/>
        <v>2.9879999999999998E-3</v>
      </c>
      <c r="AD17" s="244">
        <f t="shared" si="39"/>
        <v>2.9879999999999998E-3</v>
      </c>
      <c r="AE17" s="244">
        <f t="shared" si="40"/>
        <v>2.9879999999999998E-3</v>
      </c>
      <c r="AF17" s="244">
        <f t="shared" si="41"/>
        <v>2.9879999999999998E-3</v>
      </c>
      <c r="AG17" s="244">
        <f t="shared" si="42"/>
        <v>2.9879999999999998E-3</v>
      </c>
      <c r="AH17" s="244">
        <f t="shared" si="43"/>
        <v>2.9879999999999998E-3</v>
      </c>
      <c r="AI17" s="244">
        <f t="shared" si="44"/>
        <v>2.9879999999999998E-3</v>
      </c>
      <c r="AJ17" s="244">
        <f t="shared" si="45"/>
        <v>2.9879999999999998E-3</v>
      </c>
      <c r="AK17" s="244">
        <f t="shared" si="46"/>
        <v>2.9879999999999998E-3</v>
      </c>
      <c r="AL17" s="244">
        <f t="shared" si="47"/>
        <v>2.9879999999999998E-3</v>
      </c>
      <c r="AM17" s="244">
        <f t="shared" si="48"/>
        <v>2.9879999999999998E-3</v>
      </c>
      <c r="AN17" s="244">
        <f t="shared" si="49"/>
        <v>2.9879999999999998E-3</v>
      </c>
      <c r="AO17" s="244">
        <f t="shared" si="50"/>
        <v>2.9879999999999998E-3</v>
      </c>
      <c r="AP17" s="244">
        <f t="shared" si="51"/>
        <v>2.9879999999999998E-3</v>
      </c>
      <c r="AQ17" s="244">
        <f t="shared" si="52"/>
        <v>2.9879999999999998E-3</v>
      </c>
      <c r="AR17" s="244">
        <f t="shared" si="53"/>
        <v>2.9879999999999998E-3</v>
      </c>
      <c r="AS17" s="244">
        <f t="shared" si="54"/>
        <v>2.9879999999999998E-3</v>
      </c>
      <c r="AT17" s="211">
        <f>'EF peternakan'!C21</f>
        <v>2.19</v>
      </c>
      <c r="AU17" s="288">
        <f t="shared" si="55"/>
        <v>3.4820999999999995E-4</v>
      </c>
      <c r="AV17" s="288">
        <f t="shared" si="56"/>
        <v>3.6353999999999992E-4</v>
      </c>
      <c r="AW17" s="288">
        <f t="shared" si="57"/>
        <v>3.6353999999999992E-4</v>
      </c>
      <c r="AX17" s="288">
        <f t="shared" si="58"/>
        <v>3.6353999999999992E-4</v>
      </c>
      <c r="AY17" s="245">
        <f t="shared" si="59"/>
        <v>3.6353999999999992E-4</v>
      </c>
      <c r="AZ17" s="245">
        <f t="shared" si="60"/>
        <v>3.6353999999999992E-4</v>
      </c>
      <c r="BA17" s="245">
        <f t="shared" si="61"/>
        <v>3.6353999999999992E-4</v>
      </c>
      <c r="BB17" s="245">
        <f t="shared" si="62"/>
        <v>3.6353999999999992E-4</v>
      </c>
      <c r="BC17" s="245">
        <f t="shared" si="63"/>
        <v>3.6353999999999992E-4</v>
      </c>
      <c r="BD17" s="245">
        <f t="shared" si="64"/>
        <v>3.6353999999999992E-4</v>
      </c>
      <c r="BE17" s="245">
        <f t="shared" si="65"/>
        <v>3.6353999999999992E-4</v>
      </c>
      <c r="BF17" s="245">
        <f t="shared" si="66"/>
        <v>3.6353999999999992E-4</v>
      </c>
      <c r="BG17" s="245">
        <f t="shared" si="67"/>
        <v>3.6353999999999992E-4</v>
      </c>
      <c r="BH17" s="245">
        <f t="shared" si="68"/>
        <v>3.6353999999999992E-4</v>
      </c>
      <c r="BI17" s="245">
        <f t="shared" si="69"/>
        <v>3.6353999999999992E-4</v>
      </c>
      <c r="BJ17" s="245">
        <f t="shared" si="70"/>
        <v>3.6353999999999992E-4</v>
      </c>
      <c r="BK17" s="245">
        <f t="shared" si="71"/>
        <v>3.6353999999999992E-4</v>
      </c>
      <c r="BL17" s="245">
        <f t="shared" si="72"/>
        <v>3.6353999999999992E-4</v>
      </c>
      <c r="BM17" s="245">
        <f t="shared" si="73"/>
        <v>3.6353999999999992E-4</v>
      </c>
      <c r="BN17" s="245">
        <f t="shared" si="74"/>
        <v>3.6353999999999992E-4</v>
      </c>
      <c r="BO17" s="246">
        <f t="shared" si="75"/>
        <v>3.6353999999999992E-4</v>
      </c>
      <c r="BP17" s="247">
        <f t="shared" si="76"/>
        <v>3.3515399999999996E-3</v>
      </c>
      <c r="BQ17" s="248">
        <f t="shared" si="77"/>
        <v>3.3515399999999996E-3</v>
      </c>
      <c r="BR17" s="248">
        <f t="shared" si="78"/>
        <v>3.3515399999999996E-3</v>
      </c>
      <c r="BS17" s="248">
        <f t="shared" si="79"/>
        <v>3.3515399999999996E-3</v>
      </c>
      <c r="BT17" s="248">
        <f t="shared" si="80"/>
        <v>3.3515399999999996E-3</v>
      </c>
      <c r="BU17" s="248">
        <f t="shared" si="81"/>
        <v>3.3515399999999996E-3</v>
      </c>
      <c r="BV17" s="248">
        <f t="shared" si="82"/>
        <v>3.3515399999999996E-3</v>
      </c>
      <c r="BW17" s="248">
        <f t="shared" si="83"/>
        <v>3.3515399999999996E-3</v>
      </c>
      <c r="BX17" s="248">
        <f t="shared" si="84"/>
        <v>3.3515399999999996E-3</v>
      </c>
      <c r="BY17" s="248">
        <f t="shared" si="85"/>
        <v>3.3515399999999996E-3</v>
      </c>
      <c r="BZ17" s="248">
        <f t="shared" si="86"/>
        <v>3.3515399999999996E-3</v>
      </c>
      <c r="CA17" s="248">
        <f t="shared" si="87"/>
        <v>3.3515399999999996E-3</v>
      </c>
      <c r="CB17" s="248">
        <f t="shared" si="88"/>
        <v>3.3515399999999996E-3</v>
      </c>
      <c r="CC17" s="248">
        <f t="shared" si="89"/>
        <v>3.3515399999999996E-3</v>
      </c>
      <c r="CD17" s="248">
        <f t="shared" si="90"/>
        <v>3.3515399999999996E-3</v>
      </c>
      <c r="CE17" s="248">
        <f t="shared" si="91"/>
        <v>3.3515399999999996E-3</v>
      </c>
      <c r="CF17" s="249">
        <f t="shared" si="92"/>
        <v>3.3515399999999996E-3</v>
      </c>
    </row>
    <row r="18" spans="2:84" x14ac:dyDescent="0.3">
      <c r="B18" s="322" t="str">
        <f>'EF peternakan'!B22</f>
        <v>Ayam buras</v>
      </c>
      <c r="C18" s="197">
        <v>1110743</v>
      </c>
      <c r="D18" s="197">
        <v>1144065</v>
      </c>
      <c r="E18" s="197">
        <v>1178387</v>
      </c>
      <c r="F18" s="197">
        <v>1213740</v>
      </c>
      <c r="G18" s="197">
        <v>1250152</v>
      </c>
      <c r="H18" s="197">
        <f>G18*1.006</f>
        <v>1257652.912</v>
      </c>
      <c r="I18" s="197">
        <f t="shared" ref="I18:M18" si="98">H18*1.006</f>
        <v>1265198.829472</v>
      </c>
      <c r="J18" s="197">
        <f t="shared" si="98"/>
        <v>1272790.0224488319</v>
      </c>
      <c r="K18" s="197">
        <f t="shared" si="98"/>
        <v>1280426.7625835249</v>
      </c>
      <c r="L18" s="197">
        <f t="shared" si="98"/>
        <v>1288109.323159026</v>
      </c>
      <c r="M18" s="197">
        <f t="shared" si="98"/>
        <v>1295837.9790979801</v>
      </c>
      <c r="N18" s="197">
        <f t="shared" si="97"/>
        <v>1295837.9790979801</v>
      </c>
      <c r="O18" s="197">
        <f t="shared" si="97"/>
        <v>1295837.9790979801</v>
      </c>
      <c r="P18" s="197">
        <f t="shared" si="97"/>
        <v>1295837.9790979801</v>
      </c>
      <c r="Q18" s="197">
        <f t="shared" si="97"/>
        <v>1295837.9790979801</v>
      </c>
      <c r="R18" s="197">
        <f t="shared" si="97"/>
        <v>1295837.9790979801</v>
      </c>
      <c r="S18" s="197">
        <f t="shared" si="97"/>
        <v>1295837.9790979801</v>
      </c>
      <c r="T18" s="197">
        <f t="shared" si="97"/>
        <v>1295837.9790979801</v>
      </c>
      <c r="U18" s="197">
        <f t="shared" si="97"/>
        <v>1295837.9790979801</v>
      </c>
      <c r="V18" s="197">
        <f t="shared" si="97"/>
        <v>1295837.9790979801</v>
      </c>
      <c r="W18" s="197">
        <f t="shared" si="97"/>
        <v>1295837.9790979801</v>
      </c>
      <c r="X18" s="8"/>
      <c r="Y18" s="8"/>
      <c r="Z18" s="8"/>
      <c r="AA18" s="8"/>
      <c r="AB18" s="8"/>
      <c r="AC18" s="8"/>
      <c r="AD18" s="8"/>
      <c r="AE18" s="8"/>
      <c r="AF18" s="8"/>
      <c r="AG18" s="8"/>
      <c r="AH18" s="8"/>
      <c r="AI18" s="8"/>
      <c r="AJ18" s="8"/>
      <c r="AK18" s="8"/>
      <c r="AL18" s="8"/>
      <c r="AM18" s="8"/>
      <c r="AN18" s="8"/>
      <c r="AO18" s="8"/>
      <c r="AP18" s="8"/>
      <c r="AQ18" s="8"/>
      <c r="AR18" s="8"/>
      <c r="AS18" s="8"/>
      <c r="AT18" s="211">
        <f>'EF peternakan'!C22</f>
        <v>0.02</v>
      </c>
      <c r="AU18" s="288">
        <f t="shared" si="55"/>
        <v>2.2214859999999999E-2</v>
      </c>
      <c r="AV18" s="288">
        <f t="shared" si="56"/>
        <v>2.2881299999999997E-2</v>
      </c>
      <c r="AW18" s="288">
        <f t="shared" si="57"/>
        <v>2.356774E-2</v>
      </c>
      <c r="AX18" s="288">
        <f t="shared" si="58"/>
        <v>2.4274799999999999E-2</v>
      </c>
      <c r="AY18" s="245">
        <f t="shared" si="59"/>
        <v>2.5003040000000001E-2</v>
      </c>
      <c r="AZ18" s="245">
        <f t="shared" si="60"/>
        <v>2.5153058240000001E-2</v>
      </c>
      <c r="BA18" s="245">
        <f t="shared" si="61"/>
        <v>2.5303976589439999E-2</v>
      </c>
      <c r="BB18" s="245">
        <f t="shared" si="62"/>
        <v>2.5455800448976638E-2</v>
      </c>
      <c r="BC18" s="245">
        <f t="shared" si="63"/>
        <v>2.5608535251670499E-2</v>
      </c>
      <c r="BD18" s="245">
        <f t="shared" si="64"/>
        <v>2.5762186463180521E-2</v>
      </c>
      <c r="BE18" s="245">
        <f t="shared" si="65"/>
        <v>2.5916759581959603E-2</v>
      </c>
      <c r="BF18" s="245">
        <f t="shared" si="66"/>
        <v>2.5916759581959603E-2</v>
      </c>
      <c r="BG18" s="245">
        <f t="shared" si="67"/>
        <v>2.5916759581959603E-2</v>
      </c>
      <c r="BH18" s="245">
        <f t="shared" si="68"/>
        <v>2.5916759581959603E-2</v>
      </c>
      <c r="BI18" s="245">
        <f t="shared" si="69"/>
        <v>2.5916759581959603E-2</v>
      </c>
      <c r="BJ18" s="245">
        <f t="shared" si="70"/>
        <v>2.5916759581959603E-2</v>
      </c>
      <c r="BK18" s="245">
        <f t="shared" si="71"/>
        <v>2.5916759581959603E-2</v>
      </c>
      <c r="BL18" s="245">
        <f t="shared" si="72"/>
        <v>2.5916759581959603E-2</v>
      </c>
      <c r="BM18" s="245">
        <f t="shared" si="73"/>
        <v>2.5916759581959603E-2</v>
      </c>
      <c r="BN18" s="245">
        <f t="shared" si="74"/>
        <v>2.5916759581959603E-2</v>
      </c>
      <c r="BO18" s="246">
        <f t="shared" si="75"/>
        <v>2.5916759581959603E-2</v>
      </c>
      <c r="BP18" s="247">
        <f t="shared" si="76"/>
        <v>2.5003040000000001E-2</v>
      </c>
      <c r="BQ18" s="248">
        <f t="shared" si="77"/>
        <v>2.5153058240000001E-2</v>
      </c>
      <c r="BR18" s="248">
        <f t="shared" si="78"/>
        <v>2.5303976589439999E-2</v>
      </c>
      <c r="BS18" s="248">
        <f t="shared" si="79"/>
        <v>2.5455800448976638E-2</v>
      </c>
      <c r="BT18" s="248">
        <f t="shared" si="80"/>
        <v>2.5608535251670499E-2</v>
      </c>
      <c r="BU18" s="248">
        <f t="shared" si="81"/>
        <v>2.5762186463180521E-2</v>
      </c>
      <c r="BV18" s="248">
        <f t="shared" si="82"/>
        <v>2.5916759581959603E-2</v>
      </c>
      <c r="BW18" s="248">
        <f t="shared" si="83"/>
        <v>2.5916759581959603E-2</v>
      </c>
      <c r="BX18" s="248">
        <f t="shared" si="84"/>
        <v>2.5916759581959603E-2</v>
      </c>
      <c r="BY18" s="248">
        <f t="shared" si="85"/>
        <v>2.5916759581959603E-2</v>
      </c>
      <c r="BZ18" s="248">
        <f t="shared" si="86"/>
        <v>2.5916759581959603E-2</v>
      </c>
      <c r="CA18" s="248">
        <f t="shared" si="87"/>
        <v>2.5916759581959603E-2</v>
      </c>
      <c r="CB18" s="248">
        <f t="shared" si="88"/>
        <v>2.5916759581959603E-2</v>
      </c>
      <c r="CC18" s="248">
        <f t="shared" si="89"/>
        <v>2.5916759581959603E-2</v>
      </c>
      <c r="CD18" s="248">
        <f t="shared" si="90"/>
        <v>2.5916759581959603E-2</v>
      </c>
      <c r="CE18" s="248">
        <f t="shared" si="91"/>
        <v>2.5916759581959603E-2</v>
      </c>
      <c r="CF18" s="249">
        <f t="shared" si="92"/>
        <v>2.5916759581959603E-2</v>
      </c>
    </row>
    <row r="19" spans="2:84" x14ac:dyDescent="0.3">
      <c r="B19" s="293" t="str">
        <f>'EF peternakan'!B23</f>
        <v>Ayam ras</v>
      </c>
      <c r="C19" s="197">
        <v>5695722</v>
      </c>
      <c r="D19" s="197">
        <v>5730600</v>
      </c>
      <c r="E19" s="197">
        <v>5902518</v>
      </c>
      <c r="F19" s="197">
        <v>6064838</v>
      </c>
      <c r="G19" s="197">
        <v>7065168</v>
      </c>
      <c r="H19" s="197">
        <f>G19*1.006</f>
        <v>7107559.0080000004</v>
      </c>
      <c r="I19" s="197">
        <f t="shared" ref="I19:M20" si="99">H19*1.006</f>
        <v>7150204.3620480001</v>
      </c>
      <c r="J19" s="197">
        <f t="shared" si="99"/>
        <v>7193105.588220288</v>
      </c>
      <c r="K19" s="197">
        <f t="shared" si="99"/>
        <v>7236264.2217496103</v>
      </c>
      <c r="L19" s="197">
        <f t="shared" si="99"/>
        <v>7279681.8070801077</v>
      </c>
      <c r="M19" s="197">
        <f t="shared" si="99"/>
        <v>7323359.8979225885</v>
      </c>
      <c r="N19" s="197">
        <f t="shared" ref="N19:N20" si="100">M19*1.006</f>
        <v>7367300.0573101239</v>
      </c>
      <c r="O19" s="197">
        <f t="shared" ref="O19:O20" si="101">N19*1.006</f>
        <v>7411503.8576539848</v>
      </c>
      <c r="P19" s="197">
        <f t="shared" ref="P19:P20" si="102">O19*1.006</f>
        <v>7455972.8807999091</v>
      </c>
      <c r="Q19" s="197">
        <f t="shared" ref="Q19:Q20" si="103">P19*1.006</f>
        <v>7500708.7180847088</v>
      </c>
      <c r="R19" s="197">
        <f t="shared" ref="R19:R20" si="104">Q19*1.006</f>
        <v>7545712.9703932172</v>
      </c>
      <c r="S19" s="197">
        <f t="shared" ref="S19:S20" si="105">R19*1.006</f>
        <v>7590987.2482155766</v>
      </c>
      <c r="T19" s="197">
        <f t="shared" ref="T19:T20" si="106">S19*1.006</f>
        <v>7636533.1717048697</v>
      </c>
      <c r="U19" s="197">
        <f t="shared" ref="U19:U20" si="107">T19*1.006</f>
        <v>7682352.3707350986</v>
      </c>
      <c r="V19" s="197">
        <f t="shared" ref="V19:V20" si="108">U19*1.006</f>
        <v>7728446.4849595092</v>
      </c>
      <c r="W19" s="197">
        <f t="shared" ref="W19:W20" si="109">V19*1.006</f>
        <v>7774817.1638692664</v>
      </c>
      <c r="X19" s="8"/>
      <c r="Y19" s="8"/>
      <c r="Z19" s="8"/>
      <c r="AA19" s="8"/>
      <c r="AB19" s="8"/>
      <c r="AC19" s="8"/>
      <c r="AD19" s="8"/>
      <c r="AE19" s="8"/>
      <c r="AF19" s="8"/>
      <c r="AG19" s="8"/>
      <c r="AH19" s="8"/>
      <c r="AI19" s="8"/>
      <c r="AJ19" s="8"/>
      <c r="AK19" s="8"/>
      <c r="AL19" s="8"/>
      <c r="AM19" s="8"/>
      <c r="AN19" s="8"/>
      <c r="AO19" s="8"/>
      <c r="AP19" s="8"/>
      <c r="AQ19" s="8"/>
      <c r="AR19" s="8"/>
      <c r="AS19" s="8"/>
      <c r="AT19" s="211">
        <f>'EF peternakan'!C23</f>
        <v>0.02</v>
      </c>
      <c r="AU19" s="288">
        <f t="shared" si="55"/>
        <v>0.11391443999999999</v>
      </c>
      <c r="AV19" s="288">
        <f t="shared" si="56"/>
        <v>0.11461199999999999</v>
      </c>
      <c r="AW19" s="288">
        <f t="shared" si="57"/>
        <v>0.11805035999999999</v>
      </c>
      <c r="AX19" s="288">
        <f t="shared" si="58"/>
        <v>0.12129676</v>
      </c>
      <c r="AY19" s="245">
        <f t="shared" si="59"/>
        <v>0.14130336000000002</v>
      </c>
      <c r="AZ19" s="245">
        <f t="shared" si="60"/>
        <v>0.14215118016</v>
      </c>
      <c r="BA19" s="245">
        <f t="shared" si="61"/>
        <v>0.14300408724096</v>
      </c>
      <c r="BB19" s="245">
        <f t="shared" si="62"/>
        <v>0.14386211176440575</v>
      </c>
      <c r="BC19" s="245">
        <f t="shared" si="63"/>
        <v>0.14472528443499219</v>
      </c>
      <c r="BD19" s="245">
        <f t="shared" si="64"/>
        <v>0.14559363614160215</v>
      </c>
      <c r="BE19" s="245">
        <f t="shared" si="65"/>
        <v>0.14646719795845178</v>
      </c>
      <c r="BF19" s="245">
        <f t="shared" si="66"/>
        <v>0.14734600114620247</v>
      </c>
      <c r="BG19" s="245">
        <f t="shared" si="67"/>
        <v>0.1482300771530797</v>
      </c>
      <c r="BH19" s="245">
        <f t="shared" si="68"/>
        <v>0.14911945761599818</v>
      </c>
      <c r="BI19" s="245">
        <f t="shared" si="69"/>
        <v>0.15001417436169415</v>
      </c>
      <c r="BJ19" s="245">
        <f t="shared" si="70"/>
        <v>0.15091425940786435</v>
      </c>
      <c r="BK19" s="245">
        <f t="shared" si="71"/>
        <v>0.15181974496431153</v>
      </c>
      <c r="BL19" s="245">
        <f t="shared" si="72"/>
        <v>0.15273066343409739</v>
      </c>
      <c r="BM19" s="245">
        <f t="shared" si="73"/>
        <v>0.15364704741470198</v>
      </c>
      <c r="BN19" s="245">
        <f t="shared" si="74"/>
        <v>0.1545689296991902</v>
      </c>
      <c r="BO19" s="246">
        <f t="shared" si="75"/>
        <v>0.15549634327738535</v>
      </c>
      <c r="BP19" s="247">
        <f t="shared" si="76"/>
        <v>0.14130336000000002</v>
      </c>
      <c r="BQ19" s="248">
        <f t="shared" si="77"/>
        <v>0.14215118016</v>
      </c>
      <c r="BR19" s="248">
        <f t="shared" si="78"/>
        <v>0.14300408724096</v>
      </c>
      <c r="BS19" s="248">
        <f t="shared" si="79"/>
        <v>0.14386211176440575</v>
      </c>
      <c r="BT19" s="248">
        <f t="shared" si="80"/>
        <v>0.14472528443499219</v>
      </c>
      <c r="BU19" s="248">
        <f t="shared" si="81"/>
        <v>0.14559363614160215</v>
      </c>
      <c r="BV19" s="248">
        <f t="shared" si="82"/>
        <v>0.14646719795845178</v>
      </c>
      <c r="BW19" s="248">
        <f t="shared" si="83"/>
        <v>0.14734600114620247</v>
      </c>
      <c r="BX19" s="248">
        <f t="shared" si="84"/>
        <v>0.1482300771530797</v>
      </c>
      <c r="BY19" s="248">
        <f t="shared" si="85"/>
        <v>0.14911945761599818</v>
      </c>
      <c r="BZ19" s="248">
        <f t="shared" si="86"/>
        <v>0.15001417436169415</v>
      </c>
      <c r="CA19" s="248">
        <f t="shared" si="87"/>
        <v>0.15091425940786435</v>
      </c>
      <c r="CB19" s="248">
        <f t="shared" si="88"/>
        <v>0.15181974496431153</v>
      </c>
      <c r="CC19" s="248">
        <f t="shared" si="89"/>
        <v>0.15273066343409739</v>
      </c>
      <c r="CD19" s="248">
        <f t="shared" si="90"/>
        <v>0.15364704741470198</v>
      </c>
      <c r="CE19" s="248">
        <f t="shared" si="91"/>
        <v>0.1545689296991902</v>
      </c>
      <c r="CF19" s="249">
        <f t="shared" si="92"/>
        <v>0.15549634327738535</v>
      </c>
    </row>
    <row r="20" spans="2:84" x14ac:dyDescent="0.3">
      <c r="B20" s="322" t="str">
        <f>'EF peternakan'!B24</f>
        <v>Ayam petelur</v>
      </c>
      <c r="C20" s="197">
        <v>1363826</v>
      </c>
      <c r="D20" s="197">
        <v>1377000</v>
      </c>
      <c r="E20" s="197">
        <v>1404540</v>
      </c>
      <c r="F20" s="197">
        <v>1432110</v>
      </c>
      <c r="G20" s="197">
        <v>1460752</v>
      </c>
      <c r="H20" s="197">
        <f>G20*1.006</f>
        <v>1469516.5120000001</v>
      </c>
      <c r="I20" s="197">
        <f t="shared" si="99"/>
        <v>1478333.6110720001</v>
      </c>
      <c r="J20" s="197">
        <f t="shared" si="99"/>
        <v>1487203.6127384321</v>
      </c>
      <c r="K20" s="197">
        <f t="shared" si="99"/>
        <v>1496126.8344148628</v>
      </c>
      <c r="L20" s="197">
        <f t="shared" si="99"/>
        <v>1505103.595421352</v>
      </c>
      <c r="M20" s="197">
        <f t="shared" si="99"/>
        <v>1514134.21699388</v>
      </c>
      <c r="N20" s="197">
        <f t="shared" si="100"/>
        <v>1523219.0222958433</v>
      </c>
      <c r="O20" s="197">
        <f t="shared" si="101"/>
        <v>1532358.3364296183</v>
      </c>
      <c r="P20" s="197">
        <f t="shared" si="102"/>
        <v>1541552.486448196</v>
      </c>
      <c r="Q20" s="197">
        <f t="shared" si="103"/>
        <v>1550801.8013668852</v>
      </c>
      <c r="R20" s="197">
        <f t="shared" si="104"/>
        <v>1560106.6121750865</v>
      </c>
      <c r="S20" s="197">
        <f t="shared" si="105"/>
        <v>1569467.251848137</v>
      </c>
      <c r="T20" s="197">
        <f t="shared" si="106"/>
        <v>1578884.0553592257</v>
      </c>
      <c r="U20" s="197">
        <f t="shared" si="107"/>
        <v>1588357.359691381</v>
      </c>
      <c r="V20" s="197">
        <f t="shared" si="108"/>
        <v>1597887.5038495292</v>
      </c>
      <c r="W20" s="197">
        <f t="shared" si="109"/>
        <v>1607474.8288726264</v>
      </c>
      <c r="X20" s="8"/>
      <c r="Y20" s="8"/>
      <c r="Z20" s="8"/>
      <c r="AA20" s="8"/>
      <c r="AB20" s="8"/>
      <c r="AC20" s="8"/>
      <c r="AD20" s="8"/>
      <c r="AE20" s="8"/>
      <c r="AF20" s="8"/>
      <c r="AG20" s="8"/>
      <c r="AH20" s="8"/>
      <c r="AI20" s="8"/>
      <c r="AJ20" s="8"/>
      <c r="AK20" s="8"/>
      <c r="AL20" s="8"/>
      <c r="AM20" s="8"/>
      <c r="AN20" s="8"/>
      <c r="AO20" s="8"/>
      <c r="AP20" s="8"/>
      <c r="AQ20" s="8"/>
      <c r="AR20" s="8"/>
      <c r="AS20" s="8"/>
      <c r="AT20" s="211">
        <f>'EF peternakan'!C24</f>
        <v>0.02</v>
      </c>
      <c r="AU20" s="288">
        <f t="shared" si="55"/>
        <v>2.7276519999999999E-2</v>
      </c>
      <c r="AV20" s="288">
        <f t="shared" si="56"/>
        <v>2.7539999999999999E-2</v>
      </c>
      <c r="AW20" s="288">
        <f t="shared" si="57"/>
        <v>2.8090799999999999E-2</v>
      </c>
      <c r="AX20" s="288">
        <f t="shared" si="58"/>
        <v>2.86422E-2</v>
      </c>
      <c r="AY20" s="245">
        <f t="shared" si="59"/>
        <v>2.9215040000000001E-2</v>
      </c>
      <c r="AZ20" s="245">
        <f t="shared" si="60"/>
        <v>2.9390330240000002E-2</v>
      </c>
      <c r="BA20" s="245">
        <f t="shared" si="61"/>
        <v>2.956667222144E-2</v>
      </c>
      <c r="BB20" s="245">
        <f t="shared" si="62"/>
        <v>2.974407225476864E-2</v>
      </c>
      <c r="BC20" s="245">
        <f t="shared" si="63"/>
        <v>2.9922536688297256E-2</v>
      </c>
      <c r="BD20" s="245">
        <f t="shared" si="64"/>
        <v>3.0102071908427036E-2</v>
      </c>
      <c r="BE20" s="245">
        <f t="shared" si="65"/>
        <v>3.0282684339877599E-2</v>
      </c>
      <c r="BF20" s="245">
        <f t="shared" si="66"/>
        <v>3.0464380445916865E-2</v>
      </c>
      <c r="BG20" s="245">
        <f t="shared" si="67"/>
        <v>3.0647166728592364E-2</v>
      </c>
      <c r="BH20" s="245">
        <f t="shared" si="68"/>
        <v>3.083104972896392E-2</v>
      </c>
      <c r="BI20" s="245">
        <f t="shared" si="69"/>
        <v>3.1016036027337702E-2</v>
      </c>
      <c r="BJ20" s="245">
        <f t="shared" si="70"/>
        <v>3.120213224350173E-2</v>
      </c>
      <c r="BK20" s="245">
        <f t="shared" si="71"/>
        <v>3.1389345036962737E-2</v>
      </c>
      <c r="BL20" s="245">
        <f t="shared" si="72"/>
        <v>3.1577681107184515E-2</v>
      </c>
      <c r="BM20" s="245">
        <f t="shared" si="73"/>
        <v>3.1767147193827616E-2</v>
      </c>
      <c r="BN20" s="245">
        <f t="shared" si="74"/>
        <v>3.1957750076990581E-2</v>
      </c>
      <c r="BO20" s="246">
        <f t="shared" si="75"/>
        <v>3.214949657745253E-2</v>
      </c>
      <c r="BP20" s="247">
        <f t="shared" si="76"/>
        <v>2.9215040000000001E-2</v>
      </c>
      <c r="BQ20" s="248">
        <f t="shared" si="77"/>
        <v>2.9390330240000002E-2</v>
      </c>
      <c r="BR20" s="248">
        <f t="shared" si="78"/>
        <v>2.956667222144E-2</v>
      </c>
      <c r="BS20" s="248">
        <f t="shared" si="79"/>
        <v>2.974407225476864E-2</v>
      </c>
      <c r="BT20" s="248">
        <f t="shared" si="80"/>
        <v>2.9922536688297256E-2</v>
      </c>
      <c r="BU20" s="248">
        <f t="shared" si="81"/>
        <v>3.0102071908427036E-2</v>
      </c>
      <c r="BV20" s="248">
        <f t="shared" si="82"/>
        <v>3.0282684339877599E-2</v>
      </c>
      <c r="BW20" s="248">
        <f t="shared" si="83"/>
        <v>3.0464380445916865E-2</v>
      </c>
      <c r="BX20" s="248">
        <f t="shared" si="84"/>
        <v>3.0647166728592364E-2</v>
      </c>
      <c r="BY20" s="248">
        <f t="shared" si="85"/>
        <v>3.083104972896392E-2</v>
      </c>
      <c r="BZ20" s="248">
        <f t="shared" si="86"/>
        <v>3.1016036027337702E-2</v>
      </c>
      <c r="CA20" s="248">
        <f t="shared" si="87"/>
        <v>3.120213224350173E-2</v>
      </c>
      <c r="CB20" s="248">
        <f t="shared" si="88"/>
        <v>3.1389345036962737E-2</v>
      </c>
      <c r="CC20" s="248">
        <f t="shared" si="89"/>
        <v>3.1577681107184515E-2</v>
      </c>
      <c r="CD20" s="248">
        <f t="shared" si="90"/>
        <v>3.1767147193827616E-2</v>
      </c>
      <c r="CE20" s="248">
        <f t="shared" si="91"/>
        <v>3.1957750076990581E-2</v>
      </c>
      <c r="CF20" s="249">
        <f t="shared" si="92"/>
        <v>3.214949657745253E-2</v>
      </c>
    </row>
    <row r="21" spans="2:84" x14ac:dyDescent="0.3">
      <c r="B21" s="41" t="str">
        <f>'EF peternakan'!B25</f>
        <v>Bebek</v>
      </c>
      <c r="C21" s="197">
        <v>143827</v>
      </c>
      <c r="D21" s="197">
        <v>151018</v>
      </c>
      <c r="E21" s="197">
        <v>158569</v>
      </c>
      <c r="F21" s="197">
        <v>166494</v>
      </c>
      <c r="G21" s="197">
        <v>174819</v>
      </c>
      <c r="H21" s="197">
        <f>G21</f>
        <v>174819</v>
      </c>
      <c r="I21" s="197">
        <f t="shared" ref="I21:W21" si="110">H21</f>
        <v>174819</v>
      </c>
      <c r="J21" s="197">
        <f t="shared" si="110"/>
        <v>174819</v>
      </c>
      <c r="K21" s="197">
        <f t="shared" si="110"/>
        <v>174819</v>
      </c>
      <c r="L21" s="197">
        <f t="shared" si="110"/>
        <v>174819</v>
      </c>
      <c r="M21" s="197">
        <f t="shared" si="110"/>
        <v>174819</v>
      </c>
      <c r="N21" s="197">
        <f t="shared" si="110"/>
        <v>174819</v>
      </c>
      <c r="O21" s="197">
        <f t="shared" si="110"/>
        <v>174819</v>
      </c>
      <c r="P21" s="197">
        <f t="shared" si="110"/>
        <v>174819</v>
      </c>
      <c r="Q21" s="197">
        <f t="shared" si="110"/>
        <v>174819</v>
      </c>
      <c r="R21" s="197">
        <f t="shared" si="110"/>
        <v>174819</v>
      </c>
      <c r="S21" s="197">
        <f t="shared" si="110"/>
        <v>174819</v>
      </c>
      <c r="T21" s="197">
        <f t="shared" si="110"/>
        <v>174819</v>
      </c>
      <c r="U21" s="197">
        <f t="shared" si="110"/>
        <v>174819</v>
      </c>
      <c r="V21" s="197">
        <f t="shared" si="110"/>
        <v>174819</v>
      </c>
      <c r="W21" s="197">
        <f t="shared" si="110"/>
        <v>174819</v>
      </c>
      <c r="X21" s="8"/>
      <c r="Y21" s="8"/>
      <c r="Z21" s="8"/>
      <c r="AA21" s="8"/>
      <c r="AB21" s="8"/>
      <c r="AC21" s="8"/>
      <c r="AD21" s="8"/>
      <c r="AE21" s="8"/>
      <c r="AF21" s="8"/>
      <c r="AG21" s="8"/>
      <c r="AH21" s="8"/>
      <c r="AI21" s="8"/>
      <c r="AJ21" s="8"/>
      <c r="AK21" s="8"/>
      <c r="AL21" s="8"/>
      <c r="AM21" s="8"/>
      <c r="AN21" s="8"/>
      <c r="AO21" s="8"/>
      <c r="AP21" s="8"/>
      <c r="AQ21" s="8"/>
      <c r="AR21" s="8"/>
      <c r="AS21" s="8"/>
      <c r="AT21" s="211">
        <f>'EF peternakan'!C25</f>
        <v>0.02</v>
      </c>
      <c r="AU21" s="288">
        <f t="shared" si="55"/>
        <v>2.8765399999999999E-3</v>
      </c>
      <c r="AV21" s="288">
        <f t="shared" si="56"/>
        <v>3.0203600000000001E-3</v>
      </c>
      <c r="AW21" s="288">
        <f t="shared" si="57"/>
        <v>3.1713800000000001E-3</v>
      </c>
      <c r="AX21" s="288">
        <f t="shared" si="58"/>
        <v>3.3298799999999999E-3</v>
      </c>
      <c r="AY21" s="245">
        <f t="shared" si="59"/>
        <v>3.4963799999999999E-3</v>
      </c>
      <c r="AZ21" s="245">
        <f t="shared" si="60"/>
        <v>3.4963799999999999E-3</v>
      </c>
      <c r="BA21" s="245">
        <f t="shared" si="61"/>
        <v>3.4963799999999999E-3</v>
      </c>
      <c r="BB21" s="245">
        <f t="shared" si="62"/>
        <v>3.4963799999999999E-3</v>
      </c>
      <c r="BC21" s="245">
        <f t="shared" si="63"/>
        <v>3.4963799999999999E-3</v>
      </c>
      <c r="BD21" s="245">
        <f t="shared" si="64"/>
        <v>3.4963799999999999E-3</v>
      </c>
      <c r="BE21" s="245">
        <f t="shared" si="65"/>
        <v>3.4963799999999999E-3</v>
      </c>
      <c r="BF21" s="245">
        <f t="shared" si="66"/>
        <v>3.4963799999999999E-3</v>
      </c>
      <c r="BG21" s="245">
        <f t="shared" si="67"/>
        <v>3.4963799999999999E-3</v>
      </c>
      <c r="BH21" s="245">
        <f t="shared" si="68"/>
        <v>3.4963799999999999E-3</v>
      </c>
      <c r="BI21" s="245">
        <f t="shared" si="69"/>
        <v>3.4963799999999999E-3</v>
      </c>
      <c r="BJ21" s="245">
        <f t="shared" si="70"/>
        <v>3.4963799999999999E-3</v>
      </c>
      <c r="BK21" s="245">
        <f t="shared" si="71"/>
        <v>3.4963799999999999E-3</v>
      </c>
      <c r="BL21" s="245">
        <f t="shared" si="72"/>
        <v>3.4963799999999999E-3</v>
      </c>
      <c r="BM21" s="245">
        <f t="shared" si="73"/>
        <v>3.4963799999999999E-3</v>
      </c>
      <c r="BN21" s="245">
        <f t="shared" si="74"/>
        <v>3.4963799999999999E-3</v>
      </c>
      <c r="BO21" s="246">
        <f t="shared" si="75"/>
        <v>3.4963799999999999E-3</v>
      </c>
      <c r="BP21" s="247">
        <f>AC21+AY21</f>
        <v>3.4963799999999999E-3</v>
      </c>
      <c r="BQ21" s="248">
        <f t="shared" si="77"/>
        <v>3.4963799999999999E-3</v>
      </c>
      <c r="BR21" s="248">
        <f t="shared" si="78"/>
        <v>3.4963799999999999E-3</v>
      </c>
      <c r="BS21" s="248">
        <f t="shared" si="79"/>
        <v>3.4963799999999999E-3</v>
      </c>
      <c r="BT21" s="248">
        <f t="shared" si="80"/>
        <v>3.4963799999999999E-3</v>
      </c>
      <c r="BU21" s="248">
        <f t="shared" si="81"/>
        <v>3.4963799999999999E-3</v>
      </c>
      <c r="BV21" s="248">
        <f t="shared" si="82"/>
        <v>3.4963799999999999E-3</v>
      </c>
      <c r="BW21" s="248">
        <f t="shared" si="83"/>
        <v>3.4963799999999999E-3</v>
      </c>
      <c r="BX21" s="248">
        <f t="shared" si="84"/>
        <v>3.4963799999999999E-3</v>
      </c>
      <c r="BY21" s="248">
        <f t="shared" si="85"/>
        <v>3.4963799999999999E-3</v>
      </c>
      <c r="BZ21" s="248">
        <f t="shared" si="86"/>
        <v>3.4963799999999999E-3</v>
      </c>
      <c r="CA21" s="248">
        <f t="shared" si="87"/>
        <v>3.4963799999999999E-3</v>
      </c>
      <c r="CB21" s="248">
        <f t="shared" si="88"/>
        <v>3.4963799999999999E-3</v>
      </c>
      <c r="CC21" s="248">
        <f t="shared" si="89"/>
        <v>3.4963799999999999E-3</v>
      </c>
      <c r="CD21" s="248">
        <f t="shared" si="90"/>
        <v>3.4963799999999999E-3</v>
      </c>
      <c r="CE21" s="248">
        <f t="shared" si="91"/>
        <v>3.4963799999999999E-3</v>
      </c>
      <c r="CF21" s="249">
        <f t="shared" si="92"/>
        <v>3.4963799999999999E-3</v>
      </c>
    </row>
    <row r="22" spans="2:84" x14ac:dyDescent="0.3">
      <c r="B22" s="41"/>
      <c r="C22" s="73"/>
      <c r="D22" s="73"/>
      <c r="E22" s="73"/>
      <c r="F22" s="73"/>
      <c r="G22" s="39"/>
      <c r="H22" s="39"/>
      <c r="I22" s="39"/>
      <c r="J22" s="39"/>
      <c r="K22" s="39"/>
      <c r="L22" s="39"/>
      <c r="M22" s="39"/>
      <c r="N22" s="39"/>
      <c r="O22" s="39"/>
      <c r="P22" s="39"/>
      <c r="Q22" s="39"/>
      <c r="R22" s="39"/>
      <c r="S22" s="39"/>
      <c r="T22" s="39"/>
      <c r="U22" s="39"/>
      <c r="V22" s="39"/>
      <c r="W22" s="39"/>
      <c r="X22" s="8"/>
      <c r="Y22" s="8"/>
      <c r="Z22" s="8"/>
      <c r="AA22" s="8"/>
      <c r="AB22" s="8"/>
      <c r="AC22" s="10"/>
      <c r="AD22" s="10"/>
      <c r="AE22" s="10"/>
      <c r="AF22" s="10"/>
      <c r="AG22" s="10"/>
      <c r="AH22" s="10"/>
      <c r="AI22" s="10"/>
      <c r="AJ22" s="10"/>
      <c r="AK22" s="10"/>
      <c r="AL22" s="10"/>
      <c r="AM22" s="10"/>
      <c r="AN22" s="10"/>
      <c r="AO22" s="10"/>
      <c r="AP22" s="10"/>
      <c r="AQ22" s="10"/>
      <c r="AR22" s="10"/>
      <c r="AS22" s="10"/>
      <c r="AT22" s="212"/>
      <c r="AU22" s="10"/>
      <c r="AV22" s="10"/>
      <c r="AW22" s="10"/>
      <c r="AX22" s="10"/>
      <c r="BO22" s="2"/>
      <c r="BP22" s="199"/>
      <c r="CF22" s="2"/>
    </row>
    <row r="23" spans="2:84" x14ac:dyDescent="0.3">
      <c r="B23" s="41"/>
      <c r="C23" s="73"/>
      <c r="D23" s="73"/>
      <c r="E23" s="73"/>
      <c r="F23" s="73"/>
      <c r="G23" s="39"/>
      <c r="H23" s="39"/>
      <c r="I23" s="39"/>
      <c r="J23" s="39"/>
      <c r="K23" s="39"/>
      <c r="L23" s="39"/>
      <c r="M23" s="39"/>
      <c r="N23" s="39"/>
      <c r="O23" s="39"/>
      <c r="P23" s="39"/>
      <c r="Q23" s="39"/>
      <c r="R23" s="39"/>
      <c r="S23" s="39"/>
      <c r="T23" s="39"/>
      <c r="U23" s="39"/>
      <c r="V23" s="39"/>
      <c r="W23" s="39"/>
      <c r="X23" s="8"/>
      <c r="Y23" s="8"/>
      <c r="Z23" s="8"/>
      <c r="AA23" s="8"/>
      <c r="AB23" s="8"/>
      <c r="AC23" s="10"/>
      <c r="AD23" s="10"/>
      <c r="AE23" s="10"/>
      <c r="AF23" s="10"/>
      <c r="AG23" s="10"/>
      <c r="AH23" s="10"/>
      <c r="AI23" s="10"/>
      <c r="AJ23" s="10"/>
      <c r="AK23" s="10"/>
      <c r="AL23" s="10"/>
      <c r="AM23" s="10"/>
      <c r="AN23" s="10"/>
      <c r="AO23" s="10"/>
      <c r="AP23" s="10"/>
      <c r="AQ23" s="10"/>
      <c r="AR23" s="10"/>
      <c r="AS23" s="10"/>
      <c r="AT23" s="212"/>
      <c r="AU23" s="10"/>
      <c r="AV23" s="10"/>
      <c r="AW23" s="10"/>
      <c r="AX23" s="10"/>
      <c r="BO23" s="2"/>
      <c r="BP23" s="199"/>
      <c r="CF23" s="2"/>
    </row>
    <row r="24" spans="2:84" x14ac:dyDescent="0.3">
      <c r="B24" s="41"/>
      <c r="C24" s="73"/>
      <c r="D24" s="73"/>
      <c r="E24" s="73"/>
      <c r="F24" s="73"/>
      <c r="G24" s="39"/>
      <c r="H24" s="39"/>
      <c r="I24" s="39"/>
      <c r="J24" s="39"/>
      <c r="K24" s="39"/>
      <c r="L24" s="39"/>
      <c r="M24" s="39"/>
      <c r="N24" s="39"/>
      <c r="O24" s="39"/>
      <c r="P24" s="39"/>
      <c r="Q24" s="39"/>
      <c r="R24" s="39"/>
      <c r="S24" s="39"/>
      <c r="T24" s="39"/>
      <c r="U24" s="39"/>
      <c r="V24" s="39"/>
      <c r="W24" s="39"/>
      <c r="X24" s="8"/>
      <c r="Y24" s="8"/>
      <c r="Z24" s="8"/>
      <c r="AA24" s="8"/>
      <c r="AB24" s="8"/>
      <c r="AC24" s="10"/>
      <c r="AD24" s="10"/>
      <c r="AE24" s="10"/>
      <c r="AF24" s="10"/>
      <c r="AG24" s="10"/>
      <c r="AH24" s="10"/>
      <c r="AI24" s="10"/>
      <c r="AJ24" s="10"/>
      <c r="AK24" s="10"/>
      <c r="AL24" s="10"/>
      <c r="AM24" s="10"/>
      <c r="AN24" s="10"/>
      <c r="AO24" s="10"/>
      <c r="AP24" s="10"/>
      <c r="AQ24" s="10"/>
      <c r="AR24" s="10"/>
      <c r="AS24" s="10"/>
      <c r="AT24" s="212"/>
      <c r="AU24" s="10"/>
      <c r="AV24" s="10"/>
      <c r="AW24" s="10"/>
      <c r="AX24" s="10"/>
      <c r="BO24" s="2"/>
      <c r="BP24" s="199"/>
      <c r="CF24" s="2"/>
    </row>
    <row r="25" spans="2:84" x14ac:dyDescent="0.3">
      <c r="B25" s="41"/>
      <c r="C25" s="73"/>
      <c r="D25" s="73"/>
      <c r="E25" s="73"/>
      <c r="F25" s="73"/>
      <c r="G25" s="39"/>
      <c r="H25" s="39"/>
      <c r="I25" s="39"/>
      <c r="J25" s="39"/>
      <c r="K25" s="39"/>
      <c r="L25" s="39"/>
      <c r="M25" s="39"/>
      <c r="N25" s="39"/>
      <c r="O25" s="39"/>
      <c r="P25" s="39"/>
      <c r="Q25" s="39"/>
      <c r="R25" s="39"/>
      <c r="S25" s="39"/>
      <c r="T25" s="39"/>
      <c r="U25" s="39"/>
      <c r="V25" s="39"/>
      <c r="W25" s="39"/>
      <c r="X25" s="8"/>
      <c r="Y25" s="8"/>
      <c r="Z25" s="8"/>
      <c r="AA25" s="8"/>
      <c r="AB25" s="8"/>
      <c r="AC25" s="10"/>
      <c r="AD25" s="10"/>
      <c r="AE25" s="10"/>
      <c r="AF25" s="10"/>
      <c r="AG25" s="10"/>
      <c r="AH25" s="10"/>
      <c r="AI25" s="10"/>
      <c r="AJ25" s="10"/>
      <c r="AK25" s="10"/>
      <c r="AL25" s="10"/>
      <c r="AM25" s="10"/>
      <c r="AN25" s="10"/>
      <c r="AO25" s="10"/>
      <c r="AP25" s="10"/>
      <c r="AQ25" s="10"/>
      <c r="AR25" s="10"/>
      <c r="AS25" s="10"/>
      <c r="AT25" s="212"/>
      <c r="AU25" s="10"/>
      <c r="AV25" s="10"/>
      <c r="AW25" s="10"/>
      <c r="AX25" s="10"/>
      <c r="BO25" s="2"/>
      <c r="BP25" s="199"/>
      <c r="CF25" s="2"/>
    </row>
    <row r="26" spans="2:84" ht="15" thickBot="1" x14ac:dyDescent="0.35">
      <c r="B26" s="206" t="s">
        <v>77</v>
      </c>
      <c r="C26" s="207">
        <f t="shared" ref="C26:F26" si="111">SUM(C11:C25)</f>
        <v>8563439</v>
      </c>
      <c r="D26" s="207">
        <f t="shared" si="111"/>
        <v>8651443</v>
      </c>
      <c r="E26" s="207">
        <f t="shared" si="111"/>
        <v>8898100</v>
      </c>
      <c r="F26" s="207">
        <f t="shared" si="111"/>
        <v>9133972</v>
      </c>
      <c r="G26" s="207">
        <f>SUM(G11:G25)</f>
        <v>10210560</v>
      </c>
      <c r="H26" s="207">
        <f t="shared" ref="H26:W26" si="112">SUM(H11:H25)</f>
        <v>10269229.932</v>
      </c>
      <c r="I26" s="207">
        <f t="shared" si="112"/>
        <v>10328251.883592</v>
      </c>
      <c r="J26" s="207">
        <f t="shared" si="112"/>
        <v>10387627.966893552</v>
      </c>
      <c r="K26" s="207">
        <f t="shared" si="112"/>
        <v>10447360.306694914</v>
      </c>
      <c r="L26" s="207">
        <f t="shared" si="112"/>
        <v>10507451.040535083</v>
      </c>
      <c r="M26" s="207">
        <f t="shared" si="112"/>
        <v>10567902.318778293</v>
      </c>
      <c r="N26" s="207">
        <f t="shared" si="112"/>
        <v>10620941.276816376</v>
      </c>
      <c r="O26" s="207">
        <f t="shared" si="112"/>
        <v>10674298.468602685</v>
      </c>
      <c r="P26" s="207">
        <f t="shared" si="112"/>
        <v>10727975.803539716</v>
      </c>
      <c r="Q26" s="207">
        <f t="shared" si="112"/>
        <v>10781975.202486366</v>
      </c>
      <c r="R26" s="207">
        <f t="shared" si="112"/>
        <v>10836298.597826695</v>
      </c>
      <c r="S26" s="207">
        <f t="shared" si="112"/>
        <v>10890947.933539068</v>
      </c>
      <c r="T26" s="207">
        <f t="shared" si="112"/>
        <v>10945925.165265715</v>
      </c>
      <c r="U26" s="207">
        <f t="shared" si="112"/>
        <v>11001232.260382721</v>
      </c>
      <c r="V26" s="207">
        <f t="shared" si="112"/>
        <v>11056871.198070427</v>
      </c>
      <c r="W26" s="207">
        <f t="shared" si="112"/>
        <v>11112843.969384264</v>
      </c>
      <c r="X26" s="207"/>
      <c r="Y26" s="208">
        <f t="shared" ref="Y26:AB26" si="113">SUM(Y11:Y25)</f>
        <v>2.4153819999999997</v>
      </c>
      <c r="Z26" s="208">
        <f t="shared" si="113"/>
        <v>2.3594919999999999</v>
      </c>
      <c r="AA26" s="208">
        <f t="shared" si="113"/>
        <v>2.3949000000000003</v>
      </c>
      <c r="AB26" s="208">
        <f t="shared" si="113"/>
        <v>2.2583499999999996</v>
      </c>
      <c r="AC26" s="208">
        <f>SUM(AC11:AC25)</f>
        <v>2.130833</v>
      </c>
      <c r="AD26" s="208">
        <f t="shared" ref="AD26:AS26" si="114">SUM(AD11:AD25)</f>
        <v>2.1314675000000003</v>
      </c>
      <c r="AE26" s="208">
        <f t="shared" si="114"/>
        <v>2.1321058070000003</v>
      </c>
      <c r="AF26" s="208">
        <f t="shared" si="114"/>
        <v>2.1327479438420003</v>
      </c>
      <c r="AG26" s="208">
        <f t="shared" si="114"/>
        <v>2.1333939335050518</v>
      </c>
      <c r="AH26" s="208">
        <f t="shared" si="114"/>
        <v>2.1340437991060823</v>
      </c>
      <c r="AI26" s="208">
        <f t="shared" si="114"/>
        <v>2.1346975639007191</v>
      </c>
      <c r="AJ26" s="208">
        <f t="shared" si="114"/>
        <v>2.135355251284123</v>
      </c>
      <c r="AK26" s="208">
        <f t="shared" si="114"/>
        <v>2.1360168847918279</v>
      </c>
      <c r="AL26" s="208">
        <f t="shared" si="114"/>
        <v>2.136682488100579</v>
      </c>
      <c r="AM26" s="208">
        <f t="shared" si="114"/>
        <v>2.1373520850291823</v>
      </c>
      <c r="AN26" s="208">
        <f t="shared" si="114"/>
        <v>2.1380256995393574</v>
      </c>
      <c r="AO26" s="208">
        <f t="shared" si="114"/>
        <v>2.1387033557365935</v>
      </c>
      <c r="AP26" s="208">
        <f t="shared" si="114"/>
        <v>2.1393850778710131</v>
      </c>
      <c r="AQ26" s="208">
        <f t="shared" si="114"/>
        <v>2.1400708903382393</v>
      </c>
      <c r="AR26" s="208">
        <f t="shared" si="114"/>
        <v>2.1407608176802686</v>
      </c>
      <c r="AS26" s="208">
        <f t="shared" si="114"/>
        <v>2.1414548845863504</v>
      </c>
      <c r="AT26" s="287"/>
      <c r="AU26" s="289">
        <f t="shared" ref="AU26:AX26" si="115">SUM(AU11:AU25)</f>
        <v>0.82626866999999982</v>
      </c>
      <c r="AV26" s="289">
        <f t="shared" si="115"/>
        <v>0.81824408000000004</v>
      </c>
      <c r="AW26" s="289">
        <f t="shared" si="115"/>
        <v>0.83055086</v>
      </c>
      <c r="AX26" s="289">
        <f t="shared" si="115"/>
        <v>0.74885644000000007</v>
      </c>
      <c r="AY26" s="209">
        <f>SUM(AY11:AY25)</f>
        <v>0.69506341999999988</v>
      </c>
      <c r="AZ26" s="209">
        <f t="shared" ref="AZ26:BO26" si="116">SUM(AZ11:AZ25)</f>
        <v>0.69625004863999995</v>
      </c>
      <c r="BA26" s="209">
        <f t="shared" si="116"/>
        <v>0.69744379705184001</v>
      </c>
      <c r="BB26" s="209">
        <f t="shared" si="116"/>
        <v>0.6986447079541509</v>
      </c>
      <c r="BC26" s="209">
        <f t="shared" si="116"/>
        <v>0.6998528243218759</v>
      </c>
      <c r="BD26" s="209">
        <f t="shared" si="116"/>
        <v>0.70106818938780713</v>
      </c>
      <c r="BE26" s="209">
        <f t="shared" si="116"/>
        <v>0.70229084664413388</v>
      </c>
      <c r="BF26" s="209">
        <f t="shared" si="116"/>
        <v>0.70336533928650691</v>
      </c>
      <c r="BG26" s="209">
        <f t="shared" si="116"/>
        <v>0.70444627888473432</v>
      </c>
      <c r="BH26" s="209">
        <f t="shared" si="116"/>
        <v>0.70553370412055094</v>
      </c>
      <c r="BI26" s="209">
        <f t="shared" si="116"/>
        <v>0.70662765390778248</v>
      </c>
      <c r="BJ26" s="209">
        <f t="shared" si="116"/>
        <v>0.70772816739373745</v>
      </c>
      <c r="BK26" s="209">
        <f t="shared" si="116"/>
        <v>0.70883528396060813</v>
      </c>
      <c r="BL26" s="209">
        <f t="shared" si="116"/>
        <v>0.70994904322687991</v>
      </c>
      <c r="BM26" s="209">
        <f t="shared" si="116"/>
        <v>0.71106948504874967</v>
      </c>
      <c r="BN26" s="209">
        <f t="shared" si="116"/>
        <v>0.71219664952155026</v>
      </c>
      <c r="BO26" s="209">
        <f t="shared" si="116"/>
        <v>0.71333057698118785</v>
      </c>
      <c r="BP26" s="202">
        <f>SUM(BP11:BP17)</f>
        <v>2.6268786</v>
      </c>
      <c r="BQ26" s="204">
        <f t="shared" ref="BQ26:CF26" si="117">SUM(BQ11:BQ17)</f>
        <v>2.6275265999999999</v>
      </c>
      <c r="BR26" s="204">
        <f t="shared" si="117"/>
        <v>2.6281784880000001</v>
      </c>
      <c r="BS26" s="204">
        <f t="shared" si="117"/>
        <v>2.6288342873280004</v>
      </c>
      <c r="BT26" s="204">
        <f t="shared" si="117"/>
        <v>2.629494021451968</v>
      </c>
      <c r="BU26" s="204">
        <f t="shared" si="117"/>
        <v>2.63015771398068</v>
      </c>
      <c r="BV26" s="204">
        <f t="shared" si="117"/>
        <v>2.6308253886645638</v>
      </c>
      <c r="BW26" s="204">
        <f t="shared" si="117"/>
        <v>2.6314970693965516</v>
      </c>
      <c r="BX26" s="204">
        <f t="shared" si="117"/>
        <v>2.6321727802129309</v>
      </c>
      <c r="BY26" s="204">
        <f t="shared" si="117"/>
        <v>2.6328525452942082</v>
      </c>
      <c r="BZ26" s="204">
        <f t="shared" si="117"/>
        <v>2.6335363889659735</v>
      </c>
      <c r="CA26" s="204">
        <f t="shared" si="117"/>
        <v>2.6342243356997694</v>
      </c>
      <c r="CB26" s="204">
        <f t="shared" si="117"/>
        <v>2.6349164101139677</v>
      </c>
      <c r="CC26" s="204">
        <f t="shared" si="117"/>
        <v>2.6356126369746518</v>
      </c>
      <c r="CD26" s="204">
        <f t="shared" si="117"/>
        <v>2.6363130411964995</v>
      </c>
      <c r="CE26" s="204">
        <f t="shared" si="117"/>
        <v>2.6370176478436789</v>
      </c>
      <c r="CF26" s="203">
        <f t="shared" si="117"/>
        <v>2.6377264821307409</v>
      </c>
    </row>
    <row r="27" spans="2:84" x14ac:dyDescent="0.3">
      <c r="I27" s="144"/>
      <c r="J27" s="144"/>
    </row>
    <row r="28" spans="2:84" x14ac:dyDescent="0.3">
      <c r="B28" s="37"/>
      <c r="C28" s="37"/>
      <c r="D28" s="37"/>
      <c r="E28" s="37"/>
      <c r="F28" s="37"/>
      <c r="G28" s="30"/>
      <c r="H28" s="30"/>
      <c r="I28" s="296" t="s">
        <v>458</v>
      </c>
      <c r="J28" s="297"/>
      <c r="K28" s="297"/>
      <c r="L28" s="30"/>
      <c r="M28" s="30"/>
      <c r="N28" s="30"/>
      <c r="O28" s="30"/>
      <c r="P28" s="30"/>
      <c r="Q28" s="30"/>
      <c r="R28" s="30"/>
      <c r="S28" s="30"/>
      <c r="T28" s="30"/>
      <c r="U28" s="30"/>
      <c r="V28" s="30"/>
      <c r="W28" s="30"/>
      <c r="X28" s="30"/>
      <c r="Y28" s="30"/>
      <c r="Z28" s="30"/>
      <c r="AA28" s="30"/>
      <c r="AB28" s="30"/>
    </row>
    <row r="29" spans="2:84" x14ac:dyDescent="0.3">
      <c r="B29" s="30"/>
      <c r="C29" s="30"/>
      <c r="D29" s="30"/>
      <c r="E29" s="30"/>
      <c r="F29" s="30"/>
      <c r="G29" s="38"/>
      <c r="H29" s="38"/>
      <c r="I29" s="298" t="s">
        <v>455</v>
      </c>
      <c r="J29" s="299"/>
      <c r="K29" s="299"/>
      <c r="L29" s="38"/>
      <c r="M29" s="38"/>
      <c r="N29" s="38"/>
      <c r="O29" s="38"/>
      <c r="P29" s="38"/>
      <c r="Q29" s="38"/>
      <c r="R29" s="38"/>
      <c r="S29" s="38"/>
      <c r="T29" s="38"/>
      <c r="U29" s="38"/>
      <c r="V29" s="38"/>
      <c r="W29" s="38"/>
      <c r="X29" s="30"/>
      <c r="Y29" s="328">
        <f>Y11*21*1000</f>
        <v>1109.3880000000001</v>
      </c>
      <c r="Z29" s="328">
        <f t="shared" ref="Z29:AC29" si="118">Z11*21*1000</f>
        <v>1546.6289999999999</v>
      </c>
      <c r="AA29" s="328">
        <f t="shared" si="118"/>
        <v>1666.0559999999998</v>
      </c>
      <c r="AB29" s="328">
        <f t="shared" si="118"/>
        <v>2184.2310000000002</v>
      </c>
      <c r="AC29" s="328">
        <f t="shared" si="118"/>
        <v>2220.75</v>
      </c>
      <c r="AU29" s="328">
        <f>AU11*21*1000</f>
        <v>23.603999999999999</v>
      </c>
      <c r="AV29" s="328">
        <f t="shared" ref="AV29:AY29" si="119">AV11*21*1000</f>
        <v>32.906999999999996</v>
      </c>
      <c r="AW29" s="328">
        <f t="shared" si="119"/>
        <v>35.447999999999993</v>
      </c>
      <c r="AX29" s="328">
        <f t="shared" si="119"/>
        <v>46.472999999999992</v>
      </c>
      <c r="AY29" s="328">
        <f t="shared" si="119"/>
        <v>47.249999999999993</v>
      </c>
    </row>
    <row r="30" spans="2:84" x14ac:dyDescent="0.3">
      <c r="B30" s="30"/>
      <c r="C30" s="30"/>
      <c r="D30" s="30"/>
      <c r="E30" s="30"/>
      <c r="F30" s="30"/>
      <c r="G30" s="38"/>
      <c r="H30" s="38"/>
      <c r="I30" s="298" t="s">
        <v>456</v>
      </c>
      <c r="J30" s="299">
        <f>0.1*G11</f>
        <v>225</v>
      </c>
      <c r="K30" s="299"/>
      <c r="L30" s="38"/>
      <c r="M30" s="38"/>
      <c r="N30" s="38"/>
      <c r="O30" s="38"/>
      <c r="P30" s="38"/>
      <c r="Q30" s="38"/>
      <c r="R30" s="38"/>
      <c r="S30" s="38"/>
      <c r="T30" s="38"/>
      <c r="U30" s="38"/>
      <c r="V30" s="38"/>
      <c r="W30" s="38"/>
      <c r="X30" s="30"/>
      <c r="Y30" s="328">
        <f t="shared" ref="Y30:AC35" si="120">Y12*21*1000</f>
        <v>22616.054999999997</v>
      </c>
      <c r="Z30" s="328">
        <f t="shared" si="120"/>
        <v>22454.649000000001</v>
      </c>
      <c r="AA30" s="328">
        <f t="shared" si="120"/>
        <v>22678.824000000001</v>
      </c>
      <c r="AB30" s="328">
        <f t="shared" si="120"/>
        <v>19016.444999999996</v>
      </c>
      <c r="AC30" s="328">
        <f t="shared" si="120"/>
        <v>15816.506999999998</v>
      </c>
      <c r="AU30" s="328">
        <f t="shared" ref="AU30:AY39" si="121">AU12*21*1000</f>
        <v>11493.404999999999</v>
      </c>
      <c r="AV30" s="328">
        <f t="shared" si="121"/>
        <v>11411.379000000001</v>
      </c>
      <c r="AW30" s="328">
        <f t="shared" si="121"/>
        <v>11525.304</v>
      </c>
      <c r="AX30" s="328">
        <f t="shared" si="121"/>
        <v>9664.0949999999993</v>
      </c>
      <c r="AY30" s="328">
        <f t="shared" si="121"/>
        <v>8037.896999999999</v>
      </c>
    </row>
    <row r="31" spans="2:84" x14ac:dyDescent="0.3">
      <c r="B31" s="30"/>
      <c r="C31" s="30"/>
      <c r="D31" s="30"/>
      <c r="E31" s="30"/>
      <c r="F31" s="30"/>
      <c r="G31" s="38"/>
      <c r="H31" s="38"/>
      <c r="I31" s="298" t="s">
        <v>457</v>
      </c>
      <c r="J31" s="299">
        <f>J30+G11</f>
        <v>2475</v>
      </c>
      <c r="K31" s="299"/>
      <c r="L31" s="38"/>
      <c r="M31" s="38"/>
      <c r="N31" s="38"/>
      <c r="O31" s="38"/>
      <c r="P31" s="38"/>
      <c r="Q31" s="38"/>
      <c r="R31" s="38"/>
      <c r="S31" s="38"/>
      <c r="T31" s="38"/>
      <c r="U31" s="38"/>
      <c r="V31" s="38"/>
      <c r="W31" s="38"/>
      <c r="X31" s="30"/>
      <c r="Y31" s="328">
        <f t="shared" si="120"/>
        <v>3773.3849999999998</v>
      </c>
      <c r="Z31" s="328">
        <f t="shared" si="120"/>
        <v>2226.8399999999997</v>
      </c>
      <c r="AA31" s="328">
        <f t="shared" si="120"/>
        <v>2099.79</v>
      </c>
      <c r="AB31" s="328">
        <f t="shared" si="120"/>
        <v>1836.4499999999998</v>
      </c>
      <c r="AC31" s="328">
        <f t="shared" si="120"/>
        <v>1768.3050000000001</v>
      </c>
      <c r="AU31" s="328">
        <f t="shared" si="121"/>
        <v>137.214</v>
      </c>
      <c r="AV31" s="328">
        <f t="shared" si="121"/>
        <v>80.975999999999999</v>
      </c>
      <c r="AW31" s="328">
        <f t="shared" si="121"/>
        <v>76.355999999999995</v>
      </c>
      <c r="AX31" s="328">
        <f t="shared" si="121"/>
        <v>66.779999999999987</v>
      </c>
      <c r="AY31" s="328">
        <f t="shared" si="121"/>
        <v>64.301999999999992</v>
      </c>
    </row>
    <row r="32" spans="2:84" x14ac:dyDescent="0.3">
      <c r="B32" s="30"/>
      <c r="C32" s="30"/>
      <c r="D32" s="30"/>
      <c r="E32" s="30"/>
      <c r="F32" s="30"/>
      <c r="G32" s="38"/>
      <c r="H32" s="38"/>
      <c r="I32" s="38"/>
      <c r="J32" s="38"/>
      <c r="K32" s="38"/>
      <c r="L32" s="38"/>
      <c r="M32" s="38"/>
      <c r="N32" s="38"/>
      <c r="O32" s="38"/>
      <c r="P32" s="38"/>
      <c r="Q32" s="38"/>
      <c r="R32" s="38"/>
      <c r="S32" s="38"/>
      <c r="T32" s="38"/>
      <c r="U32" s="38"/>
      <c r="V32" s="38"/>
      <c r="W32" s="38"/>
      <c r="X32" s="30"/>
      <c r="Y32" s="328">
        <f t="shared" si="120"/>
        <v>2233.2449999999999</v>
      </c>
      <c r="Z32" s="328">
        <f t="shared" si="120"/>
        <v>2235.4499999999998</v>
      </c>
      <c r="AA32" s="328">
        <f t="shared" si="120"/>
        <v>2237.6549999999997</v>
      </c>
      <c r="AB32" s="328">
        <f t="shared" si="120"/>
        <v>2239.8599999999997</v>
      </c>
      <c r="AC32" s="328">
        <f t="shared" si="120"/>
        <v>2242.1699999999996</v>
      </c>
      <c r="AU32" s="328">
        <f t="shared" si="121"/>
        <v>89.329800000000006</v>
      </c>
      <c r="AV32" s="328">
        <f t="shared" si="121"/>
        <v>89.417999999999992</v>
      </c>
      <c r="AW32" s="328">
        <f t="shared" si="121"/>
        <v>89.506199999999993</v>
      </c>
      <c r="AX32" s="328">
        <f t="shared" si="121"/>
        <v>89.594400000000007</v>
      </c>
      <c r="AY32" s="328">
        <f t="shared" si="121"/>
        <v>89.686799999999991</v>
      </c>
    </row>
    <row r="33" spans="2:51" x14ac:dyDescent="0.3">
      <c r="B33" s="30"/>
      <c r="C33" s="30"/>
      <c r="D33" s="30"/>
      <c r="E33" s="30"/>
      <c r="F33" s="30"/>
      <c r="G33" s="38"/>
      <c r="H33" s="38"/>
      <c r="I33" s="298" t="s">
        <v>459</v>
      </c>
      <c r="J33" s="299"/>
      <c r="K33" s="299"/>
      <c r="L33" s="38"/>
      <c r="M33" s="38"/>
      <c r="N33" s="38"/>
      <c r="O33" s="38"/>
      <c r="P33" s="38"/>
      <c r="Q33" s="38"/>
      <c r="R33" s="38"/>
      <c r="S33" s="38"/>
      <c r="T33" s="38"/>
      <c r="U33" s="38"/>
      <c r="V33" s="38"/>
      <c r="W33" s="38"/>
      <c r="X33" s="30"/>
      <c r="Y33" s="328">
        <f t="shared" si="120"/>
        <v>20760.075000000001</v>
      </c>
      <c r="Z33" s="328">
        <f t="shared" si="120"/>
        <v>20863.920000000002</v>
      </c>
      <c r="AA33" s="328">
        <f t="shared" si="120"/>
        <v>21385.559999999998</v>
      </c>
      <c r="AB33" s="328">
        <f t="shared" si="120"/>
        <v>21920.114999999998</v>
      </c>
      <c r="AC33" s="328">
        <f t="shared" si="120"/>
        <v>22468.215</v>
      </c>
      <c r="AU33" s="328">
        <f t="shared" si="121"/>
        <v>913.44330000000002</v>
      </c>
      <c r="AV33" s="328">
        <f t="shared" si="121"/>
        <v>918.01247999999987</v>
      </c>
      <c r="AW33" s="328">
        <f t="shared" si="121"/>
        <v>940.96464000000003</v>
      </c>
      <c r="AX33" s="328">
        <f t="shared" si="121"/>
        <v>964.48505999999998</v>
      </c>
      <c r="AY33" s="328">
        <f t="shared" si="121"/>
        <v>988.60146000000009</v>
      </c>
    </row>
    <row r="34" spans="2:51" x14ac:dyDescent="0.3">
      <c r="B34" s="30"/>
      <c r="C34" s="30"/>
      <c r="D34" s="30"/>
      <c r="E34" s="30"/>
      <c r="F34" s="30"/>
      <c r="G34" s="38"/>
      <c r="H34" s="38"/>
      <c r="I34" s="298" t="s">
        <v>460</v>
      </c>
      <c r="J34" s="299">
        <f>0.1*G19</f>
        <v>706516.8</v>
      </c>
      <c r="K34" s="299"/>
      <c r="L34" s="38"/>
      <c r="M34" s="38"/>
      <c r="N34" s="38"/>
      <c r="O34" s="38"/>
      <c r="P34" s="38"/>
      <c r="Q34" s="38"/>
      <c r="R34" s="38"/>
      <c r="S34" s="38"/>
      <c r="T34" s="38"/>
      <c r="U34" s="38"/>
      <c r="V34" s="38"/>
      <c r="W34" s="38"/>
      <c r="X34" s="30"/>
      <c r="Y34" s="328">
        <f t="shared" si="120"/>
        <v>170.77200000000002</v>
      </c>
      <c r="Z34" s="328">
        <f t="shared" si="120"/>
        <v>159.09599999999998</v>
      </c>
      <c r="AA34" s="328">
        <f t="shared" si="120"/>
        <v>162.267</v>
      </c>
      <c r="AB34" s="328">
        <f t="shared" si="120"/>
        <v>165.50099999999998</v>
      </c>
      <c r="AC34" s="328">
        <f t="shared" si="120"/>
        <v>168.798</v>
      </c>
      <c r="AU34" s="328">
        <f t="shared" si="121"/>
        <v>1195.404</v>
      </c>
      <c r="AV34" s="328">
        <f t="shared" si="121"/>
        <v>1113.672</v>
      </c>
      <c r="AW34" s="328">
        <f t="shared" si="121"/>
        <v>1135.8689999999999</v>
      </c>
      <c r="AX34" s="328">
        <f t="shared" si="121"/>
        <v>1158.5070000000001</v>
      </c>
      <c r="AY34" s="328">
        <f t="shared" si="121"/>
        <v>1181.586</v>
      </c>
    </row>
    <row r="35" spans="2:51" x14ac:dyDescent="0.3">
      <c r="B35" s="30"/>
      <c r="C35" s="30"/>
      <c r="D35" s="30"/>
      <c r="E35" s="30"/>
      <c r="F35" s="30"/>
      <c r="G35" s="38"/>
      <c r="H35" s="38"/>
      <c r="I35" s="298" t="s">
        <v>461</v>
      </c>
      <c r="J35" s="299">
        <f>J34+G19</f>
        <v>7771684.7999999998</v>
      </c>
      <c r="K35" s="299"/>
      <c r="L35" s="38"/>
      <c r="M35" s="38"/>
      <c r="N35" s="38"/>
      <c r="O35" s="38"/>
      <c r="P35" s="38"/>
      <c r="Q35" s="38"/>
      <c r="R35" s="38"/>
      <c r="S35" s="38"/>
      <c r="T35" s="38"/>
      <c r="U35" s="38"/>
      <c r="V35" s="38"/>
      <c r="W35" s="38"/>
      <c r="X35" s="30"/>
      <c r="Y35" s="328">
        <f t="shared" si="120"/>
        <v>60.102000000000004</v>
      </c>
      <c r="Z35" s="328">
        <f t="shared" si="120"/>
        <v>62.747999999999998</v>
      </c>
      <c r="AA35" s="328">
        <f t="shared" si="120"/>
        <v>62.747999999999998</v>
      </c>
      <c r="AB35" s="328">
        <f t="shared" si="120"/>
        <v>62.747999999999998</v>
      </c>
      <c r="AC35" s="328">
        <f t="shared" si="120"/>
        <v>62.747999999999998</v>
      </c>
      <c r="AU35" s="328">
        <f t="shared" si="121"/>
        <v>7.312409999999999</v>
      </c>
      <c r="AV35" s="328">
        <f t="shared" si="121"/>
        <v>7.6343399999999981</v>
      </c>
      <c r="AW35" s="328">
        <f t="shared" si="121"/>
        <v>7.6343399999999981</v>
      </c>
      <c r="AX35" s="328">
        <f t="shared" si="121"/>
        <v>7.6343399999999981</v>
      </c>
      <c r="AY35" s="328">
        <f t="shared" si="121"/>
        <v>7.6343399999999981</v>
      </c>
    </row>
    <row r="36" spans="2:51" x14ac:dyDescent="0.3">
      <c r="B36" s="30"/>
      <c r="C36" s="30"/>
      <c r="D36" s="30"/>
      <c r="E36" s="30"/>
      <c r="F36" s="30"/>
      <c r="G36" s="38"/>
      <c r="H36" s="38"/>
      <c r="I36" s="38"/>
      <c r="J36" s="38">
        <v>7774817.1638692664</v>
      </c>
      <c r="K36" s="38"/>
      <c r="L36" s="38"/>
      <c r="M36" s="38"/>
      <c r="N36" s="38"/>
      <c r="O36" s="38"/>
      <c r="P36" s="38"/>
      <c r="Q36" s="38"/>
      <c r="R36" s="38"/>
      <c r="S36" s="38"/>
      <c r="T36" s="38"/>
      <c r="U36" s="38"/>
      <c r="V36" s="38"/>
      <c r="W36" s="38"/>
      <c r="X36" s="30"/>
      <c r="Y36" s="329">
        <f>SUM(Y29:Y35)</f>
        <v>50723.02199999999</v>
      </c>
      <c r="Z36" s="329">
        <f t="shared" ref="Z36:AC36" si="122">SUM(Z29:Z35)</f>
        <v>49549.332000000002</v>
      </c>
      <c r="AA36" s="329">
        <f t="shared" si="122"/>
        <v>50292.899999999994</v>
      </c>
      <c r="AB36" s="329">
        <f t="shared" si="122"/>
        <v>47425.349999999991</v>
      </c>
      <c r="AC36" s="329">
        <f t="shared" si="122"/>
        <v>44747.493000000002</v>
      </c>
      <c r="AU36" s="328">
        <f t="shared" si="121"/>
        <v>466.51206000000002</v>
      </c>
      <c r="AV36" s="328">
        <f t="shared" si="121"/>
        <v>480.50729999999993</v>
      </c>
      <c r="AW36" s="328">
        <f t="shared" si="121"/>
        <v>494.92254000000003</v>
      </c>
      <c r="AX36" s="328">
        <f t="shared" si="121"/>
        <v>509.77079999999995</v>
      </c>
      <c r="AY36" s="328">
        <f t="shared" si="121"/>
        <v>525.06384000000003</v>
      </c>
    </row>
    <row r="37" spans="2:51" x14ac:dyDescent="0.3">
      <c r="B37" s="30"/>
      <c r="C37" s="30"/>
      <c r="D37" s="30"/>
      <c r="E37" s="30"/>
      <c r="F37" s="30"/>
      <c r="G37" s="38"/>
      <c r="H37" s="38"/>
      <c r="I37" s="38"/>
      <c r="J37" s="38"/>
      <c r="K37" s="38"/>
      <c r="L37" s="38"/>
      <c r="M37" s="38"/>
      <c r="N37" s="38"/>
      <c r="O37" s="38"/>
      <c r="P37" s="38"/>
      <c r="Q37" s="38"/>
      <c r="R37" s="38"/>
      <c r="S37" s="38"/>
      <c r="T37" s="38"/>
      <c r="U37" s="38"/>
      <c r="V37" s="38"/>
      <c r="W37" s="38"/>
      <c r="X37" s="30"/>
      <c r="Y37" s="30"/>
      <c r="Z37" s="30"/>
      <c r="AA37" s="30"/>
      <c r="AB37" s="30"/>
      <c r="AC37" s="315">
        <f>((Y36-AC36)/Y36)/4</f>
        <v>2.9451759597446642E-2</v>
      </c>
      <c r="AU37" s="328">
        <f t="shared" si="121"/>
        <v>2392.2032399999998</v>
      </c>
      <c r="AV37" s="328">
        <f t="shared" si="121"/>
        <v>2406.8519999999999</v>
      </c>
      <c r="AW37" s="328">
        <f t="shared" si="121"/>
        <v>2479.0575599999997</v>
      </c>
      <c r="AX37" s="328">
        <f t="shared" si="121"/>
        <v>2547.2319600000001</v>
      </c>
      <c r="AY37" s="328">
        <f t="shared" si="121"/>
        <v>2967.3705600000003</v>
      </c>
    </row>
    <row r="38" spans="2:51" x14ac:dyDescent="0.3">
      <c r="B38" s="30"/>
      <c r="C38" s="30"/>
      <c r="D38" s="30"/>
      <c r="E38" s="30"/>
      <c r="F38" s="30"/>
      <c r="G38" s="38"/>
      <c r="H38" s="38"/>
      <c r="I38" s="38"/>
      <c r="J38" s="38"/>
      <c r="K38" s="38"/>
      <c r="L38" s="38"/>
      <c r="M38" s="38"/>
      <c r="N38" s="38"/>
      <c r="O38" s="38"/>
      <c r="P38" s="38"/>
      <c r="Q38" s="38"/>
      <c r="R38" s="38"/>
      <c r="S38" s="38"/>
      <c r="T38" s="38"/>
      <c r="U38" s="38"/>
      <c r="V38" s="38"/>
      <c r="W38" s="38"/>
      <c r="X38" s="30"/>
      <c r="Y38" s="30"/>
      <c r="Z38" s="30"/>
      <c r="AA38" s="30"/>
      <c r="AB38" s="30"/>
      <c r="AU38" s="328">
        <f t="shared" si="121"/>
        <v>572.80691999999999</v>
      </c>
      <c r="AV38" s="328">
        <f t="shared" si="121"/>
        <v>578.33999999999992</v>
      </c>
      <c r="AW38" s="328">
        <f t="shared" si="121"/>
        <v>589.90679999999998</v>
      </c>
      <c r="AX38" s="328">
        <f t="shared" si="121"/>
        <v>601.48619999999994</v>
      </c>
      <c r="AY38" s="328">
        <f t="shared" si="121"/>
        <v>613.51584000000003</v>
      </c>
    </row>
    <row r="39" spans="2:51" x14ac:dyDescent="0.3">
      <c r="AU39" s="328">
        <f t="shared" si="121"/>
        <v>60.407339999999998</v>
      </c>
      <c r="AV39" s="328">
        <f t="shared" si="121"/>
        <v>63.427560000000007</v>
      </c>
      <c r="AW39" s="328">
        <f t="shared" si="121"/>
        <v>66.598979999999997</v>
      </c>
      <c r="AX39" s="328">
        <f t="shared" si="121"/>
        <v>69.927480000000003</v>
      </c>
      <c r="AY39" s="328">
        <f t="shared" si="121"/>
        <v>73.42398</v>
      </c>
    </row>
    <row r="40" spans="2:51" x14ac:dyDescent="0.3">
      <c r="AU40" s="331">
        <f>SUM(AU29:AU39)</f>
        <v>17351.642069999998</v>
      </c>
      <c r="AV40" s="331">
        <f t="shared" ref="AV40:AY40" si="123">SUM(AV29:AV39)</f>
        <v>17183.125680000001</v>
      </c>
      <c r="AW40" s="331">
        <f t="shared" si="123"/>
        <v>17441.568060000001</v>
      </c>
      <c r="AX40" s="331">
        <f t="shared" si="123"/>
        <v>15725.98524</v>
      </c>
      <c r="AY40" s="331">
        <f t="shared" si="123"/>
        <v>14596.331819999999</v>
      </c>
    </row>
  </sheetData>
  <mergeCells count="17">
    <mergeCell ref="BP8:CF8"/>
    <mergeCell ref="BP9:CF9"/>
    <mergeCell ref="AC6:AS6"/>
    <mergeCell ref="AC7:AS7"/>
    <mergeCell ref="AC8:AS8"/>
    <mergeCell ref="AC9:AS9"/>
    <mergeCell ref="AY9:BO9"/>
    <mergeCell ref="AY8:BO8"/>
    <mergeCell ref="AY7:BO7"/>
    <mergeCell ref="AY6:BO6"/>
    <mergeCell ref="G5:X5"/>
    <mergeCell ref="BP5:CF5"/>
    <mergeCell ref="BP6:CF6"/>
    <mergeCell ref="BP7:CF7"/>
    <mergeCell ref="AC5:AS5"/>
    <mergeCell ref="G6:W6"/>
    <mergeCell ref="AT5:BO5"/>
  </mergeCells>
  <pageMargins left="0.41" right="0.21" top="0.75" bottom="0.75" header="0.3" footer="0.3"/>
  <pageSetup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A2:EK41"/>
  <sheetViews>
    <sheetView topLeftCell="BS1" zoomScaleNormal="100" workbookViewId="0">
      <selection activeCell="DQ10" sqref="DQ10"/>
    </sheetView>
  </sheetViews>
  <sheetFormatPr defaultRowHeight="14.4" x14ac:dyDescent="0.3"/>
  <cols>
    <col min="1" max="1" width="1.6640625" customWidth="1"/>
    <col min="2" max="2" width="13.33203125" customWidth="1"/>
    <col min="3" max="7" width="14.88671875" customWidth="1"/>
    <col min="8" max="24" width="13.88671875" customWidth="1"/>
    <col min="25" max="25" width="16.44140625" customWidth="1"/>
    <col min="26" max="26" width="10" customWidth="1"/>
    <col min="27" max="27" width="16.109375" customWidth="1"/>
    <col min="28" max="28" width="26.6640625" customWidth="1"/>
    <col min="29" max="32" width="12.109375" bestFit="1" customWidth="1"/>
    <col min="33" max="49" width="12.6640625" customWidth="1"/>
    <col min="50" max="50" width="18.33203125" customWidth="1"/>
    <col min="51" max="54" width="16.88671875" bestFit="1" customWidth="1"/>
    <col min="55" max="55" width="18.6640625" bestFit="1" customWidth="1"/>
    <col min="56" max="71" width="10.6640625" customWidth="1"/>
    <col min="72" max="72" width="18.33203125" customWidth="1"/>
    <col min="73" max="73" width="16" customWidth="1"/>
    <col min="74" max="74" width="14.109375" customWidth="1"/>
    <col min="75" max="75" width="14.44140625" customWidth="1"/>
    <col min="76" max="76" width="13.88671875" customWidth="1"/>
    <col min="77" max="97" width="15.109375" customWidth="1"/>
    <col min="98" max="98" width="20.6640625" customWidth="1"/>
    <col min="99" max="119" width="12.6640625" customWidth="1"/>
    <col min="120" max="120" width="16.44140625" customWidth="1"/>
    <col min="121" max="141" width="9.5546875" customWidth="1"/>
  </cols>
  <sheetData>
    <row r="2" spans="1:141" x14ac:dyDescent="0.3">
      <c r="B2" t="s">
        <v>0</v>
      </c>
      <c r="C2" t="s">
        <v>2</v>
      </c>
      <c r="BW2" t="s">
        <v>0</v>
      </c>
      <c r="BX2" t="s">
        <v>2</v>
      </c>
    </row>
    <row r="3" spans="1:141" x14ac:dyDescent="0.3">
      <c r="B3" t="s">
        <v>1</v>
      </c>
      <c r="C3" t="s">
        <v>134</v>
      </c>
      <c r="BW3" t="s">
        <v>1</v>
      </c>
      <c r="BX3" t="s">
        <v>133</v>
      </c>
    </row>
    <row r="4" spans="1:141" ht="6" customHeight="1" thickBot="1" x14ac:dyDescent="0.35"/>
    <row r="5" spans="1:141" x14ac:dyDescent="0.3">
      <c r="B5" s="361" t="s">
        <v>103</v>
      </c>
      <c r="C5" s="42" t="s">
        <v>3</v>
      </c>
      <c r="D5" s="241"/>
      <c r="E5" s="241"/>
      <c r="F5" s="241"/>
      <c r="G5" s="241"/>
      <c r="H5" s="368" t="s">
        <v>90</v>
      </c>
      <c r="I5" s="369"/>
      <c r="J5" s="369"/>
      <c r="K5" s="369"/>
      <c r="L5" s="369"/>
      <c r="M5" s="369"/>
      <c r="N5" s="369"/>
      <c r="O5" s="369"/>
      <c r="P5" s="369"/>
      <c r="Q5" s="369"/>
      <c r="R5" s="369"/>
      <c r="S5" s="369"/>
      <c r="T5" s="369"/>
      <c r="U5" s="369"/>
      <c r="V5" s="369"/>
      <c r="W5" s="369"/>
      <c r="X5" s="370"/>
      <c r="Y5" s="368" t="s">
        <v>99</v>
      </c>
      <c r="Z5" s="369"/>
      <c r="AA5" s="370"/>
      <c r="AB5" s="371" t="s">
        <v>90</v>
      </c>
      <c r="AC5" s="372"/>
      <c r="AD5" s="372"/>
      <c r="AE5" s="372"/>
      <c r="AF5" s="372"/>
      <c r="AG5" s="372"/>
      <c r="AH5" s="372"/>
      <c r="AI5" s="372"/>
      <c r="AJ5" s="372"/>
      <c r="AK5" s="372"/>
      <c r="AL5" s="372"/>
      <c r="AM5" s="372"/>
      <c r="AN5" s="372"/>
      <c r="AO5" s="372"/>
      <c r="AP5" s="372"/>
      <c r="AQ5" s="372"/>
      <c r="AR5" s="372"/>
      <c r="AS5" s="372"/>
      <c r="AT5" s="372"/>
      <c r="AU5" s="372"/>
      <c r="AV5" s="372"/>
      <c r="AW5" s="372"/>
      <c r="AX5" s="372"/>
      <c r="AY5" s="372"/>
      <c r="AZ5" s="372"/>
      <c r="BA5" s="372"/>
      <c r="BB5" s="372"/>
      <c r="BC5" s="372"/>
      <c r="BD5" s="372"/>
      <c r="BE5" s="372"/>
      <c r="BF5" s="372"/>
      <c r="BG5" s="372"/>
      <c r="BH5" s="372"/>
      <c r="BI5" s="372"/>
      <c r="BJ5" s="372"/>
      <c r="BK5" s="372"/>
      <c r="BL5" s="372"/>
      <c r="BM5" s="372"/>
      <c r="BN5" s="372"/>
      <c r="BO5" s="372"/>
      <c r="BP5" s="372"/>
      <c r="BQ5" s="372"/>
      <c r="BR5" s="372"/>
      <c r="BS5" s="372"/>
      <c r="BW5" s="361" t="s">
        <v>103</v>
      </c>
      <c r="BX5" s="42" t="s">
        <v>3</v>
      </c>
      <c r="BY5" s="71" t="s">
        <v>90</v>
      </c>
      <c r="BZ5" s="71"/>
      <c r="CA5" s="71"/>
      <c r="CB5" s="71"/>
      <c r="CC5" s="71"/>
      <c r="CD5" s="71"/>
      <c r="CE5" s="71"/>
      <c r="CF5" s="71"/>
      <c r="CG5" s="71"/>
      <c r="CH5" s="71"/>
      <c r="CI5" s="71"/>
      <c r="CJ5" s="71"/>
      <c r="CK5" s="71"/>
      <c r="CL5" s="71"/>
      <c r="CM5" s="71"/>
      <c r="CN5" s="71"/>
      <c r="CO5" s="71"/>
      <c r="CP5" s="71"/>
      <c r="CQ5" s="71"/>
      <c r="CR5" s="71"/>
      <c r="CS5" s="71"/>
      <c r="CT5" s="368" t="s">
        <v>146</v>
      </c>
      <c r="CU5" s="369"/>
      <c r="CV5" s="241"/>
      <c r="CW5" s="241"/>
      <c r="CX5" s="241"/>
      <c r="CY5" s="241"/>
      <c r="CZ5" s="241"/>
      <c r="DA5" s="241"/>
      <c r="DB5" s="241"/>
      <c r="DC5" s="241"/>
      <c r="DD5" s="241"/>
      <c r="DE5" s="241"/>
      <c r="DF5" s="241"/>
      <c r="DG5" s="241"/>
      <c r="DH5" s="241"/>
      <c r="DI5" s="241"/>
      <c r="DJ5" s="241"/>
      <c r="DK5" s="241"/>
      <c r="DL5" s="241"/>
      <c r="DM5" s="241"/>
      <c r="DN5" s="241"/>
      <c r="DO5" s="241"/>
      <c r="DP5" s="368" t="s">
        <v>147</v>
      </c>
      <c r="DQ5" s="369"/>
      <c r="DR5" s="369"/>
      <c r="DS5" s="369"/>
      <c r="DT5" s="369"/>
      <c r="DU5" s="369"/>
      <c r="DV5" s="369"/>
      <c r="DW5" s="369"/>
      <c r="DX5" s="369"/>
      <c r="DY5" s="369"/>
      <c r="DZ5" s="369"/>
      <c r="EA5" s="369"/>
      <c r="EB5" s="369"/>
      <c r="EC5" s="369"/>
      <c r="ED5" s="369"/>
      <c r="EE5" s="369"/>
      <c r="EF5" s="369"/>
      <c r="EG5" s="369"/>
      <c r="EH5" s="369"/>
      <c r="EI5" s="369"/>
      <c r="EJ5" s="369"/>
      <c r="EK5" s="369"/>
    </row>
    <row r="6" spans="1:141" ht="56.25" customHeight="1" x14ac:dyDescent="0.3">
      <c r="B6" s="362"/>
      <c r="C6" s="23" t="s">
        <v>12</v>
      </c>
      <c r="D6" s="277"/>
      <c r="E6" s="277"/>
      <c r="F6" s="277"/>
      <c r="G6" s="277"/>
      <c r="H6" s="353" t="s">
        <v>5</v>
      </c>
      <c r="I6" s="340"/>
      <c r="J6" s="340"/>
      <c r="K6" s="340"/>
      <c r="L6" s="340"/>
      <c r="M6" s="340"/>
      <c r="N6" s="340"/>
      <c r="O6" s="340"/>
      <c r="P6" s="340"/>
      <c r="Q6" s="340"/>
      <c r="R6" s="340"/>
      <c r="S6" s="340"/>
      <c r="T6" s="340"/>
      <c r="U6" s="340"/>
      <c r="V6" s="340"/>
      <c r="W6" s="340"/>
      <c r="X6" s="354"/>
      <c r="Y6" s="23" t="s">
        <v>89</v>
      </c>
      <c r="Z6" s="23" t="s">
        <v>94</v>
      </c>
      <c r="AA6" s="23" t="s">
        <v>97</v>
      </c>
      <c r="AB6" s="22" t="s">
        <v>343</v>
      </c>
      <c r="AC6" s="135"/>
      <c r="AD6" s="135"/>
      <c r="AE6" s="135"/>
      <c r="AF6" s="135"/>
      <c r="AG6" s="353" t="s">
        <v>110</v>
      </c>
      <c r="AH6" s="340"/>
      <c r="AI6" s="340"/>
      <c r="AJ6" s="340"/>
      <c r="AK6" s="340"/>
      <c r="AL6" s="340"/>
      <c r="AM6" s="340"/>
      <c r="AN6" s="340"/>
      <c r="AO6" s="340"/>
      <c r="AP6" s="340"/>
      <c r="AQ6" s="340"/>
      <c r="AR6" s="340"/>
      <c r="AS6" s="340"/>
      <c r="AT6" s="340"/>
      <c r="AU6" s="340"/>
      <c r="AV6" s="340"/>
      <c r="AW6" s="340"/>
      <c r="AX6" s="22" t="s">
        <v>107</v>
      </c>
      <c r="AY6" s="135"/>
      <c r="AZ6" s="135"/>
      <c r="BA6" s="135"/>
      <c r="BB6" s="135"/>
      <c r="BC6" s="353" t="s">
        <v>135</v>
      </c>
      <c r="BD6" s="340"/>
      <c r="BE6" s="340"/>
      <c r="BF6" s="340"/>
      <c r="BG6" s="340"/>
      <c r="BH6" s="340"/>
      <c r="BI6" s="340"/>
      <c r="BJ6" s="340"/>
      <c r="BK6" s="340"/>
      <c r="BL6" s="340"/>
      <c r="BM6" s="340"/>
      <c r="BN6" s="340"/>
      <c r="BO6" s="340"/>
      <c r="BP6" s="340"/>
      <c r="BQ6" s="340"/>
      <c r="BR6" s="340"/>
      <c r="BS6" s="341"/>
      <c r="BW6" s="362"/>
      <c r="BX6" s="379" t="s">
        <v>12</v>
      </c>
      <c r="BY6" s="353" t="s">
        <v>123</v>
      </c>
      <c r="BZ6" s="340"/>
      <c r="CA6" s="340"/>
      <c r="CB6" s="340"/>
      <c r="CC6" s="340"/>
      <c r="CD6" s="340"/>
      <c r="CE6" s="340"/>
      <c r="CF6" s="340"/>
      <c r="CG6" s="340"/>
      <c r="CH6" s="340"/>
      <c r="CI6" s="340"/>
      <c r="CJ6" s="340"/>
      <c r="CK6" s="340"/>
      <c r="CL6" s="340"/>
      <c r="CM6" s="340"/>
      <c r="CN6" s="340"/>
      <c r="CO6" s="340"/>
      <c r="CP6" s="340"/>
      <c r="CQ6" s="340"/>
      <c r="CR6" s="340"/>
      <c r="CS6" s="354"/>
      <c r="CT6" s="24" t="s">
        <v>132</v>
      </c>
      <c r="CU6" s="353" t="s">
        <v>126</v>
      </c>
      <c r="CV6" s="340"/>
      <c r="CW6" s="340"/>
      <c r="CX6" s="340"/>
      <c r="CY6" s="340"/>
      <c r="CZ6" s="340"/>
      <c r="DA6" s="340"/>
      <c r="DB6" s="340"/>
      <c r="DC6" s="340"/>
      <c r="DD6" s="340"/>
      <c r="DE6" s="340"/>
      <c r="DF6" s="340"/>
      <c r="DG6" s="340"/>
      <c r="DH6" s="340"/>
      <c r="DI6" s="340"/>
      <c r="DJ6" s="340"/>
      <c r="DK6" s="340"/>
      <c r="DL6" s="340"/>
      <c r="DM6" s="340"/>
      <c r="DN6" s="340"/>
      <c r="DO6" s="354"/>
      <c r="DP6" s="24" t="s">
        <v>128</v>
      </c>
      <c r="DQ6" s="380" t="s">
        <v>131</v>
      </c>
      <c r="DR6" s="380"/>
      <c r="DS6" s="380"/>
      <c r="DT6" s="380"/>
      <c r="DU6" s="380"/>
      <c r="DV6" s="380"/>
      <c r="DW6" s="380"/>
      <c r="DX6" s="380"/>
      <c r="DY6" s="380"/>
      <c r="DZ6" s="380"/>
      <c r="EA6" s="380"/>
      <c r="EB6" s="380"/>
      <c r="EC6" s="380"/>
      <c r="ED6" s="380"/>
      <c r="EE6" s="380"/>
      <c r="EF6" s="380"/>
      <c r="EG6" s="380"/>
      <c r="EH6" s="380"/>
      <c r="EI6" s="380"/>
      <c r="EJ6" s="380"/>
      <c r="EK6" s="380"/>
    </row>
    <row r="7" spans="1:141" ht="29.4" x14ac:dyDescent="0.35">
      <c r="A7" t="s">
        <v>342</v>
      </c>
      <c r="B7" s="362"/>
      <c r="C7" s="7"/>
      <c r="D7" s="44"/>
      <c r="E7" s="44"/>
      <c r="F7" s="44"/>
      <c r="G7" s="44"/>
      <c r="H7" s="355" t="s">
        <v>6</v>
      </c>
      <c r="I7" s="343"/>
      <c r="J7" s="343"/>
      <c r="K7" s="343"/>
      <c r="L7" s="343"/>
      <c r="M7" s="343"/>
      <c r="N7" s="343"/>
      <c r="O7" s="343"/>
      <c r="P7" s="343"/>
      <c r="Q7" s="343"/>
      <c r="R7" s="343"/>
      <c r="S7" s="343"/>
      <c r="T7" s="343"/>
      <c r="U7" s="343"/>
      <c r="V7" s="343"/>
      <c r="W7" s="343"/>
      <c r="X7" s="356"/>
      <c r="Y7" s="25" t="s">
        <v>96</v>
      </c>
      <c r="Z7" s="7" t="s">
        <v>95</v>
      </c>
      <c r="AA7" s="7" t="s">
        <v>98</v>
      </c>
      <c r="AB7" s="9" t="s">
        <v>100</v>
      </c>
      <c r="AC7" s="136"/>
      <c r="AD7" s="136"/>
      <c r="AE7" s="136"/>
      <c r="AF7" s="136"/>
      <c r="AG7" s="355" t="s">
        <v>109</v>
      </c>
      <c r="AH7" s="343"/>
      <c r="AI7" s="343"/>
      <c r="AJ7" s="343"/>
      <c r="AK7" s="343"/>
      <c r="AL7" s="343"/>
      <c r="AM7" s="343"/>
      <c r="AN7" s="343"/>
      <c r="AO7" s="343"/>
      <c r="AP7" s="343"/>
      <c r="AQ7" s="343"/>
      <c r="AR7" s="343"/>
      <c r="AS7" s="343"/>
      <c r="AT7" s="343"/>
      <c r="AU7" s="343"/>
      <c r="AV7" s="343"/>
      <c r="AW7" s="343"/>
      <c r="AX7" s="24" t="s">
        <v>108</v>
      </c>
      <c r="AY7" s="137"/>
      <c r="AZ7" s="137"/>
      <c r="BA7" s="137"/>
      <c r="BB7" s="137"/>
      <c r="BC7" s="355" t="s">
        <v>416</v>
      </c>
      <c r="BD7" s="343"/>
      <c r="BE7" s="343"/>
      <c r="BF7" s="343"/>
      <c r="BG7" s="343"/>
      <c r="BH7" s="343"/>
      <c r="BI7" s="343"/>
      <c r="BJ7" s="343"/>
      <c r="BK7" s="343"/>
      <c r="BL7" s="343"/>
      <c r="BM7" s="343"/>
      <c r="BN7" s="343"/>
      <c r="BO7" s="343"/>
      <c r="BP7" s="343"/>
      <c r="BQ7" s="343"/>
      <c r="BR7" s="343"/>
      <c r="BS7" s="344"/>
      <c r="BW7" s="362"/>
      <c r="BX7" s="379"/>
      <c r="BY7" s="376" t="s">
        <v>109</v>
      </c>
      <c r="BZ7" s="377"/>
      <c r="CA7" s="377"/>
      <c r="CB7" s="377"/>
      <c r="CC7" s="377"/>
      <c r="CD7" s="377"/>
      <c r="CE7" s="377"/>
      <c r="CF7" s="377"/>
      <c r="CG7" s="377"/>
      <c r="CH7" s="377"/>
      <c r="CI7" s="377"/>
      <c r="CJ7" s="377"/>
      <c r="CK7" s="377"/>
      <c r="CL7" s="377"/>
      <c r="CM7" s="377"/>
      <c r="CN7" s="377"/>
      <c r="CO7" s="377"/>
      <c r="CP7" s="377"/>
      <c r="CQ7" s="377"/>
      <c r="CR7" s="377"/>
      <c r="CS7" s="378"/>
      <c r="CT7" s="25" t="s">
        <v>100</v>
      </c>
      <c r="CU7" s="376" t="s">
        <v>109</v>
      </c>
      <c r="CV7" s="377"/>
      <c r="CW7" s="377"/>
      <c r="CX7" s="377"/>
      <c r="CY7" s="377"/>
      <c r="CZ7" s="377"/>
      <c r="DA7" s="377"/>
      <c r="DB7" s="377"/>
      <c r="DC7" s="377"/>
      <c r="DD7" s="377"/>
      <c r="DE7" s="377"/>
      <c r="DF7" s="377"/>
      <c r="DG7" s="377"/>
      <c r="DH7" s="377"/>
      <c r="DI7" s="377"/>
      <c r="DJ7" s="377"/>
      <c r="DK7" s="377"/>
      <c r="DL7" s="377"/>
      <c r="DM7" s="377"/>
      <c r="DN7" s="377"/>
      <c r="DO7" s="378"/>
      <c r="DP7" s="24" t="s">
        <v>130</v>
      </c>
      <c r="DQ7" s="374" t="s">
        <v>441</v>
      </c>
      <c r="DR7" s="374"/>
      <c r="DS7" s="374"/>
      <c r="DT7" s="374"/>
      <c r="DU7" s="374"/>
      <c r="DV7" s="374"/>
      <c r="DW7" s="374"/>
      <c r="DX7" s="374"/>
      <c r="DY7" s="374"/>
      <c r="DZ7" s="374"/>
      <c r="EA7" s="374"/>
      <c r="EB7" s="374"/>
      <c r="EC7" s="374"/>
      <c r="ED7" s="374"/>
      <c r="EE7" s="374"/>
      <c r="EF7" s="374"/>
      <c r="EG7" s="374"/>
      <c r="EH7" s="374"/>
      <c r="EI7" s="374"/>
      <c r="EJ7" s="374"/>
      <c r="EK7" s="374"/>
    </row>
    <row r="8" spans="1:141" ht="36.75" customHeight="1" x14ac:dyDescent="0.35">
      <c r="B8" s="362"/>
      <c r="C8" s="165"/>
      <c r="D8" s="280"/>
      <c r="E8" s="280"/>
      <c r="F8" s="280"/>
      <c r="G8" s="280"/>
      <c r="H8" s="365"/>
      <c r="I8" s="366"/>
      <c r="J8" s="366"/>
      <c r="K8" s="366"/>
      <c r="L8" s="366"/>
      <c r="M8" s="366"/>
      <c r="N8" s="366"/>
      <c r="O8" s="366"/>
      <c r="P8" s="366"/>
      <c r="Q8" s="366"/>
      <c r="R8" s="366"/>
      <c r="S8" s="366"/>
      <c r="T8" s="366"/>
      <c r="U8" s="366"/>
      <c r="V8" s="366"/>
      <c r="W8" s="366"/>
      <c r="X8" s="367"/>
      <c r="Y8" s="165"/>
      <c r="Z8" s="165"/>
      <c r="AA8" s="164" t="s">
        <v>101</v>
      </c>
      <c r="AB8" s="166"/>
      <c r="AC8" s="279"/>
      <c r="AD8" s="279"/>
      <c r="AE8" s="279"/>
      <c r="AF8" s="279"/>
      <c r="AG8" s="363" t="s">
        <v>105</v>
      </c>
      <c r="AH8" s="364"/>
      <c r="AI8" s="364"/>
      <c r="AJ8" s="364"/>
      <c r="AK8" s="364"/>
      <c r="AL8" s="364"/>
      <c r="AM8" s="364"/>
      <c r="AN8" s="364"/>
      <c r="AO8" s="364"/>
      <c r="AP8" s="364"/>
      <c r="AQ8" s="364"/>
      <c r="AR8" s="364"/>
      <c r="AS8" s="364"/>
      <c r="AT8" s="364"/>
      <c r="AU8" s="364"/>
      <c r="AV8" s="364"/>
      <c r="AW8" s="364"/>
      <c r="AX8" s="166"/>
      <c r="AY8" s="279"/>
      <c r="AZ8" s="279"/>
      <c r="BA8" s="279"/>
      <c r="BB8" s="279"/>
      <c r="BC8" s="363" t="s">
        <v>111</v>
      </c>
      <c r="BD8" s="364"/>
      <c r="BE8" s="364"/>
      <c r="BF8" s="364"/>
      <c r="BG8" s="364"/>
      <c r="BH8" s="364"/>
      <c r="BI8" s="364"/>
      <c r="BJ8" s="364"/>
      <c r="BK8" s="364"/>
      <c r="BL8" s="364"/>
      <c r="BM8" s="364"/>
      <c r="BN8" s="364"/>
      <c r="BO8" s="364"/>
      <c r="BP8" s="364"/>
      <c r="BQ8" s="364"/>
      <c r="BR8" s="364"/>
      <c r="BS8" s="373"/>
      <c r="BW8" s="362"/>
      <c r="BX8" s="379"/>
      <c r="BY8" s="376"/>
      <c r="BZ8" s="377"/>
      <c r="CA8" s="377"/>
      <c r="CB8" s="377"/>
      <c r="CC8" s="377"/>
      <c r="CD8" s="377"/>
      <c r="CE8" s="377"/>
      <c r="CF8" s="377"/>
      <c r="CG8" s="377"/>
      <c r="CH8" s="377"/>
      <c r="CI8" s="377"/>
      <c r="CJ8" s="377"/>
      <c r="CK8" s="377"/>
      <c r="CL8" s="377"/>
      <c r="CM8" s="377"/>
      <c r="CN8" s="377"/>
      <c r="CO8" s="377"/>
      <c r="CP8" s="377"/>
      <c r="CQ8" s="377"/>
      <c r="CR8" s="377"/>
      <c r="CS8" s="378"/>
      <c r="CT8" s="25"/>
      <c r="CU8" s="376" t="s">
        <v>137</v>
      </c>
      <c r="CV8" s="377"/>
      <c r="CW8" s="377"/>
      <c r="CX8" s="377"/>
      <c r="CY8" s="377"/>
      <c r="CZ8" s="377"/>
      <c r="DA8" s="377"/>
      <c r="DB8" s="377"/>
      <c r="DC8" s="377"/>
      <c r="DD8" s="377"/>
      <c r="DE8" s="377"/>
      <c r="DF8" s="377"/>
      <c r="DG8" s="377"/>
      <c r="DH8" s="377"/>
      <c r="DI8" s="377"/>
      <c r="DJ8" s="377"/>
      <c r="DK8" s="377"/>
      <c r="DL8" s="377"/>
      <c r="DM8" s="377"/>
      <c r="DN8" s="377"/>
      <c r="DO8" s="378"/>
      <c r="DP8" s="24"/>
      <c r="DQ8" s="374" t="s">
        <v>148</v>
      </c>
      <c r="DR8" s="374"/>
      <c r="DS8" s="374"/>
      <c r="DT8" s="374"/>
      <c r="DU8" s="374"/>
      <c r="DV8" s="374"/>
      <c r="DW8" s="374"/>
      <c r="DX8" s="374"/>
      <c r="DY8" s="374"/>
      <c r="DZ8" s="374"/>
      <c r="EA8" s="374"/>
      <c r="EB8" s="374"/>
      <c r="EC8" s="374"/>
      <c r="ED8" s="374"/>
      <c r="EE8" s="374"/>
      <c r="EF8" s="374"/>
      <c r="EG8" s="374"/>
      <c r="EH8" s="374"/>
      <c r="EI8" s="374"/>
      <c r="EJ8" s="374"/>
      <c r="EK8" s="374"/>
    </row>
    <row r="9" spans="1:141" ht="16.2" thickBot="1" x14ac:dyDescent="0.4">
      <c r="B9" s="13" t="s">
        <v>104</v>
      </c>
      <c r="C9" s="14" t="s">
        <v>11</v>
      </c>
      <c r="D9" s="276"/>
      <c r="E9" s="276"/>
      <c r="F9" s="276"/>
      <c r="G9" s="276"/>
      <c r="H9" s="357" t="s">
        <v>13</v>
      </c>
      <c r="I9" s="351"/>
      <c r="J9" s="351"/>
      <c r="K9" s="351"/>
      <c r="L9" s="351"/>
      <c r="M9" s="351"/>
      <c r="N9" s="351"/>
      <c r="O9" s="351"/>
      <c r="P9" s="351"/>
      <c r="Q9" s="351"/>
      <c r="R9" s="351"/>
      <c r="S9" s="351"/>
      <c r="T9" s="351"/>
      <c r="U9" s="351"/>
      <c r="V9" s="351"/>
      <c r="W9" s="351"/>
      <c r="X9" s="358"/>
      <c r="Y9" s="14" t="s">
        <v>93</v>
      </c>
      <c r="Z9" s="14" t="s">
        <v>91</v>
      </c>
      <c r="AA9" s="14" t="s">
        <v>92</v>
      </c>
      <c r="AB9" s="15" t="s">
        <v>102</v>
      </c>
      <c r="AC9" s="278"/>
      <c r="AD9" s="278"/>
      <c r="AE9" s="278"/>
      <c r="AF9" s="278"/>
      <c r="AG9" s="357" t="s">
        <v>106</v>
      </c>
      <c r="AH9" s="351"/>
      <c r="AI9" s="351"/>
      <c r="AJ9" s="351"/>
      <c r="AK9" s="351"/>
      <c r="AL9" s="351"/>
      <c r="AM9" s="351"/>
      <c r="AN9" s="351"/>
      <c r="AO9" s="351"/>
      <c r="AP9" s="351"/>
      <c r="AQ9" s="351"/>
      <c r="AR9" s="351"/>
      <c r="AS9" s="351"/>
      <c r="AT9" s="351"/>
      <c r="AU9" s="351"/>
      <c r="AV9" s="351"/>
      <c r="AW9" s="351"/>
      <c r="AX9" s="15"/>
      <c r="AY9" s="278"/>
      <c r="AZ9" s="278"/>
      <c r="BA9" s="278"/>
      <c r="BB9" s="278"/>
      <c r="BC9" s="357" t="s">
        <v>112</v>
      </c>
      <c r="BD9" s="351"/>
      <c r="BE9" s="351"/>
      <c r="BF9" s="351"/>
      <c r="BG9" s="351"/>
      <c r="BH9" s="351"/>
      <c r="BI9" s="351"/>
      <c r="BJ9" s="351"/>
      <c r="BK9" s="351"/>
      <c r="BL9" s="351"/>
      <c r="BM9" s="351"/>
      <c r="BN9" s="351"/>
      <c r="BO9" s="351"/>
      <c r="BP9" s="351"/>
      <c r="BQ9" s="351"/>
      <c r="BR9" s="351"/>
      <c r="BS9" s="352"/>
      <c r="BW9" s="13" t="s">
        <v>104</v>
      </c>
      <c r="BX9" s="14" t="s">
        <v>11</v>
      </c>
      <c r="BY9" s="357" t="s">
        <v>106</v>
      </c>
      <c r="BZ9" s="351"/>
      <c r="CA9" s="351"/>
      <c r="CB9" s="351"/>
      <c r="CC9" s="351"/>
      <c r="CD9" s="351"/>
      <c r="CE9" s="351"/>
      <c r="CF9" s="351"/>
      <c r="CG9" s="351"/>
      <c r="CH9" s="351"/>
      <c r="CI9" s="351"/>
      <c r="CJ9" s="351"/>
      <c r="CK9" s="351"/>
      <c r="CL9" s="351"/>
      <c r="CM9" s="351"/>
      <c r="CN9" s="351"/>
      <c r="CO9" s="351"/>
      <c r="CP9" s="351"/>
      <c r="CQ9" s="351"/>
      <c r="CR9" s="351"/>
      <c r="CS9" s="358"/>
      <c r="CT9" s="14" t="s">
        <v>125</v>
      </c>
      <c r="CU9" s="357" t="s">
        <v>127</v>
      </c>
      <c r="CV9" s="351"/>
      <c r="CW9" s="351"/>
      <c r="CX9" s="351"/>
      <c r="CY9" s="351"/>
      <c r="CZ9" s="351"/>
      <c r="DA9" s="351"/>
      <c r="DB9" s="351"/>
      <c r="DC9" s="351"/>
      <c r="DD9" s="351"/>
      <c r="DE9" s="351"/>
      <c r="DF9" s="351"/>
      <c r="DG9" s="351"/>
      <c r="DH9" s="351"/>
      <c r="DI9" s="351"/>
      <c r="DJ9" s="351"/>
      <c r="DK9" s="351"/>
      <c r="DL9" s="351"/>
      <c r="DM9" s="351"/>
      <c r="DN9" s="351"/>
      <c r="DO9" s="358"/>
      <c r="DP9" s="15" t="s">
        <v>144</v>
      </c>
      <c r="DQ9" s="375" t="s">
        <v>145</v>
      </c>
      <c r="DR9" s="375"/>
      <c r="DS9" s="375"/>
      <c r="DT9" s="375"/>
      <c r="DU9" s="375"/>
      <c r="DV9" s="375"/>
      <c r="DW9" s="375"/>
      <c r="DX9" s="375"/>
      <c r="DY9" s="375"/>
      <c r="DZ9" s="375"/>
      <c r="EA9" s="375"/>
      <c r="EB9" s="375"/>
      <c r="EC9" s="375"/>
      <c r="ED9" s="375"/>
      <c r="EE9" s="375"/>
      <c r="EF9" s="375"/>
      <c r="EG9" s="375"/>
      <c r="EH9" s="375"/>
      <c r="EI9" s="375"/>
      <c r="EJ9" s="375"/>
      <c r="EK9" s="375"/>
    </row>
    <row r="10" spans="1:141" x14ac:dyDescent="0.3">
      <c r="B10" s="6"/>
      <c r="C10" s="8"/>
      <c r="D10" s="8">
        <f t="shared" ref="D10:F10" si="0">E10-1</f>
        <v>2010</v>
      </c>
      <c r="E10" s="8">
        <f t="shared" si="0"/>
        <v>2011</v>
      </c>
      <c r="F10" s="8">
        <f t="shared" si="0"/>
        <v>2012</v>
      </c>
      <c r="G10" s="8">
        <f>H10-1</f>
        <v>2013</v>
      </c>
      <c r="H10" s="80">
        <f>'3A1 dan 2 Peternakan-CH4'!G10</f>
        <v>2014</v>
      </c>
      <c r="I10" s="80">
        <f>'3A1 dan 2 Peternakan-CH4'!H10</f>
        <v>2015</v>
      </c>
      <c r="J10" s="80">
        <f>'3A1 dan 2 Peternakan-CH4'!I10</f>
        <v>2016</v>
      </c>
      <c r="K10" s="80">
        <f>'3A1 dan 2 Peternakan-CH4'!J10</f>
        <v>2017</v>
      </c>
      <c r="L10" s="80">
        <f>'3A1 dan 2 Peternakan-CH4'!K10</f>
        <v>2018</v>
      </c>
      <c r="M10" s="80">
        <f>'3A1 dan 2 Peternakan-CH4'!L10</f>
        <v>2019</v>
      </c>
      <c r="N10" s="80">
        <f>'3A1 dan 2 Peternakan-CH4'!M10</f>
        <v>2020</v>
      </c>
      <c r="O10" s="80">
        <f>'3A1 dan 2 Peternakan-CH4'!N10</f>
        <v>2021</v>
      </c>
      <c r="P10" s="80">
        <f>'3A1 dan 2 Peternakan-CH4'!O10</f>
        <v>2022</v>
      </c>
      <c r="Q10" s="80">
        <f>'3A1 dan 2 Peternakan-CH4'!P10</f>
        <v>2023</v>
      </c>
      <c r="R10" s="80">
        <f>'3A1 dan 2 Peternakan-CH4'!Q10</f>
        <v>2024</v>
      </c>
      <c r="S10" s="80">
        <f>'3A1 dan 2 Peternakan-CH4'!R10</f>
        <v>2025</v>
      </c>
      <c r="T10" s="80">
        <f>'3A1 dan 2 Peternakan-CH4'!S10</f>
        <v>2026</v>
      </c>
      <c r="U10" s="80">
        <f>'3A1 dan 2 Peternakan-CH4'!T10</f>
        <v>2027</v>
      </c>
      <c r="V10" s="80">
        <f>'3A1 dan 2 Peternakan-CH4'!U10</f>
        <v>2028</v>
      </c>
      <c r="W10" s="80">
        <f>'3A1 dan 2 Peternakan-CH4'!V10</f>
        <v>2029</v>
      </c>
      <c r="X10" s="80">
        <f>'3A1 dan 2 Peternakan-CH4'!W10</f>
        <v>2030</v>
      </c>
      <c r="Y10" s="80" t="s">
        <v>120</v>
      </c>
      <c r="Z10" s="8"/>
      <c r="AA10" s="8"/>
      <c r="AB10" s="80" t="s">
        <v>122</v>
      </c>
      <c r="AC10" s="80">
        <f t="shared" ref="AC10:AE10" si="1">AD10-1</f>
        <v>2010</v>
      </c>
      <c r="AD10" s="80">
        <f t="shared" si="1"/>
        <v>2011</v>
      </c>
      <c r="AE10" s="80">
        <f t="shared" si="1"/>
        <v>2012</v>
      </c>
      <c r="AF10" s="80">
        <f>AG10-1</f>
        <v>2013</v>
      </c>
      <c r="AG10" s="102">
        <f t="shared" ref="AG10:AW10" si="2">H10</f>
        <v>2014</v>
      </c>
      <c r="AH10" s="102">
        <f t="shared" si="2"/>
        <v>2015</v>
      </c>
      <c r="AI10" s="102">
        <f t="shared" si="2"/>
        <v>2016</v>
      </c>
      <c r="AJ10" s="102">
        <f t="shared" si="2"/>
        <v>2017</v>
      </c>
      <c r="AK10" s="102">
        <f t="shared" si="2"/>
        <v>2018</v>
      </c>
      <c r="AL10" s="102">
        <f t="shared" si="2"/>
        <v>2019</v>
      </c>
      <c r="AM10" s="102">
        <f t="shared" si="2"/>
        <v>2020</v>
      </c>
      <c r="AN10" s="102">
        <f t="shared" si="2"/>
        <v>2021</v>
      </c>
      <c r="AO10" s="102">
        <f t="shared" si="2"/>
        <v>2022</v>
      </c>
      <c r="AP10" s="102">
        <f t="shared" si="2"/>
        <v>2023</v>
      </c>
      <c r="AQ10" s="102">
        <f t="shared" si="2"/>
        <v>2024</v>
      </c>
      <c r="AR10" s="102">
        <f t="shared" si="2"/>
        <v>2025</v>
      </c>
      <c r="AS10" s="102">
        <f t="shared" si="2"/>
        <v>2026</v>
      </c>
      <c r="AT10" s="102">
        <f t="shared" si="2"/>
        <v>2027</v>
      </c>
      <c r="AU10" s="102">
        <f t="shared" si="2"/>
        <v>2028</v>
      </c>
      <c r="AV10" s="102">
        <f t="shared" si="2"/>
        <v>2029</v>
      </c>
      <c r="AW10" s="102">
        <f t="shared" si="2"/>
        <v>2030</v>
      </c>
      <c r="AX10" s="80" t="s">
        <v>121</v>
      </c>
      <c r="AY10" s="80">
        <f t="shared" ref="AY10:BA10" si="3">AZ10-1</f>
        <v>2010</v>
      </c>
      <c r="AZ10" s="80">
        <f t="shared" si="3"/>
        <v>2011</v>
      </c>
      <c r="BA10" s="80">
        <f t="shared" si="3"/>
        <v>2012</v>
      </c>
      <c r="BB10" s="80">
        <f>BC10-1</f>
        <v>2013</v>
      </c>
      <c r="BC10" s="218">
        <f t="shared" ref="BC10:BN10" si="4">H10</f>
        <v>2014</v>
      </c>
      <c r="BD10" s="218">
        <f t="shared" si="4"/>
        <v>2015</v>
      </c>
      <c r="BE10" s="218">
        <f t="shared" si="4"/>
        <v>2016</v>
      </c>
      <c r="BF10" s="218">
        <f t="shared" si="4"/>
        <v>2017</v>
      </c>
      <c r="BG10" s="218">
        <f t="shared" si="4"/>
        <v>2018</v>
      </c>
      <c r="BH10" s="218">
        <f t="shared" si="4"/>
        <v>2019</v>
      </c>
      <c r="BI10" s="218">
        <f t="shared" si="4"/>
        <v>2020</v>
      </c>
      <c r="BJ10" s="218">
        <f t="shared" si="4"/>
        <v>2021</v>
      </c>
      <c r="BK10" s="218">
        <f t="shared" si="4"/>
        <v>2022</v>
      </c>
      <c r="BL10" s="218">
        <f t="shared" si="4"/>
        <v>2023</v>
      </c>
      <c r="BM10" s="218">
        <f t="shared" si="4"/>
        <v>2024</v>
      </c>
      <c r="BN10" s="218">
        <f t="shared" si="4"/>
        <v>2025</v>
      </c>
      <c r="BO10" s="218">
        <f t="shared" ref="BO10" si="5">T10</f>
        <v>2026</v>
      </c>
      <c r="BP10" s="218">
        <f t="shared" ref="BP10" si="6">U10</f>
        <v>2027</v>
      </c>
      <c r="BQ10" s="218">
        <f t="shared" ref="BQ10" si="7">V10</f>
        <v>2028</v>
      </c>
      <c r="BR10" s="218">
        <f t="shared" ref="BR10" si="8">W10</f>
        <v>2029</v>
      </c>
      <c r="BS10" s="219">
        <f t="shared" ref="BS10" si="9">X10</f>
        <v>2030</v>
      </c>
      <c r="BW10" s="6"/>
      <c r="BX10" s="8"/>
      <c r="BY10" s="80">
        <f>AY10</f>
        <v>2010</v>
      </c>
      <c r="BZ10" s="80">
        <f t="shared" ref="BZ10:CQ10" si="10">AZ10</f>
        <v>2011</v>
      </c>
      <c r="CA10" s="80">
        <f t="shared" si="10"/>
        <v>2012</v>
      </c>
      <c r="CB10" s="80">
        <f t="shared" si="10"/>
        <v>2013</v>
      </c>
      <c r="CC10" s="80">
        <f t="shared" si="10"/>
        <v>2014</v>
      </c>
      <c r="CD10" s="80">
        <f t="shared" si="10"/>
        <v>2015</v>
      </c>
      <c r="CE10" s="80">
        <f t="shared" si="10"/>
        <v>2016</v>
      </c>
      <c r="CF10" s="80">
        <f t="shared" si="10"/>
        <v>2017</v>
      </c>
      <c r="CG10" s="80">
        <f t="shared" si="10"/>
        <v>2018</v>
      </c>
      <c r="CH10" s="80">
        <f t="shared" si="10"/>
        <v>2019</v>
      </c>
      <c r="CI10" s="80">
        <f t="shared" si="10"/>
        <v>2020</v>
      </c>
      <c r="CJ10" s="80">
        <f t="shared" si="10"/>
        <v>2021</v>
      </c>
      <c r="CK10" s="80">
        <f t="shared" si="10"/>
        <v>2022</v>
      </c>
      <c r="CL10" s="80">
        <f t="shared" si="10"/>
        <v>2023</v>
      </c>
      <c r="CM10" s="80">
        <f t="shared" si="10"/>
        <v>2024</v>
      </c>
      <c r="CN10" s="80">
        <f t="shared" si="10"/>
        <v>2025</v>
      </c>
      <c r="CO10" s="80">
        <f t="shared" si="10"/>
        <v>2026</v>
      </c>
      <c r="CP10" s="80">
        <f t="shared" si="10"/>
        <v>2027</v>
      </c>
      <c r="CQ10" s="80">
        <f t="shared" si="10"/>
        <v>2028</v>
      </c>
      <c r="CR10" s="80">
        <f t="shared" ref="CR10" si="11">BR10</f>
        <v>2029</v>
      </c>
      <c r="CS10" s="80">
        <f t="shared" ref="CS10" si="12">BS10</f>
        <v>2030</v>
      </c>
      <c r="CT10" s="80" t="s">
        <v>124</v>
      </c>
      <c r="CU10" s="80">
        <v>2010</v>
      </c>
      <c r="CV10" s="80">
        <f>CU10+1</f>
        <v>2011</v>
      </c>
      <c r="CW10" s="80">
        <f t="shared" ref="CW10:DO10" si="13">CV10+1</f>
        <v>2012</v>
      </c>
      <c r="CX10" s="80">
        <f t="shared" si="13"/>
        <v>2013</v>
      </c>
      <c r="CY10" s="80">
        <f t="shared" si="13"/>
        <v>2014</v>
      </c>
      <c r="CZ10" s="80">
        <f t="shared" si="13"/>
        <v>2015</v>
      </c>
      <c r="DA10" s="80">
        <f t="shared" si="13"/>
        <v>2016</v>
      </c>
      <c r="DB10" s="80">
        <f t="shared" si="13"/>
        <v>2017</v>
      </c>
      <c r="DC10" s="80">
        <f t="shared" si="13"/>
        <v>2018</v>
      </c>
      <c r="DD10" s="80">
        <f t="shared" si="13"/>
        <v>2019</v>
      </c>
      <c r="DE10" s="80">
        <f t="shared" si="13"/>
        <v>2020</v>
      </c>
      <c r="DF10" s="80">
        <f t="shared" si="13"/>
        <v>2021</v>
      </c>
      <c r="DG10" s="80">
        <f t="shared" si="13"/>
        <v>2022</v>
      </c>
      <c r="DH10" s="80">
        <f t="shared" si="13"/>
        <v>2023</v>
      </c>
      <c r="DI10" s="80">
        <f t="shared" si="13"/>
        <v>2024</v>
      </c>
      <c r="DJ10" s="80">
        <f t="shared" si="13"/>
        <v>2025</v>
      </c>
      <c r="DK10" s="80">
        <f t="shared" si="13"/>
        <v>2026</v>
      </c>
      <c r="DL10" s="80">
        <f t="shared" si="13"/>
        <v>2027</v>
      </c>
      <c r="DM10" s="80">
        <f t="shared" si="13"/>
        <v>2028</v>
      </c>
      <c r="DN10" s="80">
        <f t="shared" si="13"/>
        <v>2029</v>
      </c>
      <c r="DO10" s="80">
        <f t="shared" si="13"/>
        <v>2030</v>
      </c>
      <c r="DP10" s="80" t="s">
        <v>129</v>
      </c>
      <c r="DQ10" s="102">
        <v>2010</v>
      </c>
      <c r="DR10" s="102">
        <f>DQ10+1</f>
        <v>2011</v>
      </c>
      <c r="DS10" s="102">
        <f t="shared" ref="DS10:EK10" si="14">DR10+1</f>
        <v>2012</v>
      </c>
      <c r="DT10" s="102">
        <f t="shared" si="14"/>
        <v>2013</v>
      </c>
      <c r="DU10" s="102">
        <f t="shared" si="14"/>
        <v>2014</v>
      </c>
      <c r="DV10" s="102">
        <f t="shared" si="14"/>
        <v>2015</v>
      </c>
      <c r="DW10" s="102">
        <f t="shared" si="14"/>
        <v>2016</v>
      </c>
      <c r="DX10" s="102">
        <f t="shared" si="14"/>
        <v>2017</v>
      </c>
      <c r="DY10" s="102">
        <f t="shared" si="14"/>
        <v>2018</v>
      </c>
      <c r="DZ10" s="102">
        <f t="shared" si="14"/>
        <v>2019</v>
      </c>
      <c r="EA10" s="102">
        <f t="shared" si="14"/>
        <v>2020</v>
      </c>
      <c r="EB10" s="102">
        <f t="shared" si="14"/>
        <v>2021</v>
      </c>
      <c r="EC10" s="102">
        <f t="shared" si="14"/>
        <v>2022</v>
      </c>
      <c r="ED10" s="102">
        <f t="shared" si="14"/>
        <v>2023</v>
      </c>
      <c r="EE10" s="102">
        <f t="shared" si="14"/>
        <v>2024</v>
      </c>
      <c r="EF10" s="102">
        <f t="shared" si="14"/>
        <v>2025</v>
      </c>
      <c r="EG10" s="102">
        <f t="shared" si="14"/>
        <v>2026</v>
      </c>
      <c r="EH10" s="102">
        <f t="shared" si="14"/>
        <v>2027</v>
      </c>
      <c r="EI10" s="102">
        <f t="shared" si="14"/>
        <v>2028</v>
      </c>
      <c r="EJ10" s="102">
        <f t="shared" si="14"/>
        <v>2029</v>
      </c>
      <c r="EK10" s="102">
        <f t="shared" si="14"/>
        <v>2030</v>
      </c>
    </row>
    <row r="11" spans="1:141" x14ac:dyDescent="0.3">
      <c r="B11" s="6"/>
      <c r="C11" s="73" t="str">
        <f>'3A1 dan 2 Peternakan-CH4'!B11</f>
        <v>Sapi pedaging</v>
      </c>
      <c r="D11" s="76">
        <f>'3A1 dan 2 Peternakan-CH4'!C11</f>
        <v>1124</v>
      </c>
      <c r="E11" s="76">
        <f>'3A1 dan 2 Peternakan-CH4'!D11</f>
        <v>1567</v>
      </c>
      <c r="F11" s="76">
        <f>'3A1 dan 2 Peternakan-CH4'!E11</f>
        <v>1688</v>
      </c>
      <c r="G11" s="76">
        <f>'3A1 dan 2 Peternakan-CH4'!F11</f>
        <v>2213</v>
      </c>
      <c r="H11" s="76">
        <f>'3A1 dan 2 Peternakan-CH4'!G11</f>
        <v>2250</v>
      </c>
      <c r="I11" s="76">
        <f>'3A1 dan 2 Peternakan-CH4'!H11</f>
        <v>2263.5</v>
      </c>
      <c r="J11" s="76">
        <f>'3A1 dan 2 Peternakan-CH4'!I11</f>
        <v>2277.0810000000001</v>
      </c>
      <c r="K11" s="76">
        <f>'3A1 dan 2 Peternakan-CH4'!J11</f>
        <v>2290.7434860000003</v>
      </c>
      <c r="L11" s="76">
        <f>'3A1 dan 2 Peternakan-CH4'!K11</f>
        <v>2304.4879469160005</v>
      </c>
      <c r="M11" s="76">
        <f>'3A1 dan 2 Peternakan-CH4'!L11</f>
        <v>2318.3148745974963</v>
      </c>
      <c r="N11" s="76">
        <f>'3A1 dan 2 Peternakan-CH4'!M11</f>
        <v>2332.2247638450813</v>
      </c>
      <c r="O11" s="76">
        <f>'3A1 dan 2 Peternakan-CH4'!N11</f>
        <v>2346.2181124281519</v>
      </c>
      <c r="P11" s="76">
        <f>'3A1 dan 2 Peternakan-CH4'!O11</f>
        <v>2360.2954211027209</v>
      </c>
      <c r="Q11" s="76">
        <f>'3A1 dan 2 Peternakan-CH4'!P11</f>
        <v>2374.4571936293373</v>
      </c>
      <c r="R11" s="76">
        <f>'3A1 dan 2 Peternakan-CH4'!Q11</f>
        <v>2388.7039367911134</v>
      </c>
      <c r="S11" s="76">
        <f>'3A1 dan 2 Peternakan-CH4'!R11</f>
        <v>2403.0361604118602</v>
      </c>
      <c r="T11" s="76">
        <f>'3A1 dan 2 Peternakan-CH4'!S11</f>
        <v>2417.4543773743312</v>
      </c>
      <c r="U11" s="76">
        <f>'3A1 dan 2 Peternakan-CH4'!T11</f>
        <v>2431.9591036385773</v>
      </c>
      <c r="V11" s="76">
        <f>'3A1 dan 2 Peternakan-CH4'!U11</f>
        <v>2446.5508582604089</v>
      </c>
      <c r="W11" s="76">
        <f>'3A1 dan 2 Peternakan-CH4'!V11</f>
        <v>2461.2301634099713</v>
      </c>
      <c r="X11" s="76">
        <f>'3A1 dan 2 Peternakan-CH4'!W11</f>
        <v>2475.9975443904309</v>
      </c>
      <c r="Y11" s="77">
        <f>AA25</f>
        <v>0.34</v>
      </c>
      <c r="Z11" s="77">
        <f>Y25</f>
        <v>319</v>
      </c>
      <c r="AA11" s="250">
        <f>Y11*(Z11/10^3)*365</f>
        <v>39.587900000000005</v>
      </c>
      <c r="AB11" s="79">
        <f>AG$25/100</f>
        <v>0.02</v>
      </c>
      <c r="AC11" s="251">
        <f>D11*$AA11*$AB11</f>
        <v>889.93599200000017</v>
      </c>
      <c r="AD11" s="251">
        <f t="shared" ref="AD11:AD21" si="15">E11*$AA11*$AB11</f>
        <v>1240.6847860000003</v>
      </c>
      <c r="AE11" s="251">
        <f t="shared" ref="AE11:AE21" si="16">F11*$AA11*$AB11</f>
        <v>1336.4875040000002</v>
      </c>
      <c r="AF11" s="251">
        <f t="shared" ref="AF11:AF21" si="17">G11*$AA11*$AB11</f>
        <v>1752.1604540000003</v>
      </c>
      <c r="AG11" s="251">
        <f t="shared" ref="AG11:AG21" si="18">H11*$AA11*$AB11</f>
        <v>1781.4555000000003</v>
      </c>
      <c r="AH11" s="251">
        <f t="shared" ref="AH11:AH21" si="19">I11*$AA11*$AB11</f>
        <v>1792.1442330000002</v>
      </c>
      <c r="AI11" s="251">
        <f t="shared" ref="AI11:AI21" si="20">J11*$AA11*$AB11</f>
        <v>1802.8970983980003</v>
      </c>
      <c r="AJ11" s="251">
        <f t="shared" ref="AJ11:AJ21" si="21">K11*$AA11*$AB11</f>
        <v>1813.7144809883885</v>
      </c>
      <c r="AK11" s="251">
        <f t="shared" ref="AK11:AK21" si="22">L11*$AA11*$AB11</f>
        <v>1824.5967678743191</v>
      </c>
      <c r="AL11" s="251">
        <f t="shared" ref="AL11:AL21" si="23">M11*$AA11*$AB11</f>
        <v>1835.5443484815646</v>
      </c>
      <c r="AM11" s="251">
        <f t="shared" ref="AM11:AM21" si="24">N11*$AA11*$AB11</f>
        <v>1846.5576145724542</v>
      </c>
      <c r="AN11" s="251">
        <f t="shared" ref="AN11:AN21" si="25">O11*$AA11*$AB11</f>
        <v>1857.6369602598891</v>
      </c>
      <c r="AO11" s="251">
        <f t="shared" ref="AO11:AO21" si="26">P11*$AA11*$AB11</f>
        <v>1868.7827820214484</v>
      </c>
      <c r="AP11" s="251">
        <f t="shared" ref="AP11:AP21" si="27">Q11*$AA11*$AB11</f>
        <v>1879.9954787135771</v>
      </c>
      <c r="AQ11" s="251">
        <f t="shared" ref="AQ11:AQ21" si="28">R11*$AA11*$AB11</f>
        <v>1891.2754515858585</v>
      </c>
      <c r="AR11" s="251">
        <f t="shared" ref="AR11:AR21" si="29">S11*$AA11*$AB11</f>
        <v>1902.6231042953739</v>
      </c>
      <c r="AS11" s="251">
        <f t="shared" ref="AS11:AS21" si="30">T11*$AA11*$AB11</f>
        <v>1914.0388429211459</v>
      </c>
      <c r="AT11" s="251">
        <f t="shared" ref="AT11:AT21" si="31">U11*$AA11*$AB11</f>
        <v>1925.523075978673</v>
      </c>
      <c r="AU11" s="251">
        <f t="shared" ref="AU11:AU21" si="32">V11*$AA11*$AB11</f>
        <v>1937.0762144345449</v>
      </c>
      <c r="AV11" s="251">
        <f t="shared" ref="AV11:AV21" si="33">W11*$AA11*$AB11</f>
        <v>1948.6986717211523</v>
      </c>
      <c r="AW11" s="251">
        <f t="shared" ref="AW11:AW21" si="34">X11*$AA11*$AB11</f>
        <v>1960.3908637514789</v>
      </c>
      <c r="AX11" s="78">
        <v>0.02</v>
      </c>
      <c r="AY11" s="251">
        <f>AC11*$AX11*(44/28)</f>
        <v>27.969416891428576</v>
      </c>
      <c r="AZ11" s="251">
        <f t="shared" ref="AZ11:BS21" si="35">AD11*$AX11*(44/28)</f>
        <v>38.992950417142865</v>
      </c>
      <c r="BA11" s="251">
        <f t="shared" si="35"/>
        <v>42.003892982857145</v>
      </c>
      <c r="BB11" s="251">
        <f t="shared" si="35"/>
        <v>55.067899982857149</v>
      </c>
      <c r="BC11" s="251">
        <f t="shared" si="35"/>
        <v>55.988601428571435</v>
      </c>
      <c r="BD11" s="251">
        <f t="shared" si="35"/>
        <v>56.324533037142864</v>
      </c>
      <c r="BE11" s="251">
        <f t="shared" si="35"/>
        <v>56.66248023536572</v>
      </c>
      <c r="BF11" s="251">
        <f t="shared" si="35"/>
        <v>57.002455116777924</v>
      </c>
      <c r="BG11" s="251">
        <f t="shared" si="35"/>
        <v>57.344469847478599</v>
      </c>
      <c r="BH11" s="251">
        <f t="shared" si="35"/>
        <v>57.688536666563465</v>
      </c>
      <c r="BI11" s="251">
        <f t="shared" si="35"/>
        <v>58.03466788656285</v>
      </c>
      <c r="BJ11" s="251">
        <f t="shared" si="35"/>
        <v>58.382875893882229</v>
      </c>
      <c r="BK11" s="251">
        <f t="shared" si="35"/>
        <v>58.733173149245516</v>
      </c>
      <c r="BL11" s="251">
        <f t="shared" si="35"/>
        <v>59.085572188140993</v>
      </c>
      <c r="BM11" s="251">
        <f t="shared" si="35"/>
        <v>59.440085621269837</v>
      </c>
      <c r="BN11" s="251">
        <f t="shared" si="35"/>
        <v>59.796726134997463</v>
      </c>
      <c r="BO11" s="251">
        <f t="shared" si="35"/>
        <v>60.155506491807444</v>
      </c>
      <c r="BP11" s="251">
        <f t="shared" si="35"/>
        <v>60.516439530758298</v>
      </c>
      <c r="BQ11" s="251">
        <f t="shared" si="35"/>
        <v>60.87953816794284</v>
      </c>
      <c r="BR11" s="251">
        <f t="shared" si="35"/>
        <v>61.2448153969505</v>
      </c>
      <c r="BS11" s="251">
        <f t="shared" si="35"/>
        <v>61.612284289332187</v>
      </c>
      <c r="BW11" s="6"/>
      <c r="BX11" s="73" t="str">
        <f t="shared" ref="BX11:BX17" si="36">C11</f>
        <v>Sapi pedaging</v>
      </c>
      <c r="BY11" s="252">
        <f>AC11</f>
        <v>889.93599200000017</v>
      </c>
      <c r="BZ11" s="252">
        <f t="shared" ref="BZ11:BZ17" si="37">AD11</f>
        <v>1240.6847860000003</v>
      </c>
      <c r="CA11" s="252">
        <f t="shared" ref="CA11:CA17" si="38">AE11</f>
        <v>1336.4875040000002</v>
      </c>
      <c r="CB11" s="252">
        <f t="shared" ref="CB11:CB17" si="39">AF11</f>
        <v>1752.1604540000003</v>
      </c>
      <c r="CC11" s="252">
        <f t="shared" ref="CC11:CC17" si="40">AG11</f>
        <v>1781.4555000000003</v>
      </c>
      <c r="CD11" s="252">
        <f t="shared" ref="CD11:CD17" si="41">AH11</f>
        <v>1792.1442330000002</v>
      </c>
      <c r="CE11" s="252">
        <f t="shared" ref="CE11:CE17" si="42">AI11</f>
        <v>1802.8970983980003</v>
      </c>
      <c r="CF11" s="252">
        <f t="shared" ref="CF11:CF17" si="43">AJ11</f>
        <v>1813.7144809883885</v>
      </c>
      <c r="CG11" s="252">
        <f t="shared" ref="CG11:CG17" si="44">AK11</f>
        <v>1824.5967678743191</v>
      </c>
      <c r="CH11" s="252">
        <f t="shared" ref="CH11:CH17" si="45">AL11</f>
        <v>1835.5443484815646</v>
      </c>
      <c r="CI11" s="252">
        <f t="shared" ref="CI11:CI17" si="46">AM11</f>
        <v>1846.5576145724542</v>
      </c>
      <c r="CJ11" s="252">
        <f t="shared" ref="CJ11:CJ17" si="47">AN11</f>
        <v>1857.6369602598891</v>
      </c>
      <c r="CK11" s="252">
        <f t="shared" ref="CK11:CK17" si="48">AO11</f>
        <v>1868.7827820214484</v>
      </c>
      <c r="CL11" s="252">
        <f t="shared" ref="CL11:CL17" si="49">AP11</f>
        <v>1879.9954787135771</v>
      </c>
      <c r="CM11" s="252">
        <f t="shared" ref="CM11:CM17" si="50">AQ11</f>
        <v>1891.2754515858585</v>
      </c>
      <c r="CN11" s="252">
        <f t="shared" ref="CN11:CN17" si="51">AR11</f>
        <v>1902.6231042953739</v>
      </c>
      <c r="CO11" s="252">
        <f t="shared" ref="CO11:CO17" si="52">AS11</f>
        <v>1914.0388429211459</v>
      </c>
      <c r="CP11" s="252">
        <f t="shared" ref="CP11:CP17" si="53">AT11</f>
        <v>1925.523075978673</v>
      </c>
      <c r="CQ11" s="252">
        <f t="shared" ref="CQ11:CQ17" si="54">AU11</f>
        <v>1937.0762144345449</v>
      </c>
      <c r="CR11" s="252">
        <f t="shared" ref="CR11:CR17" si="55">AV11</f>
        <v>1948.6986717211523</v>
      </c>
      <c r="CS11" s="252">
        <f t="shared" ref="CS11:CS17" si="56">AW11</f>
        <v>1960.3908637514789</v>
      </c>
      <c r="CT11" s="77">
        <f t="shared" ref="CT11:CT15" si="57">CT25</f>
        <v>0.2</v>
      </c>
      <c r="CU11" s="253">
        <f>BY11*$CT11</f>
        <v>177.98719840000004</v>
      </c>
      <c r="CV11" s="253">
        <f t="shared" ref="CV11:CV17" si="58">BZ11*$CT11</f>
        <v>248.13695720000007</v>
      </c>
      <c r="CW11" s="253">
        <f t="shared" ref="CW11:CW17" si="59">CA11*$CT11</f>
        <v>267.29750080000002</v>
      </c>
      <c r="CX11" s="253">
        <f t="shared" ref="CX11:CX17" si="60">CB11*$CT11</f>
        <v>350.43209080000008</v>
      </c>
      <c r="CY11" s="253">
        <f t="shared" ref="CY11:CY17" si="61">CC11*$CT11</f>
        <v>356.29110000000009</v>
      </c>
      <c r="CZ11" s="253">
        <f t="shared" ref="CZ11:CZ17" si="62">CD11*$CT11</f>
        <v>358.42884660000004</v>
      </c>
      <c r="DA11" s="253">
        <f t="shared" ref="DA11:DA17" si="63">CE11*$CT11</f>
        <v>360.57941967960005</v>
      </c>
      <c r="DB11" s="253">
        <f t="shared" ref="DB11:DB17" si="64">CF11*$CT11</f>
        <v>362.74289619767774</v>
      </c>
      <c r="DC11" s="253">
        <f t="shared" ref="DC11:DC17" si="65">CG11*$CT11</f>
        <v>364.91935357486386</v>
      </c>
      <c r="DD11" s="253">
        <f t="shared" ref="DD11:DD17" si="66">CH11*$CT11</f>
        <v>367.10886969631292</v>
      </c>
      <c r="DE11" s="253">
        <f t="shared" ref="DE11:DE17" si="67">CI11*$CT11</f>
        <v>369.31152291449087</v>
      </c>
      <c r="DF11" s="253">
        <f t="shared" ref="DF11:DF17" si="68">CJ11*$CT11</f>
        <v>371.52739205197781</v>
      </c>
      <c r="DG11" s="253">
        <f t="shared" ref="DG11:DG17" si="69">CK11*$CT11</f>
        <v>373.75655640428971</v>
      </c>
      <c r="DH11" s="253">
        <f t="shared" ref="DH11:DH17" si="70">CL11*$CT11</f>
        <v>375.99909574271544</v>
      </c>
      <c r="DI11" s="253">
        <f t="shared" ref="DI11:DI17" si="71">CM11*$CT11</f>
        <v>378.25509031717172</v>
      </c>
      <c r="DJ11" s="253">
        <f t="shared" ref="DJ11:DJ17" si="72">CN11*$CT11</f>
        <v>380.52462085907479</v>
      </c>
      <c r="DK11" s="253">
        <f t="shared" ref="DK11:DK17" si="73">CO11*$CT11</f>
        <v>382.80776858422922</v>
      </c>
      <c r="DL11" s="253">
        <f t="shared" ref="DL11:DL17" si="74">CP11*$CT11</f>
        <v>385.1046151957346</v>
      </c>
      <c r="DM11" s="253">
        <f t="shared" ref="DM11:DM17" si="75">CQ11*$CT11</f>
        <v>387.41524288690903</v>
      </c>
      <c r="DN11" s="253">
        <f t="shared" ref="DN11:DN17" si="76">CR11*$CT11</f>
        <v>389.7397343442305</v>
      </c>
      <c r="DO11" s="253">
        <f t="shared" ref="DO11:DO17" si="77">CS11*$CT11</f>
        <v>392.07817275029583</v>
      </c>
      <c r="DP11" s="254">
        <f>$DQ$26</f>
        <v>0.01</v>
      </c>
      <c r="DQ11" s="244">
        <f>CU11*$DP11*(44/28)</f>
        <v>2.7969416891428578</v>
      </c>
      <c r="DR11" s="244">
        <f t="shared" ref="DR11:EK17" si="78">CV11*$DP11*(44/28)</f>
        <v>3.8992950417142866</v>
      </c>
      <c r="DS11" s="244">
        <f t="shared" si="78"/>
        <v>4.2003892982857147</v>
      </c>
      <c r="DT11" s="244">
        <f t="shared" si="78"/>
        <v>5.5067899982857158</v>
      </c>
      <c r="DU11" s="244">
        <f t="shared" si="78"/>
        <v>5.5988601428571441</v>
      </c>
      <c r="DV11" s="244">
        <f t="shared" si="78"/>
        <v>5.6324533037142857</v>
      </c>
      <c r="DW11" s="244">
        <f t="shared" si="78"/>
        <v>5.6662480235365722</v>
      </c>
      <c r="DX11" s="244">
        <f t="shared" si="78"/>
        <v>5.7002455116777933</v>
      </c>
      <c r="DY11" s="244">
        <f t="shared" si="78"/>
        <v>5.7344469847478603</v>
      </c>
      <c r="DZ11" s="244">
        <f t="shared" si="78"/>
        <v>5.7688536666563452</v>
      </c>
      <c r="EA11" s="244">
        <f t="shared" si="78"/>
        <v>5.8034667886562845</v>
      </c>
      <c r="EB11" s="244">
        <f t="shared" si="78"/>
        <v>5.8382875893882229</v>
      </c>
      <c r="EC11" s="244">
        <f t="shared" si="78"/>
        <v>5.8733173149245532</v>
      </c>
      <c r="ED11" s="244">
        <f t="shared" si="78"/>
        <v>5.9085572188141002</v>
      </c>
      <c r="EE11" s="244">
        <f t="shared" si="78"/>
        <v>5.9440085621269843</v>
      </c>
      <c r="EF11" s="244">
        <f t="shared" si="78"/>
        <v>5.9796726134997469</v>
      </c>
      <c r="EG11" s="244">
        <f t="shared" si="78"/>
        <v>6.0155506491807449</v>
      </c>
      <c r="EH11" s="244">
        <f t="shared" si="78"/>
        <v>6.0516439530758293</v>
      </c>
      <c r="EI11" s="244">
        <f t="shared" si="78"/>
        <v>6.0879538167942853</v>
      </c>
      <c r="EJ11" s="244">
        <f t="shared" si="78"/>
        <v>6.1244815396950507</v>
      </c>
      <c r="EK11" s="244">
        <f t="shared" si="78"/>
        <v>6.1612284289332209</v>
      </c>
    </row>
    <row r="12" spans="1:141" x14ac:dyDescent="0.3">
      <c r="B12" s="6"/>
      <c r="C12" s="73" t="str">
        <f>'3A1 dan 2 Peternakan-CH4'!B12</f>
        <v>Sapi perah</v>
      </c>
      <c r="D12" s="76">
        <f>'3A1 dan 2 Peternakan-CH4'!C12</f>
        <v>17655</v>
      </c>
      <c r="E12" s="76">
        <f>'3A1 dan 2 Peternakan-CH4'!D12</f>
        <v>17529</v>
      </c>
      <c r="F12" s="76">
        <f>'3A1 dan 2 Peternakan-CH4'!E12</f>
        <v>17704</v>
      </c>
      <c r="G12" s="76">
        <f>'3A1 dan 2 Peternakan-CH4'!F12</f>
        <v>14845</v>
      </c>
      <c r="H12" s="76">
        <f>'3A1 dan 2 Peternakan-CH4'!G12</f>
        <v>12347</v>
      </c>
      <c r="I12" s="76">
        <f>'3A1 dan 2 Peternakan-CH4'!H12</f>
        <v>12347</v>
      </c>
      <c r="J12" s="76">
        <f>'3A1 dan 2 Peternakan-CH4'!I12</f>
        <v>12347</v>
      </c>
      <c r="K12" s="76">
        <f>'3A1 dan 2 Peternakan-CH4'!J12</f>
        <v>12347</v>
      </c>
      <c r="L12" s="76">
        <f>'3A1 dan 2 Peternakan-CH4'!K12</f>
        <v>12347</v>
      </c>
      <c r="M12" s="76">
        <f>'3A1 dan 2 Peternakan-CH4'!L12</f>
        <v>12347</v>
      </c>
      <c r="N12" s="76">
        <f>'3A1 dan 2 Peternakan-CH4'!M12</f>
        <v>12347</v>
      </c>
      <c r="O12" s="76">
        <f>'3A1 dan 2 Peternakan-CH4'!N12</f>
        <v>12347</v>
      </c>
      <c r="P12" s="76">
        <f>'3A1 dan 2 Peternakan-CH4'!O12</f>
        <v>12347</v>
      </c>
      <c r="Q12" s="76">
        <f>'3A1 dan 2 Peternakan-CH4'!P12</f>
        <v>12347</v>
      </c>
      <c r="R12" s="76">
        <f>'3A1 dan 2 Peternakan-CH4'!Q12</f>
        <v>12347</v>
      </c>
      <c r="S12" s="76">
        <f>'3A1 dan 2 Peternakan-CH4'!R12</f>
        <v>12347</v>
      </c>
      <c r="T12" s="76">
        <f>'3A1 dan 2 Peternakan-CH4'!S12</f>
        <v>12347</v>
      </c>
      <c r="U12" s="76">
        <f>'3A1 dan 2 Peternakan-CH4'!T12</f>
        <v>12347</v>
      </c>
      <c r="V12" s="76">
        <f>'3A1 dan 2 Peternakan-CH4'!U12</f>
        <v>12347</v>
      </c>
      <c r="W12" s="76">
        <f>'3A1 dan 2 Peternakan-CH4'!V12</f>
        <v>12347</v>
      </c>
      <c r="X12" s="76">
        <f>'3A1 dan 2 Peternakan-CH4'!W12</f>
        <v>12347</v>
      </c>
      <c r="Y12" s="77">
        <f t="shared" ref="Y12:Y21" si="79">AA26</f>
        <v>0.47</v>
      </c>
      <c r="Z12" s="77">
        <f t="shared" ref="Z12:Z21" si="80">Y26</f>
        <v>350</v>
      </c>
      <c r="AA12" s="250">
        <f>Y12*(Z12/10^3)*365</f>
        <v>60.04249999999999</v>
      </c>
      <c r="AB12" s="79">
        <f t="shared" ref="AB12:AB16" si="81">AG$25/100</f>
        <v>0.02</v>
      </c>
      <c r="AC12" s="251">
        <f t="shared" ref="AC12:AC21" si="82">D12*$AA12*$AB12</f>
        <v>21201.006749999997</v>
      </c>
      <c r="AD12" s="251">
        <f t="shared" si="15"/>
        <v>21049.699649999999</v>
      </c>
      <c r="AE12" s="251">
        <f t="shared" si="16"/>
        <v>21259.848399999999</v>
      </c>
      <c r="AF12" s="251">
        <f t="shared" si="17"/>
        <v>17826.618249999996</v>
      </c>
      <c r="AG12" s="251">
        <f t="shared" si="18"/>
        <v>14826.894949999996</v>
      </c>
      <c r="AH12" s="251">
        <f t="shared" si="19"/>
        <v>14826.894949999996</v>
      </c>
      <c r="AI12" s="251">
        <f t="shared" si="20"/>
        <v>14826.894949999996</v>
      </c>
      <c r="AJ12" s="251">
        <f t="shared" si="21"/>
        <v>14826.894949999996</v>
      </c>
      <c r="AK12" s="251">
        <f t="shared" si="22"/>
        <v>14826.894949999996</v>
      </c>
      <c r="AL12" s="251">
        <f t="shared" si="23"/>
        <v>14826.894949999996</v>
      </c>
      <c r="AM12" s="251">
        <f t="shared" si="24"/>
        <v>14826.894949999996</v>
      </c>
      <c r="AN12" s="251">
        <f t="shared" si="25"/>
        <v>14826.894949999996</v>
      </c>
      <c r="AO12" s="251">
        <f t="shared" si="26"/>
        <v>14826.894949999996</v>
      </c>
      <c r="AP12" s="251">
        <f t="shared" si="27"/>
        <v>14826.894949999996</v>
      </c>
      <c r="AQ12" s="251">
        <f t="shared" si="28"/>
        <v>14826.894949999996</v>
      </c>
      <c r="AR12" s="251">
        <f t="shared" si="29"/>
        <v>14826.894949999996</v>
      </c>
      <c r="AS12" s="251">
        <f t="shared" si="30"/>
        <v>14826.894949999996</v>
      </c>
      <c r="AT12" s="251">
        <f t="shared" si="31"/>
        <v>14826.894949999996</v>
      </c>
      <c r="AU12" s="251">
        <f t="shared" si="32"/>
        <v>14826.894949999996</v>
      </c>
      <c r="AV12" s="251">
        <f t="shared" si="33"/>
        <v>14826.894949999996</v>
      </c>
      <c r="AW12" s="251">
        <f t="shared" si="34"/>
        <v>14826.894949999996</v>
      </c>
      <c r="AX12" s="78">
        <v>0.02</v>
      </c>
      <c r="AY12" s="251">
        <f t="shared" ref="AY12:AY21" si="83">AC12*$AX12*(44/28)</f>
        <v>666.31735499999991</v>
      </c>
      <c r="AZ12" s="251">
        <f t="shared" si="35"/>
        <v>661.56198899999993</v>
      </c>
      <c r="BA12" s="251">
        <f t="shared" si="35"/>
        <v>668.16666399999997</v>
      </c>
      <c r="BB12" s="251">
        <f t="shared" si="35"/>
        <v>560.26514499999985</v>
      </c>
      <c r="BC12" s="251">
        <f t="shared" si="35"/>
        <v>465.98812699999985</v>
      </c>
      <c r="BD12" s="251">
        <f t="shared" si="35"/>
        <v>465.98812699999985</v>
      </c>
      <c r="BE12" s="251">
        <f t="shared" si="35"/>
        <v>465.98812699999985</v>
      </c>
      <c r="BF12" s="251">
        <f t="shared" si="35"/>
        <v>465.98812699999985</v>
      </c>
      <c r="BG12" s="251">
        <f t="shared" si="35"/>
        <v>465.98812699999985</v>
      </c>
      <c r="BH12" s="251">
        <f t="shared" si="35"/>
        <v>465.98812699999985</v>
      </c>
      <c r="BI12" s="251">
        <f t="shared" si="35"/>
        <v>465.98812699999985</v>
      </c>
      <c r="BJ12" s="251">
        <f t="shared" si="35"/>
        <v>465.98812699999985</v>
      </c>
      <c r="BK12" s="251">
        <f t="shared" si="35"/>
        <v>465.98812699999985</v>
      </c>
      <c r="BL12" s="251">
        <f t="shared" si="35"/>
        <v>465.98812699999985</v>
      </c>
      <c r="BM12" s="251">
        <f t="shared" si="35"/>
        <v>465.98812699999985</v>
      </c>
      <c r="BN12" s="251">
        <f t="shared" si="35"/>
        <v>465.98812699999985</v>
      </c>
      <c r="BO12" s="251">
        <f t="shared" si="35"/>
        <v>465.98812699999985</v>
      </c>
      <c r="BP12" s="251">
        <f t="shared" si="35"/>
        <v>465.98812699999985</v>
      </c>
      <c r="BQ12" s="251">
        <f t="shared" si="35"/>
        <v>465.98812699999985</v>
      </c>
      <c r="BR12" s="251">
        <f t="shared" si="35"/>
        <v>465.98812699999985</v>
      </c>
      <c r="BS12" s="251">
        <f t="shared" si="35"/>
        <v>465.98812699999985</v>
      </c>
      <c r="BW12" s="6"/>
      <c r="BX12" s="73" t="str">
        <f t="shared" si="36"/>
        <v>Sapi perah</v>
      </c>
      <c r="BY12" s="252">
        <f t="shared" ref="BY12:BY17" si="84">AC12</f>
        <v>21201.006749999997</v>
      </c>
      <c r="BZ12" s="252">
        <f t="shared" si="37"/>
        <v>21049.699649999999</v>
      </c>
      <c r="CA12" s="252">
        <f t="shared" si="38"/>
        <v>21259.848399999999</v>
      </c>
      <c r="CB12" s="252">
        <f t="shared" si="39"/>
        <v>17826.618249999996</v>
      </c>
      <c r="CC12" s="252">
        <f t="shared" si="40"/>
        <v>14826.894949999996</v>
      </c>
      <c r="CD12" s="252">
        <f t="shared" si="41"/>
        <v>14826.894949999996</v>
      </c>
      <c r="CE12" s="252">
        <f t="shared" si="42"/>
        <v>14826.894949999996</v>
      </c>
      <c r="CF12" s="252">
        <f t="shared" si="43"/>
        <v>14826.894949999996</v>
      </c>
      <c r="CG12" s="252">
        <f t="shared" si="44"/>
        <v>14826.894949999996</v>
      </c>
      <c r="CH12" s="252">
        <f t="shared" si="45"/>
        <v>14826.894949999996</v>
      </c>
      <c r="CI12" s="252">
        <f t="shared" si="46"/>
        <v>14826.894949999996</v>
      </c>
      <c r="CJ12" s="252">
        <f t="shared" si="47"/>
        <v>14826.894949999996</v>
      </c>
      <c r="CK12" s="252">
        <f t="shared" si="48"/>
        <v>14826.894949999996</v>
      </c>
      <c r="CL12" s="252">
        <f t="shared" si="49"/>
        <v>14826.894949999996</v>
      </c>
      <c r="CM12" s="252">
        <f t="shared" si="50"/>
        <v>14826.894949999996</v>
      </c>
      <c r="CN12" s="252">
        <f t="shared" si="51"/>
        <v>14826.894949999996</v>
      </c>
      <c r="CO12" s="252">
        <f t="shared" si="52"/>
        <v>14826.894949999996</v>
      </c>
      <c r="CP12" s="252">
        <f t="shared" si="53"/>
        <v>14826.894949999996</v>
      </c>
      <c r="CQ12" s="252">
        <f t="shared" si="54"/>
        <v>14826.894949999996</v>
      </c>
      <c r="CR12" s="252">
        <f t="shared" si="55"/>
        <v>14826.894949999996</v>
      </c>
      <c r="CS12" s="252">
        <f t="shared" si="56"/>
        <v>14826.894949999996</v>
      </c>
      <c r="CT12" s="77">
        <f t="shared" si="57"/>
        <v>0.3</v>
      </c>
      <c r="CU12" s="253">
        <f t="shared" ref="CU12:CU17" si="85">BY12*$CT12</f>
        <v>6360.302024999999</v>
      </c>
      <c r="CV12" s="253">
        <f t="shared" si="58"/>
        <v>6314.9098949999998</v>
      </c>
      <c r="CW12" s="253">
        <f t="shared" si="59"/>
        <v>6377.9545199999993</v>
      </c>
      <c r="CX12" s="253">
        <f t="shared" si="60"/>
        <v>5347.9854749999986</v>
      </c>
      <c r="CY12" s="253">
        <f t="shared" si="61"/>
        <v>4448.0684849999989</v>
      </c>
      <c r="CZ12" s="253">
        <f t="shared" si="62"/>
        <v>4448.0684849999989</v>
      </c>
      <c r="DA12" s="253">
        <f t="shared" si="63"/>
        <v>4448.0684849999989</v>
      </c>
      <c r="DB12" s="253">
        <f t="shared" si="64"/>
        <v>4448.0684849999989</v>
      </c>
      <c r="DC12" s="253">
        <f t="shared" si="65"/>
        <v>4448.0684849999989</v>
      </c>
      <c r="DD12" s="253">
        <f t="shared" si="66"/>
        <v>4448.0684849999989</v>
      </c>
      <c r="DE12" s="253">
        <f t="shared" si="67"/>
        <v>4448.0684849999989</v>
      </c>
      <c r="DF12" s="253">
        <f t="shared" si="68"/>
        <v>4448.0684849999989</v>
      </c>
      <c r="DG12" s="253">
        <f t="shared" si="69"/>
        <v>4448.0684849999989</v>
      </c>
      <c r="DH12" s="253">
        <f t="shared" si="70"/>
        <v>4448.0684849999989</v>
      </c>
      <c r="DI12" s="253">
        <f t="shared" si="71"/>
        <v>4448.0684849999989</v>
      </c>
      <c r="DJ12" s="253">
        <f t="shared" si="72"/>
        <v>4448.0684849999989</v>
      </c>
      <c r="DK12" s="253">
        <f t="shared" si="73"/>
        <v>4448.0684849999989</v>
      </c>
      <c r="DL12" s="253">
        <f t="shared" si="74"/>
        <v>4448.0684849999989</v>
      </c>
      <c r="DM12" s="253">
        <f t="shared" si="75"/>
        <v>4448.0684849999989</v>
      </c>
      <c r="DN12" s="253">
        <f t="shared" si="76"/>
        <v>4448.0684849999989</v>
      </c>
      <c r="DO12" s="253">
        <f t="shared" si="77"/>
        <v>4448.0684849999989</v>
      </c>
      <c r="DP12" s="254">
        <f t="shared" ref="DP12:DP17" si="86">$DQ$26</f>
        <v>0.01</v>
      </c>
      <c r="DQ12" s="244">
        <f t="shared" ref="DQ12:DQ17" si="87">CU12*$DP12*(44/28)</f>
        <v>99.947603249999986</v>
      </c>
      <c r="DR12" s="244">
        <f t="shared" si="78"/>
        <v>99.234298350000003</v>
      </c>
      <c r="DS12" s="244">
        <f t="shared" si="78"/>
        <v>100.22499959999999</v>
      </c>
      <c r="DT12" s="244">
        <f t="shared" si="78"/>
        <v>84.039771749999971</v>
      </c>
      <c r="DU12" s="244">
        <f t="shared" si="78"/>
        <v>69.89821904999998</v>
      </c>
      <c r="DV12" s="244">
        <f t="shared" si="78"/>
        <v>69.89821904999998</v>
      </c>
      <c r="DW12" s="244">
        <f t="shared" si="78"/>
        <v>69.89821904999998</v>
      </c>
      <c r="DX12" s="244">
        <f t="shared" si="78"/>
        <v>69.89821904999998</v>
      </c>
      <c r="DY12" s="244">
        <f t="shared" si="78"/>
        <v>69.89821904999998</v>
      </c>
      <c r="DZ12" s="244">
        <f t="shared" si="78"/>
        <v>69.89821904999998</v>
      </c>
      <c r="EA12" s="244">
        <f t="shared" si="78"/>
        <v>69.89821904999998</v>
      </c>
      <c r="EB12" s="244">
        <f t="shared" si="78"/>
        <v>69.89821904999998</v>
      </c>
      <c r="EC12" s="244">
        <f t="shared" si="78"/>
        <v>69.89821904999998</v>
      </c>
      <c r="ED12" s="244">
        <f t="shared" si="78"/>
        <v>69.89821904999998</v>
      </c>
      <c r="EE12" s="244">
        <f t="shared" si="78"/>
        <v>69.89821904999998</v>
      </c>
      <c r="EF12" s="244">
        <f t="shared" si="78"/>
        <v>69.89821904999998</v>
      </c>
      <c r="EG12" s="244">
        <f t="shared" si="78"/>
        <v>69.89821904999998</v>
      </c>
      <c r="EH12" s="244">
        <f t="shared" si="78"/>
        <v>69.89821904999998</v>
      </c>
      <c r="EI12" s="244">
        <f t="shared" si="78"/>
        <v>69.89821904999998</v>
      </c>
      <c r="EJ12" s="244">
        <f t="shared" si="78"/>
        <v>69.89821904999998</v>
      </c>
      <c r="EK12" s="244">
        <f t="shared" si="78"/>
        <v>69.89821904999998</v>
      </c>
    </row>
    <row r="13" spans="1:141" x14ac:dyDescent="0.3">
      <c r="B13" s="6"/>
      <c r="C13" s="73" t="str">
        <f>'3A1 dan 2 Peternakan-CH4'!B13</f>
        <v>Kerbau</v>
      </c>
      <c r="D13" s="76">
        <f>'3A1 dan 2 Peternakan-CH4'!C13</f>
        <v>3267</v>
      </c>
      <c r="E13" s="76">
        <f>'3A1 dan 2 Peternakan-CH4'!D13</f>
        <v>1928</v>
      </c>
      <c r="F13" s="76">
        <f>'3A1 dan 2 Peternakan-CH4'!E13</f>
        <v>1818</v>
      </c>
      <c r="G13" s="76">
        <f>'3A1 dan 2 Peternakan-CH4'!F13</f>
        <v>1590</v>
      </c>
      <c r="H13" s="76">
        <f>'3A1 dan 2 Peternakan-CH4'!G13</f>
        <v>1531</v>
      </c>
      <c r="I13" s="76">
        <f>'3A1 dan 2 Peternakan-CH4'!H13</f>
        <v>1531</v>
      </c>
      <c r="J13" s="76">
        <f>'3A1 dan 2 Peternakan-CH4'!I13</f>
        <v>1531</v>
      </c>
      <c r="K13" s="76">
        <f>'3A1 dan 2 Peternakan-CH4'!J13</f>
        <v>1531</v>
      </c>
      <c r="L13" s="76">
        <f>'3A1 dan 2 Peternakan-CH4'!K13</f>
        <v>1531</v>
      </c>
      <c r="M13" s="76">
        <f>'3A1 dan 2 Peternakan-CH4'!L13</f>
        <v>1531</v>
      </c>
      <c r="N13" s="76">
        <f>'3A1 dan 2 Peternakan-CH4'!M13</f>
        <v>1531</v>
      </c>
      <c r="O13" s="76">
        <f>'3A1 dan 2 Peternakan-CH4'!N13</f>
        <v>1531</v>
      </c>
      <c r="P13" s="76">
        <f>'3A1 dan 2 Peternakan-CH4'!O13</f>
        <v>1531</v>
      </c>
      <c r="Q13" s="76">
        <f>'3A1 dan 2 Peternakan-CH4'!P13</f>
        <v>1531</v>
      </c>
      <c r="R13" s="76">
        <f>'3A1 dan 2 Peternakan-CH4'!Q13</f>
        <v>1531</v>
      </c>
      <c r="S13" s="76">
        <f>'3A1 dan 2 Peternakan-CH4'!R13</f>
        <v>1531</v>
      </c>
      <c r="T13" s="76">
        <f>'3A1 dan 2 Peternakan-CH4'!S13</f>
        <v>1531</v>
      </c>
      <c r="U13" s="76">
        <f>'3A1 dan 2 Peternakan-CH4'!T13</f>
        <v>1531</v>
      </c>
      <c r="V13" s="76">
        <f>'3A1 dan 2 Peternakan-CH4'!U13</f>
        <v>1531</v>
      </c>
      <c r="W13" s="76">
        <f>'3A1 dan 2 Peternakan-CH4'!V13</f>
        <v>1531</v>
      </c>
      <c r="X13" s="76">
        <f>'3A1 dan 2 Peternakan-CH4'!W13</f>
        <v>1531</v>
      </c>
      <c r="Y13" s="77">
        <f t="shared" si="79"/>
        <v>0.32</v>
      </c>
      <c r="Z13" s="77">
        <f t="shared" si="80"/>
        <v>380</v>
      </c>
      <c r="AA13" s="250">
        <f t="shared" ref="AA13:AA20" si="88">Y13*(Z13/10^3)*365</f>
        <v>44.384</v>
      </c>
      <c r="AB13" s="79">
        <f t="shared" si="81"/>
        <v>0.02</v>
      </c>
      <c r="AC13" s="251">
        <f t="shared" si="82"/>
        <v>2900.0505599999997</v>
      </c>
      <c r="AD13" s="251">
        <f t="shared" si="15"/>
        <v>1711.44704</v>
      </c>
      <c r="AE13" s="251">
        <f t="shared" si="16"/>
        <v>1613.80224</v>
      </c>
      <c r="AF13" s="251">
        <f t="shared" si="17"/>
        <v>1411.4112</v>
      </c>
      <c r="AG13" s="251">
        <f t="shared" si="18"/>
        <v>1359.03808</v>
      </c>
      <c r="AH13" s="251">
        <f t="shared" si="19"/>
        <v>1359.03808</v>
      </c>
      <c r="AI13" s="251">
        <f t="shared" si="20"/>
        <v>1359.03808</v>
      </c>
      <c r="AJ13" s="251">
        <f t="shared" si="21"/>
        <v>1359.03808</v>
      </c>
      <c r="AK13" s="251">
        <f t="shared" si="22"/>
        <v>1359.03808</v>
      </c>
      <c r="AL13" s="251">
        <f t="shared" si="23"/>
        <v>1359.03808</v>
      </c>
      <c r="AM13" s="251">
        <f t="shared" si="24"/>
        <v>1359.03808</v>
      </c>
      <c r="AN13" s="251">
        <f t="shared" si="25"/>
        <v>1359.03808</v>
      </c>
      <c r="AO13" s="251">
        <f t="shared" si="26"/>
        <v>1359.03808</v>
      </c>
      <c r="AP13" s="251">
        <f t="shared" si="27"/>
        <v>1359.03808</v>
      </c>
      <c r="AQ13" s="251">
        <f t="shared" si="28"/>
        <v>1359.03808</v>
      </c>
      <c r="AR13" s="251">
        <f t="shared" si="29"/>
        <v>1359.03808</v>
      </c>
      <c r="AS13" s="251">
        <f t="shared" si="30"/>
        <v>1359.03808</v>
      </c>
      <c r="AT13" s="251">
        <f t="shared" si="31"/>
        <v>1359.03808</v>
      </c>
      <c r="AU13" s="251">
        <f t="shared" si="32"/>
        <v>1359.03808</v>
      </c>
      <c r="AV13" s="251">
        <f t="shared" si="33"/>
        <v>1359.03808</v>
      </c>
      <c r="AW13" s="251">
        <f t="shared" si="34"/>
        <v>1359.03808</v>
      </c>
      <c r="AX13" s="78">
        <v>0.02</v>
      </c>
      <c r="AY13" s="251">
        <f t="shared" si="83"/>
        <v>91.144446171428555</v>
      </c>
      <c r="AZ13" s="251">
        <f t="shared" si="35"/>
        <v>53.788335542857148</v>
      </c>
      <c r="BA13" s="251">
        <f t="shared" si="35"/>
        <v>50.719498971428571</v>
      </c>
      <c r="BB13" s="251">
        <f t="shared" si="35"/>
        <v>44.358637714285713</v>
      </c>
      <c r="BC13" s="251">
        <f t="shared" si="35"/>
        <v>42.712625371428572</v>
      </c>
      <c r="BD13" s="251">
        <f t="shared" si="35"/>
        <v>42.712625371428572</v>
      </c>
      <c r="BE13" s="251">
        <f t="shared" si="35"/>
        <v>42.712625371428572</v>
      </c>
      <c r="BF13" s="251">
        <f t="shared" si="35"/>
        <v>42.712625371428572</v>
      </c>
      <c r="BG13" s="251">
        <f t="shared" si="35"/>
        <v>42.712625371428572</v>
      </c>
      <c r="BH13" s="251">
        <f t="shared" si="35"/>
        <v>42.712625371428572</v>
      </c>
      <c r="BI13" s="251">
        <f t="shared" si="35"/>
        <v>42.712625371428572</v>
      </c>
      <c r="BJ13" s="251">
        <f t="shared" si="35"/>
        <v>42.712625371428572</v>
      </c>
      <c r="BK13" s="251">
        <f t="shared" si="35"/>
        <v>42.712625371428572</v>
      </c>
      <c r="BL13" s="251">
        <f t="shared" si="35"/>
        <v>42.712625371428572</v>
      </c>
      <c r="BM13" s="251">
        <f t="shared" si="35"/>
        <v>42.712625371428572</v>
      </c>
      <c r="BN13" s="251">
        <f t="shared" si="35"/>
        <v>42.712625371428572</v>
      </c>
      <c r="BO13" s="251">
        <f t="shared" si="35"/>
        <v>42.712625371428572</v>
      </c>
      <c r="BP13" s="251">
        <f t="shared" si="35"/>
        <v>42.712625371428572</v>
      </c>
      <c r="BQ13" s="251">
        <f t="shared" si="35"/>
        <v>42.712625371428572</v>
      </c>
      <c r="BR13" s="251">
        <f t="shared" si="35"/>
        <v>42.712625371428572</v>
      </c>
      <c r="BS13" s="251">
        <f t="shared" si="35"/>
        <v>42.712625371428572</v>
      </c>
      <c r="BW13" s="6"/>
      <c r="BX13" s="73" t="str">
        <f t="shared" si="36"/>
        <v>Kerbau</v>
      </c>
      <c r="BY13" s="252">
        <f t="shared" si="84"/>
        <v>2900.0505599999997</v>
      </c>
      <c r="BZ13" s="252">
        <f t="shared" si="37"/>
        <v>1711.44704</v>
      </c>
      <c r="CA13" s="252">
        <f t="shared" si="38"/>
        <v>1613.80224</v>
      </c>
      <c r="CB13" s="252">
        <f t="shared" si="39"/>
        <v>1411.4112</v>
      </c>
      <c r="CC13" s="252">
        <f t="shared" si="40"/>
        <v>1359.03808</v>
      </c>
      <c r="CD13" s="252">
        <f t="shared" si="41"/>
        <v>1359.03808</v>
      </c>
      <c r="CE13" s="252">
        <f t="shared" si="42"/>
        <v>1359.03808</v>
      </c>
      <c r="CF13" s="252">
        <f t="shared" si="43"/>
        <v>1359.03808</v>
      </c>
      <c r="CG13" s="252">
        <f t="shared" si="44"/>
        <v>1359.03808</v>
      </c>
      <c r="CH13" s="252">
        <f t="shared" si="45"/>
        <v>1359.03808</v>
      </c>
      <c r="CI13" s="252">
        <f t="shared" si="46"/>
        <v>1359.03808</v>
      </c>
      <c r="CJ13" s="252">
        <f t="shared" si="47"/>
        <v>1359.03808</v>
      </c>
      <c r="CK13" s="252">
        <f t="shared" si="48"/>
        <v>1359.03808</v>
      </c>
      <c r="CL13" s="252">
        <f t="shared" si="49"/>
        <v>1359.03808</v>
      </c>
      <c r="CM13" s="252">
        <f t="shared" si="50"/>
        <v>1359.03808</v>
      </c>
      <c r="CN13" s="252">
        <f t="shared" si="51"/>
        <v>1359.03808</v>
      </c>
      <c r="CO13" s="252">
        <f t="shared" si="52"/>
        <v>1359.03808</v>
      </c>
      <c r="CP13" s="252">
        <f t="shared" si="53"/>
        <v>1359.03808</v>
      </c>
      <c r="CQ13" s="252">
        <f t="shared" si="54"/>
        <v>1359.03808</v>
      </c>
      <c r="CR13" s="252">
        <f t="shared" si="55"/>
        <v>1359.03808</v>
      </c>
      <c r="CS13" s="252">
        <f t="shared" si="56"/>
        <v>1359.03808</v>
      </c>
      <c r="CT13" s="77">
        <f t="shared" si="57"/>
        <v>0.3</v>
      </c>
      <c r="CU13" s="253">
        <f t="shared" si="85"/>
        <v>870.0151679999999</v>
      </c>
      <c r="CV13" s="253">
        <f t="shared" si="58"/>
        <v>513.43411200000003</v>
      </c>
      <c r="CW13" s="253">
        <f t="shared" si="59"/>
        <v>484.140672</v>
      </c>
      <c r="CX13" s="253">
        <f t="shared" si="60"/>
        <v>423.42336</v>
      </c>
      <c r="CY13" s="253">
        <f t="shared" si="61"/>
        <v>407.71142400000002</v>
      </c>
      <c r="CZ13" s="253">
        <f t="shared" si="62"/>
        <v>407.71142400000002</v>
      </c>
      <c r="DA13" s="253">
        <f t="shared" si="63"/>
        <v>407.71142400000002</v>
      </c>
      <c r="DB13" s="253">
        <f t="shared" si="64"/>
        <v>407.71142400000002</v>
      </c>
      <c r="DC13" s="253">
        <f t="shared" si="65"/>
        <v>407.71142400000002</v>
      </c>
      <c r="DD13" s="253">
        <f t="shared" si="66"/>
        <v>407.71142400000002</v>
      </c>
      <c r="DE13" s="253">
        <f t="shared" si="67"/>
        <v>407.71142400000002</v>
      </c>
      <c r="DF13" s="253">
        <f t="shared" si="68"/>
        <v>407.71142400000002</v>
      </c>
      <c r="DG13" s="253">
        <f t="shared" si="69"/>
        <v>407.71142400000002</v>
      </c>
      <c r="DH13" s="253">
        <f t="shared" si="70"/>
        <v>407.71142400000002</v>
      </c>
      <c r="DI13" s="253">
        <f t="shared" si="71"/>
        <v>407.71142400000002</v>
      </c>
      <c r="DJ13" s="253">
        <f t="shared" si="72"/>
        <v>407.71142400000002</v>
      </c>
      <c r="DK13" s="253">
        <f t="shared" si="73"/>
        <v>407.71142400000002</v>
      </c>
      <c r="DL13" s="253">
        <f t="shared" si="74"/>
        <v>407.71142400000002</v>
      </c>
      <c r="DM13" s="253">
        <f t="shared" si="75"/>
        <v>407.71142400000002</v>
      </c>
      <c r="DN13" s="253">
        <f t="shared" si="76"/>
        <v>407.71142400000002</v>
      </c>
      <c r="DO13" s="253">
        <f t="shared" si="77"/>
        <v>407.71142400000002</v>
      </c>
      <c r="DP13" s="254">
        <f t="shared" si="86"/>
        <v>0.01</v>
      </c>
      <c r="DQ13" s="244">
        <f t="shared" si="87"/>
        <v>13.671666925714284</v>
      </c>
      <c r="DR13" s="244">
        <f t="shared" si="78"/>
        <v>8.0682503314285707</v>
      </c>
      <c r="DS13" s="244">
        <f t="shared" si="78"/>
        <v>7.6079248457142858</v>
      </c>
      <c r="DT13" s="244">
        <f t="shared" si="78"/>
        <v>6.653795657142858</v>
      </c>
      <c r="DU13" s="244">
        <f t="shared" si="78"/>
        <v>6.4068938057142857</v>
      </c>
      <c r="DV13" s="244">
        <f t="shared" si="78"/>
        <v>6.4068938057142857</v>
      </c>
      <c r="DW13" s="244">
        <f t="shared" si="78"/>
        <v>6.4068938057142857</v>
      </c>
      <c r="DX13" s="244">
        <f t="shared" si="78"/>
        <v>6.4068938057142857</v>
      </c>
      <c r="DY13" s="244">
        <f t="shared" si="78"/>
        <v>6.4068938057142857</v>
      </c>
      <c r="DZ13" s="244">
        <f t="shared" si="78"/>
        <v>6.4068938057142857</v>
      </c>
      <c r="EA13" s="244">
        <f t="shared" si="78"/>
        <v>6.4068938057142857</v>
      </c>
      <c r="EB13" s="244">
        <f t="shared" si="78"/>
        <v>6.4068938057142857</v>
      </c>
      <c r="EC13" s="244">
        <f t="shared" si="78"/>
        <v>6.4068938057142857</v>
      </c>
      <c r="ED13" s="244">
        <f t="shared" si="78"/>
        <v>6.4068938057142857</v>
      </c>
      <c r="EE13" s="244">
        <f t="shared" si="78"/>
        <v>6.4068938057142857</v>
      </c>
      <c r="EF13" s="244">
        <f t="shared" si="78"/>
        <v>6.4068938057142857</v>
      </c>
      <c r="EG13" s="244">
        <f t="shared" si="78"/>
        <v>6.4068938057142857</v>
      </c>
      <c r="EH13" s="244">
        <f t="shared" si="78"/>
        <v>6.4068938057142857</v>
      </c>
      <c r="EI13" s="244">
        <f t="shared" si="78"/>
        <v>6.4068938057142857</v>
      </c>
      <c r="EJ13" s="244">
        <f t="shared" si="78"/>
        <v>6.4068938057142857</v>
      </c>
      <c r="EK13" s="244">
        <f t="shared" si="78"/>
        <v>6.4068938057142857</v>
      </c>
    </row>
    <row r="14" spans="1:141" x14ac:dyDescent="0.3">
      <c r="B14" s="6"/>
      <c r="C14" s="73" t="str">
        <f>'3A1 dan 2 Peternakan-CH4'!B14</f>
        <v>Domba</v>
      </c>
      <c r="D14" s="76">
        <f>'3A1 dan 2 Peternakan-CH4'!C14</f>
        <v>21269</v>
      </c>
      <c r="E14" s="76">
        <f>'3A1 dan 2 Peternakan-CH4'!D14</f>
        <v>21290</v>
      </c>
      <c r="F14" s="76">
        <f>'3A1 dan 2 Peternakan-CH4'!E14</f>
        <v>21311</v>
      </c>
      <c r="G14" s="76">
        <f>'3A1 dan 2 Peternakan-CH4'!F14</f>
        <v>21332</v>
      </c>
      <c r="H14" s="76">
        <f>'3A1 dan 2 Peternakan-CH4'!G14</f>
        <v>21354</v>
      </c>
      <c r="I14" s="76">
        <f>'3A1 dan 2 Peternakan-CH4'!H14</f>
        <v>21354</v>
      </c>
      <c r="J14" s="76">
        <f>'3A1 dan 2 Peternakan-CH4'!I14</f>
        <v>21354</v>
      </c>
      <c r="K14" s="76">
        <f>'3A1 dan 2 Peternakan-CH4'!J14</f>
        <v>21354</v>
      </c>
      <c r="L14" s="76">
        <f>'3A1 dan 2 Peternakan-CH4'!K14</f>
        <v>21354</v>
      </c>
      <c r="M14" s="76">
        <f>'3A1 dan 2 Peternakan-CH4'!L14</f>
        <v>21354</v>
      </c>
      <c r="N14" s="76">
        <f>'3A1 dan 2 Peternakan-CH4'!M14</f>
        <v>21354</v>
      </c>
      <c r="O14" s="76">
        <f>'3A1 dan 2 Peternakan-CH4'!N14</f>
        <v>21354</v>
      </c>
      <c r="P14" s="76">
        <f>'3A1 dan 2 Peternakan-CH4'!O14</f>
        <v>21354</v>
      </c>
      <c r="Q14" s="76">
        <f>'3A1 dan 2 Peternakan-CH4'!P14</f>
        <v>21354</v>
      </c>
      <c r="R14" s="76">
        <f>'3A1 dan 2 Peternakan-CH4'!Q14</f>
        <v>21354</v>
      </c>
      <c r="S14" s="76">
        <f>'3A1 dan 2 Peternakan-CH4'!R14</f>
        <v>21354</v>
      </c>
      <c r="T14" s="76">
        <f>'3A1 dan 2 Peternakan-CH4'!S14</f>
        <v>21354</v>
      </c>
      <c r="U14" s="76">
        <f>'3A1 dan 2 Peternakan-CH4'!T14</f>
        <v>21354</v>
      </c>
      <c r="V14" s="76">
        <f>'3A1 dan 2 Peternakan-CH4'!U14</f>
        <v>21354</v>
      </c>
      <c r="W14" s="76">
        <f>'3A1 dan 2 Peternakan-CH4'!V14</f>
        <v>21354</v>
      </c>
      <c r="X14" s="76">
        <f>'3A1 dan 2 Peternakan-CH4'!W14</f>
        <v>21354</v>
      </c>
      <c r="Y14" s="77">
        <f t="shared" si="79"/>
        <v>1.17</v>
      </c>
      <c r="Z14" s="77">
        <f t="shared" si="80"/>
        <v>28</v>
      </c>
      <c r="AA14" s="250">
        <f t="shared" si="88"/>
        <v>11.9574</v>
      </c>
      <c r="AB14" s="79">
        <f t="shared" si="81"/>
        <v>0.02</v>
      </c>
      <c r="AC14" s="251">
        <f t="shared" si="82"/>
        <v>5086.4388120000003</v>
      </c>
      <c r="AD14" s="251">
        <f t="shared" si="15"/>
        <v>5091.4609200000004</v>
      </c>
      <c r="AE14" s="251">
        <f t="shared" si="16"/>
        <v>5096.4830280000006</v>
      </c>
      <c r="AF14" s="251">
        <f t="shared" si="17"/>
        <v>5101.5051359999998</v>
      </c>
      <c r="AG14" s="251">
        <f t="shared" si="18"/>
        <v>5106.7663919999995</v>
      </c>
      <c r="AH14" s="251">
        <f t="shared" si="19"/>
        <v>5106.7663919999995</v>
      </c>
      <c r="AI14" s="251">
        <f t="shared" si="20"/>
        <v>5106.7663919999995</v>
      </c>
      <c r="AJ14" s="251">
        <f t="shared" si="21"/>
        <v>5106.7663919999995</v>
      </c>
      <c r="AK14" s="251">
        <f t="shared" si="22"/>
        <v>5106.7663919999995</v>
      </c>
      <c r="AL14" s="251">
        <f t="shared" si="23"/>
        <v>5106.7663919999995</v>
      </c>
      <c r="AM14" s="251">
        <f t="shared" si="24"/>
        <v>5106.7663919999995</v>
      </c>
      <c r="AN14" s="251">
        <f t="shared" si="25"/>
        <v>5106.7663919999995</v>
      </c>
      <c r="AO14" s="251">
        <f t="shared" si="26"/>
        <v>5106.7663919999995</v>
      </c>
      <c r="AP14" s="251">
        <f t="shared" si="27"/>
        <v>5106.7663919999995</v>
      </c>
      <c r="AQ14" s="251">
        <f t="shared" si="28"/>
        <v>5106.7663919999995</v>
      </c>
      <c r="AR14" s="251">
        <f t="shared" si="29"/>
        <v>5106.7663919999995</v>
      </c>
      <c r="AS14" s="251">
        <f t="shared" si="30"/>
        <v>5106.7663919999995</v>
      </c>
      <c r="AT14" s="251">
        <f t="shared" si="31"/>
        <v>5106.7663919999995</v>
      </c>
      <c r="AU14" s="251">
        <f t="shared" si="32"/>
        <v>5106.7663919999995</v>
      </c>
      <c r="AV14" s="251">
        <f t="shared" si="33"/>
        <v>5106.7663919999995</v>
      </c>
      <c r="AW14" s="251">
        <f t="shared" si="34"/>
        <v>5106.7663919999995</v>
      </c>
      <c r="AX14" s="78">
        <v>0.02</v>
      </c>
      <c r="AY14" s="251">
        <f t="shared" si="83"/>
        <v>159.85950552</v>
      </c>
      <c r="AZ14" s="251">
        <f t="shared" si="35"/>
        <v>160.01734320000003</v>
      </c>
      <c r="BA14" s="251">
        <f t="shared" si="35"/>
        <v>160.17518088000003</v>
      </c>
      <c r="BB14" s="251">
        <f t="shared" si="35"/>
        <v>160.33301856</v>
      </c>
      <c r="BC14" s="251">
        <f t="shared" si="35"/>
        <v>160.49837231999999</v>
      </c>
      <c r="BD14" s="251">
        <f t="shared" si="35"/>
        <v>160.49837231999999</v>
      </c>
      <c r="BE14" s="251">
        <f t="shared" si="35"/>
        <v>160.49837231999999</v>
      </c>
      <c r="BF14" s="251">
        <f t="shared" si="35"/>
        <v>160.49837231999999</v>
      </c>
      <c r="BG14" s="251">
        <f t="shared" si="35"/>
        <v>160.49837231999999</v>
      </c>
      <c r="BH14" s="251">
        <f t="shared" si="35"/>
        <v>160.49837231999999</v>
      </c>
      <c r="BI14" s="251">
        <f t="shared" si="35"/>
        <v>160.49837231999999</v>
      </c>
      <c r="BJ14" s="251">
        <f t="shared" si="35"/>
        <v>160.49837231999999</v>
      </c>
      <c r="BK14" s="251">
        <f t="shared" si="35"/>
        <v>160.49837231999999</v>
      </c>
      <c r="BL14" s="251">
        <f t="shared" si="35"/>
        <v>160.49837231999999</v>
      </c>
      <c r="BM14" s="251">
        <f t="shared" si="35"/>
        <v>160.49837231999999</v>
      </c>
      <c r="BN14" s="251">
        <f t="shared" si="35"/>
        <v>160.49837231999999</v>
      </c>
      <c r="BO14" s="251">
        <f t="shared" si="35"/>
        <v>160.49837231999999</v>
      </c>
      <c r="BP14" s="251">
        <f t="shared" si="35"/>
        <v>160.49837231999999</v>
      </c>
      <c r="BQ14" s="251">
        <f t="shared" si="35"/>
        <v>160.49837231999999</v>
      </c>
      <c r="BR14" s="251">
        <f t="shared" si="35"/>
        <v>160.49837231999999</v>
      </c>
      <c r="BS14" s="251">
        <f t="shared" si="35"/>
        <v>160.49837231999999</v>
      </c>
      <c r="BW14" s="6"/>
      <c r="BX14" s="73" t="str">
        <f t="shared" si="36"/>
        <v>Domba</v>
      </c>
      <c r="BY14" s="252">
        <f t="shared" si="84"/>
        <v>5086.4388120000003</v>
      </c>
      <c r="BZ14" s="252">
        <f t="shared" si="37"/>
        <v>5091.4609200000004</v>
      </c>
      <c r="CA14" s="252">
        <f t="shared" si="38"/>
        <v>5096.4830280000006</v>
      </c>
      <c r="CB14" s="252">
        <f t="shared" si="39"/>
        <v>5101.5051359999998</v>
      </c>
      <c r="CC14" s="252">
        <f t="shared" si="40"/>
        <v>5106.7663919999995</v>
      </c>
      <c r="CD14" s="252">
        <f t="shared" si="41"/>
        <v>5106.7663919999995</v>
      </c>
      <c r="CE14" s="252">
        <f t="shared" si="42"/>
        <v>5106.7663919999995</v>
      </c>
      <c r="CF14" s="252">
        <f t="shared" si="43"/>
        <v>5106.7663919999995</v>
      </c>
      <c r="CG14" s="252">
        <f t="shared" si="44"/>
        <v>5106.7663919999995</v>
      </c>
      <c r="CH14" s="252">
        <f t="shared" si="45"/>
        <v>5106.7663919999995</v>
      </c>
      <c r="CI14" s="252">
        <f t="shared" si="46"/>
        <v>5106.7663919999995</v>
      </c>
      <c r="CJ14" s="252">
        <f t="shared" si="47"/>
        <v>5106.7663919999995</v>
      </c>
      <c r="CK14" s="252">
        <f t="shared" si="48"/>
        <v>5106.7663919999995</v>
      </c>
      <c r="CL14" s="252">
        <f t="shared" si="49"/>
        <v>5106.7663919999995</v>
      </c>
      <c r="CM14" s="252">
        <f t="shared" si="50"/>
        <v>5106.7663919999995</v>
      </c>
      <c r="CN14" s="252">
        <f t="shared" si="51"/>
        <v>5106.7663919999995</v>
      </c>
      <c r="CO14" s="252">
        <f t="shared" si="52"/>
        <v>5106.7663919999995</v>
      </c>
      <c r="CP14" s="252">
        <f t="shared" si="53"/>
        <v>5106.7663919999995</v>
      </c>
      <c r="CQ14" s="252">
        <f t="shared" si="54"/>
        <v>5106.7663919999995</v>
      </c>
      <c r="CR14" s="252">
        <f t="shared" si="55"/>
        <v>5106.7663919999995</v>
      </c>
      <c r="CS14" s="252">
        <f t="shared" si="56"/>
        <v>5106.7663919999995</v>
      </c>
      <c r="CT14" s="77">
        <f t="shared" si="57"/>
        <v>0.12</v>
      </c>
      <c r="CU14" s="253">
        <f t="shared" si="85"/>
        <v>610.37265744000001</v>
      </c>
      <c r="CV14" s="253">
        <f t="shared" si="58"/>
        <v>610.97531040000001</v>
      </c>
      <c r="CW14" s="253">
        <f t="shared" si="59"/>
        <v>611.57796336000001</v>
      </c>
      <c r="CX14" s="253">
        <f t="shared" si="60"/>
        <v>612.1806163199999</v>
      </c>
      <c r="CY14" s="253">
        <f t="shared" si="61"/>
        <v>612.8119670399999</v>
      </c>
      <c r="CZ14" s="253">
        <f t="shared" si="62"/>
        <v>612.8119670399999</v>
      </c>
      <c r="DA14" s="253">
        <f t="shared" si="63"/>
        <v>612.8119670399999</v>
      </c>
      <c r="DB14" s="253">
        <f t="shared" si="64"/>
        <v>612.8119670399999</v>
      </c>
      <c r="DC14" s="253">
        <f t="shared" si="65"/>
        <v>612.8119670399999</v>
      </c>
      <c r="DD14" s="253">
        <f t="shared" si="66"/>
        <v>612.8119670399999</v>
      </c>
      <c r="DE14" s="253">
        <f t="shared" si="67"/>
        <v>612.8119670399999</v>
      </c>
      <c r="DF14" s="253">
        <f t="shared" si="68"/>
        <v>612.8119670399999</v>
      </c>
      <c r="DG14" s="253">
        <f t="shared" si="69"/>
        <v>612.8119670399999</v>
      </c>
      <c r="DH14" s="253">
        <f t="shared" si="70"/>
        <v>612.8119670399999</v>
      </c>
      <c r="DI14" s="253">
        <f t="shared" si="71"/>
        <v>612.8119670399999</v>
      </c>
      <c r="DJ14" s="253">
        <f t="shared" si="72"/>
        <v>612.8119670399999</v>
      </c>
      <c r="DK14" s="253">
        <f t="shared" si="73"/>
        <v>612.8119670399999</v>
      </c>
      <c r="DL14" s="253">
        <f t="shared" si="74"/>
        <v>612.8119670399999</v>
      </c>
      <c r="DM14" s="253">
        <f t="shared" si="75"/>
        <v>612.8119670399999</v>
      </c>
      <c r="DN14" s="253">
        <f t="shared" si="76"/>
        <v>612.8119670399999</v>
      </c>
      <c r="DO14" s="253">
        <f t="shared" si="77"/>
        <v>612.8119670399999</v>
      </c>
      <c r="DP14" s="254">
        <f t="shared" si="86"/>
        <v>0.01</v>
      </c>
      <c r="DQ14" s="244">
        <f t="shared" si="87"/>
        <v>9.5915703311999998</v>
      </c>
      <c r="DR14" s="244">
        <f t="shared" si="78"/>
        <v>9.6010405920000004</v>
      </c>
      <c r="DS14" s="244">
        <f t="shared" si="78"/>
        <v>9.6105108527999992</v>
      </c>
      <c r="DT14" s="244">
        <f t="shared" si="78"/>
        <v>9.619981113599998</v>
      </c>
      <c r="DU14" s="244">
        <f t="shared" si="78"/>
        <v>9.6299023391999992</v>
      </c>
      <c r="DV14" s="244">
        <f t="shared" si="78"/>
        <v>9.6299023391999992</v>
      </c>
      <c r="DW14" s="244">
        <f t="shared" si="78"/>
        <v>9.6299023391999992</v>
      </c>
      <c r="DX14" s="244">
        <f t="shared" si="78"/>
        <v>9.6299023391999992</v>
      </c>
      <c r="DY14" s="244">
        <f t="shared" si="78"/>
        <v>9.6299023391999992</v>
      </c>
      <c r="DZ14" s="244">
        <f t="shared" si="78"/>
        <v>9.6299023391999992</v>
      </c>
      <c r="EA14" s="244">
        <f t="shared" si="78"/>
        <v>9.6299023391999992</v>
      </c>
      <c r="EB14" s="244">
        <f t="shared" si="78"/>
        <v>9.6299023391999992</v>
      </c>
      <c r="EC14" s="244">
        <f t="shared" si="78"/>
        <v>9.6299023391999992</v>
      </c>
      <c r="ED14" s="244">
        <f t="shared" si="78"/>
        <v>9.6299023391999992</v>
      </c>
      <c r="EE14" s="244">
        <f t="shared" si="78"/>
        <v>9.6299023391999992</v>
      </c>
      <c r="EF14" s="244">
        <f t="shared" si="78"/>
        <v>9.6299023391999992</v>
      </c>
      <c r="EG14" s="244">
        <f t="shared" si="78"/>
        <v>9.6299023391999992</v>
      </c>
      <c r="EH14" s="244">
        <f t="shared" si="78"/>
        <v>9.6299023391999992</v>
      </c>
      <c r="EI14" s="244">
        <f t="shared" si="78"/>
        <v>9.6299023391999992</v>
      </c>
      <c r="EJ14" s="244">
        <f t="shared" si="78"/>
        <v>9.6299023391999992</v>
      </c>
      <c r="EK14" s="244">
        <f t="shared" si="78"/>
        <v>9.6299023391999992</v>
      </c>
    </row>
    <row r="15" spans="1:141" x14ac:dyDescent="0.3">
      <c r="B15" s="6"/>
      <c r="C15" s="73" t="str">
        <f>'3A1 dan 2 Peternakan-CH4'!B15</f>
        <v>Kambing</v>
      </c>
      <c r="D15" s="76">
        <f>'3A1 dan 2 Peternakan-CH4'!C15</f>
        <v>197715</v>
      </c>
      <c r="E15" s="76">
        <f>'3A1 dan 2 Peternakan-CH4'!D15</f>
        <v>198704</v>
      </c>
      <c r="F15" s="76">
        <f>'3A1 dan 2 Peternakan-CH4'!E15</f>
        <v>203672</v>
      </c>
      <c r="G15" s="76">
        <f>'3A1 dan 2 Peternakan-CH4'!F15</f>
        <v>208763</v>
      </c>
      <c r="H15" s="76">
        <f>'3A1 dan 2 Peternakan-CH4'!G15</f>
        <v>213983</v>
      </c>
      <c r="I15" s="76">
        <f>'3A1 dan 2 Peternakan-CH4'!H15</f>
        <v>213983</v>
      </c>
      <c r="J15" s="76">
        <f>'3A1 dan 2 Peternakan-CH4'!I15</f>
        <v>213983</v>
      </c>
      <c r="K15" s="76">
        <f>'3A1 dan 2 Peternakan-CH4'!J15</f>
        <v>213983</v>
      </c>
      <c r="L15" s="76">
        <f>'3A1 dan 2 Peternakan-CH4'!K15</f>
        <v>213983</v>
      </c>
      <c r="M15" s="76">
        <f>'3A1 dan 2 Peternakan-CH4'!L15</f>
        <v>213983</v>
      </c>
      <c r="N15" s="76">
        <f>'3A1 dan 2 Peternakan-CH4'!M15</f>
        <v>213983</v>
      </c>
      <c r="O15" s="76">
        <f>'3A1 dan 2 Peternakan-CH4'!N15</f>
        <v>213983</v>
      </c>
      <c r="P15" s="76">
        <f>'3A1 dan 2 Peternakan-CH4'!O15</f>
        <v>213983</v>
      </c>
      <c r="Q15" s="76">
        <f>'3A1 dan 2 Peternakan-CH4'!P15</f>
        <v>213983</v>
      </c>
      <c r="R15" s="76">
        <f>'3A1 dan 2 Peternakan-CH4'!Q15</f>
        <v>213983</v>
      </c>
      <c r="S15" s="76">
        <f>'3A1 dan 2 Peternakan-CH4'!R15</f>
        <v>213983</v>
      </c>
      <c r="T15" s="76">
        <f>'3A1 dan 2 Peternakan-CH4'!S15</f>
        <v>213983</v>
      </c>
      <c r="U15" s="76">
        <f>'3A1 dan 2 Peternakan-CH4'!T15</f>
        <v>213983</v>
      </c>
      <c r="V15" s="76">
        <f>'3A1 dan 2 Peternakan-CH4'!U15</f>
        <v>213983</v>
      </c>
      <c r="W15" s="76">
        <f>'3A1 dan 2 Peternakan-CH4'!V15</f>
        <v>213983</v>
      </c>
      <c r="X15" s="76">
        <f>'3A1 dan 2 Peternakan-CH4'!W15</f>
        <v>213983</v>
      </c>
      <c r="Y15" s="77">
        <f t="shared" si="79"/>
        <v>1.37</v>
      </c>
      <c r="Z15" s="77">
        <f>Y29</f>
        <v>30</v>
      </c>
      <c r="AA15" s="250">
        <f t="shared" si="88"/>
        <v>15.001500000000002</v>
      </c>
      <c r="AB15" s="79">
        <f t="shared" si="81"/>
        <v>0.02</v>
      </c>
      <c r="AC15" s="251">
        <f t="shared" si="82"/>
        <v>59320.431450000004</v>
      </c>
      <c r="AD15" s="251">
        <f t="shared" si="15"/>
        <v>59617.161120000004</v>
      </c>
      <c r="AE15" s="251">
        <f t="shared" si="16"/>
        <v>61107.71016000001</v>
      </c>
      <c r="AF15" s="251">
        <f t="shared" si="17"/>
        <v>62635.162890000007</v>
      </c>
      <c r="AG15" s="251">
        <f t="shared" si="18"/>
        <v>64201.319490000009</v>
      </c>
      <c r="AH15" s="251">
        <f t="shared" si="19"/>
        <v>64201.319490000009</v>
      </c>
      <c r="AI15" s="251">
        <f t="shared" si="20"/>
        <v>64201.319490000009</v>
      </c>
      <c r="AJ15" s="251">
        <f t="shared" si="21"/>
        <v>64201.319490000009</v>
      </c>
      <c r="AK15" s="251">
        <f t="shared" si="22"/>
        <v>64201.319490000009</v>
      </c>
      <c r="AL15" s="251">
        <f t="shared" si="23"/>
        <v>64201.319490000009</v>
      </c>
      <c r="AM15" s="251">
        <f t="shared" si="24"/>
        <v>64201.319490000009</v>
      </c>
      <c r="AN15" s="251">
        <f t="shared" si="25"/>
        <v>64201.319490000009</v>
      </c>
      <c r="AO15" s="251">
        <f t="shared" si="26"/>
        <v>64201.319490000009</v>
      </c>
      <c r="AP15" s="251">
        <f t="shared" si="27"/>
        <v>64201.319490000009</v>
      </c>
      <c r="AQ15" s="251">
        <f t="shared" si="28"/>
        <v>64201.319490000009</v>
      </c>
      <c r="AR15" s="251">
        <f t="shared" si="29"/>
        <v>64201.319490000009</v>
      </c>
      <c r="AS15" s="251">
        <f t="shared" si="30"/>
        <v>64201.319490000009</v>
      </c>
      <c r="AT15" s="251">
        <f t="shared" si="31"/>
        <v>64201.319490000009</v>
      </c>
      <c r="AU15" s="251">
        <f t="shared" si="32"/>
        <v>64201.319490000009</v>
      </c>
      <c r="AV15" s="251">
        <f t="shared" si="33"/>
        <v>64201.319490000009</v>
      </c>
      <c r="AW15" s="251">
        <f t="shared" si="34"/>
        <v>64201.319490000009</v>
      </c>
      <c r="AX15" s="78">
        <v>0.02</v>
      </c>
      <c r="AY15" s="251">
        <f t="shared" si="83"/>
        <v>1864.356417</v>
      </c>
      <c r="AZ15" s="251">
        <f t="shared" si="35"/>
        <v>1873.6822066285715</v>
      </c>
      <c r="BA15" s="251">
        <f t="shared" si="35"/>
        <v>1920.5280336000003</v>
      </c>
      <c r="BB15" s="251">
        <f t="shared" si="35"/>
        <v>1968.5336908285715</v>
      </c>
      <c r="BC15" s="251">
        <f t="shared" si="35"/>
        <v>2017.7557554000005</v>
      </c>
      <c r="BD15" s="251">
        <f t="shared" si="35"/>
        <v>2017.7557554000005</v>
      </c>
      <c r="BE15" s="251">
        <f t="shared" si="35"/>
        <v>2017.7557554000005</v>
      </c>
      <c r="BF15" s="251">
        <f t="shared" si="35"/>
        <v>2017.7557554000005</v>
      </c>
      <c r="BG15" s="251">
        <f t="shared" si="35"/>
        <v>2017.7557554000005</v>
      </c>
      <c r="BH15" s="251">
        <f t="shared" si="35"/>
        <v>2017.7557554000005</v>
      </c>
      <c r="BI15" s="251">
        <f t="shared" si="35"/>
        <v>2017.7557554000005</v>
      </c>
      <c r="BJ15" s="251">
        <f t="shared" si="35"/>
        <v>2017.7557554000005</v>
      </c>
      <c r="BK15" s="251">
        <f t="shared" si="35"/>
        <v>2017.7557554000005</v>
      </c>
      <c r="BL15" s="251">
        <f t="shared" si="35"/>
        <v>2017.7557554000005</v>
      </c>
      <c r="BM15" s="251">
        <f t="shared" si="35"/>
        <v>2017.7557554000005</v>
      </c>
      <c r="BN15" s="251">
        <f t="shared" si="35"/>
        <v>2017.7557554000005</v>
      </c>
      <c r="BO15" s="251">
        <f t="shared" si="35"/>
        <v>2017.7557554000005</v>
      </c>
      <c r="BP15" s="251">
        <f t="shared" si="35"/>
        <v>2017.7557554000005</v>
      </c>
      <c r="BQ15" s="251">
        <f t="shared" si="35"/>
        <v>2017.7557554000005</v>
      </c>
      <c r="BR15" s="251">
        <f t="shared" si="35"/>
        <v>2017.7557554000005</v>
      </c>
      <c r="BS15" s="251">
        <f t="shared" si="35"/>
        <v>2017.7557554000005</v>
      </c>
      <c r="BW15" s="6"/>
      <c r="BX15" s="73" t="str">
        <f t="shared" si="36"/>
        <v>Kambing</v>
      </c>
      <c r="BY15" s="252">
        <f t="shared" si="84"/>
        <v>59320.431450000004</v>
      </c>
      <c r="BZ15" s="252">
        <f t="shared" si="37"/>
        <v>59617.161120000004</v>
      </c>
      <c r="CA15" s="252">
        <f t="shared" si="38"/>
        <v>61107.71016000001</v>
      </c>
      <c r="CB15" s="252">
        <f t="shared" si="39"/>
        <v>62635.162890000007</v>
      </c>
      <c r="CC15" s="252">
        <f t="shared" si="40"/>
        <v>64201.319490000009</v>
      </c>
      <c r="CD15" s="252">
        <f t="shared" si="41"/>
        <v>64201.319490000009</v>
      </c>
      <c r="CE15" s="252">
        <f t="shared" si="42"/>
        <v>64201.319490000009</v>
      </c>
      <c r="CF15" s="252">
        <f t="shared" si="43"/>
        <v>64201.319490000009</v>
      </c>
      <c r="CG15" s="252">
        <f t="shared" si="44"/>
        <v>64201.319490000009</v>
      </c>
      <c r="CH15" s="252">
        <f t="shared" si="45"/>
        <v>64201.319490000009</v>
      </c>
      <c r="CI15" s="252">
        <f t="shared" si="46"/>
        <v>64201.319490000009</v>
      </c>
      <c r="CJ15" s="252">
        <f t="shared" si="47"/>
        <v>64201.319490000009</v>
      </c>
      <c r="CK15" s="252">
        <f t="shared" si="48"/>
        <v>64201.319490000009</v>
      </c>
      <c r="CL15" s="252">
        <f t="shared" si="49"/>
        <v>64201.319490000009</v>
      </c>
      <c r="CM15" s="252">
        <f t="shared" si="50"/>
        <v>64201.319490000009</v>
      </c>
      <c r="CN15" s="252">
        <f t="shared" si="51"/>
        <v>64201.319490000009</v>
      </c>
      <c r="CO15" s="252">
        <f t="shared" si="52"/>
        <v>64201.319490000009</v>
      </c>
      <c r="CP15" s="252">
        <f t="shared" si="53"/>
        <v>64201.319490000009</v>
      </c>
      <c r="CQ15" s="252">
        <f t="shared" si="54"/>
        <v>64201.319490000009</v>
      </c>
      <c r="CR15" s="252">
        <f t="shared" si="55"/>
        <v>64201.319490000009</v>
      </c>
      <c r="CS15" s="252">
        <f t="shared" si="56"/>
        <v>64201.319490000009</v>
      </c>
      <c r="CT15" s="77">
        <f t="shared" si="57"/>
        <v>0.12</v>
      </c>
      <c r="CU15" s="253">
        <f t="shared" si="85"/>
        <v>7118.4517740000001</v>
      </c>
      <c r="CV15" s="253">
        <f t="shared" si="58"/>
        <v>7154.0593343999999</v>
      </c>
      <c r="CW15" s="253">
        <f t="shared" si="59"/>
        <v>7332.9252192000013</v>
      </c>
      <c r="CX15" s="253">
        <f t="shared" si="60"/>
        <v>7516.2195468000009</v>
      </c>
      <c r="CY15" s="253">
        <f t="shared" si="61"/>
        <v>7704.1583388000008</v>
      </c>
      <c r="CZ15" s="253">
        <f t="shared" si="62"/>
        <v>7704.1583388000008</v>
      </c>
      <c r="DA15" s="253">
        <f t="shared" si="63"/>
        <v>7704.1583388000008</v>
      </c>
      <c r="DB15" s="253">
        <f t="shared" si="64"/>
        <v>7704.1583388000008</v>
      </c>
      <c r="DC15" s="253">
        <f t="shared" si="65"/>
        <v>7704.1583388000008</v>
      </c>
      <c r="DD15" s="253">
        <f t="shared" si="66"/>
        <v>7704.1583388000008</v>
      </c>
      <c r="DE15" s="253">
        <f t="shared" si="67"/>
        <v>7704.1583388000008</v>
      </c>
      <c r="DF15" s="253">
        <f t="shared" si="68"/>
        <v>7704.1583388000008</v>
      </c>
      <c r="DG15" s="253">
        <f t="shared" si="69"/>
        <v>7704.1583388000008</v>
      </c>
      <c r="DH15" s="253">
        <f t="shared" si="70"/>
        <v>7704.1583388000008</v>
      </c>
      <c r="DI15" s="253">
        <f t="shared" si="71"/>
        <v>7704.1583388000008</v>
      </c>
      <c r="DJ15" s="253">
        <f t="shared" si="72"/>
        <v>7704.1583388000008</v>
      </c>
      <c r="DK15" s="253">
        <f t="shared" si="73"/>
        <v>7704.1583388000008</v>
      </c>
      <c r="DL15" s="253">
        <f t="shared" si="74"/>
        <v>7704.1583388000008</v>
      </c>
      <c r="DM15" s="253">
        <f t="shared" si="75"/>
        <v>7704.1583388000008</v>
      </c>
      <c r="DN15" s="253">
        <f t="shared" si="76"/>
        <v>7704.1583388000008</v>
      </c>
      <c r="DO15" s="253">
        <f t="shared" si="77"/>
        <v>7704.1583388000008</v>
      </c>
      <c r="DP15" s="254">
        <f t="shared" si="86"/>
        <v>0.01</v>
      </c>
      <c r="DQ15" s="244">
        <f t="shared" si="87"/>
        <v>111.86138502</v>
      </c>
      <c r="DR15" s="244">
        <f t="shared" si="78"/>
        <v>112.42093239771428</v>
      </c>
      <c r="DS15" s="244">
        <f t="shared" si="78"/>
        <v>115.23168201600002</v>
      </c>
      <c r="DT15" s="244">
        <f t="shared" si="78"/>
        <v>118.11202144971429</v>
      </c>
      <c r="DU15" s="244">
        <f t="shared" si="78"/>
        <v>121.06534532400001</v>
      </c>
      <c r="DV15" s="244">
        <f t="shared" si="78"/>
        <v>121.06534532400001</v>
      </c>
      <c r="DW15" s="244">
        <f t="shared" si="78"/>
        <v>121.06534532400001</v>
      </c>
      <c r="DX15" s="244">
        <f t="shared" si="78"/>
        <v>121.06534532400001</v>
      </c>
      <c r="DY15" s="244">
        <f t="shared" si="78"/>
        <v>121.06534532400001</v>
      </c>
      <c r="DZ15" s="244">
        <f t="shared" si="78"/>
        <v>121.06534532400001</v>
      </c>
      <c r="EA15" s="244">
        <f t="shared" si="78"/>
        <v>121.06534532400001</v>
      </c>
      <c r="EB15" s="244">
        <f t="shared" si="78"/>
        <v>121.06534532400001</v>
      </c>
      <c r="EC15" s="244">
        <f t="shared" si="78"/>
        <v>121.06534532400001</v>
      </c>
      <c r="ED15" s="244">
        <f t="shared" si="78"/>
        <v>121.06534532400001</v>
      </c>
      <c r="EE15" s="244">
        <f t="shared" si="78"/>
        <v>121.06534532400001</v>
      </c>
      <c r="EF15" s="244">
        <f t="shared" si="78"/>
        <v>121.06534532400001</v>
      </c>
      <c r="EG15" s="244">
        <f t="shared" si="78"/>
        <v>121.06534532400001</v>
      </c>
      <c r="EH15" s="244">
        <f t="shared" si="78"/>
        <v>121.06534532400001</v>
      </c>
      <c r="EI15" s="244">
        <f t="shared" si="78"/>
        <v>121.06534532400001</v>
      </c>
      <c r="EJ15" s="244">
        <f t="shared" si="78"/>
        <v>121.06534532400001</v>
      </c>
      <c r="EK15" s="244">
        <f t="shared" si="78"/>
        <v>121.06534532400001</v>
      </c>
    </row>
    <row r="16" spans="1:141" x14ac:dyDescent="0.3">
      <c r="B16" s="6"/>
      <c r="C16" s="73" t="str">
        <f>'3A1 dan 2 Peternakan-CH4'!B16</f>
        <v>Babi</v>
      </c>
      <c r="D16" s="76">
        <f>'3A1 dan 2 Peternakan-CH4'!C16</f>
        <v>8132</v>
      </c>
      <c r="E16" s="76">
        <f>'3A1 dan 2 Peternakan-CH4'!D16</f>
        <v>7576</v>
      </c>
      <c r="F16" s="76">
        <f>'3A1 dan 2 Peternakan-CH4'!E16</f>
        <v>7727</v>
      </c>
      <c r="G16" s="76">
        <f>'3A1 dan 2 Peternakan-CH4'!F16</f>
        <v>7881</v>
      </c>
      <c r="H16" s="76">
        <f>'3A1 dan 2 Peternakan-CH4'!G16</f>
        <v>8038</v>
      </c>
      <c r="I16" s="76">
        <f>'3A1 dan 2 Peternakan-CH4'!H16</f>
        <v>8038</v>
      </c>
      <c r="J16" s="76">
        <f>'3A1 dan 2 Peternakan-CH4'!I16</f>
        <v>8038</v>
      </c>
      <c r="K16" s="76">
        <f>'3A1 dan 2 Peternakan-CH4'!J16</f>
        <v>8038</v>
      </c>
      <c r="L16" s="76">
        <f>'3A1 dan 2 Peternakan-CH4'!K16</f>
        <v>8038</v>
      </c>
      <c r="M16" s="76">
        <f>'3A1 dan 2 Peternakan-CH4'!L16</f>
        <v>8038</v>
      </c>
      <c r="N16" s="76">
        <f>'3A1 dan 2 Peternakan-CH4'!M16</f>
        <v>8038</v>
      </c>
      <c r="O16" s="76">
        <f>'3A1 dan 2 Peternakan-CH4'!N16</f>
        <v>8038</v>
      </c>
      <c r="P16" s="76">
        <f>'3A1 dan 2 Peternakan-CH4'!O16</f>
        <v>8038</v>
      </c>
      <c r="Q16" s="76">
        <f>'3A1 dan 2 Peternakan-CH4'!P16</f>
        <v>8038</v>
      </c>
      <c r="R16" s="76">
        <f>'3A1 dan 2 Peternakan-CH4'!Q16</f>
        <v>8038</v>
      </c>
      <c r="S16" s="76">
        <f>'3A1 dan 2 Peternakan-CH4'!R16</f>
        <v>8038</v>
      </c>
      <c r="T16" s="76">
        <f>'3A1 dan 2 Peternakan-CH4'!S16</f>
        <v>8038</v>
      </c>
      <c r="U16" s="76">
        <f>'3A1 dan 2 Peternakan-CH4'!T16</f>
        <v>8038</v>
      </c>
      <c r="V16" s="76">
        <f>'3A1 dan 2 Peternakan-CH4'!U16</f>
        <v>8038</v>
      </c>
      <c r="W16" s="76">
        <f>'3A1 dan 2 Peternakan-CH4'!V16</f>
        <v>8038</v>
      </c>
      <c r="X16" s="76">
        <f>'3A1 dan 2 Peternakan-CH4'!W16</f>
        <v>8038</v>
      </c>
      <c r="Y16" s="77">
        <f t="shared" si="79"/>
        <v>0.5</v>
      </c>
      <c r="Z16" s="77">
        <f t="shared" si="80"/>
        <v>28</v>
      </c>
      <c r="AA16" s="250">
        <f t="shared" si="88"/>
        <v>5.1100000000000003</v>
      </c>
      <c r="AB16" s="79">
        <f t="shared" si="81"/>
        <v>0.02</v>
      </c>
      <c r="AC16" s="251">
        <f t="shared" si="82"/>
        <v>831.09040000000005</v>
      </c>
      <c r="AD16" s="251">
        <f t="shared" si="15"/>
        <v>774.2672</v>
      </c>
      <c r="AE16" s="251">
        <f t="shared" si="16"/>
        <v>789.69940000000008</v>
      </c>
      <c r="AF16" s="251">
        <f t="shared" si="17"/>
        <v>805.43820000000005</v>
      </c>
      <c r="AG16" s="251">
        <f t="shared" si="18"/>
        <v>821.48360000000002</v>
      </c>
      <c r="AH16" s="251">
        <f t="shared" si="19"/>
        <v>821.48360000000002</v>
      </c>
      <c r="AI16" s="251">
        <f t="shared" si="20"/>
        <v>821.48360000000002</v>
      </c>
      <c r="AJ16" s="251">
        <f t="shared" si="21"/>
        <v>821.48360000000002</v>
      </c>
      <c r="AK16" s="251">
        <f t="shared" si="22"/>
        <v>821.48360000000002</v>
      </c>
      <c r="AL16" s="251">
        <f t="shared" si="23"/>
        <v>821.48360000000002</v>
      </c>
      <c r="AM16" s="251">
        <f t="shared" si="24"/>
        <v>821.48360000000002</v>
      </c>
      <c r="AN16" s="251">
        <f t="shared" si="25"/>
        <v>821.48360000000002</v>
      </c>
      <c r="AO16" s="251">
        <f t="shared" si="26"/>
        <v>821.48360000000002</v>
      </c>
      <c r="AP16" s="251">
        <f t="shared" si="27"/>
        <v>821.48360000000002</v>
      </c>
      <c r="AQ16" s="251">
        <f t="shared" si="28"/>
        <v>821.48360000000002</v>
      </c>
      <c r="AR16" s="251">
        <f t="shared" si="29"/>
        <v>821.48360000000002</v>
      </c>
      <c r="AS16" s="251">
        <f t="shared" si="30"/>
        <v>821.48360000000002</v>
      </c>
      <c r="AT16" s="251">
        <f t="shared" si="31"/>
        <v>821.48360000000002</v>
      </c>
      <c r="AU16" s="251">
        <f t="shared" si="32"/>
        <v>821.48360000000002</v>
      </c>
      <c r="AV16" s="251">
        <f t="shared" si="33"/>
        <v>821.48360000000002</v>
      </c>
      <c r="AW16" s="251">
        <f t="shared" si="34"/>
        <v>821.48360000000002</v>
      </c>
      <c r="AX16" s="78">
        <v>0.02</v>
      </c>
      <c r="AY16" s="251">
        <f t="shared" si="83"/>
        <v>26.119984000000002</v>
      </c>
      <c r="AZ16" s="251">
        <f t="shared" si="35"/>
        <v>24.334111999999998</v>
      </c>
      <c r="BA16" s="251">
        <f t="shared" si="35"/>
        <v>24.819124000000002</v>
      </c>
      <c r="BB16" s="251">
        <f t="shared" si="35"/>
        <v>25.313772</v>
      </c>
      <c r="BC16" s="251">
        <f t="shared" si="35"/>
        <v>25.818055999999999</v>
      </c>
      <c r="BD16" s="251">
        <f t="shared" si="35"/>
        <v>25.818055999999999</v>
      </c>
      <c r="BE16" s="251">
        <f t="shared" si="35"/>
        <v>25.818055999999999</v>
      </c>
      <c r="BF16" s="251">
        <f t="shared" si="35"/>
        <v>25.818055999999999</v>
      </c>
      <c r="BG16" s="251">
        <f t="shared" si="35"/>
        <v>25.818055999999999</v>
      </c>
      <c r="BH16" s="251">
        <f t="shared" si="35"/>
        <v>25.818055999999999</v>
      </c>
      <c r="BI16" s="251">
        <f t="shared" si="35"/>
        <v>25.818055999999999</v>
      </c>
      <c r="BJ16" s="251">
        <f t="shared" si="35"/>
        <v>25.818055999999999</v>
      </c>
      <c r="BK16" s="251">
        <f t="shared" si="35"/>
        <v>25.818055999999999</v>
      </c>
      <c r="BL16" s="251">
        <f t="shared" si="35"/>
        <v>25.818055999999999</v>
      </c>
      <c r="BM16" s="251">
        <f t="shared" si="35"/>
        <v>25.818055999999999</v>
      </c>
      <c r="BN16" s="251">
        <f t="shared" si="35"/>
        <v>25.818055999999999</v>
      </c>
      <c r="BO16" s="251">
        <f t="shared" si="35"/>
        <v>25.818055999999999</v>
      </c>
      <c r="BP16" s="251">
        <f t="shared" si="35"/>
        <v>25.818055999999999</v>
      </c>
      <c r="BQ16" s="251">
        <f t="shared" si="35"/>
        <v>25.818055999999999</v>
      </c>
      <c r="BR16" s="251">
        <f t="shared" si="35"/>
        <v>25.818055999999999</v>
      </c>
      <c r="BS16" s="251">
        <f t="shared" si="35"/>
        <v>25.818055999999999</v>
      </c>
      <c r="BW16" s="6"/>
      <c r="BX16" s="73" t="str">
        <f t="shared" si="36"/>
        <v>Babi</v>
      </c>
      <c r="BY16" s="252">
        <f t="shared" si="84"/>
        <v>831.09040000000005</v>
      </c>
      <c r="BZ16" s="252">
        <f t="shared" si="37"/>
        <v>774.2672</v>
      </c>
      <c r="CA16" s="252">
        <f t="shared" si="38"/>
        <v>789.69940000000008</v>
      </c>
      <c r="CB16" s="252">
        <f t="shared" si="39"/>
        <v>805.43820000000005</v>
      </c>
      <c r="CC16" s="252">
        <f t="shared" si="40"/>
        <v>821.48360000000002</v>
      </c>
      <c r="CD16" s="252">
        <f t="shared" si="41"/>
        <v>821.48360000000002</v>
      </c>
      <c r="CE16" s="252">
        <f t="shared" si="42"/>
        <v>821.48360000000002</v>
      </c>
      <c r="CF16" s="252">
        <f t="shared" si="43"/>
        <v>821.48360000000002</v>
      </c>
      <c r="CG16" s="252">
        <f t="shared" si="44"/>
        <v>821.48360000000002</v>
      </c>
      <c r="CH16" s="252">
        <f t="shared" si="45"/>
        <v>821.48360000000002</v>
      </c>
      <c r="CI16" s="252">
        <f t="shared" si="46"/>
        <v>821.48360000000002</v>
      </c>
      <c r="CJ16" s="252">
        <f t="shared" si="47"/>
        <v>821.48360000000002</v>
      </c>
      <c r="CK16" s="252">
        <f t="shared" si="48"/>
        <v>821.48360000000002</v>
      </c>
      <c r="CL16" s="252">
        <f t="shared" si="49"/>
        <v>821.48360000000002</v>
      </c>
      <c r="CM16" s="252">
        <f t="shared" si="50"/>
        <v>821.48360000000002</v>
      </c>
      <c r="CN16" s="252">
        <f t="shared" si="51"/>
        <v>821.48360000000002</v>
      </c>
      <c r="CO16" s="252">
        <f t="shared" si="52"/>
        <v>821.48360000000002</v>
      </c>
      <c r="CP16" s="252">
        <f t="shared" si="53"/>
        <v>821.48360000000002</v>
      </c>
      <c r="CQ16" s="252">
        <f t="shared" si="54"/>
        <v>821.48360000000002</v>
      </c>
      <c r="CR16" s="252">
        <f t="shared" si="55"/>
        <v>821.48360000000002</v>
      </c>
      <c r="CS16" s="252">
        <f t="shared" si="56"/>
        <v>821.48360000000002</v>
      </c>
      <c r="CT16" s="77">
        <f>CT31</f>
        <v>0.12</v>
      </c>
      <c r="CU16" s="253">
        <f t="shared" si="85"/>
        <v>99.730848000000009</v>
      </c>
      <c r="CV16" s="253">
        <f t="shared" si="58"/>
        <v>92.912064000000001</v>
      </c>
      <c r="CW16" s="253">
        <f t="shared" si="59"/>
        <v>94.763928000000007</v>
      </c>
      <c r="CX16" s="253">
        <f t="shared" si="60"/>
        <v>96.652584000000004</v>
      </c>
      <c r="CY16" s="253">
        <f t="shared" si="61"/>
        <v>98.578031999999993</v>
      </c>
      <c r="CZ16" s="253">
        <f t="shared" si="62"/>
        <v>98.578031999999993</v>
      </c>
      <c r="DA16" s="253">
        <f t="shared" si="63"/>
        <v>98.578031999999993</v>
      </c>
      <c r="DB16" s="253">
        <f t="shared" si="64"/>
        <v>98.578031999999993</v>
      </c>
      <c r="DC16" s="253">
        <f t="shared" si="65"/>
        <v>98.578031999999993</v>
      </c>
      <c r="DD16" s="253">
        <f t="shared" si="66"/>
        <v>98.578031999999993</v>
      </c>
      <c r="DE16" s="253">
        <f t="shared" si="67"/>
        <v>98.578031999999993</v>
      </c>
      <c r="DF16" s="253">
        <f t="shared" si="68"/>
        <v>98.578031999999993</v>
      </c>
      <c r="DG16" s="253">
        <f t="shared" si="69"/>
        <v>98.578031999999993</v>
      </c>
      <c r="DH16" s="253">
        <f t="shared" si="70"/>
        <v>98.578031999999993</v>
      </c>
      <c r="DI16" s="253">
        <f t="shared" si="71"/>
        <v>98.578031999999993</v>
      </c>
      <c r="DJ16" s="253">
        <f t="shared" si="72"/>
        <v>98.578031999999993</v>
      </c>
      <c r="DK16" s="253">
        <f t="shared" si="73"/>
        <v>98.578031999999993</v>
      </c>
      <c r="DL16" s="253">
        <f t="shared" si="74"/>
        <v>98.578031999999993</v>
      </c>
      <c r="DM16" s="253">
        <f t="shared" si="75"/>
        <v>98.578031999999993</v>
      </c>
      <c r="DN16" s="253">
        <f t="shared" si="76"/>
        <v>98.578031999999993</v>
      </c>
      <c r="DO16" s="253">
        <f t="shared" si="77"/>
        <v>98.578031999999993</v>
      </c>
      <c r="DP16" s="254">
        <f t="shared" si="86"/>
        <v>0.01</v>
      </c>
      <c r="DQ16" s="244">
        <f t="shared" si="87"/>
        <v>1.5671990400000002</v>
      </c>
      <c r="DR16" s="244">
        <f t="shared" si="78"/>
        <v>1.46004672</v>
      </c>
      <c r="DS16" s="244">
        <f t="shared" si="78"/>
        <v>1.4891474400000002</v>
      </c>
      <c r="DT16" s="244">
        <f t="shared" si="78"/>
        <v>1.5188263200000001</v>
      </c>
      <c r="DU16" s="244">
        <f t="shared" si="78"/>
        <v>1.5490833599999998</v>
      </c>
      <c r="DV16" s="244">
        <f t="shared" si="78"/>
        <v>1.5490833599999998</v>
      </c>
      <c r="DW16" s="244">
        <f t="shared" si="78"/>
        <v>1.5490833599999998</v>
      </c>
      <c r="DX16" s="244">
        <f t="shared" si="78"/>
        <v>1.5490833599999998</v>
      </c>
      <c r="DY16" s="244">
        <f t="shared" si="78"/>
        <v>1.5490833599999998</v>
      </c>
      <c r="DZ16" s="244">
        <f t="shared" si="78"/>
        <v>1.5490833599999998</v>
      </c>
      <c r="EA16" s="244">
        <f t="shared" si="78"/>
        <v>1.5490833599999998</v>
      </c>
      <c r="EB16" s="244">
        <f t="shared" si="78"/>
        <v>1.5490833599999998</v>
      </c>
      <c r="EC16" s="244">
        <f t="shared" si="78"/>
        <v>1.5490833599999998</v>
      </c>
      <c r="ED16" s="244">
        <f t="shared" si="78"/>
        <v>1.5490833599999998</v>
      </c>
      <c r="EE16" s="244">
        <f t="shared" si="78"/>
        <v>1.5490833599999998</v>
      </c>
      <c r="EF16" s="244">
        <f t="shared" si="78"/>
        <v>1.5490833599999998</v>
      </c>
      <c r="EG16" s="244">
        <f t="shared" si="78"/>
        <v>1.5490833599999998</v>
      </c>
      <c r="EH16" s="244">
        <f t="shared" si="78"/>
        <v>1.5490833599999998</v>
      </c>
      <c r="EI16" s="244">
        <f t="shared" si="78"/>
        <v>1.5490833599999998</v>
      </c>
      <c r="EJ16" s="244">
        <f t="shared" si="78"/>
        <v>1.5490833599999998</v>
      </c>
      <c r="EK16" s="244">
        <f t="shared" si="78"/>
        <v>1.5490833599999998</v>
      </c>
    </row>
    <row r="17" spans="2:141" x14ac:dyDescent="0.3">
      <c r="B17" s="6"/>
      <c r="C17" s="73" t="str">
        <f>'3A1 dan 2 Peternakan-CH4'!B17</f>
        <v>Kuda</v>
      </c>
      <c r="D17" s="76">
        <f>'3A1 dan 2 Peternakan-CH4'!C17</f>
        <v>159</v>
      </c>
      <c r="E17" s="76">
        <f>'3A1 dan 2 Peternakan-CH4'!D17</f>
        <v>166</v>
      </c>
      <c r="F17" s="76">
        <f>'3A1 dan 2 Peternakan-CH4'!E17</f>
        <v>166</v>
      </c>
      <c r="G17" s="76">
        <f>'3A1 dan 2 Peternakan-CH4'!F17</f>
        <v>166</v>
      </c>
      <c r="H17" s="76">
        <f>'3A1 dan 2 Peternakan-CH4'!G17</f>
        <v>166</v>
      </c>
      <c r="I17" s="76">
        <f>'3A1 dan 2 Peternakan-CH4'!H17</f>
        <v>166</v>
      </c>
      <c r="J17" s="76">
        <f>'3A1 dan 2 Peternakan-CH4'!I17</f>
        <v>166</v>
      </c>
      <c r="K17" s="76">
        <f>'3A1 dan 2 Peternakan-CH4'!J17</f>
        <v>166</v>
      </c>
      <c r="L17" s="76">
        <f>'3A1 dan 2 Peternakan-CH4'!K17</f>
        <v>166</v>
      </c>
      <c r="M17" s="76">
        <f>'3A1 dan 2 Peternakan-CH4'!L17</f>
        <v>166</v>
      </c>
      <c r="N17" s="76">
        <f>'3A1 dan 2 Peternakan-CH4'!M17</f>
        <v>166</v>
      </c>
      <c r="O17" s="76">
        <f>'3A1 dan 2 Peternakan-CH4'!N17</f>
        <v>166</v>
      </c>
      <c r="P17" s="76">
        <f>'3A1 dan 2 Peternakan-CH4'!O17</f>
        <v>166</v>
      </c>
      <c r="Q17" s="76">
        <f>'3A1 dan 2 Peternakan-CH4'!P17</f>
        <v>166</v>
      </c>
      <c r="R17" s="76">
        <f>'3A1 dan 2 Peternakan-CH4'!Q17</f>
        <v>166</v>
      </c>
      <c r="S17" s="76">
        <f>'3A1 dan 2 Peternakan-CH4'!R17</f>
        <v>166</v>
      </c>
      <c r="T17" s="76">
        <f>'3A1 dan 2 Peternakan-CH4'!S17</f>
        <v>166</v>
      </c>
      <c r="U17" s="76">
        <f>'3A1 dan 2 Peternakan-CH4'!T17</f>
        <v>166</v>
      </c>
      <c r="V17" s="76">
        <f>'3A1 dan 2 Peternakan-CH4'!U17</f>
        <v>166</v>
      </c>
      <c r="W17" s="76">
        <f>'3A1 dan 2 Peternakan-CH4'!V17</f>
        <v>166</v>
      </c>
      <c r="X17" s="76">
        <f>'3A1 dan 2 Peternakan-CH4'!W17</f>
        <v>166</v>
      </c>
      <c r="Y17" s="77">
        <f t="shared" si="79"/>
        <v>0.46</v>
      </c>
      <c r="Z17" s="77">
        <f t="shared" si="80"/>
        <v>238</v>
      </c>
      <c r="AA17" s="250">
        <f t="shared" si="88"/>
        <v>39.9602</v>
      </c>
      <c r="AB17" s="79">
        <f t="shared" ref="AB17:AB19" si="89">AG$25/100</f>
        <v>0.02</v>
      </c>
      <c r="AC17" s="251">
        <f t="shared" si="82"/>
        <v>127.073436</v>
      </c>
      <c r="AD17" s="251">
        <f t="shared" si="15"/>
        <v>132.66786400000001</v>
      </c>
      <c r="AE17" s="251">
        <f t="shared" si="16"/>
        <v>132.66786400000001</v>
      </c>
      <c r="AF17" s="251">
        <f t="shared" si="17"/>
        <v>132.66786400000001</v>
      </c>
      <c r="AG17" s="251">
        <f t="shared" si="18"/>
        <v>132.66786400000001</v>
      </c>
      <c r="AH17" s="251">
        <f t="shared" si="19"/>
        <v>132.66786400000001</v>
      </c>
      <c r="AI17" s="251">
        <f t="shared" si="20"/>
        <v>132.66786400000001</v>
      </c>
      <c r="AJ17" s="251">
        <f t="shared" si="21"/>
        <v>132.66786400000001</v>
      </c>
      <c r="AK17" s="251">
        <f t="shared" si="22"/>
        <v>132.66786400000001</v>
      </c>
      <c r="AL17" s="251">
        <f t="shared" si="23"/>
        <v>132.66786400000001</v>
      </c>
      <c r="AM17" s="251">
        <f t="shared" si="24"/>
        <v>132.66786400000001</v>
      </c>
      <c r="AN17" s="251">
        <f t="shared" si="25"/>
        <v>132.66786400000001</v>
      </c>
      <c r="AO17" s="251">
        <f t="shared" si="26"/>
        <v>132.66786400000001</v>
      </c>
      <c r="AP17" s="251">
        <f t="shared" si="27"/>
        <v>132.66786400000001</v>
      </c>
      <c r="AQ17" s="251">
        <f t="shared" si="28"/>
        <v>132.66786400000001</v>
      </c>
      <c r="AR17" s="251">
        <f t="shared" si="29"/>
        <v>132.66786400000001</v>
      </c>
      <c r="AS17" s="251">
        <f t="shared" si="30"/>
        <v>132.66786400000001</v>
      </c>
      <c r="AT17" s="251">
        <f t="shared" si="31"/>
        <v>132.66786400000001</v>
      </c>
      <c r="AU17" s="251">
        <f t="shared" si="32"/>
        <v>132.66786400000001</v>
      </c>
      <c r="AV17" s="251">
        <f t="shared" si="33"/>
        <v>132.66786400000001</v>
      </c>
      <c r="AW17" s="251">
        <f t="shared" si="34"/>
        <v>132.66786400000001</v>
      </c>
      <c r="AX17" s="215">
        <v>0.01</v>
      </c>
      <c r="AY17" s="251">
        <f t="shared" si="83"/>
        <v>1.9968682800000002</v>
      </c>
      <c r="AZ17" s="251">
        <f t="shared" si="35"/>
        <v>2.0847807200000004</v>
      </c>
      <c r="BA17" s="251">
        <f t="shared" si="35"/>
        <v>2.0847807200000004</v>
      </c>
      <c r="BB17" s="251">
        <f t="shared" si="35"/>
        <v>2.0847807200000004</v>
      </c>
      <c r="BC17" s="251">
        <f t="shared" si="35"/>
        <v>2.0847807200000004</v>
      </c>
      <c r="BD17" s="251">
        <f t="shared" si="35"/>
        <v>2.0847807200000004</v>
      </c>
      <c r="BE17" s="251">
        <f t="shared" si="35"/>
        <v>2.0847807200000004</v>
      </c>
      <c r="BF17" s="251">
        <f t="shared" si="35"/>
        <v>2.0847807200000004</v>
      </c>
      <c r="BG17" s="251">
        <f t="shared" si="35"/>
        <v>2.0847807200000004</v>
      </c>
      <c r="BH17" s="251">
        <f t="shared" si="35"/>
        <v>2.0847807200000004</v>
      </c>
      <c r="BI17" s="251">
        <f t="shared" si="35"/>
        <v>2.0847807200000004</v>
      </c>
      <c r="BJ17" s="251">
        <f t="shared" si="35"/>
        <v>2.0847807200000004</v>
      </c>
      <c r="BK17" s="251">
        <f t="shared" si="35"/>
        <v>2.0847807200000004</v>
      </c>
      <c r="BL17" s="251">
        <f t="shared" si="35"/>
        <v>2.0847807200000004</v>
      </c>
      <c r="BM17" s="251">
        <f t="shared" si="35"/>
        <v>2.0847807200000004</v>
      </c>
      <c r="BN17" s="251">
        <f t="shared" si="35"/>
        <v>2.0847807200000004</v>
      </c>
      <c r="BO17" s="251">
        <f t="shared" si="35"/>
        <v>2.0847807200000004</v>
      </c>
      <c r="BP17" s="251">
        <f t="shared" si="35"/>
        <v>2.0847807200000004</v>
      </c>
      <c r="BQ17" s="251">
        <f t="shared" si="35"/>
        <v>2.0847807200000004</v>
      </c>
      <c r="BR17" s="251">
        <f t="shared" si="35"/>
        <v>2.0847807200000004</v>
      </c>
      <c r="BS17" s="251">
        <f t="shared" si="35"/>
        <v>2.0847807200000004</v>
      </c>
      <c r="BW17" s="6"/>
      <c r="BX17" s="73" t="str">
        <f t="shared" si="36"/>
        <v>Kuda</v>
      </c>
      <c r="BY17" s="252">
        <f t="shared" si="84"/>
        <v>127.073436</v>
      </c>
      <c r="BZ17" s="252">
        <f t="shared" si="37"/>
        <v>132.66786400000001</v>
      </c>
      <c r="CA17" s="252">
        <f t="shared" si="38"/>
        <v>132.66786400000001</v>
      </c>
      <c r="CB17" s="252">
        <f t="shared" si="39"/>
        <v>132.66786400000001</v>
      </c>
      <c r="CC17" s="252">
        <f t="shared" si="40"/>
        <v>132.66786400000001</v>
      </c>
      <c r="CD17" s="252">
        <f t="shared" si="41"/>
        <v>132.66786400000001</v>
      </c>
      <c r="CE17" s="252">
        <f t="shared" si="42"/>
        <v>132.66786400000001</v>
      </c>
      <c r="CF17" s="252">
        <f t="shared" si="43"/>
        <v>132.66786400000001</v>
      </c>
      <c r="CG17" s="252">
        <f t="shared" si="44"/>
        <v>132.66786400000001</v>
      </c>
      <c r="CH17" s="252">
        <f t="shared" si="45"/>
        <v>132.66786400000001</v>
      </c>
      <c r="CI17" s="252">
        <f t="shared" si="46"/>
        <v>132.66786400000001</v>
      </c>
      <c r="CJ17" s="252">
        <f t="shared" si="47"/>
        <v>132.66786400000001</v>
      </c>
      <c r="CK17" s="252">
        <f t="shared" si="48"/>
        <v>132.66786400000001</v>
      </c>
      <c r="CL17" s="252">
        <f t="shared" si="49"/>
        <v>132.66786400000001</v>
      </c>
      <c r="CM17" s="252">
        <f t="shared" si="50"/>
        <v>132.66786400000001</v>
      </c>
      <c r="CN17" s="252">
        <f t="shared" si="51"/>
        <v>132.66786400000001</v>
      </c>
      <c r="CO17" s="252">
        <f t="shared" si="52"/>
        <v>132.66786400000001</v>
      </c>
      <c r="CP17" s="252">
        <f t="shared" si="53"/>
        <v>132.66786400000001</v>
      </c>
      <c r="CQ17" s="252">
        <f t="shared" si="54"/>
        <v>132.66786400000001</v>
      </c>
      <c r="CR17" s="252">
        <f t="shared" si="55"/>
        <v>132.66786400000001</v>
      </c>
      <c r="CS17" s="252">
        <f t="shared" si="56"/>
        <v>132.66786400000001</v>
      </c>
      <c r="CT17" s="77">
        <f>CT29</f>
        <v>0.12</v>
      </c>
      <c r="CU17" s="253">
        <f t="shared" si="85"/>
        <v>15.248812319999999</v>
      </c>
      <c r="CV17" s="253">
        <f t="shared" si="58"/>
        <v>15.920143680000001</v>
      </c>
      <c r="CW17" s="253">
        <f t="shared" si="59"/>
        <v>15.920143680000001</v>
      </c>
      <c r="CX17" s="253">
        <f t="shared" si="60"/>
        <v>15.920143680000001</v>
      </c>
      <c r="CY17" s="253">
        <f t="shared" si="61"/>
        <v>15.920143680000001</v>
      </c>
      <c r="CZ17" s="253">
        <f t="shared" si="62"/>
        <v>15.920143680000001</v>
      </c>
      <c r="DA17" s="253">
        <f t="shared" si="63"/>
        <v>15.920143680000001</v>
      </c>
      <c r="DB17" s="253">
        <f t="shared" si="64"/>
        <v>15.920143680000001</v>
      </c>
      <c r="DC17" s="253">
        <f t="shared" si="65"/>
        <v>15.920143680000001</v>
      </c>
      <c r="DD17" s="253">
        <f t="shared" si="66"/>
        <v>15.920143680000001</v>
      </c>
      <c r="DE17" s="253">
        <f t="shared" si="67"/>
        <v>15.920143680000001</v>
      </c>
      <c r="DF17" s="253">
        <f t="shared" si="68"/>
        <v>15.920143680000001</v>
      </c>
      <c r="DG17" s="253">
        <f t="shared" si="69"/>
        <v>15.920143680000001</v>
      </c>
      <c r="DH17" s="253">
        <f t="shared" si="70"/>
        <v>15.920143680000001</v>
      </c>
      <c r="DI17" s="253">
        <f t="shared" si="71"/>
        <v>15.920143680000001</v>
      </c>
      <c r="DJ17" s="253">
        <f t="shared" si="72"/>
        <v>15.920143680000001</v>
      </c>
      <c r="DK17" s="253">
        <f t="shared" si="73"/>
        <v>15.920143680000001</v>
      </c>
      <c r="DL17" s="253">
        <f t="shared" si="74"/>
        <v>15.920143680000001</v>
      </c>
      <c r="DM17" s="253">
        <f t="shared" si="75"/>
        <v>15.920143680000001</v>
      </c>
      <c r="DN17" s="253">
        <f t="shared" si="76"/>
        <v>15.920143680000001</v>
      </c>
      <c r="DO17" s="253">
        <f t="shared" si="77"/>
        <v>15.920143680000001</v>
      </c>
      <c r="DP17" s="254">
        <f t="shared" si="86"/>
        <v>0.01</v>
      </c>
      <c r="DQ17" s="244">
        <f t="shared" si="87"/>
        <v>0.23962419359999998</v>
      </c>
      <c r="DR17" s="244">
        <f t="shared" si="78"/>
        <v>0.25017368640000004</v>
      </c>
      <c r="DS17" s="244">
        <f t="shared" si="78"/>
        <v>0.25017368640000004</v>
      </c>
      <c r="DT17" s="244">
        <f t="shared" si="78"/>
        <v>0.25017368640000004</v>
      </c>
      <c r="DU17" s="244">
        <f t="shared" si="78"/>
        <v>0.25017368640000004</v>
      </c>
      <c r="DV17" s="244">
        <f t="shared" si="78"/>
        <v>0.25017368640000004</v>
      </c>
      <c r="DW17" s="244">
        <f t="shared" si="78"/>
        <v>0.25017368640000004</v>
      </c>
      <c r="DX17" s="244">
        <f t="shared" si="78"/>
        <v>0.25017368640000004</v>
      </c>
      <c r="DY17" s="244">
        <f t="shared" si="78"/>
        <v>0.25017368640000004</v>
      </c>
      <c r="DZ17" s="244">
        <f t="shared" si="78"/>
        <v>0.25017368640000004</v>
      </c>
      <c r="EA17" s="244">
        <f t="shared" si="78"/>
        <v>0.25017368640000004</v>
      </c>
      <c r="EB17" s="244">
        <f t="shared" si="78"/>
        <v>0.25017368640000004</v>
      </c>
      <c r="EC17" s="244">
        <f t="shared" si="78"/>
        <v>0.25017368640000004</v>
      </c>
      <c r="ED17" s="244">
        <f t="shared" si="78"/>
        <v>0.25017368640000004</v>
      </c>
      <c r="EE17" s="244">
        <f t="shared" si="78"/>
        <v>0.25017368640000004</v>
      </c>
      <c r="EF17" s="244">
        <f t="shared" si="78"/>
        <v>0.25017368640000004</v>
      </c>
      <c r="EG17" s="244">
        <f t="shared" si="78"/>
        <v>0.25017368640000004</v>
      </c>
      <c r="EH17" s="244">
        <f t="shared" si="78"/>
        <v>0.25017368640000004</v>
      </c>
      <c r="EI17" s="244">
        <f t="shared" si="78"/>
        <v>0.25017368640000004</v>
      </c>
      <c r="EJ17" s="244">
        <f t="shared" si="78"/>
        <v>0.25017368640000004</v>
      </c>
      <c r="EK17" s="244">
        <f t="shared" si="78"/>
        <v>0.25017368640000004</v>
      </c>
    </row>
    <row r="18" spans="2:141" x14ac:dyDescent="0.3">
      <c r="B18" s="6"/>
      <c r="C18" s="73" t="str">
        <f>'3A1 dan 2 Peternakan-CH4'!B18</f>
        <v>Ayam buras</v>
      </c>
      <c r="D18" s="76">
        <f>'3A1 dan 2 Peternakan-CH4'!C18</f>
        <v>1110743</v>
      </c>
      <c r="E18" s="76">
        <f>'3A1 dan 2 Peternakan-CH4'!D18</f>
        <v>1144065</v>
      </c>
      <c r="F18" s="76">
        <f>'3A1 dan 2 Peternakan-CH4'!E18</f>
        <v>1178387</v>
      </c>
      <c r="G18" s="76">
        <f>'3A1 dan 2 Peternakan-CH4'!F18</f>
        <v>1213740</v>
      </c>
      <c r="H18" s="76">
        <f>'3A1 dan 2 Peternakan-CH4'!G18</f>
        <v>1250152</v>
      </c>
      <c r="I18" s="76">
        <f>'3A1 dan 2 Peternakan-CH4'!H18</f>
        <v>1257652.912</v>
      </c>
      <c r="J18" s="76">
        <f>'3A1 dan 2 Peternakan-CH4'!I18</f>
        <v>1265198.829472</v>
      </c>
      <c r="K18" s="76">
        <f>'3A1 dan 2 Peternakan-CH4'!J18</f>
        <v>1272790.0224488319</v>
      </c>
      <c r="L18" s="76">
        <f>'3A1 dan 2 Peternakan-CH4'!K18</f>
        <v>1280426.7625835249</v>
      </c>
      <c r="M18" s="76">
        <f>'3A1 dan 2 Peternakan-CH4'!L18</f>
        <v>1288109.323159026</v>
      </c>
      <c r="N18" s="76">
        <f>'3A1 dan 2 Peternakan-CH4'!M18</f>
        <v>1295837.9790979801</v>
      </c>
      <c r="O18" s="76">
        <f>'3A1 dan 2 Peternakan-CH4'!N18</f>
        <v>1295837.9790979801</v>
      </c>
      <c r="P18" s="76">
        <f>'3A1 dan 2 Peternakan-CH4'!O18</f>
        <v>1295837.9790979801</v>
      </c>
      <c r="Q18" s="76">
        <f>'3A1 dan 2 Peternakan-CH4'!P18</f>
        <v>1295837.9790979801</v>
      </c>
      <c r="R18" s="76">
        <f>'3A1 dan 2 Peternakan-CH4'!Q18</f>
        <v>1295837.9790979801</v>
      </c>
      <c r="S18" s="76">
        <f>'3A1 dan 2 Peternakan-CH4'!R18</f>
        <v>1295837.9790979801</v>
      </c>
      <c r="T18" s="76">
        <f>'3A1 dan 2 Peternakan-CH4'!S18</f>
        <v>1295837.9790979801</v>
      </c>
      <c r="U18" s="76">
        <f>'3A1 dan 2 Peternakan-CH4'!T18</f>
        <v>1295837.9790979801</v>
      </c>
      <c r="V18" s="76">
        <f>'3A1 dan 2 Peternakan-CH4'!U18</f>
        <v>1295837.9790979801</v>
      </c>
      <c r="W18" s="76">
        <f>'3A1 dan 2 Peternakan-CH4'!V18</f>
        <v>1295837.9790979801</v>
      </c>
      <c r="X18" s="76">
        <f>'3A1 dan 2 Peternakan-CH4'!W18</f>
        <v>1295837.9790979801</v>
      </c>
      <c r="Y18" s="77">
        <f t="shared" si="79"/>
        <v>0.82</v>
      </c>
      <c r="Z18" s="77">
        <f t="shared" si="80"/>
        <v>1.5</v>
      </c>
      <c r="AA18" s="250">
        <f t="shared" si="88"/>
        <v>0.44895000000000002</v>
      </c>
      <c r="AB18" s="79">
        <f t="shared" si="89"/>
        <v>0.02</v>
      </c>
      <c r="AC18" s="251">
        <f t="shared" si="82"/>
        <v>9973.3613970000006</v>
      </c>
      <c r="AD18" s="251">
        <f t="shared" si="15"/>
        <v>10272.559635000001</v>
      </c>
      <c r="AE18" s="251">
        <f t="shared" si="16"/>
        <v>10580.736873000002</v>
      </c>
      <c r="AF18" s="251">
        <f t="shared" si="17"/>
        <v>10898.17146</v>
      </c>
      <c r="AG18" s="251">
        <f t="shared" si="18"/>
        <v>11225.114808</v>
      </c>
      <c r="AH18" s="251">
        <f t="shared" si="19"/>
        <v>11292.465496848001</v>
      </c>
      <c r="AI18" s="251">
        <f t="shared" si="20"/>
        <v>11360.220289829089</v>
      </c>
      <c r="AJ18" s="251">
        <f t="shared" si="21"/>
        <v>11428.381611568062</v>
      </c>
      <c r="AK18" s="251">
        <f t="shared" si="22"/>
        <v>11496.951901237471</v>
      </c>
      <c r="AL18" s="251">
        <f t="shared" si="23"/>
        <v>11565.933612644894</v>
      </c>
      <c r="AM18" s="251">
        <f t="shared" si="24"/>
        <v>11635.329214320764</v>
      </c>
      <c r="AN18" s="251">
        <f t="shared" si="25"/>
        <v>11635.329214320764</v>
      </c>
      <c r="AO18" s="251">
        <f t="shared" si="26"/>
        <v>11635.329214320764</v>
      </c>
      <c r="AP18" s="251">
        <f t="shared" si="27"/>
        <v>11635.329214320764</v>
      </c>
      <c r="AQ18" s="251">
        <f t="shared" si="28"/>
        <v>11635.329214320764</v>
      </c>
      <c r="AR18" s="251">
        <f t="shared" si="29"/>
        <v>11635.329214320764</v>
      </c>
      <c r="AS18" s="251">
        <f t="shared" si="30"/>
        <v>11635.329214320764</v>
      </c>
      <c r="AT18" s="251">
        <f t="shared" si="31"/>
        <v>11635.329214320764</v>
      </c>
      <c r="AU18" s="251">
        <f t="shared" si="32"/>
        <v>11635.329214320764</v>
      </c>
      <c r="AV18" s="251">
        <f t="shared" si="33"/>
        <v>11635.329214320764</v>
      </c>
      <c r="AW18" s="251">
        <f t="shared" si="34"/>
        <v>11635.329214320764</v>
      </c>
      <c r="AX18" s="215">
        <v>0.01</v>
      </c>
      <c r="AY18" s="251">
        <f t="shared" si="83"/>
        <v>156.72425052428574</v>
      </c>
      <c r="AZ18" s="251">
        <f t="shared" si="35"/>
        <v>161.4259371214286</v>
      </c>
      <c r="BA18" s="251">
        <f t="shared" si="35"/>
        <v>166.26872229000003</v>
      </c>
      <c r="BB18" s="251">
        <f t="shared" si="35"/>
        <v>171.25698008571428</v>
      </c>
      <c r="BC18" s="251">
        <f t="shared" si="35"/>
        <v>176.39466126857144</v>
      </c>
      <c r="BD18" s="251">
        <f t="shared" si="35"/>
        <v>177.45302923618289</v>
      </c>
      <c r="BE18" s="251">
        <f t="shared" si="35"/>
        <v>178.51774741159997</v>
      </c>
      <c r="BF18" s="251">
        <f t="shared" si="35"/>
        <v>179.58885389606954</v>
      </c>
      <c r="BG18" s="251">
        <f t="shared" si="35"/>
        <v>180.66638701944598</v>
      </c>
      <c r="BH18" s="251">
        <f t="shared" si="35"/>
        <v>181.75038534156263</v>
      </c>
      <c r="BI18" s="251">
        <f t="shared" si="35"/>
        <v>182.84088765361201</v>
      </c>
      <c r="BJ18" s="251">
        <f t="shared" si="35"/>
        <v>182.84088765361201</v>
      </c>
      <c r="BK18" s="251">
        <f t="shared" si="35"/>
        <v>182.84088765361201</v>
      </c>
      <c r="BL18" s="251">
        <f t="shared" si="35"/>
        <v>182.84088765361201</v>
      </c>
      <c r="BM18" s="251">
        <f t="shared" si="35"/>
        <v>182.84088765361201</v>
      </c>
      <c r="BN18" s="251">
        <f t="shared" si="35"/>
        <v>182.84088765361201</v>
      </c>
      <c r="BO18" s="251">
        <f t="shared" si="35"/>
        <v>182.84088765361201</v>
      </c>
      <c r="BP18" s="251">
        <f t="shared" si="35"/>
        <v>182.84088765361201</v>
      </c>
      <c r="BQ18" s="251">
        <f t="shared" si="35"/>
        <v>182.84088765361201</v>
      </c>
      <c r="BR18" s="251">
        <f t="shared" si="35"/>
        <v>182.84088765361201</v>
      </c>
      <c r="BS18" s="251">
        <f t="shared" si="35"/>
        <v>182.84088765361201</v>
      </c>
      <c r="BW18" s="6"/>
      <c r="BX18" s="73"/>
      <c r="BY18" s="73"/>
      <c r="BZ18" s="73"/>
      <c r="CA18" s="73"/>
      <c r="CB18" s="73"/>
      <c r="CC18" s="73"/>
      <c r="CD18" s="73"/>
      <c r="CE18" s="73"/>
      <c r="CF18" s="73"/>
      <c r="CG18" s="73"/>
      <c r="CH18" s="73"/>
      <c r="CI18" s="73"/>
      <c r="CJ18" s="73"/>
      <c r="CK18" s="73"/>
      <c r="CL18" s="73"/>
      <c r="CM18" s="73"/>
      <c r="CN18" s="73"/>
      <c r="CO18" s="73"/>
      <c r="CP18" s="73"/>
      <c r="CQ18" s="73"/>
      <c r="CR18" s="73"/>
      <c r="CS18" s="73"/>
      <c r="CT18" s="73"/>
      <c r="CU18" s="39"/>
      <c r="CV18" s="39"/>
      <c r="CW18" s="39"/>
      <c r="CX18" s="39"/>
      <c r="CY18" s="39"/>
      <c r="CZ18" s="39"/>
      <c r="DA18" s="39"/>
      <c r="DB18" s="39"/>
      <c r="DC18" s="39"/>
      <c r="DD18" s="39"/>
      <c r="DE18" s="39"/>
      <c r="DF18" s="39"/>
      <c r="DG18" s="39"/>
      <c r="DH18" s="39"/>
      <c r="DI18" s="39"/>
      <c r="DJ18" s="39"/>
      <c r="DK18" s="39"/>
      <c r="DL18" s="39"/>
      <c r="DM18" s="39"/>
      <c r="DN18" s="39"/>
      <c r="DO18" s="39"/>
      <c r="DP18" s="81"/>
      <c r="DQ18" s="242"/>
      <c r="DR18" s="242"/>
      <c r="DS18" s="242"/>
      <c r="DT18" s="242"/>
      <c r="DU18" s="242"/>
      <c r="DV18" s="242"/>
      <c r="DW18" s="242"/>
      <c r="DX18" s="242"/>
      <c r="DY18" s="242"/>
      <c r="DZ18" s="242"/>
      <c r="EA18" s="242"/>
      <c r="EB18" s="242"/>
      <c r="EC18" s="242"/>
      <c r="ED18" s="242"/>
      <c r="EE18" s="242"/>
      <c r="EF18" s="242"/>
      <c r="EG18" s="242"/>
      <c r="EH18" s="242"/>
      <c r="EI18" s="242"/>
      <c r="EJ18" s="242"/>
      <c r="EK18" s="242"/>
    </row>
    <row r="19" spans="2:141" x14ac:dyDescent="0.3">
      <c r="B19" s="6"/>
      <c r="C19" s="73" t="str">
        <f>'3A1 dan 2 Peternakan-CH4'!B19</f>
        <v>Ayam ras</v>
      </c>
      <c r="D19" s="76">
        <f>'3A1 dan 2 Peternakan-CH4'!C19</f>
        <v>5695722</v>
      </c>
      <c r="E19" s="76">
        <f>'3A1 dan 2 Peternakan-CH4'!D19</f>
        <v>5730600</v>
      </c>
      <c r="F19" s="76">
        <f>'3A1 dan 2 Peternakan-CH4'!E19</f>
        <v>5902518</v>
      </c>
      <c r="G19" s="76">
        <f>'3A1 dan 2 Peternakan-CH4'!F19</f>
        <v>6064838</v>
      </c>
      <c r="H19" s="76">
        <f>'3A1 dan 2 Peternakan-CH4'!G19</f>
        <v>7065168</v>
      </c>
      <c r="I19" s="76">
        <f>'3A1 dan 2 Peternakan-CH4'!H19</f>
        <v>7107559.0080000004</v>
      </c>
      <c r="J19" s="76">
        <f>'3A1 dan 2 Peternakan-CH4'!I19</f>
        <v>7150204.3620480001</v>
      </c>
      <c r="K19" s="76">
        <f>'3A1 dan 2 Peternakan-CH4'!J19</f>
        <v>7193105.588220288</v>
      </c>
      <c r="L19" s="76">
        <f>'3A1 dan 2 Peternakan-CH4'!K19</f>
        <v>7236264.2217496103</v>
      </c>
      <c r="M19" s="76">
        <f>'3A1 dan 2 Peternakan-CH4'!L19</f>
        <v>7279681.8070801077</v>
      </c>
      <c r="N19" s="76">
        <f>'3A1 dan 2 Peternakan-CH4'!M19</f>
        <v>7323359.8979225885</v>
      </c>
      <c r="O19" s="76">
        <f>'3A1 dan 2 Peternakan-CH4'!N19</f>
        <v>7367300.0573101239</v>
      </c>
      <c r="P19" s="76">
        <f>'3A1 dan 2 Peternakan-CH4'!O19</f>
        <v>7411503.8576539848</v>
      </c>
      <c r="Q19" s="76">
        <f>'3A1 dan 2 Peternakan-CH4'!P19</f>
        <v>7455972.8807999091</v>
      </c>
      <c r="R19" s="76">
        <f>'3A1 dan 2 Peternakan-CH4'!Q19</f>
        <v>7500708.7180847088</v>
      </c>
      <c r="S19" s="76">
        <f>'3A1 dan 2 Peternakan-CH4'!R19</f>
        <v>7545712.9703932172</v>
      </c>
      <c r="T19" s="76">
        <f>'3A1 dan 2 Peternakan-CH4'!S19</f>
        <v>7590987.2482155766</v>
      </c>
      <c r="U19" s="76">
        <f>'3A1 dan 2 Peternakan-CH4'!T19</f>
        <v>7636533.1717048697</v>
      </c>
      <c r="V19" s="76">
        <f>'3A1 dan 2 Peternakan-CH4'!U19</f>
        <v>7682352.3707350986</v>
      </c>
      <c r="W19" s="76">
        <f>'3A1 dan 2 Peternakan-CH4'!V19</f>
        <v>7728446.4849595092</v>
      </c>
      <c r="X19" s="76">
        <f>'3A1 dan 2 Peternakan-CH4'!W19</f>
        <v>7774817.1638692664</v>
      </c>
      <c r="Y19" s="77">
        <f t="shared" si="79"/>
        <v>1.1000000000000001</v>
      </c>
      <c r="Z19" s="77">
        <f t="shared" si="80"/>
        <v>1.5</v>
      </c>
      <c r="AA19" s="250">
        <f t="shared" si="88"/>
        <v>0.60225000000000006</v>
      </c>
      <c r="AB19" s="79">
        <f t="shared" si="89"/>
        <v>0.02</v>
      </c>
      <c r="AC19" s="251">
        <f t="shared" si="82"/>
        <v>68604.971490000011</v>
      </c>
      <c r="AD19" s="251">
        <f t="shared" si="15"/>
        <v>69025.077000000019</v>
      </c>
      <c r="AE19" s="251">
        <f t="shared" si="16"/>
        <v>71095.829310000016</v>
      </c>
      <c r="AF19" s="251">
        <f t="shared" si="17"/>
        <v>73050.97371000002</v>
      </c>
      <c r="AG19" s="251">
        <f t="shared" si="18"/>
        <v>85099.948560000004</v>
      </c>
      <c r="AH19" s="251">
        <f t="shared" si="19"/>
        <v>85610.548251360029</v>
      </c>
      <c r="AI19" s="251">
        <f t="shared" si="20"/>
        <v>86124.211540868171</v>
      </c>
      <c r="AJ19" s="251">
        <f t="shared" si="21"/>
        <v>86640.956810113377</v>
      </c>
      <c r="AK19" s="251">
        <f t="shared" si="22"/>
        <v>87160.802550974055</v>
      </c>
      <c r="AL19" s="251">
        <f t="shared" si="23"/>
        <v>87683.767366279906</v>
      </c>
      <c r="AM19" s="251">
        <f t="shared" si="24"/>
        <v>88209.869970477594</v>
      </c>
      <c r="AN19" s="251">
        <f t="shared" si="25"/>
        <v>88739.12919030046</v>
      </c>
      <c r="AO19" s="251">
        <f t="shared" si="26"/>
        <v>89271.563965442256</v>
      </c>
      <c r="AP19" s="251">
        <f t="shared" si="27"/>
        <v>89807.193349234905</v>
      </c>
      <c r="AQ19" s="251">
        <f t="shared" si="28"/>
        <v>90346.036509330326</v>
      </c>
      <c r="AR19" s="251">
        <f t="shared" si="29"/>
        <v>90888.112728386317</v>
      </c>
      <c r="AS19" s="251">
        <f t="shared" si="30"/>
        <v>91433.441404756624</v>
      </c>
      <c r="AT19" s="251">
        <f t="shared" si="31"/>
        <v>91982.042053185156</v>
      </c>
      <c r="AU19" s="251">
        <f t="shared" si="32"/>
        <v>92533.934305504285</v>
      </c>
      <c r="AV19" s="251">
        <f t="shared" si="33"/>
        <v>93089.137911337297</v>
      </c>
      <c r="AW19" s="251">
        <f t="shared" si="34"/>
        <v>93647.672738805326</v>
      </c>
      <c r="AX19" s="215">
        <v>0.01</v>
      </c>
      <c r="AY19" s="251">
        <f t="shared" si="83"/>
        <v>1078.078123414286</v>
      </c>
      <c r="AZ19" s="251">
        <f t="shared" si="35"/>
        <v>1084.6797814285717</v>
      </c>
      <c r="BA19" s="251">
        <f t="shared" si="35"/>
        <v>1117.220174871429</v>
      </c>
      <c r="BB19" s="251">
        <f t="shared" si="35"/>
        <v>1147.9438725857144</v>
      </c>
      <c r="BC19" s="251">
        <f t="shared" si="35"/>
        <v>1337.2849059428572</v>
      </c>
      <c r="BD19" s="251">
        <f t="shared" si="35"/>
        <v>1345.3086153785148</v>
      </c>
      <c r="BE19" s="251">
        <f t="shared" si="35"/>
        <v>1353.3804670707855</v>
      </c>
      <c r="BF19" s="251">
        <f t="shared" si="35"/>
        <v>1361.5007498732102</v>
      </c>
      <c r="BG19" s="251">
        <f t="shared" si="35"/>
        <v>1369.6697543724495</v>
      </c>
      <c r="BH19" s="251">
        <f t="shared" si="35"/>
        <v>1377.8877728986843</v>
      </c>
      <c r="BI19" s="251">
        <f t="shared" si="35"/>
        <v>1386.1550995360765</v>
      </c>
      <c r="BJ19" s="251">
        <f t="shared" si="35"/>
        <v>1394.4720301332929</v>
      </c>
      <c r="BK19" s="251">
        <f t="shared" si="35"/>
        <v>1402.8388623140927</v>
      </c>
      <c r="BL19" s="251">
        <f t="shared" si="35"/>
        <v>1411.2558954879771</v>
      </c>
      <c r="BM19" s="251">
        <f t="shared" si="35"/>
        <v>1419.7234308609052</v>
      </c>
      <c r="BN19" s="251">
        <f t="shared" si="35"/>
        <v>1428.2417714460707</v>
      </c>
      <c r="BO19" s="251">
        <f t="shared" si="35"/>
        <v>1436.8112220747469</v>
      </c>
      <c r="BP19" s="251">
        <f t="shared" si="35"/>
        <v>1445.4320894071952</v>
      </c>
      <c r="BQ19" s="251">
        <f t="shared" si="35"/>
        <v>1454.1046819436388</v>
      </c>
      <c r="BR19" s="251">
        <f t="shared" si="35"/>
        <v>1462.8293100353003</v>
      </c>
      <c r="BS19" s="251">
        <f t="shared" si="35"/>
        <v>1471.6062858955122</v>
      </c>
      <c r="BW19" s="6"/>
      <c r="BX19" s="73"/>
      <c r="BY19" s="39"/>
      <c r="BZ19" s="39"/>
      <c r="CA19" s="39"/>
      <c r="CB19" s="39"/>
      <c r="CC19" s="39"/>
      <c r="CD19" s="39"/>
      <c r="CE19" s="39"/>
      <c r="CF19" s="39"/>
      <c r="CG19" s="39"/>
      <c r="CH19" s="39"/>
      <c r="CI19" s="39"/>
      <c r="CJ19" s="39"/>
      <c r="CK19" s="39"/>
      <c r="CL19" s="39"/>
      <c r="CM19" s="39"/>
      <c r="CN19" s="39"/>
      <c r="CO19" s="39"/>
      <c r="CP19" s="39"/>
      <c r="CQ19" s="39"/>
      <c r="CR19" s="39"/>
      <c r="CS19" s="39"/>
      <c r="CT19" s="8"/>
      <c r="CU19" s="8"/>
      <c r="CV19" s="8"/>
      <c r="CW19" s="8"/>
      <c r="CX19" s="8"/>
      <c r="CY19" s="8"/>
      <c r="CZ19" s="8"/>
      <c r="DA19" s="8"/>
      <c r="DB19" s="8"/>
      <c r="DC19" s="8"/>
      <c r="DD19" s="8"/>
      <c r="DE19" s="8"/>
      <c r="DF19" s="8"/>
      <c r="DG19" s="8"/>
      <c r="DH19" s="8"/>
      <c r="DI19" s="8"/>
      <c r="DJ19" s="8"/>
      <c r="DK19" s="8"/>
      <c r="DL19" s="8"/>
      <c r="DM19" s="8"/>
      <c r="DN19" s="8"/>
      <c r="DO19" s="8"/>
      <c r="DP19" s="8"/>
      <c r="DQ19" s="10"/>
      <c r="DR19" s="10"/>
      <c r="DS19" s="10"/>
      <c r="DT19" s="10"/>
      <c r="DU19" s="10"/>
      <c r="DV19" s="10"/>
      <c r="DW19" s="10"/>
      <c r="DX19" s="10"/>
      <c r="DY19" s="10"/>
      <c r="DZ19" s="10"/>
      <c r="EA19" s="10"/>
      <c r="EB19" s="10"/>
      <c r="EC19" s="10"/>
      <c r="ED19" s="10"/>
      <c r="EE19" s="10"/>
      <c r="EF19" s="10"/>
      <c r="EG19" s="10"/>
      <c r="EH19" s="10"/>
      <c r="EI19" s="10"/>
      <c r="EJ19" s="10"/>
      <c r="EK19" s="10"/>
    </row>
    <row r="20" spans="2:141" x14ac:dyDescent="0.3">
      <c r="B20" s="6"/>
      <c r="C20" s="73" t="str">
        <f>'3A1 dan 2 Peternakan-CH4'!B20</f>
        <v>Ayam petelur</v>
      </c>
      <c r="D20" s="76">
        <f>'3A1 dan 2 Peternakan-CH4'!C20</f>
        <v>1363826</v>
      </c>
      <c r="E20" s="76">
        <f>'3A1 dan 2 Peternakan-CH4'!D20</f>
        <v>1377000</v>
      </c>
      <c r="F20" s="76">
        <f>'3A1 dan 2 Peternakan-CH4'!E20</f>
        <v>1404540</v>
      </c>
      <c r="G20" s="76">
        <f>'3A1 dan 2 Peternakan-CH4'!F20</f>
        <v>1432110</v>
      </c>
      <c r="H20" s="76">
        <f>'3A1 dan 2 Peternakan-CH4'!G20</f>
        <v>1460752</v>
      </c>
      <c r="I20" s="76">
        <f>'3A1 dan 2 Peternakan-CH4'!H20</f>
        <v>1469516.5120000001</v>
      </c>
      <c r="J20" s="76">
        <f>'3A1 dan 2 Peternakan-CH4'!I20</f>
        <v>1478333.6110720001</v>
      </c>
      <c r="K20" s="76">
        <f>'3A1 dan 2 Peternakan-CH4'!J20</f>
        <v>1487203.6127384321</v>
      </c>
      <c r="L20" s="76">
        <f>'3A1 dan 2 Peternakan-CH4'!K20</f>
        <v>1496126.8344148628</v>
      </c>
      <c r="M20" s="76">
        <f>'3A1 dan 2 Peternakan-CH4'!L20</f>
        <v>1505103.595421352</v>
      </c>
      <c r="N20" s="76">
        <f>'3A1 dan 2 Peternakan-CH4'!M20</f>
        <v>1514134.21699388</v>
      </c>
      <c r="O20" s="76">
        <f>'3A1 dan 2 Peternakan-CH4'!N20</f>
        <v>1523219.0222958433</v>
      </c>
      <c r="P20" s="76">
        <f>'3A1 dan 2 Peternakan-CH4'!O20</f>
        <v>1532358.3364296183</v>
      </c>
      <c r="Q20" s="76">
        <f>'3A1 dan 2 Peternakan-CH4'!P20</f>
        <v>1541552.486448196</v>
      </c>
      <c r="R20" s="76">
        <f>'3A1 dan 2 Peternakan-CH4'!Q20</f>
        <v>1550801.8013668852</v>
      </c>
      <c r="S20" s="76">
        <f>'3A1 dan 2 Peternakan-CH4'!R20</f>
        <v>1560106.6121750865</v>
      </c>
      <c r="T20" s="76">
        <f>'3A1 dan 2 Peternakan-CH4'!S20</f>
        <v>1569467.251848137</v>
      </c>
      <c r="U20" s="76">
        <f>'3A1 dan 2 Peternakan-CH4'!T20</f>
        <v>1578884.0553592257</v>
      </c>
      <c r="V20" s="76">
        <f>'3A1 dan 2 Peternakan-CH4'!U20</f>
        <v>1588357.359691381</v>
      </c>
      <c r="W20" s="76">
        <f>'3A1 dan 2 Peternakan-CH4'!V20</f>
        <v>1597887.5038495292</v>
      </c>
      <c r="X20" s="76">
        <f>'3A1 dan 2 Peternakan-CH4'!W20</f>
        <v>1607474.8288726264</v>
      </c>
      <c r="Y20" s="77">
        <f t="shared" si="79"/>
        <v>0.82</v>
      </c>
      <c r="Z20" s="77">
        <f t="shared" si="80"/>
        <v>1.5</v>
      </c>
      <c r="AA20" s="250">
        <f t="shared" si="88"/>
        <v>0.44895000000000002</v>
      </c>
      <c r="AB20" s="79">
        <f>AG$25/100</f>
        <v>0.02</v>
      </c>
      <c r="AC20" s="251">
        <f t="shared" si="82"/>
        <v>12245.793654000001</v>
      </c>
      <c r="AD20" s="251">
        <f t="shared" si="15"/>
        <v>12364.083000000001</v>
      </c>
      <c r="AE20" s="251">
        <f t="shared" si="16"/>
        <v>12611.364660000001</v>
      </c>
      <c r="AF20" s="251">
        <f t="shared" si="17"/>
        <v>12858.915690000002</v>
      </c>
      <c r="AG20" s="251">
        <f t="shared" si="18"/>
        <v>13116.092208</v>
      </c>
      <c r="AH20" s="251">
        <f t="shared" si="19"/>
        <v>13194.788761248003</v>
      </c>
      <c r="AI20" s="251">
        <f t="shared" si="20"/>
        <v>13273.957493815489</v>
      </c>
      <c r="AJ20" s="251">
        <f t="shared" si="21"/>
        <v>13353.601238778383</v>
      </c>
      <c r="AK20" s="251">
        <f t="shared" si="22"/>
        <v>13433.722846211052</v>
      </c>
      <c r="AL20" s="251">
        <f t="shared" si="23"/>
        <v>13514.32518328832</v>
      </c>
      <c r="AM20" s="251">
        <f t="shared" si="24"/>
        <v>13595.411134388049</v>
      </c>
      <c r="AN20" s="251">
        <f t="shared" si="25"/>
        <v>13676.983601194379</v>
      </c>
      <c r="AO20" s="251">
        <f t="shared" si="26"/>
        <v>13759.045502801542</v>
      </c>
      <c r="AP20" s="251">
        <f t="shared" si="27"/>
        <v>13841.599775818351</v>
      </c>
      <c r="AQ20" s="251">
        <f t="shared" si="28"/>
        <v>13924.649374473263</v>
      </c>
      <c r="AR20" s="251">
        <f t="shared" si="29"/>
        <v>14008.197270720104</v>
      </c>
      <c r="AS20" s="251">
        <f t="shared" si="30"/>
        <v>14092.246454344422</v>
      </c>
      <c r="AT20" s="251">
        <f t="shared" si="31"/>
        <v>14176.79993307049</v>
      </c>
      <c r="AU20" s="251">
        <f t="shared" si="32"/>
        <v>14261.860732668911</v>
      </c>
      <c r="AV20" s="251">
        <f t="shared" si="33"/>
        <v>14347.431897064922</v>
      </c>
      <c r="AW20" s="251">
        <f t="shared" si="34"/>
        <v>14433.516488447312</v>
      </c>
      <c r="AX20" s="215">
        <v>0.01</v>
      </c>
      <c r="AY20" s="251">
        <f t="shared" si="83"/>
        <v>192.43390027714287</v>
      </c>
      <c r="AZ20" s="251">
        <f t="shared" si="35"/>
        <v>194.29273285714288</v>
      </c>
      <c r="BA20" s="251">
        <f t="shared" si="35"/>
        <v>198.17858751428574</v>
      </c>
      <c r="BB20" s="251">
        <f t="shared" si="35"/>
        <v>202.06867512857144</v>
      </c>
      <c r="BC20" s="251">
        <f t="shared" si="35"/>
        <v>206.11002041142856</v>
      </c>
      <c r="BD20" s="251">
        <f t="shared" si="35"/>
        <v>207.3466805338972</v>
      </c>
      <c r="BE20" s="251">
        <f t="shared" si="35"/>
        <v>208.59076061710056</v>
      </c>
      <c r="BF20" s="251">
        <f t="shared" si="35"/>
        <v>209.84230518080318</v>
      </c>
      <c r="BG20" s="251">
        <f t="shared" si="35"/>
        <v>211.10135901188795</v>
      </c>
      <c r="BH20" s="251">
        <f t="shared" si="35"/>
        <v>212.36796716595933</v>
      </c>
      <c r="BI20" s="251">
        <f t="shared" si="35"/>
        <v>213.64217496895506</v>
      </c>
      <c r="BJ20" s="251">
        <f t="shared" si="35"/>
        <v>214.92402801876881</v>
      </c>
      <c r="BK20" s="251">
        <f t="shared" si="35"/>
        <v>216.21357218688135</v>
      </c>
      <c r="BL20" s="251">
        <f t="shared" si="35"/>
        <v>217.51085362000268</v>
      </c>
      <c r="BM20" s="251">
        <f t="shared" si="35"/>
        <v>218.81591874172273</v>
      </c>
      <c r="BN20" s="251">
        <f t="shared" si="35"/>
        <v>220.12881425417305</v>
      </c>
      <c r="BO20" s="251">
        <f t="shared" si="35"/>
        <v>221.44958713969805</v>
      </c>
      <c r="BP20" s="251">
        <f t="shared" si="35"/>
        <v>222.77828466253627</v>
      </c>
      <c r="BQ20" s="251">
        <f t="shared" si="35"/>
        <v>224.11495437051144</v>
      </c>
      <c r="BR20" s="251">
        <f t="shared" si="35"/>
        <v>225.45964409673448</v>
      </c>
      <c r="BS20" s="251">
        <f t="shared" si="35"/>
        <v>226.81240196131492</v>
      </c>
      <c r="BW20" s="6"/>
      <c r="BX20" s="73"/>
      <c r="BY20" s="39"/>
      <c r="BZ20" s="39"/>
      <c r="CA20" s="39"/>
      <c r="CB20" s="39"/>
      <c r="CC20" s="39"/>
      <c r="CD20" s="39"/>
      <c r="CE20" s="39"/>
      <c r="CF20" s="39"/>
      <c r="CG20" s="39"/>
      <c r="CH20" s="39"/>
      <c r="CI20" s="39"/>
      <c r="CJ20" s="39"/>
      <c r="CK20" s="39"/>
      <c r="CL20" s="39"/>
      <c r="CM20" s="39"/>
      <c r="CN20" s="39"/>
      <c r="CO20" s="39"/>
      <c r="CP20" s="39"/>
      <c r="CQ20" s="39"/>
      <c r="CR20" s="39"/>
      <c r="CS20" s="39"/>
      <c r="CT20" s="8"/>
      <c r="CU20" s="8"/>
      <c r="CV20" s="8"/>
      <c r="CW20" s="8"/>
      <c r="CX20" s="8"/>
      <c r="CY20" s="8"/>
      <c r="CZ20" s="8"/>
      <c r="DA20" s="8"/>
      <c r="DB20" s="8"/>
      <c r="DC20" s="8"/>
      <c r="DD20" s="8"/>
      <c r="DE20" s="8"/>
      <c r="DF20" s="8"/>
      <c r="DG20" s="8"/>
      <c r="DH20" s="8"/>
      <c r="DI20" s="8"/>
      <c r="DJ20" s="8"/>
      <c r="DK20" s="8"/>
      <c r="DL20" s="8"/>
      <c r="DM20" s="8"/>
      <c r="DN20" s="8"/>
      <c r="DO20" s="8"/>
      <c r="DP20" s="8"/>
      <c r="DQ20" s="10"/>
      <c r="DR20" s="10"/>
      <c r="DS20" s="10"/>
      <c r="DT20" s="10"/>
      <c r="DU20" s="10"/>
      <c r="DV20" s="10"/>
      <c r="DW20" s="10"/>
      <c r="DX20" s="10"/>
      <c r="DY20" s="10"/>
      <c r="DZ20" s="10"/>
      <c r="EA20" s="10"/>
      <c r="EB20" s="10"/>
      <c r="EC20" s="10"/>
      <c r="ED20" s="10"/>
      <c r="EE20" s="10"/>
      <c r="EF20" s="10"/>
      <c r="EG20" s="10"/>
      <c r="EH20" s="10"/>
      <c r="EI20" s="10"/>
      <c r="EJ20" s="10"/>
      <c r="EK20" s="10"/>
    </row>
    <row r="21" spans="2:141" x14ac:dyDescent="0.3">
      <c r="B21" s="6"/>
      <c r="C21" s="73" t="str">
        <f>'3A1 dan 2 Peternakan-CH4'!B21</f>
        <v>Bebek</v>
      </c>
      <c r="D21" s="76">
        <f>'3A1 dan 2 Peternakan-CH4'!C21</f>
        <v>143827</v>
      </c>
      <c r="E21" s="76">
        <f>'3A1 dan 2 Peternakan-CH4'!D21</f>
        <v>151018</v>
      </c>
      <c r="F21" s="76">
        <f>'3A1 dan 2 Peternakan-CH4'!E21</f>
        <v>158569</v>
      </c>
      <c r="G21" s="76">
        <f>'3A1 dan 2 Peternakan-CH4'!F21</f>
        <v>166494</v>
      </c>
      <c r="H21" s="76">
        <f>'3A1 dan 2 Peternakan-CH4'!G21</f>
        <v>174819</v>
      </c>
      <c r="I21" s="76">
        <f>'3A1 dan 2 Peternakan-CH4'!H21</f>
        <v>174819</v>
      </c>
      <c r="J21" s="76">
        <f>'3A1 dan 2 Peternakan-CH4'!I21</f>
        <v>174819</v>
      </c>
      <c r="K21" s="76">
        <f>'3A1 dan 2 Peternakan-CH4'!J21</f>
        <v>174819</v>
      </c>
      <c r="L21" s="76">
        <f>'3A1 dan 2 Peternakan-CH4'!K21</f>
        <v>174819</v>
      </c>
      <c r="M21" s="76">
        <f>'3A1 dan 2 Peternakan-CH4'!L21</f>
        <v>174819</v>
      </c>
      <c r="N21" s="76">
        <f>'3A1 dan 2 Peternakan-CH4'!M21</f>
        <v>174819</v>
      </c>
      <c r="O21" s="76">
        <f>'3A1 dan 2 Peternakan-CH4'!N21</f>
        <v>174819</v>
      </c>
      <c r="P21" s="76">
        <f>'3A1 dan 2 Peternakan-CH4'!O21</f>
        <v>174819</v>
      </c>
      <c r="Q21" s="76">
        <f>'3A1 dan 2 Peternakan-CH4'!P21</f>
        <v>174819</v>
      </c>
      <c r="R21" s="76">
        <f>'3A1 dan 2 Peternakan-CH4'!Q21</f>
        <v>174819</v>
      </c>
      <c r="S21" s="76">
        <f>'3A1 dan 2 Peternakan-CH4'!R21</f>
        <v>174819</v>
      </c>
      <c r="T21" s="76">
        <f>'3A1 dan 2 Peternakan-CH4'!S21</f>
        <v>174819</v>
      </c>
      <c r="U21" s="76">
        <f>'3A1 dan 2 Peternakan-CH4'!T21</f>
        <v>174819</v>
      </c>
      <c r="V21" s="76">
        <f>'3A1 dan 2 Peternakan-CH4'!U21</f>
        <v>174819</v>
      </c>
      <c r="W21" s="76">
        <f>'3A1 dan 2 Peternakan-CH4'!V21</f>
        <v>174819</v>
      </c>
      <c r="X21" s="76">
        <f>'3A1 dan 2 Peternakan-CH4'!W21</f>
        <v>174819</v>
      </c>
      <c r="Y21" s="77">
        <f t="shared" si="79"/>
        <v>0.82</v>
      </c>
      <c r="Z21" s="77">
        <f t="shared" si="80"/>
        <v>1.5</v>
      </c>
      <c r="AA21" s="250">
        <f>Y21*(Z21/10^3)*365</f>
        <v>0.44895000000000002</v>
      </c>
      <c r="AB21" s="79">
        <f>AG$25/100</f>
        <v>0.02</v>
      </c>
      <c r="AC21" s="251">
        <f t="shared" si="82"/>
        <v>1291.4226330000001</v>
      </c>
      <c r="AD21" s="251">
        <f t="shared" si="15"/>
        <v>1355.9906220000003</v>
      </c>
      <c r="AE21" s="251">
        <f t="shared" si="16"/>
        <v>1423.7910510000002</v>
      </c>
      <c r="AF21" s="251">
        <f t="shared" si="17"/>
        <v>1494.9496260000001</v>
      </c>
      <c r="AG21" s="251">
        <f t="shared" si="18"/>
        <v>1569.6998010000002</v>
      </c>
      <c r="AH21" s="251">
        <f t="shared" si="19"/>
        <v>1569.6998010000002</v>
      </c>
      <c r="AI21" s="251">
        <f t="shared" si="20"/>
        <v>1569.6998010000002</v>
      </c>
      <c r="AJ21" s="251">
        <f t="shared" si="21"/>
        <v>1569.6998010000002</v>
      </c>
      <c r="AK21" s="251">
        <f t="shared" si="22"/>
        <v>1569.6998010000002</v>
      </c>
      <c r="AL21" s="251">
        <f t="shared" si="23"/>
        <v>1569.6998010000002</v>
      </c>
      <c r="AM21" s="251">
        <f t="shared" si="24"/>
        <v>1569.6998010000002</v>
      </c>
      <c r="AN21" s="251">
        <f t="shared" si="25"/>
        <v>1569.6998010000002</v>
      </c>
      <c r="AO21" s="251">
        <f t="shared" si="26"/>
        <v>1569.6998010000002</v>
      </c>
      <c r="AP21" s="251">
        <f t="shared" si="27"/>
        <v>1569.6998010000002</v>
      </c>
      <c r="AQ21" s="251">
        <f t="shared" si="28"/>
        <v>1569.6998010000002</v>
      </c>
      <c r="AR21" s="251">
        <f t="shared" si="29"/>
        <v>1569.6998010000002</v>
      </c>
      <c r="AS21" s="251">
        <f t="shared" si="30"/>
        <v>1569.6998010000002</v>
      </c>
      <c r="AT21" s="251">
        <f t="shared" si="31"/>
        <v>1569.6998010000002</v>
      </c>
      <c r="AU21" s="251">
        <f t="shared" si="32"/>
        <v>1569.6998010000002</v>
      </c>
      <c r="AV21" s="251">
        <f t="shared" si="33"/>
        <v>1569.6998010000002</v>
      </c>
      <c r="AW21" s="251">
        <f t="shared" si="34"/>
        <v>1569.6998010000002</v>
      </c>
      <c r="AX21" s="215">
        <v>0.01</v>
      </c>
      <c r="AY21" s="251">
        <f t="shared" si="83"/>
        <v>20.293784232857146</v>
      </c>
      <c r="AZ21" s="251">
        <f t="shared" si="35"/>
        <v>21.308424060000004</v>
      </c>
      <c r="BA21" s="251">
        <f t="shared" si="35"/>
        <v>22.373859372857147</v>
      </c>
      <c r="BB21" s="251">
        <f t="shared" si="35"/>
        <v>23.492065551428574</v>
      </c>
      <c r="BC21" s="251">
        <f t="shared" si="35"/>
        <v>24.666711158571434</v>
      </c>
      <c r="BD21" s="251">
        <f t="shared" si="35"/>
        <v>24.666711158571434</v>
      </c>
      <c r="BE21" s="251">
        <f t="shared" si="35"/>
        <v>24.666711158571434</v>
      </c>
      <c r="BF21" s="251">
        <f t="shared" si="35"/>
        <v>24.666711158571434</v>
      </c>
      <c r="BG21" s="251">
        <f t="shared" si="35"/>
        <v>24.666711158571434</v>
      </c>
      <c r="BH21" s="251">
        <f t="shared" si="35"/>
        <v>24.666711158571434</v>
      </c>
      <c r="BI21" s="251">
        <f t="shared" si="35"/>
        <v>24.666711158571434</v>
      </c>
      <c r="BJ21" s="251">
        <f t="shared" si="35"/>
        <v>24.666711158571434</v>
      </c>
      <c r="BK21" s="251">
        <f t="shared" si="35"/>
        <v>24.666711158571434</v>
      </c>
      <c r="BL21" s="251">
        <f t="shared" si="35"/>
        <v>24.666711158571434</v>
      </c>
      <c r="BM21" s="251">
        <f t="shared" si="35"/>
        <v>24.666711158571434</v>
      </c>
      <c r="BN21" s="251">
        <f t="shared" si="35"/>
        <v>24.666711158571434</v>
      </c>
      <c r="BO21" s="251">
        <f t="shared" si="35"/>
        <v>24.666711158571434</v>
      </c>
      <c r="BP21" s="251">
        <f t="shared" si="35"/>
        <v>24.666711158571434</v>
      </c>
      <c r="BQ21" s="251">
        <f t="shared" si="35"/>
        <v>24.666711158571434</v>
      </c>
      <c r="BR21" s="251">
        <f t="shared" si="35"/>
        <v>24.666711158571434</v>
      </c>
      <c r="BS21" s="251">
        <f t="shared" si="35"/>
        <v>24.666711158571434</v>
      </c>
      <c r="BW21" s="6"/>
      <c r="BX21" s="73"/>
      <c r="BY21" s="39"/>
      <c r="BZ21" s="39"/>
      <c r="CA21" s="39"/>
      <c r="CB21" s="39"/>
      <c r="CC21" s="39"/>
      <c r="CD21" s="39"/>
      <c r="CE21" s="39"/>
      <c r="CF21" s="39"/>
      <c r="CG21" s="39"/>
      <c r="CH21" s="39"/>
      <c r="CI21" s="39"/>
      <c r="CJ21" s="39"/>
      <c r="CK21" s="39"/>
      <c r="CL21" s="39"/>
      <c r="CM21" s="39"/>
      <c r="CN21" s="39"/>
      <c r="CO21" s="39"/>
      <c r="CP21" s="39"/>
      <c r="CQ21" s="39"/>
      <c r="CR21" s="39"/>
      <c r="CS21" s="39"/>
      <c r="CT21" s="8"/>
      <c r="CU21" s="8"/>
      <c r="CV21" s="8"/>
      <c r="CW21" s="8"/>
      <c r="CX21" s="8"/>
      <c r="CY21" s="8"/>
      <c r="CZ21" s="8"/>
      <c r="DA21" s="8"/>
      <c r="DB21" s="8"/>
      <c r="DC21" s="8"/>
      <c r="DD21" s="8"/>
      <c r="DE21" s="8"/>
      <c r="DF21" s="8"/>
      <c r="DG21" s="8"/>
      <c r="DH21" s="8"/>
      <c r="DI21" s="8"/>
      <c r="DJ21" s="8"/>
      <c r="DK21" s="8"/>
      <c r="DL21" s="8"/>
      <c r="DM21" s="8"/>
      <c r="DN21" s="8"/>
      <c r="DO21" s="8"/>
      <c r="DP21" s="8"/>
      <c r="DQ21" s="10"/>
      <c r="DR21" s="10"/>
      <c r="DS21" s="10"/>
      <c r="DT21" s="10"/>
      <c r="DU21" s="10"/>
      <c r="DV21" s="10"/>
      <c r="DW21" s="10"/>
      <c r="DX21" s="10"/>
      <c r="DY21" s="10"/>
      <c r="DZ21" s="10"/>
      <c r="EA21" s="10"/>
      <c r="EB21" s="10"/>
      <c r="EC21" s="10"/>
      <c r="ED21" s="10"/>
      <c r="EE21" s="10"/>
      <c r="EF21" s="10"/>
      <c r="EG21" s="10"/>
      <c r="EH21" s="10"/>
      <c r="EI21" s="10"/>
      <c r="EJ21" s="10"/>
      <c r="EK21" s="10"/>
    </row>
    <row r="22" spans="2:141" ht="15" thickBot="1" x14ac:dyDescent="0.35">
      <c r="B22" s="359" t="s">
        <v>77</v>
      </c>
      <c r="C22" s="360"/>
      <c r="D22" s="40">
        <f t="shared" ref="D22:G22" si="90">SUM(D11:D21)</f>
        <v>8563439</v>
      </c>
      <c r="E22" s="40">
        <f t="shared" si="90"/>
        <v>8651443</v>
      </c>
      <c r="F22" s="40">
        <f t="shared" si="90"/>
        <v>8898100</v>
      </c>
      <c r="G22" s="40">
        <f t="shared" si="90"/>
        <v>9133972</v>
      </c>
      <c r="H22" s="40">
        <f>SUM(H11:H21)</f>
        <v>10210560</v>
      </c>
      <c r="I22" s="40">
        <f t="shared" ref="I22:X22" si="91">SUM(I11:I21)</f>
        <v>10269229.932</v>
      </c>
      <c r="J22" s="40">
        <f t="shared" si="91"/>
        <v>10328251.883592</v>
      </c>
      <c r="K22" s="40">
        <f t="shared" si="91"/>
        <v>10387627.966893552</v>
      </c>
      <c r="L22" s="40">
        <f t="shared" si="91"/>
        <v>10447360.306694914</v>
      </c>
      <c r="M22" s="40">
        <f t="shared" si="91"/>
        <v>10507451.040535083</v>
      </c>
      <c r="N22" s="40">
        <f t="shared" si="91"/>
        <v>10567902.318778293</v>
      </c>
      <c r="O22" s="40">
        <f t="shared" si="91"/>
        <v>10620941.276816376</v>
      </c>
      <c r="P22" s="40">
        <f t="shared" si="91"/>
        <v>10674298.468602685</v>
      </c>
      <c r="Q22" s="40">
        <f t="shared" si="91"/>
        <v>10727975.803539716</v>
      </c>
      <c r="R22" s="40">
        <f t="shared" si="91"/>
        <v>10781975.202486366</v>
      </c>
      <c r="S22" s="40">
        <f t="shared" si="91"/>
        <v>10836298.597826695</v>
      </c>
      <c r="T22" s="40">
        <f t="shared" si="91"/>
        <v>10890947.933539068</v>
      </c>
      <c r="U22" s="40">
        <f t="shared" si="91"/>
        <v>10945925.165265715</v>
      </c>
      <c r="V22" s="40">
        <f t="shared" si="91"/>
        <v>11001232.260382721</v>
      </c>
      <c r="W22" s="40">
        <f t="shared" si="91"/>
        <v>11056871.198070427</v>
      </c>
      <c r="X22" s="40">
        <f t="shared" si="91"/>
        <v>11112843.969384264</v>
      </c>
      <c r="Y22" s="40"/>
      <c r="Z22" s="86"/>
      <c r="AA22" s="274"/>
      <c r="AB22" s="40"/>
      <c r="AC22" s="216">
        <f t="shared" ref="AC22:AF22" si="92">SUM(AC11:AC21)</f>
        <v>182471.57657400004</v>
      </c>
      <c r="AD22" s="216">
        <f t="shared" si="92"/>
        <v>182635.09883700006</v>
      </c>
      <c r="AE22" s="216">
        <f t="shared" si="92"/>
        <v>187048.42049000002</v>
      </c>
      <c r="AF22" s="216">
        <f t="shared" si="92"/>
        <v>187967.97448</v>
      </c>
      <c r="AG22" s="216">
        <f>SUM(AG11:AG21)</f>
        <v>199240.48125300001</v>
      </c>
      <c r="AH22" s="216">
        <f t="shared" ref="AH22:AV22" si="93">SUM(AH11:AH21)</f>
        <v>199907.81691945606</v>
      </c>
      <c r="AI22" s="216">
        <f t="shared" si="93"/>
        <v>200579.15659991078</v>
      </c>
      <c r="AJ22" s="216">
        <f t="shared" si="93"/>
        <v>201254.52431844824</v>
      </c>
      <c r="AK22" s="216">
        <f t="shared" si="93"/>
        <v>201933.94424329692</v>
      </c>
      <c r="AL22" s="216">
        <f t="shared" si="93"/>
        <v>202617.4406876947</v>
      </c>
      <c r="AM22" s="216">
        <f t="shared" si="93"/>
        <v>203305.03811075888</v>
      </c>
      <c r="AN22" s="216">
        <f t="shared" si="93"/>
        <v>203926.94914307553</v>
      </c>
      <c r="AO22" s="216">
        <f t="shared" si="93"/>
        <v>204552.59164158604</v>
      </c>
      <c r="AP22" s="216">
        <f t="shared" si="93"/>
        <v>205181.98799508763</v>
      </c>
      <c r="AQ22" s="216">
        <f t="shared" si="93"/>
        <v>205815.16072671022</v>
      </c>
      <c r="AR22" s="216">
        <f t="shared" si="93"/>
        <v>206452.13249472255</v>
      </c>
      <c r="AS22" s="216">
        <f t="shared" si="93"/>
        <v>207092.92609334298</v>
      </c>
      <c r="AT22" s="216">
        <f t="shared" si="93"/>
        <v>207737.5644535551</v>
      </c>
      <c r="AU22" s="216">
        <f t="shared" si="93"/>
        <v>208386.07064392854</v>
      </c>
      <c r="AV22" s="216">
        <f t="shared" si="93"/>
        <v>209038.46787144415</v>
      </c>
      <c r="AW22" s="216">
        <f t="shared" ref="AW22" si="94">SUM(AW11:AW21)</f>
        <v>209694.7794823249</v>
      </c>
      <c r="AX22" s="40"/>
      <c r="AY22" s="216">
        <f t="shared" ref="AY22:BB22" si="95">SUM(AY11:AY21)</f>
        <v>4285.294051311429</v>
      </c>
      <c r="AZ22" s="216">
        <f t="shared" si="95"/>
        <v>4276.168592975715</v>
      </c>
      <c r="BA22" s="216">
        <f t="shared" si="95"/>
        <v>4372.5385192028571</v>
      </c>
      <c r="BB22" s="216">
        <f t="shared" si="95"/>
        <v>4360.7185381571426</v>
      </c>
      <c r="BC22" s="216">
        <f>SUM(BC11:BC21)</f>
        <v>4515.302617021428</v>
      </c>
      <c r="BD22" s="216">
        <f t="shared" ref="BD22:BP22" si="96">SUM(BD11:BD21)</f>
        <v>4525.9572861557381</v>
      </c>
      <c r="BE22" s="216">
        <f t="shared" si="96"/>
        <v>4536.6758833048507</v>
      </c>
      <c r="BF22" s="216">
        <f t="shared" si="96"/>
        <v>4547.4587920368613</v>
      </c>
      <c r="BG22" s="216">
        <f t="shared" si="96"/>
        <v>4558.3063982212625</v>
      </c>
      <c r="BH22" s="216">
        <f t="shared" si="96"/>
        <v>4569.2190900427695</v>
      </c>
      <c r="BI22" s="216">
        <f t="shared" si="96"/>
        <v>4580.197258015206</v>
      </c>
      <c r="BJ22" s="216">
        <f t="shared" si="96"/>
        <v>4590.1442496695554</v>
      </c>
      <c r="BK22" s="216">
        <f t="shared" si="96"/>
        <v>4600.1509232738317</v>
      </c>
      <c r="BL22" s="216">
        <f t="shared" si="96"/>
        <v>4610.2176369197323</v>
      </c>
      <c r="BM22" s="216">
        <f t="shared" si="96"/>
        <v>4620.3447508475101</v>
      </c>
      <c r="BN22" s="216">
        <f t="shared" si="96"/>
        <v>4630.5326274588533</v>
      </c>
      <c r="BO22" s="216">
        <f t="shared" si="96"/>
        <v>4640.7816313298645</v>
      </c>
      <c r="BP22" s="216">
        <f t="shared" si="96"/>
        <v>4651.092129224101</v>
      </c>
      <c r="BQ22" s="216">
        <f t="shared" ref="BQ22:BS22" si="97">SUM(BQ11:BQ21)</f>
        <v>4661.4644901057054</v>
      </c>
      <c r="BR22" s="216">
        <f t="shared" si="97"/>
        <v>4671.8990851525969</v>
      </c>
      <c r="BS22" s="217">
        <f t="shared" si="97"/>
        <v>4682.3962877697713</v>
      </c>
      <c r="BW22" s="359" t="s">
        <v>77</v>
      </c>
      <c r="BX22" s="381"/>
      <c r="BY22" s="40">
        <f>SUM(BY11:BY21)</f>
        <v>90356.027400000006</v>
      </c>
      <c r="BZ22" s="40">
        <f t="shared" ref="BZ22:CS22" si="98">SUM(BZ11:BZ21)</f>
        <v>89617.388580000013</v>
      </c>
      <c r="CA22" s="40">
        <f t="shared" si="98"/>
        <v>91336.698596000002</v>
      </c>
      <c r="CB22" s="40">
        <f t="shared" si="98"/>
        <v>89664.963994000005</v>
      </c>
      <c r="CC22" s="40">
        <f t="shared" si="98"/>
        <v>88229.62587600002</v>
      </c>
      <c r="CD22" s="40">
        <f t="shared" si="98"/>
        <v>88240.314609000008</v>
      </c>
      <c r="CE22" s="40">
        <f t="shared" si="98"/>
        <v>88251.06747439802</v>
      </c>
      <c r="CF22" s="40">
        <f t="shared" si="98"/>
        <v>88261.884856988399</v>
      </c>
      <c r="CG22" s="40">
        <f t="shared" si="98"/>
        <v>88272.767143874327</v>
      </c>
      <c r="CH22" s="40">
        <f t="shared" si="98"/>
        <v>88283.714724481586</v>
      </c>
      <c r="CI22" s="40">
        <f t="shared" si="98"/>
        <v>88294.727990572472</v>
      </c>
      <c r="CJ22" s="40">
        <f t="shared" si="98"/>
        <v>88305.80733625991</v>
      </c>
      <c r="CK22" s="40">
        <f t="shared" si="98"/>
        <v>88316.953158021453</v>
      </c>
      <c r="CL22" s="40">
        <f t="shared" si="98"/>
        <v>88328.165854713588</v>
      </c>
      <c r="CM22" s="40">
        <f t="shared" si="98"/>
        <v>88339.445827585863</v>
      </c>
      <c r="CN22" s="40">
        <f t="shared" si="98"/>
        <v>88350.793480295382</v>
      </c>
      <c r="CO22" s="40">
        <f t="shared" si="98"/>
        <v>88362.209218921154</v>
      </c>
      <c r="CP22" s="40">
        <f t="shared" si="98"/>
        <v>88373.693451978688</v>
      </c>
      <c r="CQ22" s="40">
        <f t="shared" si="98"/>
        <v>88385.246590434559</v>
      </c>
      <c r="CR22" s="40">
        <f t="shared" si="98"/>
        <v>88396.869047721164</v>
      </c>
      <c r="CS22" s="40">
        <f t="shared" si="98"/>
        <v>88408.561239751492</v>
      </c>
      <c r="CT22" s="40"/>
      <c r="CU22" s="40">
        <f>SUM(CU11:CU21)</f>
        <v>15252.108483159998</v>
      </c>
      <c r="CV22" s="40">
        <f t="shared" ref="CV22:DO22" si="99">SUM(CV11:CV21)</f>
        <v>14950.34781668</v>
      </c>
      <c r="CW22" s="40">
        <f t="shared" si="99"/>
        <v>15184.579947040002</v>
      </c>
      <c r="CX22" s="40">
        <f t="shared" si="99"/>
        <v>14362.813816599999</v>
      </c>
      <c r="CY22" s="40">
        <f t="shared" si="99"/>
        <v>13643.539490519999</v>
      </c>
      <c r="CZ22" s="40">
        <f t="shared" si="99"/>
        <v>13645.677237119999</v>
      </c>
      <c r="DA22" s="40">
        <f t="shared" si="99"/>
        <v>13647.827810199598</v>
      </c>
      <c r="DB22" s="40">
        <f t="shared" si="99"/>
        <v>13649.991286717677</v>
      </c>
      <c r="DC22" s="40">
        <f t="shared" si="99"/>
        <v>13652.167744094862</v>
      </c>
      <c r="DD22" s="40">
        <f t="shared" si="99"/>
        <v>13654.357260216313</v>
      </c>
      <c r="DE22" s="40">
        <f t="shared" si="99"/>
        <v>13656.55991343449</v>
      </c>
      <c r="DF22" s="40">
        <f t="shared" si="99"/>
        <v>13658.775782571976</v>
      </c>
      <c r="DG22" s="40">
        <f t="shared" si="99"/>
        <v>13661.004946924289</v>
      </c>
      <c r="DH22" s="40">
        <f t="shared" si="99"/>
        <v>13663.247486262715</v>
      </c>
      <c r="DI22" s="40">
        <f t="shared" si="99"/>
        <v>13665.503480837169</v>
      </c>
      <c r="DJ22" s="40">
        <f t="shared" si="99"/>
        <v>13667.773011379073</v>
      </c>
      <c r="DK22" s="40">
        <f t="shared" si="99"/>
        <v>13670.056159104228</v>
      </c>
      <c r="DL22" s="40">
        <f t="shared" si="99"/>
        <v>13672.353005715733</v>
      </c>
      <c r="DM22" s="40">
        <f t="shared" si="99"/>
        <v>13674.663633406908</v>
      </c>
      <c r="DN22" s="40">
        <f t="shared" si="99"/>
        <v>13676.988124864229</v>
      </c>
      <c r="DO22" s="40">
        <f t="shared" si="99"/>
        <v>13679.326563270295</v>
      </c>
      <c r="DP22" s="40"/>
      <c r="DQ22" s="243">
        <f>SUM(DQ11:DQ21)</f>
        <v>239.67599044965712</v>
      </c>
      <c r="DR22" s="243">
        <f t="shared" ref="DR22:EK22" si="100">SUM(DR11:DR21)</f>
        <v>234.93403711925714</v>
      </c>
      <c r="DS22" s="243">
        <f t="shared" si="100"/>
        <v>238.6148277392</v>
      </c>
      <c r="DT22" s="243">
        <f t="shared" si="100"/>
        <v>225.70135997514282</v>
      </c>
      <c r="DU22" s="243">
        <f t="shared" si="100"/>
        <v>214.39847770817141</v>
      </c>
      <c r="DV22" s="243">
        <f t="shared" si="100"/>
        <v>214.43207086902856</v>
      </c>
      <c r="DW22" s="243">
        <f t="shared" si="100"/>
        <v>214.46586558885082</v>
      </c>
      <c r="DX22" s="243">
        <f t="shared" si="100"/>
        <v>214.49986307699206</v>
      </c>
      <c r="DY22" s="243">
        <f t="shared" si="100"/>
        <v>214.53406455006211</v>
      </c>
      <c r="DZ22" s="243">
        <f t="shared" si="100"/>
        <v>214.56847123197059</v>
      </c>
      <c r="EA22" s="243">
        <f t="shared" si="100"/>
        <v>214.60308435397053</v>
      </c>
      <c r="EB22" s="243">
        <f t="shared" si="100"/>
        <v>214.63790515470248</v>
      </c>
      <c r="EC22" s="243">
        <f t="shared" si="100"/>
        <v>214.67293488023881</v>
      </c>
      <c r="ED22" s="243">
        <f t="shared" si="100"/>
        <v>214.70817478412835</v>
      </c>
      <c r="EE22" s="243">
        <f t="shared" si="100"/>
        <v>214.74362612744125</v>
      </c>
      <c r="EF22" s="243">
        <f t="shared" si="100"/>
        <v>214.77929017881399</v>
      </c>
      <c r="EG22" s="243">
        <f t="shared" si="100"/>
        <v>214.815168214495</v>
      </c>
      <c r="EH22" s="243">
        <f t="shared" si="100"/>
        <v>214.85126151839009</v>
      </c>
      <c r="EI22" s="243">
        <f t="shared" si="100"/>
        <v>214.88757138210855</v>
      </c>
      <c r="EJ22" s="243">
        <f t="shared" si="100"/>
        <v>214.9240991050093</v>
      </c>
      <c r="EK22" s="243">
        <f t="shared" si="100"/>
        <v>214.96084599424751</v>
      </c>
    </row>
    <row r="23" spans="2:141" x14ac:dyDescent="0.3">
      <c r="BC23" s="188"/>
      <c r="BD23" s="188"/>
      <c r="BE23" s="188"/>
      <c r="BF23" s="188"/>
      <c r="BG23" s="188"/>
      <c r="BH23" s="188"/>
      <c r="BI23" s="188"/>
      <c r="BJ23" s="188"/>
      <c r="BK23" s="188"/>
      <c r="BL23" s="188"/>
      <c r="BM23" s="188"/>
      <c r="BN23" s="188"/>
      <c r="BO23" s="188"/>
      <c r="BP23" s="188"/>
      <c r="BQ23" s="188"/>
      <c r="BR23" s="188"/>
      <c r="BS23" s="188"/>
    </row>
    <row r="24" spans="2:141" ht="16.5" customHeight="1" x14ac:dyDescent="0.35">
      <c r="B24" s="37"/>
      <c r="C24" s="30"/>
      <c r="D24" s="30"/>
      <c r="E24" s="30"/>
      <c r="F24" s="30"/>
      <c r="G24" s="30"/>
      <c r="H24" s="213" t="s">
        <v>414</v>
      </c>
      <c r="I24" s="213"/>
      <c r="J24" s="213"/>
      <c r="K24" s="213"/>
      <c r="L24" s="213"/>
      <c r="M24" s="213"/>
      <c r="N24" s="213"/>
      <c r="O24" s="213"/>
      <c r="P24" s="213"/>
      <c r="Q24" s="213"/>
      <c r="R24" s="213"/>
      <c r="S24" s="213"/>
      <c r="T24" s="213"/>
      <c r="U24" s="213"/>
      <c r="V24" s="213"/>
      <c r="W24" s="213"/>
      <c r="X24" s="213"/>
      <c r="Y24" s="44" t="s">
        <v>91</v>
      </c>
      <c r="Z24" s="44"/>
      <c r="AA24" s="44" t="s">
        <v>114</v>
      </c>
      <c r="AB24" s="44"/>
      <c r="AC24" s="44"/>
      <c r="AD24" s="44"/>
      <c r="AE24" s="44"/>
      <c r="AF24" s="44"/>
      <c r="AG24" s="377" t="s">
        <v>116</v>
      </c>
      <c r="AH24" s="377"/>
      <c r="AI24" s="377"/>
      <c r="AJ24" s="377"/>
      <c r="AK24" s="377"/>
      <c r="AL24" s="377"/>
      <c r="AM24" s="377"/>
      <c r="AN24" s="377"/>
      <c r="AO24" s="377"/>
      <c r="AP24" s="377"/>
      <c r="AQ24" s="377"/>
      <c r="AR24" s="377"/>
      <c r="AS24" s="377"/>
      <c r="AT24" s="377"/>
      <c r="AU24" s="377"/>
      <c r="AV24" s="377"/>
      <c r="AW24" s="377"/>
      <c r="AX24" s="377"/>
      <c r="AY24" s="281"/>
      <c r="AZ24" s="281"/>
      <c r="BA24" s="281"/>
      <c r="BB24" s="281"/>
      <c r="BC24" t="s">
        <v>415</v>
      </c>
      <c r="BW24" s="37" t="s">
        <v>71</v>
      </c>
      <c r="BX24" s="30"/>
      <c r="BY24" s="30"/>
      <c r="BZ24" s="30"/>
      <c r="CA24" s="30"/>
      <c r="CB24" s="30"/>
      <c r="CC24" s="30"/>
      <c r="CD24" s="30"/>
      <c r="CE24" s="30"/>
      <c r="CF24" s="30"/>
      <c r="CG24" s="30"/>
      <c r="CH24" s="30"/>
      <c r="CI24" s="30"/>
      <c r="CJ24" s="30"/>
      <c r="CK24" s="30"/>
      <c r="CL24" s="30"/>
      <c r="CM24" s="30"/>
      <c r="CN24" s="30"/>
      <c r="CO24" s="30"/>
      <c r="CP24" s="30"/>
      <c r="CQ24" s="30"/>
      <c r="CR24" s="30"/>
      <c r="CS24" s="30"/>
      <c r="CT24" s="44" t="s">
        <v>136</v>
      </c>
      <c r="CU24" s="44" t="s">
        <v>138</v>
      </c>
      <c r="CV24" s="44"/>
      <c r="CW24" s="44"/>
      <c r="CX24" s="44"/>
      <c r="CY24" s="44"/>
      <c r="CZ24" s="44"/>
      <c r="DA24" s="44"/>
      <c r="DB24" s="44"/>
      <c r="DC24" s="44"/>
      <c r="DD24" s="44"/>
      <c r="DE24" s="44"/>
      <c r="DF24" s="44"/>
      <c r="DG24" s="44"/>
      <c r="DH24" s="44"/>
      <c r="DI24" s="44"/>
      <c r="DJ24" s="44"/>
      <c r="DK24" s="44"/>
      <c r="DL24" s="44"/>
      <c r="DM24" s="44"/>
      <c r="DN24" s="44"/>
      <c r="DO24" s="44"/>
    </row>
    <row r="25" spans="2:141" ht="15.75" customHeight="1" x14ac:dyDescent="0.3">
      <c r="C25" s="38"/>
      <c r="D25" s="38"/>
      <c r="E25" s="38"/>
      <c r="F25" s="38"/>
      <c r="G25" s="38"/>
      <c r="H25" s="273" t="s">
        <v>451</v>
      </c>
      <c r="I25" s="30"/>
      <c r="J25" s="30"/>
      <c r="K25" s="30"/>
      <c r="L25" s="30"/>
      <c r="M25" s="30"/>
      <c r="N25" s="30"/>
      <c r="O25" s="30"/>
      <c r="P25" s="30"/>
      <c r="Q25" s="30"/>
      <c r="R25" s="30"/>
      <c r="S25" s="30"/>
      <c r="T25" s="30"/>
      <c r="U25" s="30"/>
      <c r="V25" s="30"/>
      <c r="W25" s="30"/>
      <c r="X25" s="30"/>
      <c r="Y25" s="44">
        <v>319</v>
      </c>
      <c r="Z25" s="74" t="s">
        <v>113</v>
      </c>
      <c r="AA25" s="44">
        <v>0.34</v>
      </c>
      <c r="AB25" t="s">
        <v>115</v>
      </c>
      <c r="AG25">
        <v>2</v>
      </c>
      <c r="AX25" t="s">
        <v>117</v>
      </c>
      <c r="BC25">
        <v>30</v>
      </c>
      <c r="BN25" t="s">
        <v>117</v>
      </c>
      <c r="BW25" s="30" t="s">
        <v>63</v>
      </c>
      <c r="BX25" s="38">
        <v>69578</v>
      </c>
      <c r="BY25" s="30" t="s">
        <v>70</v>
      </c>
      <c r="BZ25" s="30"/>
      <c r="CA25" s="30"/>
      <c r="CB25" s="30"/>
      <c r="CC25" s="30"/>
      <c r="CD25" s="30"/>
      <c r="CE25" s="30"/>
      <c r="CF25" s="30"/>
      <c r="CG25" s="30"/>
      <c r="CH25" s="30"/>
      <c r="CI25" s="30"/>
      <c r="CJ25" s="30"/>
      <c r="CK25" s="30"/>
      <c r="CL25" s="30"/>
      <c r="CM25" s="30"/>
      <c r="CN25" s="30"/>
      <c r="CO25" s="30"/>
      <c r="CP25" s="30"/>
      <c r="CQ25" s="30"/>
      <c r="CR25" s="30"/>
      <c r="CS25" s="30"/>
      <c r="CT25" s="44">
        <v>0.2</v>
      </c>
      <c r="CU25" s="74" t="s">
        <v>139</v>
      </c>
      <c r="CV25" s="74"/>
      <c r="CW25" s="74"/>
      <c r="CX25" s="74"/>
      <c r="CY25" s="74"/>
      <c r="CZ25" s="74"/>
      <c r="DA25" s="74"/>
      <c r="DB25" s="74"/>
      <c r="DC25" s="74"/>
      <c r="DD25" s="74"/>
      <c r="DE25" s="74"/>
      <c r="DF25" s="74"/>
      <c r="DG25" s="74"/>
      <c r="DH25" s="74"/>
      <c r="DI25" s="74"/>
      <c r="DJ25" s="44" t="s">
        <v>138</v>
      </c>
      <c r="DK25" s="44"/>
      <c r="DL25" s="44"/>
      <c r="DM25" s="44"/>
      <c r="DN25" s="44"/>
    </row>
    <row r="26" spans="2:141" x14ac:dyDescent="0.3">
      <c r="C26" s="38"/>
      <c r="D26" s="38"/>
      <c r="E26" s="38"/>
      <c r="F26" s="38"/>
      <c r="G26" s="38"/>
      <c r="H26" s="30" t="s">
        <v>72</v>
      </c>
      <c r="I26" s="30"/>
      <c r="J26" s="30"/>
      <c r="K26" s="30"/>
      <c r="L26" s="30"/>
      <c r="M26" s="30"/>
      <c r="N26" s="30"/>
      <c r="O26" s="30"/>
      <c r="P26" s="30"/>
      <c r="Q26" s="30"/>
      <c r="R26" s="30"/>
      <c r="S26" s="30"/>
      <c r="T26" s="30"/>
      <c r="U26" s="30"/>
      <c r="V26" s="30"/>
      <c r="W26" s="30"/>
      <c r="X26" s="30"/>
      <c r="Y26" s="44">
        <v>350</v>
      </c>
      <c r="Z26" s="74" t="s">
        <v>113</v>
      </c>
      <c r="AA26" s="44">
        <v>0.47</v>
      </c>
      <c r="AB26" t="s">
        <v>115</v>
      </c>
      <c r="BE26">
        <v>2010</v>
      </c>
      <c r="BF26">
        <v>2011</v>
      </c>
      <c r="BG26">
        <v>2012</v>
      </c>
      <c r="BH26">
        <v>2013</v>
      </c>
      <c r="BI26">
        <v>2014</v>
      </c>
      <c r="BW26" s="30" t="s">
        <v>72</v>
      </c>
      <c r="BX26" s="38">
        <v>169085</v>
      </c>
      <c r="BY26" s="30" t="s">
        <v>70</v>
      </c>
      <c r="BZ26" s="30"/>
      <c r="CA26" s="30"/>
      <c r="CB26" s="30"/>
      <c r="CC26" s="30"/>
      <c r="CD26" s="30"/>
      <c r="CE26" s="30"/>
      <c r="CF26" s="30"/>
      <c r="CG26" s="30"/>
      <c r="CH26" s="30"/>
      <c r="CI26" s="30"/>
      <c r="CJ26" s="30"/>
      <c r="CK26" s="30"/>
      <c r="CL26" s="30"/>
      <c r="CM26" s="30"/>
      <c r="CN26" s="30"/>
      <c r="CO26" s="30"/>
      <c r="CP26" s="30"/>
      <c r="CQ26" s="30"/>
      <c r="CR26" s="30"/>
      <c r="CS26" s="30"/>
      <c r="CT26" s="44">
        <v>0.3</v>
      </c>
      <c r="CU26" s="74" t="s">
        <v>140</v>
      </c>
      <c r="CV26" s="74"/>
      <c r="CW26" s="74"/>
      <c r="CX26" s="74"/>
      <c r="CY26" s="74"/>
      <c r="CZ26" s="74"/>
      <c r="DA26" s="74"/>
      <c r="DB26" s="74"/>
      <c r="DC26" s="74"/>
      <c r="DD26" s="74"/>
      <c r="DE26" s="74"/>
      <c r="DF26" s="74"/>
      <c r="DG26" s="74"/>
      <c r="DH26" s="74"/>
      <c r="DI26" s="74"/>
      <c r="DJ26" s="74" t="s">
        <v>139</v>
      </c>
      <c r="DK26" s="74"/>
      <c r="DL26" s="74"/>
      <c r="DM26" s="74"/>
      <c r="DN26" s="74"/>
      <c r="DQ26">
        <v>0.01</v>
      </c>
    </row>
    <row r="27" spans="2:141" x14ac:dyDescent="0.3">
      <c r="C27" s="38"/>
      <c r="D27" s="38"/>
      <c r="E27" s="38"/>
      <c r="F27" s="38"/>
      <c r="G27" s="38"/>
      <c r="H27" s="30" t="s">
        <v>22</v>
      </c>
      <c r="I27" s="30"/>
      <c r="J27" s="30"/>
      <c r="K27" s="30"/>
      <c r="L27" s="30"/>
      <c r="M27" s="30"/>
      <c r="N27" s="30"/>
      <c r="O27" s="30"/>
      <c r="P27" s="30"/>
      <c r="Q27" s="30"/>
      <c r="R27" s="30"/>
      <c r="S27" s="30"/>
      <c r="T27" s="30"/>
      <c r="U27" s="30"/>
      <c r="V27" s="30"/>
      <c r="W27" s="30"/>
      <c r="X27" s="30"/>
      <c r="Y27" s="44">
        <v>380</v>
      </c>
      <c r="Z27" s="74" t="s">
        <v>113</v>
      </c>
      <c r="AA27" s="44">
        <v>0.32</v>
      </c>
      <c r="AB27" t="s">
        <v>115</v>
      </c>
      <c r="AY27" s="196">
        <f>((AY11+DQ11)*310*1000)+'3A1 dan 2 Peternakan-CH4'!AU29</f>
        <v>9537594.7639771439</v>
      </c>
      <c r="AZ27" s="196">
        <f>((AZ11+DR11)*310*1000)+'3A1 dan 2 Peternakan-CH4'!AV29</f>
        <v>13296628.999245718</v>
      </c>
      <c r="BA27" s="196">
        <f>((BA11+DS11)*310*1000)+'3A1 dan 2 Peternakan-CH4'!AW29</f>
        <v>14323362.955154287</v>
      </c>
      <c r="BB27" s="196">
        <f>((BB11+DT11)*310*1000)+'3A1 dan 2 Peternakan-CH4'!AX29</f>
        <v>18778200.367154289</v>
      </c>
      <c r="BC27" s="196">
        <f>((BC11+DU11)*310*1000)+'3A1 dan 2 Peternakan-CH4'!AY29</f>
        <v>19092160.337142859</v>
      </c>
      <c r="BD27" s="73" t="s">
        <v>62</v>
      </c>
      <c r="BE27" s="330">
        <f>AY27+'3A1 dan 2 Peternakan-CH4'!Y29</f>
        <v>9538704.1519771442</v>
      </c>
      <c r="BF27" s="330">
        <f>AZ27+'3A1 dan 2 Peternakan-CH4'!Z29</f>
        <v>13298175.628245719</v>
      </c>
      <c r="BG27" s="330">
        <f>BA27+'3A1 dan 2 Peternakan-CH4'!AA29</f>
        <v>14325029.011154287</v>
      </c>
      <c r="BH27" s="330">
        <f>BB27+'3A1 dan 2 Peternakan-CH4'!AB29</f>
        <v>18780384.598154288</v>
      </c>
      <c r="BI27" s="330">
        <f>BC27+'3A1 dan 2 Peternakan-CH4'!AC29</f>
        <v>19094381.087142859</v>
      </c>
      <c r="BW27" s="30" t="s">
        <v>22</v>
      </c>
      <c r="BX27" s="38">
        <v>196562</v>
      </c>
      <c r="BY27" s="30" t="s">
        <v>70</v>
      </c>
      <c r="BZ27" s="30"/>
      <c r="CA27" s="30"/>
      <c r="CB27" s="30"/>
      <c r="CC27" s="30"/>
      <c r="CD27" s="30"/>
      <c r="CE27" s="30"/>
      <c r="CF27" s="30"/>
      <c r="CG27" s="30"/>
      <c r="CH27" s="30"/>
      <c r="CI27" s="30"/>
      <c r="CJ27" s="30"/>
      <c r="CK27" s="30"/>
      <c r="CL27" s="30"/>
      <c r="CM27" s="30"/>
      <c r="CN27" s="30"/>
      <c r="CO27" s="30"/>
      <c r="CP27" s="30"/>
      <c r="CQ27" s="30"/>
      <c r="CR27" s="30"/>
      <c r="CS27" s="30"/>
      <c r="CT27" s="44">
        <v>0.3</v>
      </c>
      <c r="CU27" s="74" t="s">
        <v>141</v>
      </c>
      <c r="CV27" s="74"/>
      <c r="CW27" s="74"/>
      <c r="CX27" s="74"/>
      <c r="CY27" s="74"/>
      <c r="CZ27" s="74"/>
      <c r="DA27" s="74"/>
      <c r="DB27" s="74"/>
      <c r="DC27" s="74"/>
      <c r="DD27" s="74"/>
      <c r="DE27" s="74"/>
      <c r="DF27" s="74"/>
      <c r="DG27" s="74"/>
      <c r="DH27" s="74"/>
      <c r="DI27" s="74"/>
      <c r="DJ27" s="74" t="s">
        <v>140</v>
      </c>
      <c r="DK27" s="74"/>
      <c r="DL27" s="74"/>
      <c r="DM27" s="74"/>
      <c r="DN27" s="74"/>
      <c r="DQ27">
        <v>7.4999999999999997E-3</v>
      </c>
    </row>
    <row r="28" spans="2:141" x14ac:dyDescent="0.3">
      <c r="C28" s="38"/>
      <c r="D28" s="38"/>
      <c r="E28" s="38"/>
      <c r="F28" s="38"/>
      <c r="G28" s="38"/>
      <c r="H28" s="30" t="s">
        <v>64</v>
      </c>
      <c r="I28" s="30"/>
      <c r="J28" s="30"/>
      <c r="K28" s="30"/>
      <c r="L28" s="30"/>
      <c r="M28" s="30"/>
      <c r="N28" s="30"/>
      <c r="O28" s="30"/>
      <c r="P28" s="30"/>
      <c r="Q28" s="30"/>
      <c r="R28" s="30"/>
      <c r="S28" s="30"/>
      <c r="T28" s="30"/>
      <c r="U28" s="30"/>
      <c r="V28" s="30"/>
      <c r="W28" s="30"/>
      <c r="X28" s="30"/>
      <c r="Y28" s="44">
        <v>28</v>
      </c>
      <c r="Z28" s="74" t="s">
        <v>113</v>
      </c>
      <c r="AA28" s="44">
        <v>1.17</v>
      </c>
      <c r="AB28" t="s">
        <v>115</v>
      </c>
      <c r="AY28" s="196">
        <f>((AY12+DQ12)*310*1000)+'3A1 dan 2 Peternakan-CH4'!AU30</f>
        <v>237553630.46249995</v>
      </c>
      <c r="AZ28" s="196">
        <f>((AZ12+DR12)*310*1000)+'3A1 dan 2 Peternakan-CH4'!AV30</f>
        <v>235858260.45749998</v>
      </c>
      <c r="BA28" s="196">
        <f>((BA12+DS12)*310*1000)+'3A1 dan 2 Peternakan-CH4'!AW30</f>
        <v>238212941.01999995</v>
      </c>
      <c r="BB28" s="196">
        <f>((BB12+DT12)*310*1000)+'3A1 dan 2 Peternakan-CH4'!AX30</f>
        <v>199744188.28749996</v>
      </c>
      <c r="BC28" s="196">
        <f>((BC12+DU12)*310*1000)+'3A1 dan 2 Peternakan-CH4'!AY30</f>
        <v>166132805.17249995</v>
      </c>
      <c r="BD28" s="73" t="s">
        <v>63</v>
      </c>
      <c r="BE28" s="330">
        <f>AY28+'3A1 dan 2 Peternakan-CH4'!Y30</f>
        <v>237576246.51749995</v>
      </c>
      <c r="BF28" s="330">
        <f>AZ28+'3A1 dan 2 Peternakan-CH4'!Z30</f>
        <v>235880715.10649997</v>
      </c>
      <c r="BG28" s="330">
        <f>BA28+'3A1 dan 2 Peternakan-CH4'!AA30</f>
        <v>238235619.84399995</v>
      </c>
      <c r="BH28" s="330">
        <f>BB28+'3A1 dan 2 Peternakan-CH4'!AB30</f>
        <v>199763204.73249996</v>
      </c>
      <c r="BI28" s="330">
        <f>BC28+'3A1 dan 2 Peternakan-CH4'!AC30</f>
        <v>166148621.67949995</v>
      </c>
      <c r="BJ28" s="330">
        <f>SUM(BE28:BI28)/5</f>
        <v>215520881.57599998</v>
      </c>
      <c r="BK28" s="315">
        <f>BJ28/BJ38</f>
        <v>0.15137098856385614</v>
      </c>
      <c r="BW28" s="30" t="s">
        <v>64</v>
      </c>
      <c r="BX28" s="38">
        <v>3475019</v>
      </c>
      <c r="BY28" s="30" t="s">
        <v>70</v>
      </c>
      <c r="BZ28" s="30"/>
      <c r="CA28" s="30"/>
      <c r="CB28" s="30"/>
      <c r="CC28" s="30"/>
      <c r="CD28" s="30"/>
      <c r="CE28" s="30"/>
      <c r="CF28" s="30"/>
      <c r="CG28" s="30"/>
      <c r="CH28" s="30"/>
      <c r="CI28" s="30"/>
      <c r="CJ28" s="30"/>
      <c r="CK28" s="30"/>
      <c r="CL28" s="30"/>
      <c r="CM28" s="30"/>
      <c r="CN28" s="30"/>
      <c r="CO28" s="30"/>
      <c r="CP28" s="30"/>
      <c r="CQ28" s="30"/>
      <c r="CR28" s="30"/>
      <c r="CS28" s="30"/>
      <c r="CT28" s="44">
        <v>0.12</v>
      </c>
      <c r="CU28" s="74" t="s">
        <v>142</v>
      </c>
      <c r="CV28" s="74"/>
      <c r="CW28" s="74"/>
      <c r="CX28" s="74"/>
      <c r="CY28" s="74"/>
      <c r="CZ28" s="74"/>
      <c r="DA28" s="74"/>
      <c r="DB28" s="74"/>
      <c r="DC28" s="74"/>
      <c r="DD28" s="74"/>
      <c r="DE28" s="74"/>
      <c r="DF28" s="74"/>
      <c r="DG28" s="74"/>
      <c r="DH28" s="74"/>
      <c r="DI28" s="74"/>
      <c r="DJ28" s="74" t="s">
        <v>141</v>
      </c>
      <c r="DK28" s="74"/>
      <c r="DL28" s="74"/>
      <c r="DM28" s="74"/>
      <c r="DN28" s="74"/>
      <c r="DQ28">
        <v>0.1</v>
      </c>
    </row>
    <row r="29" spans="2:141" x14ac:dyDescent="0.3">
      <c r="C29" s="38"/>
      <c r="D29" s="38"/>
      <c r="E29" s="38"/>
      <c r="F29" s="38"/>
      <c r="G29" s="38"/>
      <c r="H29" s="30" t="s">
        <v>23</v>
      </c>
      <c r="I29" s="30"/>
      <c r="J29" s="30"/>
      <c r="K29" s="30"/>
      <c r="L29" s="30"/>
      <c r="M29" s="30"/>
      <c r="N29" s="30"/>
      <c r="O29" s="30"/>
      <c r="P29" s="30"/>
      <c r="Q29" s="30"/>
      <c r="R29" s="30"/>
      <c r="S29" s="30"/>
      <c r="T29" s="30"/>
      <c r="U29" s="30"/>
      <c r="V29" s="30"/>
      <c r="W29" s="30"/>
      <c r="X29" s="30"/>
      <c r="Y29" s="44">
        <v>30</v>
      </c>
      <c r="Z29" s="74" t="s">
        <v>113</v>
      </c>
      <c r="AA29" s="44">
        <v>1.37</v>
      </c>
      <c r="AB29" t="s">
        <v>115</v>
      </c>
      <c r="AY29" s="196">
        <f>((AY13+DQ13)*310*1000)+'3A1 dan 2 Peternakan-CH4'!AU31</f>
        <v>32493132.274114281</v>
      </c>
      <c r="AZ29" s="196">
        <f>((AZ13+DR13)*310*1000)+'3A1 dan 2 Peternakan-CH4'!AV31</f>
        <v>19175622.597028572</v>
      </c>
      <c r="BA29" s="196">
        <f>((BA13+DS13)*310*1000)+'3A1 dan 2 Peternakan-CH4'!AW31</f>
        <v>18081577.739314288</v>
      </c>
      <c r="BB29" s="196">
        <f>((BB13+DT13)*310*1000)+'3A1 dan 2 Peternakan-CH4'!AX31</f>
        <v>15813921.125142857</v>
      </c>
      <c r="BC29" s="196">
        <f>((BC13+DU13)*310*1000)+'3A1 dan 2 Peternakan-CH4'!AY31</f>
        <v>15227115.246914284</v>
      </c>
      <c r="BD29" s="73" t="s">
        <v>22</v>
      </c>
      <c r="BE29" s="330">
        <f>AY29+'3A1 dan 2 Peternakan-CH4'!Y31</f>
        <v>32496905.659114283</v>
      </c>
      <c r="BF29" s="330">
        <f>AZ29+'3A1 dan 2 Peternakan-CH4'!Z31</f>
        <v>19177849.437028572</v>
      </c>
      <c r="BG29" s="330">
        <f>BA29+'3A1 dan 2 Peternakan-CH4'!AA31</f>
        <v>18083677.529314287</v>
      </c>
      <c r="BH29" s="330">
        <f>BB29+'3A1 dan 2 Peternakan-CH4'!AB31</f>
        <v>15815757.575142857</v>
      </c>
      <c r="BI29" s="330">
        <f>BC29+'3A1 dan 2 Peternakan-CH4'!AC31</f>
        <v>15228883.551914284</v>
      </c>
      <c r="BW29" s="30" t="s">
        <v>23</v>
      </c>
      <c r="BX29" s="38">
        <v>1705605</v>
      </c>
      <c r="BY29" s="30" t="s">
        <v>70</v>
      </c>
      <c r="BZ29" s="30"/>
      <c r="CA29" s="30"/>
      <c r="CB29" s="30"/>
      <c r="CC29" s="30"/>
      <c r="CD29" s="30"/>
      <c r="CE29" s="30"/>
      <c r="CF29" s="30"/>
      <c r="CG29" s="30"/>
      <c r="CH29" s="30"/>
      <c r="CI29" s="30"/>
      <c r="CJ29" s="30"/>
      <c r="CK29" s="30"/>
      <c r="CL29" s="30"/>
      <c r="CM29" s="30"/>
      <c r="CN29" s="30"/>
      <c r="CO29" s="30"/>
      <c r="CP29" s="30"/>
      <c r="CQ29" s="30"/>
      <c r="CR29" s="30"/>
      <c r="CS29" s="30"/>
      <c r="CT29" s="44">
        <v>0.12</v>
      </c>
      <c r="CU29" s="74" t="s">
        <v>143</v>
      </c>
      <c r="CV29" s="74"/>
      <c r="CW29" s="74"/>
      <c r="CX29" s="74"/>
      <c r="CY29" s="74"/>
      <c r="CZ29" s="74"/>
      <c r="DA29" s="74"/>
      <c r="DB29" s="74"/>
      <c r="DC29" s="74"/>
      <c r="DD29" s="74"/>
      <c r="DE29" s="74"/>
      <c r="DF29" s="74"/>
      <c r="DG29" s="74"/>
      <c r="DH29" s="74"/>
      <c r="DI29" s="74"/>
      <c r="DJ29" s="74" t="s">
        <v>142</v>
      </c>
      <c r="DK29" s="74"/>
      <c r="DL29" s="74"/>
      <c r="DM29" s="74"/>
      <c r="DN29" s="74"/>
      <c r="DQ29">
        <v>0.2</v>
      </c>
    </row>
    <row r="30" spans="2:141" x14ac:dyDescent="0.3">
      <c r="C30" s="38"/>
      <c r="D30" s="38"/>
      <c r="E30" s="38"/>
      <c r="F30" s="38"/>
      <c r="G30" s="38"/>
      <c r="H30" s="273" t="s">
        <v>65</v>
      </c>
      <c r="I30" s="30"/>
      <c r="J30" s="30"/>
      <c r="K30" s="30"/>
      <c r="L30" s="30"/>
      <c r="M30" s="30"/>
      <c r="N30" s="30"/>
      <c r="O30" s="30"/>
      <c r="P30" s="30"/>
      <c r="Q30" s="30"/>
      <c r="R30" s="30"/>
      <c r="S30" s="30"/>
      <c r="T30" s="30"/>
      <c r="U30" s="30"/>
      <c r="V30" s="30"/>
      <c r="W30" s="30"/>
      <c r="X30" s="30"/>
      <c r="Y30" s="44">
        <v>28</v>
      </c>
      <c r="Z30" s="74"/>
      <c r="AA30" s="44">
        <v>0.5</v>
      </c>
      <c r="AY30" s="196">
        <f>((AY14+DQ14)*310*1000)+'3A1 dan 2 Peternakan-CH4'!AU32</f>
        <v>52529922.843672</v>
      </c>
      <c r="AZ30" s="196">
        <f>((AZ14+DR14)*310*1000)+'3A1 dan 2 Peternakan-CH4'!AV32</f>
        <v>52581788.393520012</v>
      </c>
      <c r="BA30" s="196">
        <f>((BA14+DS14)*310*1000)+'3A1 dan 2 Peternakan-CH4'!AW32</f>
        <v>52633653.943368003</v>
      </c>
      <c r="BB30" s="196">
        <f>((BB14+DT14)*310*1000)+'3A1 dan 2 Peternakan-CH4'!AX32</f>
        <v>52685519.493216008</v>
      </c>
      <c r="BC30" s="196">
        <f>((BC14+DU14)*310*1000)+'3A1 dan 2 Peternakan-CH4'!AY32</f>
        <v>52739854.831152</v>
      </c>
      <c r="BD30" s="73" t="s">
        <v>64</v>
      </c>
      <c r="BE30" s="330">
        <f>AY30+'3A1 dan 2 Peternakan-CH4'!Y32</f>
        <v>52532156.088671997</v>
      </c>
      <c r="BF30" s="330">
        <f>AZ30+'3A1 dan 2 Peternakan-CH4'!Z32</f>
        <v>52584023.843520015</v>
      </c>
      <c r="BG30" s="330">
        <f>BA30+'3A1 dan 2 Peternakan-CH4'!AA32</f>
        <v>52635891.598368004</v>
      </c>
      <c r="BH30" s="330">
        <f>BB30+'3A1 dan 2 Peternakan-CH4'!AB32</f>
        <v>52687759.353216007</v>
      </c>
      <c r="BI30" s="330">
        <f>BC30+'3A1 dan 2 Peternakan-CH4'!AC32</f>
        <v>52742097.001152001</v>
      </c>
      <c r="BW30" s="30"/>
      <c r="BX30" s="38"/>
      <c r="BY30" s="30"/>
      <c r="BZ30" s="30"/>
      <c r="CA30" s="30"/>
      <c r="CB30" s="30"/>
      <c r="CC30" s="30"/>
      <c r="CD30" s="30"/>
      <c r="CE30" s="30"/>
      <c r="CF30" s="30"/>
      <c r="CG30" s="30"/>
      <c r="CH30" s="30"/>
      <c r="CI30" s="30"/>
      <c r="CJ30" s="30"/>
      <c r="CK30" s="30"/>
      <c r="CL30" s="30"/>
      <c r="CM30" s="30"/>
      <c r="CN30" s="30"/>
      <c r="CO30" s="30"/>
      <c r="CP30" s="30"/>
      <c r="CQ30" s="30"/>
      <c r="CR30" s="30"/>
      <c r="CS30" s="30"/>
      <c r="CT30" s="44"/>
      <c r="CU30" s="74"/>
      <c r="CV30" s="74"/>
      <c r="CW30" s="74"/>
      <c r="CX30" s="74"/>
      <c r="CY30" s="74"/>
      <c r="CZ30" s="74"/>
      <c r="DA30" s="74"/>
      <c r="DB30" s="74"/>
      <c r="DC30" s="74"/>
      <c r="DD30" s="74"/>
      <c r="DE30" s="74"/>
      <c r="DF30" s="74"/>
      <c r="DG30" s="74"/>
      <c r="DH30" s="74"/>
      <c r="DI30" s="74"/>
      <c r="DJ30" s="74" t="s">
        <v>143</v>
      </c>
      <c r="DK30" s="74"/>
      <c r="DL30" s="74"/>
      <c r="DM30" s="74"/>
      <c r="DN30" s="74"/>
      <c r="DQ30">
        <v>0.3</v>
      </c>
    </row>
    <row r="31" spans="2:141" x14ac:dyDescent="0.3">
      <c r="C31" s="38"/>
      <c r="D31" s="38"/>
      <c r="E31" s="38"/>
      <c r="F31" s="38"/>
      <c r="G31" s="38"/>
      <c r="H31" s="30" t="s">
        <v>24</v>
      </c>
      <c r="I31" s="30"/>
      <c r="J31" s="30"/>
      <c r="K31" s="30"/>
      <c r="L31" s="30"/>
      <c r="M31" s="30"/>
      <c r="N31" s="30"/>
      <c r="O31" s="30"/>
      <c r="P31" s="30"/>
      <c r="Q31" s="30"/>
      <c r="R31" s="30"/>
      <c r="S31" s="30"/>
      <c r="T31" s="30"/>
      <c r="U31" s="30"/>
      <c r="V31" s="30"/>
      <c r="W31" s="30"/>
      <c r="X31" s="30"/>
      <c r="Y31" s="44">
        <v>238</v>
      </c>
      <c r="Z31" s="74" t="s">
        <v>113</v>
      </c>
      <c r="AA31" s="44">
        <v>0.46</v>
      </c>
      <c r="AB31" t="s">
        <v>115</v>
      </c>
      <c r="AY31" s="196">
        <f>((AY15+DQ15)*310*1000)+'3A1 dan 2 Peternakan-CH4'!AU33</f>
        <v>612628432.06949997</v>
      </c>
      <c r="AZ31" s="196">
        <f>((AZ15+DR15)*310*1000)+'3A1 dan 2 Peternakan-CH4'!AV33</f>
        <v>615692891.1106286</v>
      </c>
      <c r="BA31" s="196">
        <f>((BA15+DS15)*310*1000)+'3A1 dan 2 Peternakan-CH4'!AW33</f>
        <v>631086452.80560005</v>
      </c>
      <c r="BB31" s="196">
        <f>((BB15+DT15)*310*1000)+'3A1 dan 2 Peternakan-CH4'!AX33</f>
        <v>646861135.29132855</v>
      </c>
      <c r="BC31" s="196">
        <f>((BC15+DU15)*310*1000)+'3A1 dan 2 Peternakan-CH4'!AY33</f>
        <v>663035529.8259002</v>
      </c>
      <c r="BD31" s="73" t="s">
        <v>23</v>
      </c>
      <c r="BE31" s="330">
        <f>AY31+'3A1 dan 2 Peternakan-CH4'!Y33</f>
        <v>612649192.14450002</v>
      </c>
      <c r="BF31" s="330">
        <f>AZ31+'3A1 dan 2 Peternakan-CH4'!Z33</f>
        <v>615713755.03062856</v>
      </c>
      <c r="BG31" s="330">
        <f>BA31+'3A1 dan 2 Peternakan-CH4'!AA33</f>
        <v>631107838.36559999</v>
      </c>
      <c r="BH31" s="330">
        <f>BB31+'3A1 dan 2 Peternakan-CH4'!AB33</f>
        <v>646883055.40632856</v>
      </c>
      <c r="BI31" s="330">
        <f>BC31+'3A1 dan 2 Peternakan-CH4'!AC33</f>
        <v>663057998.04090023</v>
      </c>
      <c r="BJ31" s="330">
        <f>SUM(BE31:BI31)/5</f>
        <v>633882367.79759145</v>
      </c>
      <c r="BK31" s="315">
        <f>BJ31/BJ38</f>
        <v>0.44520697922666741</v>
      </c>
      <c r="BW31" s="30" t="s">
        <v>24</v>
      </c>
      <c r="BX31" s="38">
        <v>10955</v>
      </c>
      <c r="BY31" s="30" t="s">
        <v>70</v>
      </c>
      <c r="BZ31" s="30"/>
      <c r="CA31" s="30"/>
      <c r="CB31" s="30"/>
      <c r="CC31" s="30"/>
      <c r="CD31" s="30"/>
      <c r="CE31" s="30"/>
      <c r="CF31" s="30"/>
      <c r="CG31" s="30"/>
      <c r="CH31" s="30"/>
      <c r="CI31" s="30"/>
      <c r="CJ31" s="30"/>
      <c r="CK31" s="30"/>
      <c r="CL31" s="30"/>
      <c r="CM31" s="30"/>
      <c r="CN31" s="30"/>
      <c r="CO31" s="30"/>
      <c r="CP31" s="30"/>
      <c r="CQ31" s="30"/>
      <c r="CR31" s="30"/>
      <c r="CS31" s="30"/>
      <c r="CT31" s="44">
        <v>0.12</v>
      </c>
      <c r="CU31" s="74"/>
      <c r="CV31" s="74"/>
      <c r="CW31" s="74"/>
      <c r="CX31" s="74"/>
      <c r="CY31" s="74"/>
      <c r="CZ31" s="74"/>
      <c r="DA31" s="74"/>
      <c r="DB31" s="74"/>
      <c r="DC31" s="74"/>
      <c r="DD31" s="74"/>
      <c r="DE31" s="74"/>
      <c r="DF31" s="74"/>
      <c r="DG31" s="74"/>
      <c r="DH31" s="74"/>
      <c r="DI31" s="74"/>
      <c r="DJ31" s="74"/>
      <c r="DK31" s="74"/>
      <c r="DL31" s="74"/>
      <c r="DM31" s="74"/>
      <c r="DN31" s="74"/>
      <c r="DO31" s="74"/>
    </row>
    <row r="32" spans="2:141" x14ac:dyDescent="0.3">
      <c r="C32" s="38"/>
      <c r="D32" s="38"/>
      <c r="E32" s="38"/>
      <c r="F32" s="38"/>
      <c r="G32" s="38"/>
      <c r="H32" s="30" t="s">
        <v>73</v>
      </c>
      <c r="I32" s="30"/>
      <c r="J32" s="30"/>
      <c r="K32" s="30"/>
      <c r="L32" s="30"/>
      <c r="M32" s="30"/>
      <c r="N32" s="30"/>
      <c r="O32" s="30"/>
      <c r="P32" s="30"/>
      <c r="Q32" s="30"/>
      <c r="R32" s="30"/>
      <c r="S32" s="30"/>
      <c r="T32" s="30"/>
      <c r="U32" s="30"/>
      <c r="V32" s="30"/>
      <c r="W32" s="30"/>
      <c r="X32" s="30"/>
      <c r="Y32" s="44">
        <v>1.5</v>
      </c>
      <c r="Z32" s="74" t="s">
        <v>113</v>
      </c>
      <c r="AA32" s="44">
        <v>0.82</v>
      </c>
      <c r="AB32" t="s">
        <v>115</v>
      </c>
      <c r="AY32" s="196">
        <f>((AY16+DQ16)*310*1000)+'3A1 dan 2 Peternakan-CH4'!AU34</f>
        <v>8584222.146399999</v>
      </c>
      <c r="AZ32" s="196">
        <f>((AZ16+DR16)*310*1000)+'3A1 dan 2 Peternakan-CH4'!AV34</f>
        <v>7997302.8751999997</v>
      </c>
      <c r="BA32" s="196">
        <f>((BA16+DS16)*310*1000)+'3A1 dan 2 Peternakan-CH4'!AW34</f>
        <v>8156700.0154000008</v>
      </c>
      <c r="BB32" s="196">
        <f>((BB16+DT16)*310*1000)+'3A1 dan 2 Peternakan-CH4'!AX34</f>
        <v>8319263.9862000002</v>
      </c>
      <c r="BC32" s="196">
        <f>((BC16+DU16)*310*1000)+'3A1 dan 2 Peternakan-CH4'!AY34</f>
        <v>8484994.7875999995</v>
      </c>
      <c r="BD32" s="73" t="s">
        <v>65</v>
      </c>
      <c r="BE32" s="330">
        <f>AY32+'3A1 dan 2 Peternakan-CH4'!Y34</f>
        <v>8584392.9183999989</v>
      </c>
      <c r="BF32" s="330">
        <f>AZ32+'3A1 dan 2 Peternakan-CH4'!Z34</f>
        <v>7997461.9711999996</v>
      </c>
      <c r="BG32" s="330">
        <f>BA32+'3A1 dan 2 Peternakan-CH4'!AA34</f>
        <v>8156862.2824000008</v>
      </c>
      <c r="BH32" s="330">
        <f>BB32+'3A1 dan 2 Peternakan-CH4'!AB34</f>
        <v>8319429.4872000003</v>
      </c>
      <c r="BI32" s="330">
        <f>BC32+'3A1 dan 2 Peternakan-CH4'!AC34</f>
        <v>8485163.5855999999</v>
      </c>
      <c r="BW32" s="30" t="s">
        <v>73</v>
      </c>
      <c r="BX32" s="38">
        <v>30989810</v>
      </c>
      <c r="BY32" s="30" t="s">
        <v>70</v>
      </c>
      <c r="BZ32" s="30"/>
      <c r="CA32" s="30"/>
      <c r="CB32" s="30"/>
      <c r="CC32" s="30"/>
      <c r="CD32" s="30"/>
      <c r="CE32" s="30"/>
      <c r="CF32" s="30"/>
      <c r="CG32" s="30"/>
      <c r="CH32" s="30"/>
      <c r="CI32" s="30"/>
      <c r="CJ32" s="30"/>
      <c r="CK32" s="30"/>
      <c r="CL32" s="30"/>
      <c r="CM32" s="30"/>
      <c r="CN32" s="30"/>
      <c r="CO32" s="30"/>
      <c r="CP32" s="30"/>
      <c r="CQ32" s="30"/>
      <c r="CR32" s="30"/>
      <c r="CS32" s="30"/>
    </row>
    <row r="33" spans="3:120" x14ac:dyDescent="0.3">
      <c r="C33" s="38"/>
      <c r="D33" s="38"/>
      <c r="E33" s="38"/>
      <c r="F33" s="38"/>
      <c r="G33" s="38"/>
      <c r="H33" s="30" t="s">
        <v>74</v>
      </c>
      <c r="I33" s="30"/>
      <c r="J33" s="30"/>
      <c r="K33" s="30"/>
      <c r="L33" s="30"/>
      <c r="M33" s="30"/>
      <c r="N33" s="30"/>
      <c r="O33" s="30"/>
      <c r="P33" s="30"/>
      <c r="Q33" s="30"/>
      <c r="R33" s="30"/>
      <c r="S33" s="30"/>
      <c r="T33" s="30"/>
      <c r="U33" s="30"/>
      <c r="V33" s="30"/>
      <c r="W33" s="30"/>
      <c r="X33" s="30"/>
      <c r="Y33" s="44">
        <v>1.5</v>
      </c>
      <c r="Z33" s="74" t="s">
        <v>113</v>
      </c>
      <c r="AA33" s="163">
        <v>1.1000000000000001</v>
      </c>
      <c r="AB33" t="s">
        <v>115</v>
      </c>
      <c r="AY33" s="196">
        <f>((AY17+DQ17)*310*1000)+'3A1 dan 2 Peternakan-CH4'!AU35</f>
        <v>693319.97922600002</v>
      </c>
      <c r="AZ33" s="196">
        <f>((AZ17+DR17)*310*1000)+'3A1 dan 2 Peternakan-CH4'!AV35</f>
        <v>723843.50032400014</v>
      </c>
      <c r="BA33" s="196">
        <f>((BA17+DS17)*310*1000)+'3A1 dan 2 Peternakan-CH4'!AW35</f>
        <v>723843.50032400014</v>
      </c>
      <c r="BB33" s="196">
        <f>((BB17+DT17)*310*1000)+'3A1 dan 2 Peternakan-CH4'!AX35</f>
        <v>723843.50032400014</v>
      </c>
      <c r="BC33" s="196">
        <f>((BC17+DU17)*310*1000)+'3A1 dan 2 Peternakan-CH4'!AY35</f>
        <v>723843.50032400014</v>
      </c>
      <c r="BD33" s="73" t="s">
        <v>24</v>
      </c>
      <c r="BE33" s="330">
        <f>AY33+'3A1 dan 2 Peternakan-CH4'!Y35</f>
        <v>693380.08122599998</v>
      </c>
      <c r="BF33" s="330">
        <f>AZ33+'3A1 dan 2 Peternakan-CH4'!Z35</f>
        <v>723906.24832400016</v>
      </c>
      <c r="BG33" s="330">
        <f>BA33+'3A1 dan 2 Peternakan-CH4'!AA35</f>
        <v>723906.24832400016</v>
      </c>
      <c r="BH33" s="330">
        <f>BB33+'3A1 dan 2 Peternakan-CH4'!AB35</f>
        <v>723906.24832400016</v>
      </c>
      <c r="BI33" s="330">
        <f>BC33+'3A1 dan 2 Peternakan-CH4'!AC35</f>
        <v>723906.24832400016</v>
      </c>
      <c r="BW33" s="30" t="s">
        <v>74</v>
      </c>
      <c r="BX33" s="38">
        <v>352434300</v>
      </c>
      <c r="BY33" s="30" t="s">
        <v>70</v>
      </c>
      <c r="BZ33" s="30"/>
      <c r="CA33" s="30"/>
      <c r="CB33" s="30"/>
      <c r="CC33" s="30"/>
      <c r="CD33" s="30"/>
      <c r="CE33" s="30"/>
      <c r="CF33" s="30"/>
      <c r="CG33" s="30"/>
      <c r="CH33" s="30"/>
      <c r="CI33" s="30"/>
      <c r="CJ33" s="30"/>
      <c r="CK33" s="30"/>
      <c r="CL33" s="30"/>
      <c r="CM33" s="30"/>
      <c r="CN33" s="30"/>
      <c r="CO33" s="30"/>
      <c r="CP33" s="30"/>
      <c r="CQ33" s="30"/>
      <c r="CR33" s="30"/>
      <c r="CS33" s="30"/>
      <c r="DP33" s="75"/>
    </row>
    <row r="34" spans="3:120" x14ac:dyDescent="0.3">
      <c r="C34" s="38"/>
      <c r="D34" s="38"/>
      <c r="E34" s="38"/>
      <c r="F34" s="38"/>
      <c r="G34" s="38"/>
      <c r="H34" s="30" t="s">
        <v>75</v>
      </c>
      <c r="I34" s="30"/>
      <c r="J34" s="30"/>
      <c r="K34" s="30"/>
      <c r="L34" s="30"/>
      <c r="M34" s="30"/>
      <c r="N34" s="30"/>
      <c r="O34" s="30"/>
      <c r="P34" s="30"/>
      <c r="Q34" s="30"/>
      <c r="R34" s="30"/>
      <c r="S34" s="30"/>
      <c r="T34" s="30"/>
      <c r="U34" s="30"/>
      <c r="V34" s="30"/>
      <c r="W34" s="30"/>
      <c r="X34" s="30"/>
      <c r="Y34" s="44">
        <v>1.5</v>
      </c>
      <c r="Z34" s="74" t="s">
        <v>113</v>
      </c>
      <c r="AA34" s="44">
        <v>0.82</v>
      </c>
      <c r="AB34" t="s">
        <v>115</v>
      </c>
      <c r="AY34" s="196">
        <f>((AY18+DQ18)*310*1000)+'3A1 dan 2 Peternakan-CH4'!AU36</f>
        <v>48584984.174588576</v>
      </c>
      <c r="AZ34" s="196">
        <f>((AZ18+DR18)*310*1000)+'3A1 dan 2 Peternakan-CH4'!AV36</f>
        <v>50042521.014942862</v>
      </c>
      <c r="BA34" s="196">
        <f>((BA18+DS18)*310*1000)+'3A1 dan 2 Peternakan-CH4'!AW36</f>
        <v>51543798.832440011</v>
      </c>
      <c r="BB34" s="196">
        <f>((BB18+DT18)*310*1000)+'3A1 dan 2 Peternakan-CH4'!AX36</f>
        <v>53090173.597371429</v>
      </c>
      <c r="BC34" s="196">
        <f>((BC18+DU18)*310*1000)+'3A1 dan 2 Peternakan-CH4'!AY36</f>
        <v>54682870.057097144</v>
      </c>
      <c r="BD34" s="73" t="s">
        <v>66</v>
      </c>
      <c r="BE34" s="188">
        <f>AY34</f>
        <v>48584984.174588576</v>
      </c>
      <c r="BF34" s="188">
        <f t="shared" ref="BF34:BI34" si="101">AZ34</f>
        <v>50042521.014942862</v>
      </c>
      <c r="BG34" s="188">
        <f t="shared" si="101"/>
        <v>51543798.832440011</v>
      </c>
      <c r="BH34" s="188">
        <f t="shared" si="101"/>
        <v>53090173.597371429</v>
      </c>
      <c r="BI34" s="188">
        <f t="shared" si="101"/>
        <v>54682870.057097144</v>
      </c>
      <c r="BW34" s="30" t="s">
        <v>75</v>
      </c>
      <c r="BX34" s="38">
        <v>10165280</v>
      </c>
      <c r="BY34" s="30" t="s">
        <v>70</v>
      </c>
      <c r="BZ34" s="30"/>
      <c r="CA34" s="30"/>
      <c r="CB34" s="30"/>
      <c r="CC34" s="30"/>
      <c r="CD34" s="30"/>
      <c r="CE34" s="30"/>
      <c r="CF34" s="30"/>
      <c r="CG34" s="30"/>
      <c r="CH34" s="30"/>
      <c r="CI34" s="30"/>
      <c r="CJ34" s="30"/>
      <c r="CK34" s="30"/>
      <c r="CL34" s="30"/>
      <c r="CM34" s="30"/>
      <c r="CN34" s="30"/>
      <c r="CO34" s="30"/>
      <c r="CP34" s="30"/>
      <c r="CQ34" s="30"/>
      <c r="CR34" s="30"/>
      <c r="CS34" s="30"/>
    </row>
    <row r="35" spans="3:120" x14ac:dyDescent="0.3">
      <c r="C35" s="38"/>
      <c r="D35" s="38"/>
      <c r="E35" s="38"/>
      <c r="F35" s="38"/>
      <c r="G35" s="38"/>
      <c r="H35" s="30" t="s">
        <v>76</v>
      </c>
      <c r="I35" s="30"/>
      <c r="J35" s="30"/>
      <c r="K35" s="30"/>
      <c r="L35" s="30"/>
      <c r="M35" s="30"/>
      <c r="N35" s="30"/>
      <c r="O35" s="30"/>
      <c r="P35" s="30"/>
      <c r="Q35" s="30"/>
      <c r="R35" s="30"/>
      <c r="S35" s="30"/>
      <c r="T35" s="30"/>
      <c r="U35" s="30"/>
      <c r="V35" s="30"/>
      <c r="W35" s="30"/>
      <c r="X35" s="30"/>
      <c r="Y35" s="44">
        <v>1.5</v>
      </c>
      <c r="Z35" s="74" t="s">
        <v>113</v>
      </c>
      <c r="AA35" s="44">
        <v>0.82</v>
      </c>
      <c r="AB35" t="s">
        <v>115</v>
      </c>
      <c r="AY35" s="196">
        <f>((AY19+DQ19)*310*1000)+'3A1 dan 2 Peternakan-CH4'!AU37</f>
        <v>334206610.46166867</v>
      </c>
      <c r="AZ35" s="196">
        <f>((AZ19+DR19)*310*1000)+'3A1 dan 2 Peternakan-CH4'!AV37</f>
        <v>336253139.09485722</v>
      </c>
      <c r="BA35" s="196">
        <f>((BA19+DS19)*310*1000)+'3A1 dan 2 Peternakan-CH4'!AW37</f>
        <v>346340733.26770306</v>
      </c>
      <c r="BB35" s="196">
        <f>((BB19+DT19)*310*1000)+'3A1 dan 2 Peternakan-CH4'!AX37</f>
        <v>355865147.73353148</v>
      </c>
      <c r="BC35" s="196">
        <f>((BC19+DU19)*310*1000)+'3A1 dan 2 Peternakan-CH4'!AY37</f>
        <v>414561288.21284574</v>
      </c>
      <c r="BD35" s="73" t="s">
        <v>67</v>
      </c>
      <c r="BE35" s="188">
        <f t="shared" ref="BE35:BE37" si="102">AY35</f>
        <v>334206610.46166867</v>
      </c>
      <c r="BF35" s="188">
        <f t="shared" ref="BF35:BF37" si="103">AZ35</f>
        <v>336253139.09485722</v>
      </c>
      <c r="BG35" s="188">
        <f t="shared" ref="BG35:BG37" si="104">BA35</f>
        <v>346340733.26770306</v>
      </c>
      <c r="BH35" s="188">
        <f t="shared" ref="BH35:BH37" si="105">BB35</f>
        <v>355865147.73353148</v>
      </c>
      <c r="BI35" s="188">
        <f t="shared" ref="BI35:BI37" si="106">BC35</f>
        <v>414561288.21284574</v>
      </c>
      <c r="BJ35" s="330">
        <f>SUM(BE35:BI35)/5</f>
        <v>357445383.75412124</v>
      </c>
      <c r="BK35" s="315">
        <f>BJ35/BJ38</f>
        <v>0.25105159509737962</v>
      </c>
      <c r="BW35" s="30" t="s">
        <v>76</v>
      </c>
      <c r="BX35" s="38">
        <v>53054909</v>
      </c>
      <c r="BY35" s="30" t="s">
        <v>70</v>
      </c>
      <c r="BZ35" s="30"/>
      <c r="CA35" s="30"/>
      <c r="CB35" s="30"/>
      <c r="CC35" s="30"/>
      <c r="CD35" s="30"/>
      <c r="CE35" s="30"/>
      <c r="CF35" s="30"/>
      <c r="CG35" s="30"/>
      <c r="CH35" s="30"/>
      <c r="CI35" s="30"/>
      <c r="CJ35" s="30"/>
      <c r="CK35" s="30"/>
      <c r="CL35" s="30"/>
      <c r="CM35" s="30"/>
      <c r="CN35" s="30"/>
      <c r="CO35" s="30"/>
      <c r="CP35" s="30"/>
      <c r="CQ35" s="30"/>
      <c r="CR35" s="30"/>
      <c r="CS35" s="30"/>
    </row>
    <row r="36" spans="3:120" x14ac:dyDescent="0.3">
      <c r="AY36" s="196">
        <f>((AY20+DQ20)*310*1000)+'3A1 dan 2 Peternakan-CH4'!AU38</f>
        <v>59655081.892834283</v>
      </c>
      <c r="AZ36" s="196">
        <f>((AZ20+DR20)*310*1000)+'3A1 dan 2 Peternakan-CH4'!AV38</f>
        <v>60231325.525714301</v>
      </c>
      <c r="BA36" s="196">
        <f>((BA20+DS20)*310*1000)+'3A1 dan 2 Peternakan-CH4'!AW38</f>
        <v>61435952.036228582</v>
      </c>
      <c r="BB36" s="196">
        <f>((BB20+DT20)*310*1000)+'3A1 dan 2 Peternakan-CH4'!AX38</f>
        <v>62641890.776057139</v>
      </c>
      <c r="BC36" s="196">
        <f>((BC20+DU20)*310*1000)+'3A1 dan 2 Peternakan-CH4'!AY38</f>
        <v>63894719.843382858</v>
      </c>
      <c r="BD36" s="73" t="s">
        <v>68</v>
      </c>
      <c r="BE36" s="188">
        <f t="shared" si="102"/>
        <v>59655081.892834283</v>
      </c>
      <c r="BF36" s="188">
        <f t="shared" si="103"/>
        <v>60231325.525714301</v>
      </c>
      <c r="BG36" s="188">
        <f t="shared" si="104"/>
        <v>61435952.036228582</v>
      </c>
      <c r="BH36" s="188">
        <f t="shared" si="105"/>
        <v>62641890.776057139</v>
      </c>
      <c r="BI36" s="188">
        <f t="shared" si="106"/>
        <v>63894719.843382858</v>
      </c>
    </row>
    <row r="37" spans="3:120" x14ac:dyDescent="0.3">
      <c r="AA37" s="44"/>
      <c r="AY37" s="196">
        <f>((AY21+DQ21)*310*1000)+'3A1 dan 2 Peternakan-CH4'!AU39</f>
        <v>6291133.5195257151</v>
      </c>
      <c r="AZ37" s="196">
        <f>((AZ21+DR21)*310*1000)+'3A1 dan 2 Peternakan-CH4'!AV39</f>
        <v>6605674.8861600012</v>
      </c>
      <c r="BA37" s="196">
        <f>((BA21+DS21)*310*1000)+'3A1 dan 2 Peternakan-CH4'!AW39</f>
        <v>6935963.0045657158</v>
      </c>
      <c r="BB37" s="196">
        <f>((BB21+DT21)*310*1000)+'3A1 dan 2 Peternakan-CH4'!AX39</f>
        <v>7282610.2484228574</v>
      </c>
      <c r="BC37" s="196">
        <f>((BC21+DU21)*310*1000)+'3A1 dan 2 Peternakan-CH4'!AY39</f>
        <v>7646753.8831371451</v>
      </c>
      <c r="BD37" s="73" t="s">
        <v>69</v>
      </c>
      <c r="BE37" s="188">
        <f t="shared" si="102"/>
        <v>6291133.5195257151</v>
      </c>
      <c r="BF37" s="188">
        <f t="shared" si="103"/>
        <v>6605674.8861600012</v>
      </c>
      <c r="BG37" s="188">
        <f t="shared" si="104"/>
        <v>6935963.0045657158</v>
      </c>
      <c r="BH37" s="188">
        <f t="shared" si="105"/>
        <v>7282610.2484228574</v>
      </c>
      <c r="BI37" s="188">
        <f t="shared" si="106"/>
        <v>7646753.8831371451</v>
      </c>
    </row>
    <row r="38" spans="3:120" x14ac:dyDescent="0.3">
      <c r="AY38" s="331">
        <f>SUM(AY27:AY37)</f>
        <v>1402758064.5880065</v>
      </c>
      <c r="AZ38" s="331">
        <f t="shared" ref="AZ38:BC38" si="107">SUM(AZ27:AZ37)</f>
        <v>1398458998.4551213</v>
      </c>
      <c r="BA38" s="331">
        <f t="shared" si="107"/>
        <v>1429474979.1200981</v>
      </c>
      <c r="BB38" s="331">
        <f t="shared" si="107"/>
        <v>1421805894.4062488</v>
      </c>
      <c r="BC38" s="331">
        <f t="shared" si="107"/>
        <v>1466221935.6979964</v>
      </c>
      <c r="BD38" s="73" t="s">
        <v>439</v>
      </c>
      <c r="BE38" s="332">
        <f>SUM(BE27:BE37)</f>
        <v>1402808787.6100066</v>
      </c>
      <c r="BF38" s="332">
        <f t="shared" ref="BF38:BI38" si="108">SUM(BF27:BF37)</f>
        <v>1398508547.7871213</v>
      </c>
      <c r="BG38" s="332">
        <f t="shared" si="108"/>
        <v>1429525272.0200982</v>
      </c>
      <c r="BH38" s="332">
        <f t="shared" si="108"/>
        <v>1421853319.7562487</v>
      </c>
      <c r="BI38" s="332">
        <f t="shared" si="108"/>
        <v>1466266683.1909964</v>
      </c>
      <c r="BJ38" s="330">
        <f>SUM(BE38:BI38)/5</f>
        <v>1423792522.0728943</v>
      </c>
    </row>
    <row r="40" spans="3:120" x14ac:dyDescent="0.3">
      <c r="AY40" s="315">
        <f>((AY38-BC38)/AY38)/4</f>
        <v>-1.1310551817898366E-2</v>
      </c>
    </row>
    <row r="41" spans="3:120" x14ac:dyDescent="0.3">
      <c r="AY41" s="75">
        <f>(AY38-BC38)/4</f>
        <v>-15865967.77749747</v>
      </c>
    </row>
  </sheetData>
  <mergeCells count="34">
    <mergeCell ref="AG24:AX24"/>
    <mergeCell ref="BW22:BX22"/>
    <mergeCell ref="CT5:CU5"/>
    <mergeCell ref="AG9:AW9"/>
    <mergeCell ref="CU9:DO9"/>
    <mergeCell ref="CU6:DO6"/>
    <mergeCell ref="CU7:DO7"/>
    <mergeCell ref="CU8:DO8"/>
    <mergeCell ref="DQ8:EK8"/>
    <mergeCell ref="DQ9:EK9"/>
    <mergeCell ref="DP5:EK5"/>
    <mergeCell ref="H9:X9"/>
    <mergeCell ref="BC9:BS9"/>
    <mergeCell ref="BY9:CS9"/>
    <mergeCell ref="BY6:CS6"/>
    <mergeCell ref="BY7:CS8"/>
    <mergeCell ref="BX6:BX8"/>
    <mergeCell ref="DQ6:EK6"/>
    <mergeCell ref="DQ7:EK7"/>
    <mergeCell ref="B22:C22"/>
    <mergeCell ref="BW5:BW8"/>
    <mergeCell ref="B5:B8"/>
    <mergeCell ref="AG7:AW7"/>
    <mergeCell ref="AG8:AW8"/>
    <mergeCell ref="H8:X8"/>
    <mergeCell ref="H7:X7"/>
    <mergeCell ref="H6:X6"/>
    <mergeCell ref="H5:X5"/>
    <mergeCell ref="AB5:BS5"/>
    <mergeCell ref="BC6:BS6"/>
    <mergeCell ref="BC7:BS7"/>
    <mergeCell ref="BC8:BS8"/>
    <mergeCell ref="Y5:AA5"/>
    <mergeCell ref="AG6:AW6"/>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Z51"/>
  <sheetViews>
    <sheetView zoomScale="75" workbookViewId="0">
      <selection activeCell="T1" sqref="T1"/>
    </sheetView>
  </sheetViews>
  <sheetFormatPr defaultColWidth="9.109375" defaultRowHeight="14.4" x14ac:dyDescent="0.3"/>
  <cols>
    <col min="1" max="1" width="0.5546875" style="30" customWidth="1"/>
    <col min="2" max="2" width="26.33203125" style="30" customWidth="1"/>
    <col min="3" max="3" width="9.88671875" style="30" customWidth="1"/>
    <col min="4" max="4" width="9" style="30" customWidth="1"/>
    <col min="5" max="5" width="14.6640625" style="30" customWidth="1"/>
    <col min="6" max="6" width="16.33203125" style="30" customWidth="1"/>
    <col min="7" max="7" width="17.33203125" style="30" customWidth="1"/>
    <col min="8" max="8" width="14.33203125" style="30" customWidth="1"/>
    <col min="9" max="9" width="15.109375" style="30" customWidth="1"/>
    <col min="10" max="10" width="2.44140625" style="30" customWidth="1"/>
    <col min="11" max="11" width="4.109375" style="30" customWidth="1"/>
    <col min="12" max="12" width="17.44140625" customWidth="1"/>
    <col min="13" max="14" width="14.33203125" customWidth="1"/>
    <col min="15" max="15" width="8.109375" customWidth="1"/>
    <col min="16" max="16" width="3.88671875" customWidth="1"/>
    <col min="17" max="17" width="17.44140625" customWidth="1"/>
    <col min="18" max="18" width="14" customWidth="1"/>
    <col min="19" max="19" width="15.44140625" customWidth="1"/>
    <col min="20" max="20" width="9.6640625" customWidth="1"/>
    <col min="21" max="24" width="9.109375" style="30"/>
    <col min="25" max="25" width="15.6640625" customWidth="1"/>
    <col min="26" max="26" width="8.88671875" customWidth="1"/>
    <col min="27" max="16384" width="9.109375" style="30"/>
  </cols>
  <sheetData>
    <row r="1" spans="2:19" ht="15.6" x14ac:dyDescent="0.3">
      <c r="B1" s="87" t="s">
        <v>149</v>
      </c>
    </row>
    <row r="2" spans="2:19" ht="18" x14ac:dyDescent="0.4">
      <c r="B2" s="87" t="s">
        <v>150</v>
      </c>
      <c r="K2" s="106" t="s">
        <v>207</v>
      </c>
      <c r="P2" s="106" t="s">
        <v>208</v>
      </c>
    </row>
    <row r="3" spans="2:19" ht="49.5" customHeight="1" thickBot="1" x14ac:dyDescent="0.35">
      <c r="B3" s="88" t="s">
        <v>1</v>
      </c>
      <c r="C3" s="391" t="s">
        <v>182</v>
      </c>
      <c r="D3" s="392"/>
      <c r="E3" s="392"/>
      <c r="F3" s="90" t="s">
        <v>321</v>
      </c>
      <c r="G3" s="89" t="s">
        <v>183</v>
      </c>
      <c r="H3" s="89" t="s">
        <v>184</v>
      </c>
      <c r="I3" s="89" t="s">
        <v>304</v>
      </c>
      <c r="K3" s="107" t="s">
        <v>209</v>
      </c>
      <c r="L3" s="107" t="s">
        <v>210</v>
      </c>
      <c r="M3" s="108" t="s">
        <v>211</v>
      </c>
      <c r="N3" s="107" t="s">
        <v>212</v>
      </c>
      <c r="P3" s="107" t="s">
        <v>209</v>
      </c>
      <c r="Q3" s="107" t="s">
        <v>210</v>
      </c>
      <c r="R3" s="108" t="s">
        <v>211</v>
      </c>
      <c r="S3" s="107" t="s">
        <v>212</v>
      </c>
    </row>
    <row r="4" spans="2:19" ht="18.75" customHeight="1" thickTop="1" x14ac:dyDescent="0.3">
      <c r="B4" s="91" t="s">
        <v>171</v>
      </c>
      <c r="C4" s="393" t="s">
        <v>175</v>
      </c>
      <c r="D4" s="393"/>
      <c r="E4" s="393"/>
      <c r="F4" s="92">
        <v>0</v>
      </c>
      <c r="G4" s="53"/>
      <c r="H4" s="53"/>
      <c r="I4" s="53"/>
      <c r="K4" s="109">
        <v>1</v>
      </c>
      <c r="L4" s="109" t="s">
        <v>213</v>
      </c>
      <c r="M4" s="110">
        <v>496.87</v>
      </c>
      <c r="N4" s="111">
        <f>M4/M10</f>
        <v>2.4562114425617327</v>
      </c>
      <c r="P4" s="109">
        <v>1</v>
      </c>
      <c r="Q4" s="109" t="s">
        <v>214</v>
      </c>
      <c r="R4" s="112">
        <v>584.79999999999995</v>
      </c>
      <c r="S4" s="111">
        <f>R4/R6</f>
        <v>2.4863945578231292</v>
      </c>
    </row>
    <row r="5" spans="2:19" x14ac:dyDescent="0.3">
      <c r="B5" s="395" t="s">
        <v>172</v>
      </c>
      <c r="C5" s="395" t="s">
        <v>42</v>
      </c>
      <c r="D5" s="396" t="s">
        <v>176</v>
      </c>
      <c r="E5" s="396"/>
      <c r="F5" s="93" t="s">
        <v>151</v>
      </c>
      <c r="G5" s="94" t="s">
        <v>152</v>
      </c>
      <c r="H5" s="95"/>
      <c r="I5" s="95"/>
      <c r="K5" s="109">
        <v>2</v>
      </c>
      <c r="L5" s="109" t="s">
        <v>215</v>
      </c>
      <c r="M5" s="110">
        <v>365.86</v>
      </c>
      <c r="N5" s="111">
        <f>M5/M10</f>
        <v>1.8085807522604214</v>
      </c>
      <c r="P5" s="109">
        <v>2</v>
      </c>
      <c r="Q5" s="109" t="s">
        <v>216</v>
      </c>
      <c r="R5" s="110">
        <v>517.81658811578177</v>
      </c>
      <c r="S5" s="111">
        <f>R5/R6</f>
        <v>2.201601139948052</v>
      </c>
    </row>
    <row r="6" spans="2:19" ht="17.25" customHeight="1" x14ac:dyDescent="0.3">
      <c r="B6" s="395"/>
      <c r="C6" s="395"/>
      <c r="D6" s="389" t="s">
        <v>177</v>
      </c>
      <c r="E6" s="154" t="s">
        <v>153</v>
      </c>
      <c r="F6" s="96" t="s">
        <v>154</v>
      </c>
      <c r="G6" s="398">
        <v>0.46</v>
      </c>
      <c r="H6" s="95"/>
      <c r="I6" s="387" t="s">
        <v>200</v>
      </c>
      <c r="K6" s="109">
        <v>3</v>
      </c>
      <c r="L6" s="109" t="s">
        <v>217</v>
      </c>
      <c r="M6" s="110">
        <v>273.60000000000002</v>
      </c>
      <c r="N6" s="111">
        <f>M6/M10</f>
        <v>1.3525055863402704</v>
      </c>
      <c r="P6" s="113">
        <v>3</v>
      </c>
      <c r="Q6" s="113" t="s">
        <v>218</v>
      </c>
      <c r="R6" s="114">
        <v>235.2</v>
      </c>
      <c r="S6" s="115">
        <v>1</v>
      </c>
    </row>
    <row r="7" spans="2:19" ht="16.5" customHeight="1" x14ac:dyDescent="0.3">
      <c r="B7" s="395"/>
      <c r="C7" s="395"/>
      <c r="D7" s="389"/>
      <c r="E7" s="97" t="s">
        <v>155</v>
      </c>
      <c r="F7" s="96" t="s">
        <v>156</v>
      </c>
      <c r="G7" s="394"/>
      <c r="H7" s="95"/>
      <c r="I7" s="394"/>
      <c r="K7" s="109">
        <v>4</v>
      </c>
      <c r="L7" s="109" t="s">
        <v>219</v>
      </c>
      <c r="M7" s="110">
        <v>244.16499999999999</v>
      </c>
      <c r="N7" s="111">
        <f>M7/M10</f>
        <v>1.2069975383361553</v>
      </c>
      <c r="P7" s="109">
        <v>4</v>
      </c>
      <c r="Q7" s="109" t="s">
        <v>220</v>
      </c>
      <c r="R7" s="110">
        <v>152.56</v>
      </c>
      <c r="S7" s="111">
        <f>R7/R6</f>
        <v>0.64863945578231297</v>
      </c>
    </row>
    <row r="8" spans="2:19" x14ac:dyDescent="0.3">
      <c r="B8" s="395"/>
      <c r="C8" s="397" t="s">
        <v>43</v>
      </c>
      <c r="D8" s="389" t="s">
        <v>178</v>
      </c>
      <c r="E8" s="389"/>
      <c r="F8" s="96" t="s">
        <v>157</v>
      </c>
      <c r="G8" s="387">
        <v>0.49</v>
      </c>
      <c r="H8" s="95"/>
      <c r="I8" s="387" t="s">
        <v>201</v>
      </c>
      <c r="K8" s="109">
        <v>5</v>
      </c>
      <c r="L8" s="109" t="s">
        <v>221</v>
      </c>
      <c r="M8" s="110">
        <v>223.2</v>
      </c>
      <c r="N8" s="111">
        <f>M8/M10</f>
        <v>1.1033598204354835</v>
      </c>
      <c r="P8" s="109">
        <v>5</v>
      </c>
      <c r="Q8" s="109" t="s">
        <v>222</v>
      </c>
      <c r="R8" s="116">
        <v>144.22</v>
      </c>
      <c r="S8" s="111">
        <f>R8/R6</f>
        <v>0.61318027210884352</v>
      </c>
    </row>
    <row r="9" spans="2:19" x14ac:dyDescent="0.3">
      <c r="B9" s="395"/>
      <c r="C9" s="397"/>
      <c r="D9" s="389" t="s">
        <v>179</v>
      </c>
      <c r="E9" s="389"/>
      <c r="F9" s="96" t="s">
        <v>158</v>
      </c>
      <c r="G9" s="388"/>
      <c r="H9" s="95"/>
      <c r="I9" s="388"/>
      <c r="K9" s="109">
        <v>6</v>
      </c>
      <c r="L9" s="109" t="s">
        <v>223</v>
      </c>
      <c r="M9" s="110">
        <v>204.64</v>
      </c>
      <c r="N9" s="111">
        <f>M9/M10</f>
        <v>1.0116109034673717</v>
      </c>
      <c r="P9" s="109">
        <v>6</v>
      </c>
      <c r="Q9" s="109" t="s">
        <v>224</v>
      </c>
      <c r="R9" s="110">
        <v>141.12</v>
      </c>
      <c r="S9" s="111">
        <f>R9/R6</f>
        <v>0.60000000000000009</v>
      </c>
    </row>
    <row r="10" spans="2:19" x14ac:dyDescent="0.3">
      <c r="B10" s="395"/>
      <c r="C10" s="397" t="s">
        <v>174</v>
      </c>
      <c r="D10" s="389" t="s">
        <v>180</v>
      </c>
      <c r="E10" s="389"/>
      <c r="F10" s="96" t="s">
        <v>159</v>
      </c>
      <c r="G10" s="95"/>
      <c r="H10" s="95"/>
      <c r="I10" s="95"/>
      <c r="K10" s="113">
        <v>7</v>
      </c>
      <c r="L10" s="113" t="s">
        <v>225</v>
      </c>
      <c r="M10" s="117">
        <v>202.2912162162163</v>
      </c>
      <c r="N10" s="115">
        <f>M10/M10</f>
        <v>1</v>
      </c>
      <c r="P10" s="109">
        <v>7</v>
      </c>
      <c r="Q10" s="109" t="s">
        <v>226</v>
      </c>
      <c r="R10" s="110">
        <v>140.02000000000001</v>
      </c>
      <c r="S10" s="111">
        <f>R10/R6</f>
        <v>0.59532312925170072</v>
      </c>
    </row>
    <row r="11" spans="2:19" x14ac:dyDescent="0.3">
      <c r="B11" s="395"/>
      <c r="C11" s="397"/>
      <c r="D11" s="389" t="s">
        <v>181</v>
      </c>
      <c r="E11" s="389"/>
      <c r="F11" s="96" t="s">
        <v>160</v>
      </c>
      <c r="G11" s="95"/>
      <c r="H11" s="95"/>
      <c r="I11" s="95"/>
      <c r="K11" s="109">
        <v>8</v>
      </c>
      <c r="L11" s="109" t="s">
        <v>227</v>
      </c>
      <c r="M11" s="110">
        <v>187.2</v>
      </c>
      <c r="N11" s="111">
        <f>M11/M10</f>
        <v>0.92539855907492163</v>
      </c>
      <c r="P11" s="109">
        <v>8</v>
      </c>
      <c r="Q11" s="109" t="s">
        <v>228</v>
      </c>
      <c r="R11" s="110">
        <v>125.66249999999999</v>
      </c>
      <c r="S11" s="111">
        <f>R11/R6</f>
        <v>0.53427933673469385</v>
      </c>
    </row>
    <row r="12" spans="2:19" x14ac:dyDescent="0.3">
      <c r="B12" s="390" t="s">
        <v>173</v>
      </c>
      <c r="C12" s="98" t="s">
        <v>161</v>
      </c>
      <c r="D12" s="386"/>
      <c r="E12" s="386"/>
      <c r="F12" s="46"/>
      <c r="G12" s="95"/>
      <c r="H12" s="99">
        <v>1.1200000000000001</v>
      </c>
      <c r="I12" s="95" t="s">
        <v>186</v>
      </c>
      <c r="K12" s="109">
        <v>9</v>
      </c>
      <c r="L12" s="109" t="s">
        <v>229</v>
      </c>
      <c r="M12" s="110">
        <v>186.655</v>
      </c>
      <c r="N12" s="111">
        <f>M12/M10</f>
        <v>0.92270442331265767</v>
      </c>
    </row>
    <row r="13" spans="2:19" x14ac:dyDescent="0.3">
      <c r="B13" s="390"/>
      <c r="C13" s="98" t="s">
        <v>348</v>
      </c>
      <c r="D13" s="386"/>
      <c r="E13" s="386"/>
      <c r="F13" s="46"/>
      <c r="G13" s="95"/>
      <c r="H13" s="99">
        <v>0.28999999999999998</v>
      </c>
      <c r="I13" s="95" t="s">
        <v>187</v>
      </c>
      <c r="K13" s="109">
        <v>10</v>
      </c>
      <c r="L13" s="109" t="s">
        <v>230</v>
      </c>
      <c r="M13" s="110">
        <v>157.77000000000001</v>
      </c>
      <c r="N13" s="111">
        <f>M13/M10</f>
        <v>0.77991522791266243</v>
      </c>
    </row>
    <row r="14" spans="2:19" x14ac:dyDescent="0.3">
      <c r="B14" s="390"/>
      <c r="C14" s="98" t="s">
        <v>162</v>
      </c>
      <c r="D14" s="386"/>
      <c r="E14" s="386"/>
      <c r="F14" s="46"/>
      <c r="G14" s="95"/>
      <c r="H14" s="99">
        <v>1.02</v>
      </c>
      <c r="I14" s="95" t="s">
        <v>188</v>
      </c>
      <c r="K14" s="109">
        <v>11</v>
      </c>
      <c r="L14" s="109" t="s">
        <v>231</v>
      </c>
      <c r="M14" s="110">
        <v>153.5</v>
      </c>
      <c r="N14" s="111">
        <f>M14/M10</f>
        <v>0.75880704496795126</v>
      </c>
    </row>
    <row r="15" spans="2:19" x14ac:dyDescent="0.3">
      <c r="B15" s="390"/>
      <c r="C15" s="98" t="s">
        <v>163</v>
      </c>
      <c r="D15" s="386"/>
      <c r="E15" s="386"/>
      <c r="F15" s="46"/>
      <c r="G15" s="95"/>
      <c r="H15" s="100">
        <v>1.02</v>
      </c>
      <c r="I15" s="100" t="s">
        <v>189</v>
      </c>
      <c r="K15" s="109">
        <v>12</v>
      </c>
      <c r="L15" s="109" t="s">
        <v>232</v>
      </c>
      <c r="M15" s="110">
        <v>147.54</v>
      </c>
      <c r="N15" s="111">
        <f>M15/M10</f>
        <v>0.72934456947603599</v>
      </c>
    </row>
    <row r="16" spans="2:19" x14ac:dyDescent="0.3">
      <c r="B16" s="390"/>
      <c r="C16" s="98" t="s">
        <v>164</v>
      </c>
      <c r="D16" s="386"/>
      <c r="E16" s="386"/>
      <c r="F16" s="46"/>
      <c r="G16" s="95"/>
      <c r="H16" s="100">
        <v>0.84</v>
      </c>
      <c r="I16" s="100" t="s">
        <v>190</v>
      </c>
      <c r="K16" s="109">
        <v>13</v>
      </c>
      <c r="L16" s="109" t="s">
        <v>233</v>
      </c>
      <c r="M16" s="110">
        <v>146.18671875000001</v>
      </c>
      <c r="N16" s="111">
        <f>M16/M10</f>
        <v>0.72265480174754726</v>
      </c>
    </row>
    <row r="17" spans="2:26" x14ac:dyDescent="0.3">
      <c r="B17" s="390"/>
      <c r="C17" s="98" t="s">
        <v>165</v>
      </c>
      <c r="D17" s="386"/>
      <c r="E17" s="386"/>
      <c r="F17" s="46"/>
      <c r="G17" s="46"/>
      <c r="H17" s="95">
        <v>2.39</v>
      </c>
      <c r="I17" s="95" t="s">
        <v>191</v>
      </c>
      <c r="K17" s="109">
        <v>14</v>
      </c>
      <c r="L17" s="109" t="s">
        <v>234</v>
      </c>
      <c r="M17" s="118">
        <v>145.63885714285715</v>
      </c>
      <c r="N17" s="111">
        <f>M17/M10</f>
        <v>0.71994652000704262</v>
      </c>
      <c r="Y17" s="153"/>
      <c r="Z17" s="153"/>
    </row>
    <row r="18" spans="2:26" x14ac:dyDescent="0.3">
      <c r="B18" s="390"/>
      <c r="C18" s="98" t="s">
        <v>166</v>
      </c>
      <c r="D18" s="386"/>
      <c r="E18" s="386"/>
      <c r="F18" s="46"/>
      <c r="G18" s="46"/>
      <c r="H18" s="99" t="s">
        <v>84</v>
      </c>
      <c r="I18" s="99" t="s">
        <v>84</v>
      </c>
      <c r="K18" s="109">
        <v>15</v>
      </c>
      <c r="L18" s="109" t="s">
        <v>235</v>
      </c>
      <c r="M18" s="110">
        <v>145.53861111111109</v>
      </c>
      <c r="N18" s="111">
        <f>M18/M10</f>
        <v>0.71945096694437816</v>
      </c>
      <c r="Y18" s="153"/>
      <c r="Z18" s="153"/>
    </row>
    <row r="19" spans="2:26" x14ac:dyDescent="0.3">
      <c r="B19" s="390"/>
      <c r="C19" s="98" t="s">
        <v>167</v>
      </c>
      <c r="D19" s="386"/>
      <c r="E19" s="386"/>
      <c r="F19" s="46"/>
      <c r="G19" s="46"/>
      <c r="H19" s="95" t="s">
        <v>168</v>
      </c>
      <c r="I19" s="95" t="s">
        <v>168</v>
      </c>
      <c r="K19" s="109">
        <v>16</v>
      </c>
      <c r="L19" s="109" t="s">
        <v>236</v>
      </c>
      <c r="M19" s="110">
        <v>127</v>
      </c>
      <c r="N19" s="111">
        <f>M19/M10</f>
        <v>0.62780778313309327</v>
      </c>
      <c r="Y19" s="153"/>
      <c r="Z19" s="153"/>
    </row>
    <row r="20" spans="2:26" x14ac:dyDescent="0.3">
      <c r="B20" s="390"/>
      <c r="C20" s="98" t="s">
        <v>169</v>
      </c>
      <c r="D20" s="386"/>
      <c r="E20" s="386"/>
      <c r="F20" s="46"/>
      <c r="G20" s="46"/>
      <c r="H20" s="99" t="s">
        <v>170</v>
      </c>
      <c r="I20" s="99" t="s">
        <v>170</v>
      </c>
      <c r="K20" s="109">
        <v>17</v>
      </c>
      <c r="L20" s="109" t="s">
        <v>237</v>
      </c>
      <c r="M20" s="110">
        <v>115.55500000000001</v>
      </c>
      <c r="N20" s="111">
        <f>M20/M10</f>
        <v>0.57123093212554799</v>
      </c>
      <c r="Y20" s="153"/>
      <c r="Z20" s="153"/>
    </row>
    <row r="21" spans="2:26" x14ac:dyDescent="0.3">
      <c r="K21" s="109">
        <v>18</v>
      </c>
      <c r="L21" s="109" t="s">
        <v>238</v>
      </c>
      <c r="M21" s="110">
        <v>115.2</v>
      </c>
      <c r="N21" s="111">
        <f>M21/M10</f>
        <v>0.56947603635379795</v>
      </c>
      <c r="Y21" s="153"/>
      <c r="Z21" s="153"/>
    </row>
    <row r="22" spans="2:26" ht="16.2" x14ac:dyDescent="0.3">
      <c r="B22" s="101"/>
      <c r="K22" s="109">
        <v>19</v>
      </c>
      <c r="L22" s="109" t="s">
        <v>239</v>
      </c>
      <c r="M22" s="110">
        <v>114.79275862068967</v>
      </c>
      <c r="N22" s="111">
        <f>M22/M10</f>
        <v>0.56746289219990131</v>
      </c>
      <c r="Y22" s="153"/>
      <c r="Z22" s="153"/>
    </row>
    <row r="23" spans="2:26" ht="15" customHeight="1" x14ac:dyDescent="0.3">
      <c r="K23" s="109">
        <v>20</v>
      </c>
      <c r="L23" s="109" t="s">
        <v>240</v>
      </c>
      <c r="M23" s="110">
        <v>99.233333333333334</v>
      </c>
      <c r="N23" s="111">
        <f>M23/M10</f>
        <v>0.49054692136147471</v>
      </c>
      <c r="Y23" s="153"/>
      <c r="Z23" s="153"/>
    </row>
    <row r="24" spans="2:26" ht="15" customHeight="1" x14ac:dyDescent="0.3">
      <c r="K24" s="109">
        <v>21</v>
      </c>
      <c r="L24" s="109" t="s">
        <v>241</v>
      </c>
      <c r="M24" s="110">
        <v>91.616666666666674</v>
      </c>
      <c r="N24" s="111">
        <f>M24/M10</f>
        <v>0.45289493226805955</v>
      </c>
    </row>
    <row r="25" spans="2:26" ht="15" customHeight="1" x14ac:dyDescent="0.3">
      <c r="K25" s="109">
        <v>22</v>
      </c>
      <c r="L25" s="109" t="s">
        <v>242</v>
      </c>
      <c r="M25" s="110">
        <v>73.849999999999994</v>
      </c>
      <c r="N25" s="111">
        <f t="shared" ref="N25:N41" si="0">M25/M$10</f>
        <v>0.36506775420770815</v>
      </c>
    </row>
    <row r="26" spans="2:26" ht="15" customHeight="1" x14ac:dyDescent="0.3">
      <c r="K26" s="109">
        <v>23</v>
      </c>
      <c r="L26" s="109" t="s">
        <v>243</v>
      </c>
      <c r="M26" s="120">
        <v>254.73860016589424</v>
      </c>
      <c r="N26" s="111">
        <f t="shared" si="0"/>
        <v>1.259266738965177</v>
      </c>
    </row>
    <row r="27" spans="2:26" ht="15" customHeight="1" x14ac:dyDescent="0.3">
      <c r="K27" s="109">
        <v>24</v>
      </c>
      <c r="L27" s="109" t="s">
        <v>244</v>
      </c>
      <c r="M27" s="120">
        <v>234.02811016643966</v>
      </c>
      <c r="N27" s="111">
        <f t="shared" si="0"/>
        <v>1.1568871577513371</v>
      </c>
    </row>
    <row r="28" spans="2:26" ht="15" customHeight="1" x14ac:dyDescent="0.3">
      <c r="K28" s="109">
        <v>25</v>
      </c>
      <c r="L28" s="109" t="s">
        <v>233</v>
      </c>
      <c r="M28" s="120">
        <v>286.09021533633802</v>
      </c>
      <c r="N28" s="111">
        <f t="shared" si="0"/>
        <v>1.4142493217824854</v>
      </c>
      <c r="P28" s="74"/>
    </row>
    <row r="29" spans="2:26" ht="15" customHeight="1" x14ac:dyDescent="0.3">
      <c r="K29" s="109">
        <v>26</v>
      </c>
      <c r="L29" s="109" t="s">
        <v>245</v>
      </c>
      <c r="M29" s="120">
        <v>269</v>
      </c>
      <c r="N29" s="111">
        <f t="shared" si="0"/>
        <v>1.3297660918330874</v>
      </c>
    </row>
    <row r="30" spans="2:26" ht="15" customHeight="1" x14ac:dyDescent="0.3">
      <c r="K30" s="191"/>
      <c r="L30" s="191"/>
      <c r="M30" s="192"/>
      <c r="N30" s="193"/>
    </row>
    <row r="31" spans="2:26" ht="15" customHeight="1" x14ac:dyDescent="0.3">
      <c r="K31" s="109">
        <v>28</v>
      </c>
      <c r="L31" s="109" t="s">
        <v>246</v>
      </c>
      <c r="M31" s="120">
        <v>215.05436144815866</v>
      </c>
      <c r="N31" s="111">
        <f t="shared" si="0"/>
        <v>1.0630929284556807</v>
      </c>
    </row>
    <row r="32" spans="2:26" ht="15" customHeight="1" x14ac:dyDescent="0.3">
      <c r="K32" s="109">
        <v>29</v>
      </c>
      <c r="L32" s="109" t="s">
        <v>247</v>
      </c>
      <c r="M32" s="120">
        <v>196</v>
      </c>
      <c r="N32" s="111">
        <f t="shared" si="0"/>
        <v>0.96890020074083683</v>
      </c>
    </row>
    <row r="33" spans="2:15" ht="15" customHeight="1" x14ac:dyDescent="0.3">
      <c r="K33" s="109">
        <v>30</v>
      </c>
      <c r="L33" s="109" t="s">
        <v>248</v>
      </c>
      <c r="M33" s="120">
        <v>197.3</v>
      </c>
      <c r="N33" s="111">
        <f t="shared" si="0"/>
        <v>0.9753265796233016</v>
      </c>
    </row>
    <row r="34" spans="2:15" ht="15" customHeight="1" x14ac:dyDescent="0.3">
      <c r="K34" s="109">
        <v>31</v>
      </c>
      <c r="L34" s="109" t="s">
        <v>249</v>
      </c>
      <c r="M34" s="120">
        <v>219.3</v>
      </c>
      <c r="N34" s="111">
        <f t="shared" si="0"/>
        <v>1.0840806837880894</v>
      </c>
    </row>
    <row r="35" spans="2:15" ht="15" customHeight="1" x14ac:dyDescent="0.3">
      <c r="B35" s="29" t="s">
        <v>322</v>
      </c>
      <c r="K35" s="109">
        <v>32</v>
      </c>
      <c r="L35" s="109" t="s">
        <v>250</v>
      </c>
      <c r="M35" s="120">
        <v>307.5</v>
      </c>
      <c r="N35" s="111">
        <f t="shared" si="0"/>
        <v>1.5200857741214659</v>
      </c>
    </row>
    <row r="36" spans="2:15" ht="15" customHeight="1" x14ac:dyDescent="0.3">
      <c r="B36" s="383" t="s">
        <v>256</v>
      </c>
      <c r="C36" s="382" t="s">
        <v>257</v>
      </c>
      <c r="D36" s="382"/>
      <c r="E36" s="382" t="s">
        <v>259</v>
      </c>
      <c r="F36" s="382"/>
      <c r="K36" s="109">
        <v>33</v>
      </c>
      <c r="L36" s="109" t="s">
        <v>251</v>
      </c>
      <c r="M36" s="120">
        <v>323.44704032083536</v>
      </c>
      <c r="N36" s="111">
        <f t="shared" si="0"/>
        <v>1.5989178688565659</v>
      </c>
    </row>
    <row r="37" spans="2:15" ht="15" customHeight="1" x14ac:dyDescent="0.3">
      <c r="B37" s="383"/>
      <c r="C37" s="121" t="s">
        <v>258</v>
      </c>
      <c r="D37" s="123" t="s">
        <v>185</v>
      </c>
      <c r="E37" s="123" t="s">
        <v>258</v>
      </c>
      <c r="F37" s="122" t="s">
        <v>185</v>
      </c>
      <c r="K37" s="109">
        <v>34</v>
      </c>
      <c r="L37" s="109" t="s">
        <v>252</v>
      </c>
      <c r="M37" s="120">
        <v>300.52614924226964</v>
      </c>
      <c r="N37" s="111">
        <f t="shared" si="0"/>
        <v>1.4856114608607436</v>
      </c>
    </row>
    <row r="38" spans="2:15" ht="15" customHeight="1" x14ac:dyDescent="0.3">
      <c r="B38" s="124" t="s">
        <v>261</v>
      </c>
      <c r="C38" s="384" t="s">
        <v>263</v>
      </c>
      <c r="D38" s="385">
        <v>1.4</v>
      </c>
      <c r="E38" s="95">
        <v>1</v>
      </c>
      <c r="F38" s="95" t="s">
        <v>264</v>
      </c>
      <c r="K38" s="109">
        <v>35</v>
      </c>
      <c r="L38" s="109" t="s">
        <v>253</v>
      </c>
      <c r="M38" s="120">
        <v>270.79611936186569</v>
      </c>
      <c r="N38" s="111">
        <f t="shared" si="0"/>
        <v>1.3386449714773025</v>
      </c>
      <c r="O38">
        <f>(N38+N39+N40)/3</f>
        <v>1.4852969656017521</v>
      </c>
    </row>
    <row r="39" spans="2:15" ht="15" customHeight="1" x14ac:dyDescent="0.3">
      <c r="B39" s="124" t="s">
        <v>260</v>
      </c>
      <c r="C39" s="384"/>
      <c r="D39" s="385"/>
      <c r="E39" s="95">
        <v>0.68</v>
      </c>
      <c r="F39" s="95" t="s">
        <v>265</v>
      </c>
      <c r="K39" s="109">
        <v>36</v>
      </c>
      <c r="L39" s="109" t="s">
        <v>254</v>
      </c>
      <c r="M39" s="120">
        <v>271.88698926542628</v>
      </c>
      <c r="N39" s="111">
        <f t="shared" si="0"/>
        <v>1.344037543255578</v>
      </c>
    </row>
    <row r="40" spans="2:15" ht="15" customHeight="1" x14ac:dyDescent="0.3">
      <c r="B40" s="124" t="s">
        <v>262</v>
      </c>
      <c r="C40" s="384"/>
      <c r="D40" s="385"/>
      <c r="E40" s="95">
        <v>1.9</v>
      </c>
      <c r="F40" s="95" t="s">
        <v>266</v>
      </c>
      <c r="K40" s="109">
        <v>37</v>
      </c>
      <c r="L40" s="109" t="s">
        <v>255</v>
      </c>
      <c r="M40" s="120">
        <v>358.70448021420998</v>
      </c>
      <c r="N40" s="111">
        <f t="shared" si="0"/>
        <v>1.7732083820723754</v>
      </c>
    </row>
    <row r="41" spans="2:15" ht="15" customHeight="1" x14ac:dyDescent="0.3">
      <c r="K41" s="109"/>
      <c r="L41" s="9" t="s">
        <v>476</v>
      </c>
      <c r="M41" s="323">
        <v>243</v>
      </c>
      <c r="N41" s="324">
        <f t="shared" si="0"/>
        <v>1.2012385141837927</v>
      </c>
    </row>
    <row r="42" spans="2:15" ht="15" customHeight="1" x14ac:dyDescent="0.3">
      <c r="B42" s="29" t="s">
        <v>323</v>
      </c>
    </row>
    <row r="43" spans="2:15" ht="32.25" customHeight="1" x14ac:dyDescent="0.3">
      <c r="B43" s="122" t="s">
        <v>267</v>
      </c>
      <c r="C43" s="123" t="s">
        <v>273</v>
      </c>
      <c r="D43" s="123" t="s">
        <v>185</v>
      </c>
    </row>
    <row r="44" spans="2:15" ht="59.25" customHeight="1" x14ac:dyDescent="0.3">
      <c r="B44" s="125" t="s">
        <v>269</v>
      </c>
      <c r="C44" s="127">
        <v>1</v>
      </c>
      <c r="D44" s="127" t="s">
        <v>274</v>
      </c>
    </row>
    <row r="45" spans="2:15" ht="48" customHeight="1" x14ac:dyDescent="0.3">
      <c r="B45" s="125" t="s">
        <v>268</v>
      </c>
      <c r="C45" s="127">
        <v>2.9000000000000001E-2</v>
      </c>
      <c r="D45" s="127" t="s">
        <v>275</v>
      </c>
    </row>
    <row r="46" spans="2:15" ht="47.25" customHeight="1" x14ac:dyDescent="0.3">
      <c r="B46" s="125" t="s">
        <v>270</v>
      </c>
      <c r="C46" s="127">
        <v>0.05</v>
      </c>
      <c r="D46" s="127" t="s">
        <v>276</v>
      </c>
      <c r="N46" s="119"/>
    </row>
    <row r="47" spans="2:15" x14ac:dyDescent="0.3">
      <c r="B47" s="125" t="s">
        <v>271</v>
      </c>
      <c r="C47" s="127">
        <v>0.14000000000000001</v>
      </c>
      <c r="D47" s="127" t="s">
        <v>277</v>
      </c>
    </row>
    <row r="48" spans="2:15" x14ac:dyDescent="0.3">
      <c r="B48" s="125" t="s">
        <v>272</v>
      </c>
      <c r="C48" s="127">
        <v>0.5</v>
      </c>
      <c r="D48" s="127" t="s">
        <v>278</v>
      </c>
    </row>
    <row r="50" ht="48" customHeight="1" x14ac:dyDescent="0.3"/>
    <row r="51" ht="45.75" customHeight="1" x14ac:dyDescent="0.3"/>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sheetPr>
  <dimension ref="B2:P42"/>
  <sheetViews>
    <sheetView tabSelected="1" topLeftCell="A2" zoomScale="96" workbookViewId="0">
      <selection activeCell="K12" sqref="K12"/>
    </sheetView>
  </sheetViews>
  <sheetFormatPr defaultRowHeight="14.4" x14ac:dyDescent="0.3"/>
  <cols>
    <col min="1" max="1" width="2.6640625" customWidth="1"/>
    <col min="2" max="2" width="12.6640625" customWidth="1"/>
    <col min="3" max="3" width="11.5546875" customWidth="1"/>
    <col min="4" max="4" width="9.109375" customWidth="1"/>
    <col min="5" max="5" width="11.6640625" customWidth="1"/>
    <col min="6" max="6" width="18.5546875" bestFit="1" customWidth="1"/>
    <col min="7" max="7" width="15.88671875" customWidth="1"/>
    <col min="8" max="8" width="12.6640625" customWidth="1"/>
    <col min="9" max="9" width="12.44140625" customWidth="1"/>
    <col min="10" max="10" width="21.6640625" customWidth="1"/>
    <col min="11" max="11" width="22.6640625" customWidth="1"/>
    <col min="12" max="13" width="14.44140625" customWidth="1"/>
  </cols>
  <sheetData>
    <row r="2" spans="2:16" x14ac:dyDescent="0.3">
      <c r="B2" t="s">
        <v>0</v>
      </c>
      <c r="C2" t="s">
        <v>2</v>
      </c>
    </row>
    <row r="3" spans="2:16" ht="15.6" x14ac:dyDescent="0.35">
      <c r="B3" t="s">
        <v>1</v>
      </c>
      <c r="C3" t="s">
        <v>192</v>
      </c>
    </row>
    <row r="4" spans="2:16" ht="15" thickBot="1" x14ac:dyDescent="0.35"/>
    <row r="5" spans="2:16" x14ac:dyDescent="0.3">
      <c r="B5" s="104" t="s">
        <v>3</v>
      </c>
      <c r="C5" s="20" t="s">
        <v>26</v>
      </c>
      <c r="D5" s="399" t="s">
        <v>27</v>
      </c>
      <c r="E5" s="400"/>
      <c r="F5" s="399" t="s">
        <v>28</v>
      </c>
      <c r="G5" s="401"/>
      <c r="H5" s="142"/>
      <c r="I5" s="399" t="s">
        <v>28</v>
      </c>
      <c r="J5" s="400"/>
      <c r="K5" s="72" t="s">
        <v>27</v>
      </c>
    </row>
    <row r="6" spans="2:16" s="18" customFormat="1" ht="78.75" customHeight="1" x14ac:dyDescent="0.3">
      <c r="B6" s="402" t="s">
        <v>406</v>
      </c>
      <c r="C6" s="404" t="s">
        <v>193</v>
      </c>
      <c r="D6" s="22" t="s">
        <v>440</v>
      </c>
      <c r="E6" s="23" t="s">
        <v>411</v>
      </c>
      <c r="F6" s="22" t="s">
        <v>29</v>
      </c>
      <c r="G6" s="22" t="s">
        <v>30</v>
      </c>
      <c r="H6" s="22" t="s">
        <v>344</v>
      </c>
      <c r="I6" s="22" t="s">
        <v>346</v>
      </c>
      <c r="J6" s="23" t="s">
        <v>31</v>
      </c>
      <c r="K6" s="19" t="s">
        <v>32</v>
      </c>
    </row>
    <row r="7" spans="2:16" x14ac:dyDescent="0.3">
      <c r="B7" s="402"/>
      <c r="C7" s="404"/>
      <c r="D7" s="9" t="s">
        <v>33</v>
      </c>
      <c r="E7" s="7"/>
      <c r="F7" s="9" t="s">
        <v>412</v>
      </c>
      <c r="G7" s="9"/>
      <c r="H7" s="7"/>
      <c r="I7" s="9"/>
      <c r="J7" s="7" t="s">
        <v>44</v>
      </c>
      <c r="K7" s="1" t="s">
        <v>10</v>
      </c>
    </row>
    <row r="8" spans="2:16" s="17" customFormat="1" ht="28.5" customHeight="1" x14ac:dyDescent="0.3">
      <c r="B8" s="402"/>
      <c r="C8" s="404"/>
      <c r="D8" s="24"/>
      <c r="E8" s="25"/>
      <c r="F8" s="24"/>
      <c r="G8" s="24"/>
      <c r="H8" s="24"/>
      <c r="I8" s="24"/>
      <c r="J8" s="25" t="s">
        <v>40</v>
      </c>
      <c r="K8" s="26" t="s">
        <v>39</v>
      </c>
      <c r="N8" s="377" t="s">
        <v>442</v>
      </c>
      <c r="O8" s="377"/>
      <c r="P8" s="377"/>
    </row>
    <row r="9" spans="2:16" ht="15" thickBot="1" x14ac:dyDescent="0.35">
      <c r="B9" s="403"/>
      <c r="C9" s="405"/>
      <c r="D9" s="15" t="s">
        <v>34</v>
      </c>
      <c r="E9" s="14" t="s">
        <v>35</v>
      </c>
      <c r="F9" s="15" t="s">
        <v>36</v>
      </c>
      <c r="G9" s="15" t="s">
        <v>37</v>
      </c>
      <c r="H9" s="15" t="s">
        <v>345</v>
      </c>
      <c r="I9" s="15" t="s">
        <v>347</v>
      </c>
      <c r="J9" s="14" t="s">
        <v>41</v>
      </c>
      <c r="K9" s="16" t="s">
        <v>38</v>
      </c>
      <c r="N9" s="44" t="s">
        <v>449</v>
      </c>
      <c r="O9" s="44" t="s">
        <v>450</v>
      </c>
    </row>
    <row r="10" spans="2:16" x14ac:dyDescent="0.3">
      <c r="B10" s="3"/>
      <c r="C10" s="6"/>
      <c r="D10" s="10"/>
      <c r="E10" s="8"/>
      <c r="F10" s="102" t="s">
        <v>194</v>
      </c>
      <c r="G10" s="102" t="s">
        <v>195</v>
      </c>
      <c r="H10" s="10"/>
      <c r="I10" s="10"/>
      <c r="J10" s="8"/>
      <c r="K10" s="2"/>
      <c r="N10">
        <v>35715</v>
      </c>
      <c r="O10">
        <v>1</v>
      </c>
      <c r="P10">
        <f>N10*O10</f>
        <v>35715</v>
      </c>
    </row>
    <row r="11" spans="2:16" x14ac:dyDescent="0.3">
      <c r="B11" s="3">
        <f t="shared" ref="B11:B13" si="0">B12-1</f>
        <v>2010</v>
      </c>
      <c r="C11" s="6" t="s">
        <v>452</v>
      </c>
      <c r="D11" s="256">
        <f>'Data Sawah'!D3</f>
        <v>28724</v>
      </c>
      <c r="E11" s="255">
        <f>'Data Sawah'!F3</f>
        <v>2.6576611346970282</v>
      </c>
      <c r="F11" s="78">
        <v>160.9</v>
      </c>
      <c r="G11" s="284">
        <f>'Data Sawah'!H3</f>
        <v>0.97997683957920589</v>
      </c>
      <c r="H11" s="220">
        <v>1</v>
      </c>
      <c r="I11" s="220">
        <f>'Data Sawah'!I3</f>
        <v>0.95100000000000007</v>
      </c>
      <c r="J11" s="257">
        <f t="shared" ref="J11:J13" si="1">F11*G11*H11*I11</f>
        <v>149.95203808736781</v>
      </c>
      <c r="K11" s="249">
        <f>D11*E11*J11*10^-6</f>
        <v>11.447137416889394</v>
      </c>
    </row>
    <row r="12" spans="2:16" x14ac:dyDescent="0.3">
      <c r="B12" s="3">
        <f t="shared" si="0"/>
        <v>2011</v>
      </c>
      <c r="C12" s="6" t="s">
        <v>452</v>
      </c>
      <c r="D12" s="256">
        <f>'Data Sawah'!D4</f>
        <v>28794</v>
      </c>
      <c r="E12" s="255">
        <f>'Data Sawah'!F4</f>
        <v>2.3593828158066876</v>
      </c>
      <c r="F12" s="78">
        <v>160.9</v>
      </c>
      <c r="G12" s="284">
        <f>'Data Sawah'!H4</f>
        <v>0.97769053225831604</v>
      </c>
      <c r="H12" s="220">
        <v>1</v>
      </c>
      <c r="I12" s="220">
        <f>'Data Sawah'!I4</f>
        <v>0.95100000000000007</v>
      </c>
      <c r="J12" s="257">
        <f t="shared" si="1"/>
        <v>149.60219671498527</v>
      </c>
      <c r="K12" s="249">
        <f t="shared" ref="K11:K14" si="2">D12*E12*J12*10^-6</f>
        <v>10.163385128411697</v>
      </c>
    </row>
    <row r="13" spans="2:16" x14ac:dyDescent="0.3">
      <c r="B13" s="3">
        <f t="shared" si="0"/>
        <v>2012</v>
      </c>
      <c r="C13" s="6" t="s">
        <v>452</v>
      </c>
      <c r="D13" s="256">
        <f>'Data Sawah'!D5</f>
        <v>28570</v>
      </c>
      <c r="E13" s="255">
        <f>'Data Sawah'!F5</f>
        <v>2.3805241421899725</v>
      </c>
      <c r="F13" s="78">
        <v>160.9</v>
      </c>
      <c r="G13" s="284">
        <f>'Data Sawah'!H5</f>
        <v>0.97890655600111909</v>
      </c>
      <c r="H13" s="220">
        <v>1</v>
      </c>
      <c r="I13" s="220">
        <f>'Data Sawah'!I5</f>
        <v>0.95100000000000007</v>
      </c>
      <c r="J13" s="257">
        <f t="shared" si="1"/>
        <v>149.78826768241166</v>
      </c>
      <c r="K13" s="249">
        <f t="shared" si="2"/>
        <v>10.187335963012094</v>
      </c>
    </row>
    <row r="14" spans="2:16" x14ac:dyDescent="0.3">
      <c r="B14" s="3">
        <f>B15-1</f>
        <v>2013</v>
      </c>
      <c r="C14" s="6" t="s">
        <v>452</v>
      </c>
      <c r="D14" s="256">
        <f>'Data Sawah'!D6</f>
        <v>28162</v>
      </c>
      <c r="E14" s="255">
        <f>'Data Sawah'!F6</f>
        <v>2.5098555551252759</v>
      </c>
      <c r="F14" s="78">
        <v>160.9</v>
      </c>
      <c r="G14" s="284">
        <f>'Data Sawah'!H6</f>
        <v>0.98223570758439938</v>
      </c>
      <c r="H14" s="220">
        <v>1</v>
      </c>
      <c r="I14" s="220">
        <f>'Data Sawah'!I6</f>
        <v>0.95100000000000007</v>
      </c>
      <c r="J14" s="257">
        <f>F14*G14*H14*I14</f>
        <v>150.2976808081637</v>
      </c>
      <c r="K14" s="249">
        <f t="shared" si="2"/>
        <v>10.623423660760835</v>
      </c>
    </row>
    <row r="15" spans="2:16" x14ac:dyDescent="0.3">
      <c r="B15" s="3">
        <v>2014</v>
      </c>
      <c r="C15" s="6" t="s">
        <v>452</v>
      </c>
      <c r="D15" s="256">
        <f>'Data Sawah'!D7</f>
        <v>27031</v>
      </c>
      <c r="E15" s="255">
        <f>'Data Sawah'!F7</f>
        <v>2.486748545572075</v>
      </c>
      <c r="F15" s="78">
        <v>160.9</v>
      </c>
      <c r="G15" s="284">
        <f>'Data Sawah'!H7</f>
        <v>0.98179113596841661</v>
      </c>
      <c r="H15" s="220">
        <v>1</v>
      </c>
      <c r="I15" s="220">
        <f>'Data Sawah'!I7</f>
        <v>0.95100000000000007</v>
      </c>
      <c r="J15" s="257">
        <f>F15*G15*H15*I15</f>
        <v>150.22965428222966</v>
      </c>
      <c r="K15" s="249">
        <f>D15*E15*J15*10^-6</f>
        <v>10.09833219038245</v>
      </c>
      <c r="O15">
        <v>0.46</v>
      </c>
      <c r="P15">
        <f t="shared" ref="P15:P16" si="3">N15*O15</f>
        <v>0</v>
      </c>
    </row>
    <row r="16" spans="2:16" x14ac:dyDescent="0.3">
      <c r="B16" s="3">
        <f>B15+1</f>
        <v>2015</v>
      </c>
      <c r="C16" s="6"/>
      <c r="D16" s="256">
        <f>'Data Sawah'!D8</f>
        <v>27689.759999999998</v>
      </c>
      <c r="E16" s="255">
        <f>'Data Sawah'!F8</f>
        <v>2.6173117926849274</v>
      </c>
      <c r="F16" s="78">
        <v>160.9</v>
      </c>
      <c r="G16" s="284">
        <f>'Data Sawah'!H8</f>
        <v>0.97795741880904263</v>
      </c>
      <c r="H16" s="220">
        <v>1</v>
      </c>
      <c r="I16" s="220">
        <f>'Data Sawah'!I8</f>
        <v>0.95100000000000007</v>
      </c>
      <c r="J16" s="257">
        <f t="shared" ref="J16:J21" si="4">F16*G16*H16*I16</f>
        <v>149.6430346007426</v>
      </c>
      <c r="K16" s="249">
        <f t="shared" ref="K16:K31" si="5">D16*E16*J16*10^-6</f>
        <v>10.845040048770462</v>
      </c>
      <c r="L16">
        <f>D16*E16</f>
        <v>72472.735384615386</v>
      </c>
      <c r="N16">
        <v>868</v>
      </c>
      <c r="O16">
        <v>0.49</v>
      </c>
      <c r="P16">
        <f t="shared" si="3"/>
        <v>425.32</v>
      </c>
    </row>
    <row r="17" spans="2:16" x14ac:dyDescent="0.3">
      <c r="B17" s="3">
        <f t="shared" ref="B17:B31" si="6">B16+1</f>
        <v>2016</v>
      </c>
      <c r="C17" s="6"/>
      <c r="D17" s="256">
        <f>'Data Sawah'!D9</f>
        <v>27814.138799999997</v>
      </c>
      <c r="E17" s="255">
        <f>'Data Sawah'!F9</f>
        <v>2.6563761477996279</v>
      </c>
      <c r="F17" s="78">
        <v>160.9</v>
      </c>
      <c r="G17" s="284">
        <f>'Data Sawah'!H9</f>
        <v>0.97838962628337511</v>
      </c>
      <c r="H17" s="220">
        <v>1</v>
      </c>
      <c r="I17" s="220">
        <f>'Data Sawah'!I9</f>
        <v>0.95100000000000007</v>
      </c>
      <c r="J17" s="257">
        <f t="shared" si="4"/>
        <v>149.70916921641432</v>
      </c>
      <c r="K17" s="249">
        <f t="shared" si="5"/>
        <v>11.061234253379617</v>
      </c>
      <c r="N17" s="144">
        <f>SUM(N10:N16)</f>
        <v>36583</v>
      </c>
      <c r="P17" s="188">
        <f>SUM(P10:P16)/N17</f>
        <v>0.98789929748790417</v>
      </c>
    </row>
    <row r="18" spans="2:16" x14ac:dyDescent="0.3">
      <c r="B18" s="3">
        <f t="shared" si="6"/>
        <v>2017</v>
      </c>
      <c r="C18" s="6"/>
      <c r="D18" s="256">
        <f>'Data Sawah'!D10</f>
        <v>27939.139493999995</v>
      </c>
      <c r="E18" s="255">
        <f>'Data Sawah'!F10</f>
        <v>2.6960235529906673</v>
      </c>
      <c r="F18" s="78">
        <v>160.9</v>
      </c>
      <c r="G18" s="284">
        <f>'Data Sawah'!H10</f>
        <v>0.97881335910134815</v>
      </c>
      <c r="H18" s="220">
        <v>1</v>
      </c>
      <c r="I18" s="220">
        <f>'Data Sawah'!I10</f>
        <v>0.95100000000000007</v>
      </c>
      <c r="J18" s="257">
        <f t="shared" si="4"/>
        <v>149.774007074916</v>
      </c>
      <c r="K18" s="249">
        <f t="shared" si="5"/>
        <v>11.281663897175921</v>
      </c>
    </row>
    <row r="19" spans="2:16" x14ac:dyDescent="0.3">
      <c r="B19" s="3">
        <f t="shared" si="6"/>
        <v>2018</v>
      </c>
      <c r="C19" s="103"/>
      <c r="D19" s="256">
        <f>'Data Sawah'!D11</f>
        <v>28064.765191469993</v>
      </c>
      <c r="E19" s="255">
        <f>'Data Sawah'!F11</f>
        <v>2.7362627104979906</v>
      </c>
      <c r="F19" s="78">
        <v>160.9</v>
      </c>
      <c r="G19" s="284">
        <f>'Data Sawah'!H11</f>
        <v>0.97922878343269426</v>
      </c>
      <c r="H19" s="220">
        <v>1</v>
      </c>
      <c r="I19" s="220">
        <f>'Data Sawah'!I11</f>
        <v>0.95100000000000007</v>
      </c>
      <c r="J19" s="257">
        <f t="shared" si="4"/>
        <v>149.83757360285881</v>
      </c>
      <c r="K19" s="249">
        <f t="shared" si="5"/>
        <v>11.506412430296175</v>
      </c>
    </row>
    <row r="20" spans="2:16" x14ac:dyDescent="0.3">
      <c r="B20" s="3">
        <f t="shared" si="6"/>
        <v>2019</v>
      </c>
      <c r="C20" s="6"/>
      <c r="D20" s="256">
        <f>'Data Sawah'!D12</f>
        <v>28191.019017427341</v>
      </c>
      <c r="E20" s="255">
        <f>'Data Sawah'!F12</f>
        <v>2.7771024524457224</v>
      </c>
      <c r="F20" s="78">
        <v>160.9</v>
      </c>
      <c r="G20" s="284">
        <f>'Data Sawah'!H12</f>
        <v>0.97963606218891597</v>
      </c>
      <c r="H20" s="220">
        <v>1</v>
      </c>
      <c r="I20" s="220">
        <f>'Data Sawah'!I12</f>
        <v>0.95100000000000007</v>
      </c>
      <c r="J20" s="257">
        <f t="shared" si="4"/>
        <v>149.89989372829297</v>
      </c>
      <c r="K20" s="249">
        <f t="shared" si="5"/>
        <v>11.735564952788536</v>
      </c>
    </row>
    <row r="21" spans="2:16" x14ac:dyDescent="0.3">
      <c r="B21" s="3">
        <f t="shared" si="6"/>
        <v>2020</v>
      </c>
      <c r="C21" s="6"/>
      <c r="D21" s="256">
        <f>'Data Sawah'!D13</f>
        <v>28317.904112514476</v>
      </c>
      <c r="E21" s="255">
        <f>'Data Sawah'!F13</f>
        <v>2.8185517427807332</v>
      </c>
      <c r="F21" s="78">
        <v>160.9</v>
      </c>
      <c r="G21" s="284">
        <f>'Data Sawah'!H13</f>
        <v>0.98003535508717254</v>
      </c>
      <c r="H21" s="220">
        <v>1</v>
      </c>
      <c r="I21" s="220">
        <f>'Data Sawah'!I13</f>
        <v>0.95100000000000007</v>
      </c>
      <c r="J21" s="257">
        <f t="shared" si="4"/>
        <v>149.96099189048331</v>
      </c>
      <c r="K21" s="249">
        <f t="shared" si="5"/>
        <v>11.969208247327312</v>
      </c>
    </row>
    <row r="22" spans="2:16" x14ac:dyDescent="0.3">
      <c r="B22" s="3">
        <f t="shared" si="6"/>
        <v>2021</v>
      </c>
      <c r="C22" s="6"/>
      <c r="D22" s="256">
        <f>'Data Sawah'!D14</f>
        <v>28445.423633077047</v>
      </c>
      <c r="E22" s="255">
        <f>'Data Sawah'!F14</f>
        <v>2.8606196792401475</v>
      </c>
      <c r="F22" s="78">
        <v>160.9</v>
      </c>
      <c r="G22" s="284">
        <f>'Data Sawah'!H14</f>
        <v>0.98042681871291426</v>
      </c>
      <c r="H22" s="220">
        <v>1</v>
      </c>
      <c r="I22" s="220">
        <f>'Data Sawah'!I14</f>
        <v>0.95100000000000007</v>
      </c>
      <c r="J22" s="257">
        <f t="shared" ref="J22:J31" si="7">F22*G22*H22*I22</f>
        <v>150.02089204949345</v>
      </c>
      <c r="K22" s="249">
        <f t="shared" si="5"/>
        <v>12.207430812577844</v>
      </c>
    </row>
    <row r="23" spans="2:16" x14ac:dyDescent="0.3">
      <c r="B23" s="3">
        <f t="shared" si="6"/>
        <v>2022</v>
      </c>
      <c r="C23" s="6"/>
      <c r="D23" s="256">
        <f>'Data Sawah'!D15</f>
        <v>28573.580751242429</v>
      </c>
      <c r="E23" s="255">
        <f>'Data Sawah'!F15</f>
        <v>2.9033154953482097</v>
      </c>
      <c r="F23" s="78">
        <v>160.9</v>
      </c>
      <c r="G23" s="284">
        <f>'Data Sawah'!H15</f>
        <v>0.98081060658128849</v>
      </c>
      <c r="H23" s="220">
        <v>1</v>
      </c>
      <c r="I23" s="220">
        <f>'Data Sawah'!I15</f>
        <v>0.95100000000000007</v>
      </c>
      <c r="J23" s="257">
        <f t="shared" si="7"/>
        <v>150.07961769558182</v>
      </c>
      <c r="K23" s="249">
        <f t="shared" si="5"/>
        <v>12.45032289722433</v>
      </c>
    </row>
    <row r="24" spans="2:16" x14ac:dyDescent="0.3">
      <c r="B24" s="3">
        <f t="shared" si="6"/>
        <v>2023</v>
      </c>
      <c r="C24" s="6"/>
      <c r="D24" s="256">
        <f>'Data Sawah'!D16</f>
        <v>28702.37865499864</v>
      </c>
      <c r="E24" s="255">
        <f>'Data Sawah'!F16</f>
        <v>2.946648562442959</v>
      </c>
      <c r="F24" s="78">
        <v>160.9</v>
      </c>
      <c r="G24" s="284">
        <f>'Data Sawah'!H16</f>
        <v>0.98118686919734166</v>
      </c>
      <c r="H24" s="220">
        <v>1</v>
      </c>
      <c r="I24" s="220">
        <f>'Data Sawah'!I16</f>
        <v>0.94799999999999995</v>
      </c>
      <c r="J24" s="257">
        <f t="shared" si="7"/>
        <v>149.66357295665193</v>
      </c>
      <c r="K24" s="249">
        <f t="shared" si="5"/>
        <v>12.657919826362624</v>
      </c>
    </row>
    <row r="25" spans="2:16" x14ac:dyDescent="0.3">
      <c r="B25" s="3">
        <f t="shared" si="6"/>
        <v>2024</v>
      </c>
      <c r="C25" s="6"/>
      <c r="D25" s="256">
        <f>'Data Sawah'!D17</f>
        <v>28831.82054827363</v>
      </c>
      <c r="E25" s="255">
        <f>'Data Sawah'!F17</f>
        <v>2.9319886193462286</v>
      </c>
      <c r="F25" s="78">
        <v>160.9</v>
      </c>
      <c r="G25" s="284">
        <f>'Data Sawah'!H17</f>
        <v>0.98118686919734166</v>
      </c>
      <c r="H25" s="220">
        <v>1</v>
      </c>
      <c r="I25" s="220">
        <f>'Data Sawah'!I17</f>
        <v>0.94799999999999995</v>
      </c>
      <c r="J25" s="257">
        <f t="shared" si="7"/>
        <v>149.66357295665193</v>
      </c>
      <c r="K25" s="249">
        <f t="shared" si="5"/>
        <v>12.651745743033187</v>
      </c>
    </row>
    <row r="26" spans="2:16" x14ac:dyDescent="0.3">
      <c r="B26" s="3">
        <f t="shared" si="6"/>
        <v>2025</v>
      </c>
      <c r="C26" s="6"/>
      <c r="D26" s="256">
        <f>'Data Sawah'!D18</f>
        <v>28961.909651014994</v>
      </c>
      <c r="E26" s="255">
        <f>'Data Sawah'!F18</f>
        <v>2.91740161128978</v>
      </c>
      <c r="F26" s="78">
        <v>160.9</v>
      </c>
      <c r="G26" s="284">
        <f>'Data Sawah'!H18</f>
        <v>0.98118686919734166</v>
      </c>
      <c r="H26" s="220">
        <v>1</v>
      </c>
      <c r="I26" s="220">
        <f>'Data Sawah'!I18</f>
        <v>0.94799999999999995</v>
      </c>
      <c r="J26" s="257">
        <f t="shared" si="7"/>
        <v>149.66357295665193</v>
      </c>
      <c r="K26" s="249">
        <f t="shared" si="5"/>
        <v>12.645602376536234</v>
      </c>
    </row>
    <row r="27" spans="2:16" x14ac:dyDescent="0.3">
      <c r="B27" s="3">
        <f t="shared" si="6"/>
        <v>2026</v>
      </c>
      <c r="C27" s="6"/>
      <c r="D27" s="256">
        <f>'Data Sawah'!D19</f>
        <v>29092.649199270065</v>
      </c>
      <c r="E27" s="255">
        <f>'Data Sawah'!F19</f>
        <v>2.902887175412717</v>
      </c>
      <c r="F27" s="78">
        <v>160.9</v>
      </c>
      <c r="G27" s="284">
        <f>'Data Sawah'!H19</f>
        <v>0.98118686919734166</v>
      </c>
      <c r="H27" s="220">
        <v>1</v>
      </c>
      <c r="I27" s="220">
        <f>'Data Sawah'!I19</f>
        <v>0.94799999999999995</v>
      </c>
      <c r="J27" s="257">
        <f t="shared" si="7"/>
        <v>149.66357295665193</v>
      </c>
      <c r="K27" s="249">
        <f t="shared" si="5"/>
        <v>12.639489574051701</v>
      </c>
    </row>
    <row r="28" spans="2:16" x14ac:dyDescent="0.3">
      <c r="B28" s="3">
        <f t="shared" si="6"/>
        <v>2027</v>
      </c>
      <c r="C28" s="6"/>
      <c r="D28" s="256">
        <f>'Data Sawah'!D20</f>
        <v>29224.042445266412</v>
      </c>
      <c r="E28" s="255">
        <f>'Data Sawah'!F20</f>
        <v>2.8884449506594199</v>
      </c>
      <c r="F28" s="78">
        <v>160.9</v>
      </c>
      <c r="G28" s="284">
        <f>'Data Sawah'!H20</f>
        <v>0.98118686919734166</v>
      </c>
      <c r="H28" s="220">
        <v>1</v>
      </c>
      <c r="I28" s="220">
        <f>'Data Sawah'!I20</f>
        <v>0.94799999999999995</v>
      </c>
      <c r="J28" s="257">
        <f t="shared" si="7"/>
        <v>149.66357295665193</v>
      </c>
      <c r="K28" s="249">
        <f t="shared" si="5"/>
        <v>12.633407183519827</v>
      </c>
    </row>
    <row r="29" spans="2:16" x14ac:dyDescent="0.3">
      <c r="B29" s="3">
        <f t="shared" si="6"/>
        <v>2028</v>
      </c>
      <c r="C29" s="6"/>
      <c r="D29" s="256">
        <f>'Data Sawah'!D21</f>
        <v>29356.09265749274</v>
      </c>
      <c r="E29" s="255">
        <f>'Data Sawah'!F21</f>
        <v>2.8740745777705676</v>
      </c>
      <c r="F29" s="78">
        <v>160.9</v>
      </c>
      <c r="G29" s="284">
        <f>'Data Sawah'!H21</f>
        <v>0.98118686919734166</v>
      </c>
      <c r="H29" s="220">
        <v>1</v>
      </c>
      <c r="I29" s="220">
        <f>'Data Sawah'!I21</f>
        <v>0.94799999999999995</v>
      </c>
      <c r="J29" s="257">
        <f t="shared" si="7"/>
        <v>149.66357295665193</v>
      </c>
      <c r="K29" s="249">
        <f t="shared" si="5"/>
        <v>12.62735505363737</v>
      </c>
    </row>
    <row r="30" spans="2:16" x14ac:dyDescent="0.3">
      <c r="B30" s="3">
        <f t="shared" si="6"/>
        <v>2029</v>
      </c>
      <c r="C30" s="6"/>
      <c r="D30" s="256">
        <f>'Data Sawah'!D22</f>
        <v>29488.803120780201</v>
      </c>
      <c r="E30" s="255">
        <f>'Data Sawah'!F22</f>
        <v>2.8597756992741967</v>
      </c>
      <c r="F30" s="78">
        <v>160.9</v>
      </c>
      <c r="G30" s="284">
        <f>'Data Sawah'!H22</f>
        <v>0.98118686919734166</v>
      </c>
      <c r="H30" s="220">
        <v>1</v>
      </c>
      <c r="I30" s="220">
        <f>'Data Sawah'!I22</f>
        <v>0.94799999999999995</v>
      </c>
      <c r="J30" s="257">
        <f t="shared" si="7"/>
        <v>149.66357295665193</v>
      </c>
      <c r="K30" s="249">
        <f t="shared" si="5"/>
        <v>12.621333033853826</v>
      </c>
    </row>
    <row r="31" spans="2:16" x14ac:dyDescent="0.3">
      <c r="B31" s="3">
        <f t="shared" si="6"/>
        <v>2030</v>
      </c>
      <c r="C31" s="6"/>
      <c r="D31" s="256">
        <f>'Data Sawah'!D23</f>
        <v>29622.1771363841</v>
      </c>
      <c r="E31" s="255">
        <f>'Data Sawah'!F23</f>
        <v>2.8455479594768129</v>
      </c>
      <c r="F31" s="78">
        <v>160.9</v>
      </c>
      <c r="G31" s="284">
        <f>'Data Sawah'!H23</f>
        <v>0.98118686919734166</v>
      </c>
      <c r="H31" s="220">
        <v>1</v>
      </c>
      <c r="I31" s="220">
        <f>'Data Sawah'!I23</f>
        <v>0.94799999999999995</v>
      </c>
      <c r="J31" s="257">
        <f t="shared" si="7"/>
        <v>149.66357295665193</v>
      </c>
      <c r="K31" s="249">
        <f t="shared" si="5"/>
        <v>12.615340974367713</v>
      </c>
    </row>
    <row r="32" spans="2:16" x14ac:dyDescent="0.3">
      <c r="B32" s="3"/>
      <c r="C32" s="6"/>
      <c r="D32" s="10"/>
      <c r="E32" s="8"/>
      <c r="F32" s="10"/>
      <c r="G32" s="10"/>
      <c r="H32" s="8"/>
      <c r="I32" s="10"/>
      <c r="J32" s="8"/>
      <c r="K32" s="2"/>
    </row>
    <row r="33" spans="2:14" ht="15" thickBot="1" x14ac:dyDescent="0.35">
      <c r="B33" s="126"/>
      <c r="C33" s="126"/>
      <c r="D33" s="126"/>
      <c r="E33" s="126"/>
      <c r="F33" s="126"/>
      <c r="G33" s="126"/>
      <c r="H33" s="126"/>
      <c r="I33" s="126"/>
      <c r="J33" s="126"/>
      <c r="K33" s="43"/>
    </row>
    <row r="34" spans="2:14" x14ac:dyDescent="0.3">
      <c r="C34" t="s">
        <v>453</v>
      </c>
      <c r="N34">
        <v>40</v>
      </c>
    </row>
    <row r="35" spans="2:14" x14ac:dyDescent="0.3">
      <c r="C35" t="s">
        <v>454</v>
      </c>
    </row>
    <row r="37" spans="2:14" x14ac:dyDescent="0.3">
      <c r="B37" t="s">
        <v>196</v>
      </c>
      <c r="F37" s="105">
        <v>520000</v>
      </c>
      <c r="G37" t="s">
        <v>197</v>
      </c>
    </row>
    <row r="38" spans="2:14" x14ac:dyDescent="0.3">
      <c r="B38" t="s">
        <v>198</v>
      </c>
      <c r="F38">
        <v>200</v>
      </c>
      <c r="G38" t="s">
        <v>199</v>
      </c>
    </row>
    <row r="39" spans="2:14" x14ac:dyDescent="0.3">
      <c r="B39" t="s">
        <v>202</v>
      </c>
      <c r="F39">
        <v>2</v>
      </c>
      <c r="G39" t="s">
        <v>203</v>
      </c>
    </row>
    <row r="40" spans="2:14" x14ac:dyDescent="0.3">
      <c r="B40" t="s">
        <v>204</v>
      </c>
    </row>
    <row r="41" spans="2:14" x14ac:dyDescent="0.3">
      <c r="B41" t="s">
        <v>205</v>
      </c>
    </row>
    <row r="42" spans="2:14" x14ac:dyDescent="0.3">
      <c r="B42" t="s">
        <v>206</v>
      </c>
    </row>
  </sheetData>
  <mergeCells count="6">
    <mergeCell ref="N8:P8"/>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J22"/>
  <sheetViews>
    <sheetView workbookViewId="0">
      <selection activeCell="H30" sqref="H30"/>
    </sheetView>
  </sheetViews>
  <sheetFormatPr defaultRowHeight="14.4" x14ac:dyDescent="0.3"/>
  <cols>
    <col min="1" max="1" width="3.109375" customWidth="1"/>
    <col min="2" max="2" width="54.6640625" customWidth="1"/>
    <col min="3" max="3" width="21" customWidth="1"/>
    <col min="5" max="5" width="11.6640625" customWidth="1"/>
    <col min="7" max="7" width="24.88671875" customWidth="1"/>
    <col min="8" max="8" width="12.44140625" customWidth="1"/>
    <col min="9" max="9" width="11" customWidth="1"/>
    <col min="10" max="10" width="13.33203125" customWidth="1"/>
    <col min="11" max="11" width="6.88671875" customWidth="1"/>
    <col min="12" max="12" width="30.33203125" customWidth="1"/>
    <col min="13" max="13" width="15.33203125" customWidth="1"/>
    <col min="14" max="14" width="10.6640625" customWidth="1"/>
    <col min="15" max="15" width="12.88671875" customWidth="1"/>
    <col min="18" max="18" width="33" customWidth="1"/>
    <col min="19" max="19" width="16" customWidth="1"/>
  </cols>
  <sheetData>
    <row r="2" spans="2:5" ht="15.6" x14ac:dyDescent="0.35">
      <c r="B2" s="151" t="s">
        <v>300</v>
      </c>
      <c r="C2" s="152">
        <v>0.02</v>
      </c>
    </row>
    <row r="4" spans="2:5" x14ac:dyDescent="0.3">
      <c r="B4" s="146" t="s">
        <v>328</v>
      </c>
    </row>
    <row r="5" spans="2:5" x14ac:dyDescent="0.3">
      <c r="B5" s="155" t="s">
        <v>301</v>
      </c>
      <c r="C5" s="156"/>
      <c r="D5" s="156" t="s">
        <v>302</v>
      </c>
      <c r="E5" s="157" t="s">
        <v>303</v>
      </c>
    </row>
    <row r="6" spans="2:5" x14ac:dyDescent="0.3">
      <c r="B6" s="149" t="s">
        <v>305</v>
      </c>
      <c r="C6" s="150" t="s">
        <v>306</v>
      </c>
      <c r="D6" s="148">
        <v>0.01</v>
      </c>
      <c r="E6" s="109" t="s">
        <v>307</v>
      </c>
    </row>
    <row r="7" spans="2:5" x14ac:dyDescent="0.3">
      <c r="B7" s="149" t="s">
        <v>308</v>
      </c>
      <c r="C7" s="150" t="s">
        <v>306</v>
      </c>
      <c r="D7" s="148">
        <v>3.0000000000000001E-3</v>
      </c>
      <c r="E7" s="109" t="s">
        <v>314</v>
      </c>
    </row>
    <row r="8" spans="2:5" x14ac:dyDescent="0.3">
      <c r="B8" s="149" t="s">
        <v>309</v>
      </c>
      <c r="C8" s="150" t="s">
        <v>313</v>
      </c>
      <c r="D8" s="148">
        <v>16</v>
      </c>
      <c r="E8" s="147" t="s">
        <v>315</v>
      </c>
    </row>
    <row r="9" spans="2:5" x14ac:dyDescent="0.3">
      <c r="B9" s="149" t="s">
        <v>310</v>
      </c>
      <c r="C9" s="150" t="s">
        <v>313</v>
      </c>
      <c r="D9" s="148">
        <v>8</v>
      </c>
      <c r="E9" s="109" t="s">
        <v>316</v>
      </c>
    </row>
    <row r="10" spans="2:5" x14ac:dyDescent="0.3">
      <c r="B10" s="149" t="s">
        <v>311</v>
      </c>
      <c r="C10" s="150" t="s">
        <v>313</v>
      </c>
      <c r="D10" s="148">
        <v>0.02</v>
      </c>
      <c r="E10" s="109" t="s">
        <v>317</v>
      </c>
    </row>
    <row r="11" spans="2:5" x14ac:dyDescent="0.3">
      <c r="B11" s="149" t="s">
        <v>312</v>
      </c>
      <c r="C11" s="150" t="s">
        <v>313</v>
      </c>
      <c r="D11" s="148">
        <v>0.01</v>
      </c>
      <c r="E11" s="109" t="s">
        <v>307</v>
      </c>
    </row>
    <row r="12" spans="2:5" x14ac:dyDescent="0.3">
      <c r="C12" s="17"/>
      <c r="D12" s="75"/>
    </row>
    <row r="13" spans="2:5" x14ac:dyDescent="0.3">
      <c r="C13" s="17"/>
    </row>
    <row r="14" spans="2:5" x14ac:dyDescent="0.3">
      <c r="C14" s="17"/>
    </row>
    <row r="15" spans="2:5" x14ac:dyDescent="0.3">
      <c r="C15" s="17"/>
    </row>
    <row r="16" spans="2:5" x14ac:dyDescent="0.3">
      <c r="B16" s="146" t="s">
        <v>329</v>
      </c>
      <c r="C16" s="17"/>
    </row>
    <row r="17" spans="2:10" x14ac:dyDescent="0.3">
      <c r="B17" s="155" t="s">
        <v>301</v>
      </c>
      <c r="C17" s="158"/>
      <c r="D17" s="156" t="s">
        <v>302</v>
      </c>
      <c r="E17" s="157" t="s">
        <v>303</v>
      </c>
    </row>
    <row r="18" spans="2:10" ht="30" customHeight="1" x14ac:dyDescent="0.3">
      <c r="B18" s="161" t="s">
        <v>330</v>
      </c>
      <c r="C18" s="162" t="s">
        <v>331</v>
      </c>
      <c r="D18" s="159">
        <v>0.01</v>
      </c>
      <c r="E18" s="160" t="s">
        <v>332</v>
      </c>
      <c r="G18" s="190" t="s">
        <v>341</v>
      </c>
      <c r="H18" s="189"/>
      <c r="I18" s="189"/>
      <c r="J18" s="189"/>
    </row>
    <row r="19" spans="2:10" ht="36" customHeight="1" x14ac:dyDescent="0.3">
      <c r="B19" s="161" t="s">
        <v>330</v>
      </c>
      <c r="C19" s="162" t="s">
        <v>331</v>
      </c>
      <c r="D19" s="159">
        <v>7.4999999999999997E-3</v>
      </c>
      <c r="E19" s="160" t="s">
        <v>333</v>
      </c>
    </row>
    <row r="20" spans="2:10" ht="43.2" x14ac:dyDescent="0.3">
      <c r="B20" s="161" t="s">
        <v>336</v>
      </c>
      <c r="C20" s="162" t="s">
        <v>334</v>
      </c>
      <c r="D20" s="159">
        <v>0.1</v>
      </c>
      <c r="E20" s="160" t="s">
        <v>335</v>
      </c>
    </row>
    <row r="21" spans="2:10" ht="43.2" x14ac:dyDescent="0.3">
      <c r="B21" s="161" t="s">
        <v>337</v>
      </c>
      <c r="C21" s="162" t="s">
        <v>334</v>
      </c>
      <c r="D21" s="159">
        <v>0.2</v>
      </c>
      <c r="E21" s="160" t="s">
        <v>339</v>
      </c>
    </row>
    <row r="22" spans="2:10" ht="43.2" x14ac:dyDescent="0.3">
      <c r="B22" s="161" t="s">
        <v>338</v>
      </c>
      <c r="C22" s="162" t="s">
        <v>334</v>
      </c>
      <c r="D22" s="159">
        <v>0.3</v>
      </c>
      <c r="E22" s="160" t="s">
        <v>340</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G39"/>
  <sheetViews>
    <sheetView workbookViewId="0">
      <selection activeCell="G18" sqref="G18"/>
    </sheetView>
  </sheetViews>
  <sheetFormatPr defaultRowHeight="14.4" x14ac:dyDescent="0.3"/>
  <cols>
    <col min="1" max="1" width="2.109375" customWidth="1"/>
    <col min="2" max="2" width="23.6640625" customWidth="1"/>
    <col min="3" max="3" width="17.33203125" customWidth="1"/>
    <col min="4" max="4" width="20.88671875" customWidth="1"/>
    <col min="5" max="5" width="21" customWidth="1"/>
    <col min="6" max="6" width="20.44140625" customWidth="1"/>
    <col min="7" max="7" width="20.6640625" customWidth="1"/>
    <col min="8" max="8" width="16.6640625" customWidth="1"/>
    <col min="9" max="9" width="11.33203125" customWidth="1"/>
    <col min="10" max="10" width="10.33203125" customWidth="1"/>
    <col min="11" max="11" width="25.44140625" customWidth="1"/>
    <col min="12" max="12" width="15.88671875" customWidth="1"/>
    <col min="13" max="13" width="26.33203125" customWidth="1"/>
    <col min="14" max="14" width="21.33203125" customWidth="1"/>
  </cols>
  <sheetData>
    <row r="2" spans="2:7" x14ac:dyDescent="0.3">
      <c r="B2" t="s">
        <v>0</v>
      </c>
      <c r="C2" t="s">
        <v>2</v>
      </c>
    </row>
    <row r="3" spans="2:7" x14ac:dyDescent="0.3">
      <c r="B3" t="s">
        <v>1</v>
      </c>
      <c r="C3" t="s">
        <v>279</v>
      </c>
    </row>
    <row r="4" spans="2:7" ht="15" thickBot="1" x14ac:dyDescent="0.35"/>
    <row r="5" spans="2:7" x14ac:dyDescent="0.3">
      <c r="B5" s="134" t="s">
        <v>3</v>
      </c>
      <c r="C5" s="406" t="s">
        <v>288</v>
      </c>
      <c r="D5" s="407"/>
      <c r="E5" s="407"/>
      <c r="F5" s="407"/>
      <c r="G5" s="408"/>
    </row>
    <row r="6" spans="2:7" ht="28.8" x14ac:dyDescent="0.3">
      <c r="B6" s="402" t="s">
        <v>406</v>
      </c>
      <c r="C6" s="21" t="s">
        <v>280</v>
      </c>
      <c r="D6" s="135" t="s">
        <v>53</v>
      </c>
      <c r="E6" s="139" t="s">
        <v>289</v>
      </c>
      <c r="F6" s="22" t="s">
        <v>53</v>
      </c>
      <c r="G6" s="132" t="s">
        <v>417</v>
      </c>
    </row>
    <row r="7" spans="2:7" ht="16.2" x14ac:dyDescent="0.3">
      <c r="B7" s="402"/>
      <c r="C7" s="21" t="s">
        <v>281</v>
      </c>
      <c r="D7" s="136" t="s">
        <v>290</v>
      </c>
      <c r="E7" s="22" t="s">
        <v>281</v>
      </c>
      <c r="F7" s="9" t="s">
        <v>291</v>
      </c>
      <c r="G7" s="83" t="s">
        <v>418</v>
      </c>
    </row>
    <row r="8" spans="2:7" x14ac:dyDescent="0.3">
      <c r="B8" s="402"/>
      <c r="C8" s="128"/>
      <c r="D8" s="137" t="s">
        <v>282</v>
      </c>
      <c r="E8" s="140"/>
      <c r="F8" s="24" t="s">
        <v>292</v>
      </c>
      <c r="G8" s="82"/>
    </row>
    <row r="9" spans="2:7" ht="16.2" thickBot="1" x14ac:dyDescent="0.4">
      <c r="B9" s="403"/>
      <c r="C9" s="130" t="s">
        <v>283</v>
      </c>
      <c r="D9" s="138" t="s">
        <v>284</v>
      </c>
      <c r="E9" s="131" t="s">
        <v>285</v>
      </c>
      <c r="F9" s="129" t="s">
        <v>286</v>
      </c>
      <c r="G9" s="84" t="s">
        <v>287</v>
      </c>
    </row>
    <row r="10" spans="2:7" x14ac:dyDescent="0.3">
      <c r="B10" s="3"/>
      <c r="C10" s="6"/>
      <c r="D10" s="10"/>
      <c r="E10" s="8"/>
      <c r="F10" s="102"/>
      <c r="G10" s="133"/>
    </row>
    <row r="11" spans="2:7" x14ac:dyDescent="0.3">
      <c r="B11" s="3">
        <v>2010</v>
      </c>
      <c r="C11" s="221"/>
      <c r="D11" s="78">
        <v>0.12</v>
      </c>
      <c r="E11" s="214"/>
      <c r="F11" s="141">
        <v>0.13</v>
      </c>
      <c r="G11" s="258">
        <f>((C11*D11)+(E11*F11))*44/12*10^-3</f>
        <v>0</v>
      </c>
    </row>
    <row r="12" spans="2:7" x14ac:dyDescent="0.3">
      <c r="B12" s="3">
        <f>B11+1</f>
        <v>2011</v>
      </c>
      <c r="C12" s="222"/>
      <c r="D12" s="78">
        <v>0.12</v>
      </c>
      <c r="E12" s="214"/>
      <c r="F12" s="141">
        <v>0.13</v>
      </c>
      <c r="G12" s="258">
        <f t="shared" ref="G12:G31" si="0">((C12*D12)+(E12*F12))*44/12*10^-3</f>
        <v>0</v>
      </c>
    </row>
    <row r="13" spans="2:7" x14ac:dyDescent="0.3">
      <c r="B13" s="3">
        <f t="shared" ref="B13:B15" si="1">B12+1</f>
        <v>2012</v>
      </c>
      <c r="C13" s="222"/>
      <c r="D13" s="78">
        <v>0.12</v>
      </c>
      <c r="E13" s="214"/>
      <c r="F13" s="141">
        <v>0.13</v>
      </c>
      <c r="G13" s="258">
        <f t="shared" si="0"/>
        <v>0</v>
      </c>
    </row>
    <row r="14" spans="2:7" x14ac:dyDescent="0.3">
      <c r="B14" s="3">
        <f t="shared" si="1"/>
        <v>2013</v>
      </c>
      <c r="C14" s="222"/>
      <c r="D14" s="78">
        <v>0.12</v>
      </c>
      <c r="E14" s="214"/>
      <c r="F14" s="141">
        <v>0.13</v>
      </c>
      <c r="G14" s="258">
        <f t="shared" si="0"/>
        <v>0</v>
      </c>
    </row>
    <row r="15" spans="2:7" x14ac:dyDescent="0.3">
      <c r="B15" s="3">
        <f t="shared" si="1"/>
        <v>2014</v>
      </c>
      <c r="C15" s="222"/>
      <c r="D15" s="78">
        <v>0.12</v>
      </c>
      <c r="E15" s="214"/>
      <c r="F15" s="141">
        <v>0.13</v>
      </c>
      <c r="G15" s="258">
        <f t="shared" si="0"/>
        <v>0</v>
      </c>
    </row>
    <row r="16" spans="2:7" x14ac:dyDescent="0.3">
      <c r="B16" s="3">
        <f>B15+1</f>
        <v>2015</v>
      </c>
      <c r="C16" s="222"/>
      <c r="D16" s="78">
        <v>0.12</v>
      </c>
      <c r="E16" s="214"/>
      <c r="F16" s="141">
        <v>0.13</v>
      </c>
      <c r="G16" s="258">
        <f t="shared" si="0"/>
        <v>0</v>
      </c>
    </row>
    <row r="17" spans="2:7" x14ac:dyDescent="0.3">
      <c r="B17" s="3">
        <f t="shared" ref="B17:B31" si="2">B16+1</f>
        <v>2016</v>
      </c>
      <c r="C17" s="222"/>
      <c r="D17" s="78">
        <v>0.12</v>
      </c>
      <c r="E17" s="214"/>
      <c r="F17" s="141">
        <v>0.13</v>
      </c>
      <c r="G17" s="258">
        <f t="shared" si="0"/>
        <v>0</v>
      </c>
    </row>
    <row r="18" spans="2:7" x14ac:dyDescent="0.3">
      <c r="B18" s="3">
        <f t="shared" si="2"/>
        <v>2017</v>
      </c>
      <c r="C18" s="222"/>
      <c r="D18" s="78">
        <v>0.12</v>
      </c>
      <c r="E18" s="214"/>
      <c r="F18" s="141">
        <v>0.13</v>
      </c>
      <c r="G18" s="258">
        <f t="shared" si="0"/>
        <v>0</v>
      </c>
    </row>
    <row r="19" spans="2:7" x14ac:dyDescent="0.3">
      <c r="B19" s="3">
        <f t="shared" si="2"/>
        <v>2018</v>
      </c>
      <c r="C19" s="222"/>
      <c r="D19" s="78">
        <v>0.12</v>
      </c>
      <c r="E19" s="214"/>
      <c r="F19" s="141">
        <v>0.13</v>
      </c>
      <c r="G19" s="258">
        <f t="shared" si="0"/>
        <v>0</v>
      </c>
    </row>
    <row r="20" spans="2:7" x14ac:dyDescent="0.3">
      <c r="B20" s="3">
        <f t="shared" si="2"/>
        <v>2019</v>
      </c>
      <c r="C20" s="222"/>
      <c r="D20" s="78">
        <v>0.12</v>
      </c>
      <c r="E20" s="214"/>
      <c r="F20" s="141">
        <v>0.13</v>
      </c>
      <c r="G20" s="258">
        <f t="shared" si="0"/>
        <v>0</v>
      </c>
    </row>
    <row r="21" spans="2:7" x14ac:dyDescent="0.3">
      <c r="B21" s="3">
        <f t="shared" si="2"/>
        <v>2020</v>
      </c>
      <c r="C21" s="222"/>
      <c r="D21" s="78">
        <v>0.12</v>
      </c>
      <c r="E21" s="214"/>
      <c r="F21" s="141">
        <v>0.13</v>
      </c>
      <c r="G21" s="258">
        <f t="shared" si="0"/>
        <v>0</v>
      </c>
    </row>
    <row r="22" spans="2:7" x14ac:dyDescent="0.3">
      <c r="B22" s="3">
        <f t="shared" si="2"/>
        <v>2021</v>
      </c>
      <c r="C22" s="222"/>
      <c r="D22" s="78">
        <v>0.12</v>
      </c>
      <c r="E22" s="214"/>
      <c r="F22" s="141">
        <v>0.13</v>
      </c>
      <c r="G22" s="258">
        <f t="shared" si="0"/>
        <v>0</v>
      </c>
    </row>
    <row r="23" spans="2:7" x14ac:dyDescent="0.3">
      <c r="B23" s="3">
        <f t="shared" si="2"/>
        <v>2022</v>
      </c>
      <c r="C23" s="222"/>
      <c r="D23" s="78">
        <v>0.12</v>
      </c>
      <c r="E23" s="214"/>
      <c r="F23" s="141">
        <v>0.13</v>
      </c>
      <c r="G23" s="258">
        <f t="shared" si="0"/>
        <v>0</v>
      </c>
    </row>
    <row r="24" spans="2:7" x14ac:dyDescent="0.3">
      <c r="B24" s="3">
        <f t="shared" si="2"/>
        <v>2023</v>
      </c>
      <c r="C24" s="222"/>
      <c r="D24" s="78">
        <v>0.12</v>
      </c>
      <c r="E24" s="214"/>
      <c r="F24" s="141">
        <v>0.13</v>
      </c>
      <c r="G24" s="258">
        <f t="shared" si="0"/>
        <v>0</v>
      </c>
    </row>
    <row r="25" spans="2:7" x14ac:dyDescent="0.3">
      <c r="B25" s="3">
        <f t="shared" si="2"/>
        <v>2024</v>
      </c>
      <c r="C25" s="222"/>
      <c r="D25" s="78">
        <v>0.12</v>
      </c>
      <c r="E25" s="214"/>
      <c r="F25" s="141">
        <v>0.13</v>
      </c>
      <c r="G25" s="258">
        <f t="shared" si="0"/>
        <v>0</v>
      </c>
    </row>
    <row r="26" spans="2:7" x14ac:dyDescent="0.3">
      <c r="B26" s="3">
        <f t="shared" si="2"/>
        <v>2025</v>
      </c>
      <c r="C26" s="222"/>
      <c r="D26" s="78">
        <v>0.12</v>
      </c>
      <c r="E26" s="214"/>
      <c r="F26" s="141">
        <v>0.13</v>
      </c>
      <c r="G26" s="258">
        <f t="shared" si="0"/>
        <v>0</v>
      </c>
    </row>
    <row r="27" spans="2:7" x14ac:dyDescent="0.3">
      <c r="B27" s="3">
        <f t="shared" si="2"/>
        <v>2026</v>
      </c>
      <c r="C27" s="222"/>
      <c r="D27" s="78">
        <v>0.12</v>
      </c>
      <c r="E27" s="214"/>
      <c r="F27" s="141">
        <v>0.13</v>
      </c>
      <c r="G27" s="258">
        <f t="shared" si="0"/>
        <v>0</v>
      </c>
    </row>
    <row r="28" spans="2:7" x14ac:dyDescent="0.3">
      <c r="B28" s="3">
        <f t="shared" si="2"/>
        <v>2027</v>
      </c>
      <c r="C28" s="222"/>
      <c r="D28" s="78">
        <v>0.12</v>
      </c>
      <c r="E28" s="214"/>
      <c r="F28" s="141">
        <v>0.13</v>
      </c>
      <c r="G28" s="258">
        <f t="shared" si="0"/>
        <v>0</v>
      </c>
    </row>
    <row r="29" spans="2:7" x14ac:dyDescent="0.3">
      <c r="B29" s="3">
        <f t="shared" si="2"/>
        <v>2028</v>
      </c>
      <c r="C29" s="222"/>
      <c r="D29" s="78">
        <v>0.12</v>
      </c>
      <c r="E29" s="214"/>
      <c r="F29" s="141">
        <v>0.13</v>
      </c>
      <c r="G29" s="258">
        <f t="shared" si="0"/>
        <v>0</v>
      </c>
    </row>
    <row r="30" spans="2:7" x14ac:dyDescent="0.3">
      <c r="B30" s="3">
        <f t="shared" si="2"/>
        <v>2029</v>
      </c>
      <c r="C30" s="222"/>
      <c r="D30" s="78">
        <v>0.12</v>
      </c>
      <c r="E30" s="214"/>
      <c r="F30" s="141">
        <v>0.13</v>
      </c>
      <c r="G30" s="258">
        <f t="shared" si="0"/>
        <v>0</v>
      </c>
    </row>
    <row r="31" spans="2:7" x14ac:dyDescent="0.3">
      <c r="B31" s="3">
        <f t="shared" si="2"/>
        <v>2030</v>
      </c>
      <c r="C31" s="222"/>
      <c r="D31" s="78">
        <v>0.12</v>
      </c>
      <c r="E31" s="214"/>
      <c r="F31" s="141">
        <v>0.13</v>
      </c>
      <c r="G31" s="258">
        <f t="shared" si="0"/>
        <v>0</v>
      </c>
    </row>
    <row r="32" spans="2:7" x14ac:dyDescent="0.3">
      <c r="B32" s="3"/>
      <c r="C32" s="6"/>
      <c r="D32" s="10"/>
      <c r="E32" s="8"/>
      <c r="F32" s="10"/>
      <c r="G32" s="85"/>
    </row>
    <row r="33" spans="2:7" ht="15" thickBot="1" x14ac:dyDescent="0.35">
      <c r="B33" s="4"/>
      <c r="C33" s="11"/>
      <c r="D33" s="11"/>
      <c r="E33" s="11"/>
      <c r="F33" s="11"/>
      <c r="G33" s="223"/>
    </row>
    <row r="35" spans="2:7" x14ac:dyDescent="0.3">
      <c r="B35" s="167"/>
      <c r="C35" s="168"/>
      <c r="D35" s="169"/>
    </row>
    <row r="36" spans="2:7" x14ac:dyDescent="0.3">
      <c r="B36" s="167"/>
      <c r="C36" s="168"/>
      <c r="D36" s="169"/>
    </row>
    <row r="37" spans="2:7" x14ac:dyDescent="0.3">
      <c r="B37" s="167"/>
      <c r="C37" s="169"/>
      <c r="D37" s="169"/>
    </row>
    <row r="38" spans="2:7" x14ac:dyDescent="0.3">
      <c r="B38" s="167"/>
      <c r="C38" s="169"/>
      <c r="D38" s="169"/>
    </row>
    <row r="39" spans="2:7" x14ac:dyDescent="0.3">
      <c r="B39" s="167"/>
      <c r="C39" s="169"/>
      <c r="D39" s="169"/>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FF00"/>
  </sheetPr>
  <dimension ref="B2:I42"/>
  <sheetViews>
    <sheetView workbookViewId="0">
      <selection activeCell="E26" sqref="E26"/>
    </sheetView>
  </sheetViews>
  <sheetFormatPr defaultRowHeight="14.4" x14ac:dyDescent="0.3"/>
  <cols>
    <col min="1" max="1" width="2.33203125" customWidth="1"/>
    <col min="2" max="2" width="17.109375" customWidth="1"/>
    <col min="3" max="3" width="21.5546875" customWidth="1"/>
    <col min="4" max="4" width="17.109375" customWidth="1"/>
    <col min="5" max="5" width="23.44140625" customWidth="1"/>
    <col min="7" max="7" width="21.33203125" customWidth="1"/>
  </cols>
  <sheetData>
    <row r="2" spans="2:5" x14ac:dyDescent="0.3">
      <c r="B2" t="s">
        <v>0</v>
      </c>
      <c r="C2" t="s">
        <v>2</v>
      </c>
    </row>
    <row r="3" spans="2:5" x14ac:dyDescent="0.3">
      <c r="B3" t="s">
        <v>1</v>
      </c>
      <c r="C3" t="s">
        <v>45</v>
      </c>
    </row>
    <row r="4" spans="2:5" ht="15" thickBot="1" x14ac:dyDescent="0.35"/>
    <row r="5" spans="2:5" ht="15" thickBot="1" x14ac:dyDescent="0.35">
      <c r="B5" s="145" t="s">
        <v>3</v>
      </c>
      <c r="C5" s="401" t="s">
        <v>55</v>
      </c>
      <c r="D5" s="401"/>
      <c r="E5" s="409"/>
    </row>
    <row r="6" spans="2:5" ht="28.8" x14ac:dyDescent="0.3">
      <c r="B6" s="410" t="s">
        <v>406</v>
      </c>
      <c r="C6" s="143" t="s">
        <v>46</v>
      </c>
      <c r="D6" s="143" t="s">
        <v>48</v>
      </c>
      <c r="E6" s="143" t="s">
        <v>50</v>
      </c>
    </row>
    <row r="7" spans="2:5" x14ac:dyDescent="0.3">
      <c r="B7" s="411"/>
      <c r="C7" s="27" t="s">
        <v>47</v>
      </c>
      <c r="D7" s="27" t="s">
        <v>49</v>
      </c>
      <c r="E7" s="27" t="s">
        <v>419</v>
      </c>
    </row>
    <row r="8" spans="2:5" x14ac:dyDescent="0.3">
      <c r="B8" s="411"/>
      <c r="C8" s="28"/>
      <c r="D8" s="28"/>
      <c r="E8" s="27" t="s">
        <v>51</v>
      </c>
    </row>
    <row r="9" spans="2:5" ht="15" thickBot="1" x14ac:dyDescent="0.35">
      <c r="B9" s="412"/>
      <c r="C9" s="12" t="s">
        <v>52</v>
      </c>
      <c r="D9" s="12" t="s">
        <v>53</v>
      </c>
      <c r="E9" s="12" t="s">
        <v>54</v>
      </c>
    </row>
    <row r="10" spans="2:5" x14ac:dyDescent="0.3">
      <c r="B10" s="3"/>
      <c r="C10" s="3"/>
      <c r="D10" s="3"/>
      <c r="E10" s="3"/>
    </row>
    <row r="11" spans="2:5" x14ac:dyDescent="0.3">
      <c r="B11" s="3">
        <v>2010</v>
      </c>
      <c r="C11" s="225">
        <f>'Data Sawah'!K3</f>
        <v>19640.7</v>
      </c>
      <c r="D11" s="224">
        <v>0.2</v>
      </c>
      <c r="E11" s="259">
        <f>C11*D11*44/12*10^-3</f>
        <v>14.403180000000001</v>
      </c>
    </row>
    <row r="12" spans="2:5" x14ac:dyDescent="0.3">
      <c r="B12" s="3">
        <f>B11+1</f>
        <v>2011</v>
      </c>
      <c r="C12" s="225">
        <f>'Data Sawah'!K4</f>
        <v>19640.7</v>
      </c>
      <c r="D12" s="224">
        <v>0.2</v>
      </c>
      <c r="E12" s="259">
        <f>C12*D12*44/12*10^-3</f>
        <v>14.403180000000001</v>
      </c>
    </row>
    <row r="13" spans="2:5" x14ac:dyDescent="0.3">
      <c r="B13" s="3">
        <f t="shared" ref="B13:B15" si="0">B12+1</f>
        <v>2012</v>
      </c>
      <c r="C13" s="225">
        <f>'Data Sawah'!K5</f>
        <v>19640.7</v>
      </c>
      <c r="D13" s="224">
        <v>0.2</v>
      </c>
      <c r="E13" s="259">
        <f t="shared" ref="E13:E31" si="1">C13*D13*44/12*10^-3</f>
        <v>14.403180000000001</v>
      </c>
    </row>
    <row r="14" spans="2:5" x14ac:dyDescent="0.3">
      <c r="B14" s="3">
        <f t="shared" si="0"/>
        <v>2013</v>
      </c>
      <c r="C14" s="225">
        <f>'Data Sawah'!K6</f>
        <v>19640.7</v>
      </c>
      <c r="D14" s="224">
        <v>0.2</v>
      </c>
      <c r="E14" s="259">
        <f t="shared" si="1"/>
        <v>14.403180000000001</v>
      </c>
    </row>
    <row r="15" spans="2:5" x14ac:dyDescent="0.3">
      <c r="B15" s="3">
        <f t="shared" si="0"/>
        <v>2014</v>
      </c>
      <c r="C15" s="225">
        <f>'Data Sawah'!K7</f>
        <v>25108.400000000001</v>
      </c>
      <c r="D15" s="224">
        <v>0.2</v>
      </c>
      <c r="E15" s="259">
        <f t="shared" si="1"/>
        <v>18.412826666666668</v>
      </c>
    </row>
    <row r="16" spans="2:5" x14ac:dyDescent="0.3">
      <c r="B16" s="3">
        <f>B15+1</f>
        <v>2015</v>
      </c>
      <c r="C16" s="225">
        <f>'Data Sawah'!K8</f>
        <v>19849.900000000001</v>
      </c>
      <c r="D16" s="224">
        <v>0.2</v>
      </c>
      <c r="E16" s="259">
        <f t="shared" si="1"/>
        <v>14.556593333333335</v>
      </c>
    </row>
    <row r="17" spans="2:5" x14ac:dyDescent="0.3">
      <c r="B17" s="3">
        <f t="shared" ref="B17:B31" si="2">B16+1</f>
        <v>2016</v>
      </c>
      <c r="C17" s="225">
        <f>'Data Sawah'!K9</f>
        <v>26122.779360000004</v>
      </c>
      <c r="D17" s="224">
        <v>0.2</v>
      </c>
      <c r="E17" s="259">
        <f t="shared" si="1"/>
        <v>19.156704864000002</v>
      </c>
    </row>
    <row r="18" spans="2:5" x14ac:dyDescent="0.3">
      <c r="B18" s="3">
        <f t="shared" si="2"/>
        <v>2017</v>
      </c>
      <c r="C18" s="225">
        <f>'Data Sawah'!K10</f>
        <v>26645.234947199999</v>
      </c>
      <c r="D18" s="224">
        <v>0.2</v>
      </c>
      <c r="E18" s="259">
        <f t="shared" si="1"/>
        <v>19.539838961280001</v>
      </c>
    </row>
    <row r="19" spans="2:5" x14ac:dyDescent="0.3">
      <c r="B19" s="3">
        <f t="shared" si="2"/>
        <v>2018</v>
      </c>
      <c r="C19" s="225">
        <f>'Data Sawah'!K11</f>
        <v>27178.139646143998</v>
      </c>
      <c r="D19" s="224">
        <v>0.2</v>
      </c>
      <c r="E19" s="259">
        <f t="shared" si="1"/>
        <v>19.9306357405056</v>
      </c>
    </row>
    <row r="20" spans="2:5" x14ac:dyDescent="0.3">
      <c r="B20" s="3">
        <f t="shared" si="2"/>
        <v>2019</v>
      </c>
      <c r="C20" s="225">
        <f>'Data Sawah'!K12</f>
        <v>27721.702439066885</v>
      </c>
      <c r="D20" s="224">
        <v>0.2</v>
      </c>
      <c r="E20" s="259">
        <f t="shared" si="1"/>
        <v>20.329248455315717</v>
      </c>
    </row>
    <row r="21" spans="2:5" x14ac:dyDescent="0.3">
      <c r="B21" s="3">
        <f t="shared" si="2"/>
        <v>2020</v>
      </c>
      <c r="C21" s="225">
        <f>'Data Sawah'!K13</f>
        <v>28276.13648784822</v>
      </c>
      <c r="D21" s="224">
        <v>0.2</v>
      </c>
      <c r="E21" s="259">
        <f t="shared" si="1"/>
        <v>20.735833424422029</v>
      </c>
    </row>
    <row r="22" spans="2:5" x14ac:dyDescent="0.3">
      <c r="B22" s="3">
        <f t="shared" si="2"/>
        <v>2021</v>
      </c>
      <c r="C22" s="225">
        <f>'Data Sawah'!K14</f>
        <v>28841.659217605185</v>
      </c>
      <c r="D22" s="224">
        <v>0.2</v>
      </c>
      <c r="E22" s="259">
        <f t="shared" si="1"/>
        <v>21.150550092910471</v>
      </c>
    </row>
    <row r="23" spans="2:5" x14ac:dyDescent="0.3">
      <c r="B23" s="3">
        <f t="shared" si="2"/>
        <v>2022</v>
      </c>
      <c r="C23" s="225">
        <f>'Data Sawah'!K15</f>
        <v>29418.49240195729</v>
      </c>
      <c r="D23" s="224">
        <v>0.2</v>
      </c>
      <c r="E23" s="259">
        <f t="shared" si="1"/>
        <v>21.573561094768682</v>
      </c>
    </row>
    <row r="24" spans="2:5" x14ac:dyDescent="0.3">
      <c r="B24" s="3">
        <f t="shared" si="2"/>
        <v>2023</v>
      </c>
      <c r="C24" s="225">
        <f>'Data Sawah'!K16</f>
        <v>30006.862249996433</v>
      </c>
      <c r="D24" s="224">
        <v>0.2</v>
      </c>
      <c r="E24" s="259">
        <f t="shared" si="1"/>
        <v>22.00503231666405</v>
      </c>
    </row>
    <row r="25" spans="2:5" x14ac:dyDescent="0.3">
      <c r="B25" s="3">
        <f t="shared" si="2"/>
        <v>2024</v>
      </c>
      <c r="C25" s="225">
        <f>'Data Sawah'!K17</f>
        <v>30006.862249996433</v>
      </c>
      <c r="D25" s="224">
        <v>0.2</v>
      </c>
      <c r="E25" s="259">
        <f t="shared" si="1"/>
        <v>22.00503231666405</v>
      </c>
    </row>
    <row r="26" spans="2:5" x14ac:dyDescent="0.3">
      <c r="B26" s="3">
        <f t="shared" si="2"/>
        <v>2025</v>
      </c>
      <c r="C26" s="225">
        <f>'Data Sawah'!K18</f>
        <v>30006.862249996433</v>
      </c>
      <c r="D26" s="224">
        <v>0.2</v>
      </c>
      <c r="E26" s="259">
        <f t="shared" si="1"/>
        <v>22.00503231666405</v>
      </c>
    </row>
    <row r="27" spans="2:5" x14ac:dyDescent="0.3">
      <c r="B27" s="3">
        <f t="shared" si="2"/>
        <v>2026</v>
      </c>
      <c r="C27" s="225">
        <f>'Data Sawah'!K19</f>
        <v>30006.862249996433</v>
      </c>
      <c r="D27" s="224">
        <v>0.2</v>
      </c>
      <c r="E27" s="259">
        <f t="shared" si="1"/>
        <v>22.00503231666405</v>
      </c>
    </row>
    <row r="28" spans="2:5" x14ac:dyDescent="0.3">
      <c r="B28" s="3">
        <f t="shared" si="2"/>
        <v>2027</v>
      </c>
      <c r="C28" s="225">
        <f>'Data Sawah'!K20</f>
        <v>30006.862249996433</v>
      </c>
      <c r="D28" s="224">
        <v>0.2</v>
      </c>
      <c r="E28" s="259">
        <f t="shared" si="1"/>
        <v>22.00503231666405</v>
      </c>
    </row>
    <row r="29" spans="2:5" x14ac:dyDescent="0.3">
      <c r="B29" s="3">
        <f t="shared" si="2"/>
        <v>2028</v>
      </c>
      <c r="C29" s="225">
        <f>'Data Sawah'!K21</f>
        <v>30006.862249996433</v>
      </c>
      <c r="D29" s="224">
        <v>0.2</v>
      </c>
      <c r="E29" s="259">
        <f t="shared" si="1"/>
        <v>22.00503231666405</v>
      </c>
    </row>
    <row r="30" spans="2:5" x14ac:dyDescent="0.3">
      <c r="B30" s="3">
        <f t="shared" si="2"/>
        <v>2029</v>
      </c>
      <c r="C30" s="225">
        <f>'Data Sawah'!K22</f>
        <v>30006.862249996433</v>
      </c>
      <c r="D30" s="224">
        <v>0.2</v>
      </c>
      <c r="E30" s="259">
        <f t="shared" si="1"/>
        <v>22.00503231666405</v>
      </c>
    </row>
    <row r="31" spans="2:5" x14ac:dyDescent="0.3">
      <c r="B31" s="3">
        <f t="shared" si="2"/>
        <v>2030</v>
      </c>
      <c r="C31" s="225">
        <f>'Data Sawah'!K23</f>
        <v>30006.862249996433</v>
      </c>
      <c r="D31" s="224">
        <v>0.2</v>
      </c>
      <c r="E31" s="259">
        <f t="shared" si="1"/>
        <v>22.00503231666405</v>
      </c>
    </row>
    <row r="32" spans="2:5" ht="15" thickBot="1" x14ac:dyDescent="0.35">
      <c r="B32" s="4"/>
      <c r="C32" s="4"/>
      <c r="D32" s="4"/>
      <c r="E32" s="170"/>
    </row>
    <row r="35" spans="2:9" x14ac:dyDescent="0.3">
      <c r="B35" t="s">
        <v>294</v>
      </c>
      <c r="E35" t="s">
        <v>297</v>
      </c>
      <c r="G35" t="s">
        <v>299</v>
      </c>
    </row>
    <row r="36" spans="2:9" x14ac:dyDescent="0.3">
      <c r="B36" s="17" t="s">
        <v>295</v>
      </c>
      <c r="C36" s="105">
        <v>225000</v>
      </c>
      <c r="D36" t="s">
        <v>197</v>
      </c>
      <c r="E36">
        <v>200</v>
      </c>
      <c r="F36" t="s">
        <v>298</v>
      </c>
      <c r="G36" s="105">
        <f>C36*E36*10^-3</f>
        <v>45000</v>
      </c>
    </row>
    <row r="37" spans="2:9" x14ac:dyDescent="0.3">
      <c r="B37" s="17" t="s">
        <v>296</v>
      </c>
      <c r="C37" s="105"/>
      <c r="F37" t="s">
        <v>298</v>
      </c>
      <c r="G37" s="105">
        <f>C37*E38*10^-3</f>
        <v>0</v>
      </c>
      <c r="I37" s="144"/>
    </row>
    <row r="38" spans="2:9" x14ac:dyDescent="0.3">
      <c r="B38" s="17" t="s">
        <v>293</v>
      </c>
      <c r="C38" s="105">
        <v>15000</v>
      </c>
      <c r="D38" t="s">
        <v>197</v>
      </c>
      <c r="E38">
        <v>300</v>
      </c>
      <c r="G38" s="105">
        <f>C38*E38*10^-3</f>
        <v>4500</v>
      </c>
    </row>
    <row r="39" spans="2:9" ht="46.5" customHeight="1" x14ac:dyDescent="0.3">
      <c r="B39" s="17" t="s">
        <v>349</v>
      </c>
      <c r="C39" s="105">
        <v>10000</v>
      </c>
      <c r="D39" t="s">
        <v>197</v>
      </c>
      <c r="G39" s="105">
        <f>(C39*E38*10^-3)*40%</f>
        <v>1200</v>
      </c>
    </row>
    <row r="40" spans="2:9" ht="48" customHeight="1" x14ac:dyDescent="0.3">
      <c r="B40" s="17" t="s">
        <v>350</v>
      </c>
      <c r="C40" s="105">
        <v>12000</v>
      </c>
      <c r="D40" t="s">
        <v>197</v>
      </c>
      <c r="E40">
        <v>160</v>
      </c>
      <c r="F40" t="s">
        <v>298</v>
      </c>
      <c r="G40" s="105">
        <f>(C40*E40*10^-3)*20%</f>
        <v>384</v>
      </c>
    </row>
    <row r="41" spans="2:9" ht="57.6" x14ac:dyDescent="0.3">
      <c r="B41" s="17" t="s">
        <v>351</v>
      </c>
      <c r="C41" s="105">
        <v>15000</v>
      </c>
      <c r="D41" t="s">
        <v>197</v>
      </c>
      <c r="E41">
        <v>222</v>
      </c>
      <c r="F41" t="s">
        <v>298</v>
      </c>
      <c r="G41" s="105">
        <f>(C41*E41*10^-3)*80%</f>
        <v>2664</v>
      </c>
    </row>
    <row r="42" spans="2:9" x14ac:dyDescent="0.3">
      <c r="G42" s="144"/>
    </row>
  </sheetData>
  <mergeCells count="2">
    <mergeCell ref="C5:E5"/>
    <mergeCell ref="B6:B9"/>
  </mergeCells>
  <pageMargins left="0.7" right="0.7" top="0.75" bottom="0.75" header="0.3" footer="0.3"/>
  <pageSetup orientation="landscape"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FF00"/>
  </sheetPr>
  <dimension ref="A1:CO56"/>
  <sheetViews>
    <sheetView zoomScale="80" zoomScaleNormal="80" workbookViewId="0">
      <selection activeCell="J25" sqref="J25"/>
    </sheetView>
  </sheetViews>
  <sheetFormatPr defaultColWidth="11.44140625" defaultRowHeight="13.2" x14ac:dyDescent="0.25"/>
  <cols>
    <col min="1" max="1" width="16.6640625" style="181" customWidth="1"/>
    <col min="2" max="23" width="16.6640625" style="172" customWidth="1"/>
    <col min="24" max="24" width="17.44140625" style="177" bestFit="1" customWidth="1"/>
    <col min="25" max="27" width="16.6640625" style="172" customWidth="1"/>
    <col min="28" max="28" width="14.6640625" style="172" customWidth="1"/>
    <col min="29" max="29" width="14.88671875" style="172" customWidth="1"/>
    <col min="30" max="47" width="16.109375" style="172" customWidth="1"/>
    <col min="48" max="49" width="11.44140625" style="172"/>
    <col min="50" max="50" width="14.88671875" style="172" bestFit="1" customWidth="1"/>
    <col min="51" max="51" width="15" style="172" bestFit="1" customWidth="1"/>
    <col min="52" max="324" width="11.44140625" style="172"/>
    <col min="325" max="327" width="16.6640625" style="172" customWidth="1"/>
    <col min="328" max="328" width="17.44140625" style="172" bestFit="1" customWidth="1"/>
    <col min="329" max="331" width="16.6640625" style="172" customWidth="1"/>
    <col min="332" max="580" width="11.44140625" style="172"/>
    <col min="581" max="583" width="16.6640625" style="172" customWidth="1"/>
    <col min="584" max="584" width="17.44140625" style="172" bestFit="1" customWidth="1"/>
    <col min="585" max="587" width="16.6640625" style="172" customWidth="1"/>
    <col min="588" max="836" width="11.44140625" style="172"/>
    <col min="837" max="839" width="16.6640625" style="172" customWidth="1"/>
    <col min="840" max="840" width="17.44140625" style="172" bestFit="1" customWidth="1"/>
    <col min="841" max="843" width="16.6640625" style="172" customWidth="1"/>
    <col min="844" max="1092" width="11.44140625" style="172"/>
    <col min="1093" max="1095" width="16.6640625" style="172" customWidth="1"/>
    <col min="1096" max="1096" width="17.44140625" style="172" bestFit="1" customWidth="1"/>
    <col min="1097" max="1099" width="16.6640625" style="172" customWidth="1"/>
    <col min="1100" max="1348" width="11.44140625" style="172"/>
    <col min="1349" max="1351" width="16.6640625" style="172" customWidth="1"/>
    <col min="1352" max="1352" width="17.44140625" style="172" bestFit="1" customWidth="1"/>
    <col min="1353" max="1355" width="16.6640625" style="172" customWidth="1"/>
    <col min="1356" max="1604" width="11.44140625" style="172"/>
    <col min="1605" max="1607" width="16.6640625" style="172" customWidth="1"/>
    <col min="1608" max="1608" width="17.44140625" style="172" bestFit="1" customWidth="1"/>
    <col min="1609" max="1611" width="16.6640625" style="172" customWidth="1"/>
    <col min="1612" max="1860" width="11.44140625" style="172"/>
    <col min="1861" max="1863" width="16.6640625" style="172" customWidth="1"/>
    <col min="1864" max="1864" width="17.44140625" style="172" bestFit="1" customWidth="1"/>
    <col min="1865" max="1867" width="16.6640625" style="172" customWidth="1"/>
    <col min="1868" max="2116" width="11.44140625" style="172"/>
    <col min="2117" max="2119" width="16.6640625" style="172" customWidth="1"/>
    <col min="2120" max="2120" width="17.44140625" style="172" bestFit="1" customWidth="1"/>
    <col min="2121" max="2123" width="16.6640625" style="172" customWidth="1"/>
    <col min="2124" max="2372" width="11.44140625" style="172"/>
    <col min="2373" max="2375" width="16.6640625" style="172" customWidth="1"/>
    <col min="2376" max="2376" width="17.44140625" style="172" bestFit="1" customWidth="1"/>
    <col min="2377" max="2379" width="16.6640625" style="172" customWidth="1"/>
    <col min="2380" max="2628" width="11.44140625" style="172"/>
    <col min="2629" max="2631" width="16.6640625" style="172" customWidth="1"/>
    <col min="2632" max="2632" width="17.44140625" style="172" bestFit="1" customWidth="1"/>
    <col min="2633" max="2635" width="16.6640625" style="172" customWidth="1"/>
    <col min="2636" max="2884" width="11.44140625" style="172"/>
    <col min="2885" max="2887" width="16.6640625" style="172" customWidth="1"/>
    <col min="2888" max="2888" width="17.44140625" style="172" bestFit="1" customWidth="1"/>
    <col min="2889" max="2891" width="16.6640625" style="172" customWidth="1"/>
    <col min="2892" max="3140" width="11.44140625" style="172"/>
    <col min="3141" max="3143" width="16.6640625" style="172" customWidth="1"/>
    <col min="3144" max="3144" width="17.44140625" style="172" bestFit="1" customWidth="1"/>
    <col min="3145" max="3147" width="16.6640625" style="172" customWidth="1"/>
    <col min="3148" max="3396" width="11.44140625" style="172"/>
    <col min="3397" max="3399" width="16.6640625" style="172" customWidth="1"/>
    <col min="3400" max="3400" width="17.44140625" style="172" bestFit="1" customWidth="1"/>
    <col min="3401" max="3403" width="16.6640625" style="172" customWidth="1"/>
    <col min="3404" max="3652" width="11.44140625" style="172"/>
    <col min="3653" max="3655" width="16.6640625" style="172" customWidth="1"/>
    <col min="3656" max="3656" width="17.44140625" style="172" bestFit="1" customWidth="1"/>
    <col min="3657" max="3659" width="16.6640625" style="172" customWidth="1"/>
    <col min="3660" max="3908" width="11.44140625" style="172"/>
    <col min="3909" max="3911" width="16.6640625" style="172" customWidth="1"/>
    <col min="3912" max="3912" width="17.44140625" style="172" bestFit="1" customWidth="1"/>
    <col min="3913" max="3915" width="16.6640625" style="172" customWidth="1"/>
    <col min="3916" max="4164" width="11.44140625" style="172"/>
    <col min="4165" max="4167" width="16.6640625" style="172" customWidth="1"/>
    <col min="4168" max="4168" width="17.44140625" style="172" bestFit="1" customWidth="1"/>
    <col min="4169" max="4171" width="16.6640625" style="172" customWidth="1"/>
    <col min="4172" max="4420" width="11.44140625" style="172"/>
    <col min="4421" max="4423" width="16.6640625" style="172" customWidth="1"/>
    <col min="4424" max="4424" width="17.44140625" style="172" bestFit="1" customWidth="1"/>
    <col min="4425" max="4427" width="16.6640625" style="172" customWidth="1"/>
    <col min="4428" max="4676" width="11.44140625" style="172"/>
    <col min="4677" max="4679" width="16.6640625" style="172" customWidth="1"/>
    <col min="4680" max="4680" width="17.44140625" style="172" bestFit="1" customWidth="1"/>
    <col min="4681" max="4683" width="16.6640625" style="172" customWidth="1"/>
    <col min="4684" max="4932" width="11.44140625" style="172"/>
    <col min="4933" max="4935" width="16.6640625" style="172" customWidth="1"/>
    <col min="4936" max="4936" width="17.44140625" style="172" bestFit="1" customWidth="1"/>
    <col min="4937" max="4939" width="16.6640625" style="172" customWidth="1"/>
    <col min="4940" max="5188" width="11.44140625" style="172"/>
    <col min="5189" max="5191" width="16.6640625" style="172" customWidth="1"/>
    <col min="5192" max="5192" width="17.44140625" style="172" bestFit="1" customWidth="1"/>
    <col min="5193" max="5195" width="16.6640625" style="172" customWidth="1"/>
    <col min="5196" max="5444" width="11.44140625" style="172"/>
    <col min="5445" max="5447" width="16.6640625" style="172" customWidth="1"/>
    <col min="5448" max="5448" width="17.44140625" style="172" bestFit="1" customWidth="1"/>
    <col min="5449" max="5451" width="16.6640625" style="172" customWidth="1"/>
    <col min="5452" max="5700" width="11.44140625" style="172"/>
    <col min="5701" max="5703" width="16.6640625" style="172" customWidth="1"/>
    <col min="5704" max="5704" width="17.44140625" style="172" bestFit="1" customWidth="1"/>
    <col min="5705" max="5707" width="16.6640625" style="172" customWidth="1"/>
    <col min="5708" max="5956" width="11.44140625" style="172"/>
    <col min="5957" max="5959" width="16.6640625" style="172" customWidth="1"/>
    <col min="5960" max="5960" width="17.44140625" style="172" bestFit="1" customWidth="1"/>
    <col min="5961" max="5963" width="16.6640625" style="172" customWidth="1"/>
    <col min="5964" max="6212" width="11.44140625" style="172"/>
    <col min="6213" max="6215" width="16.6640625" style="172" customWidth="1"/>
    <col min="6216" max="6216" width="17.44140625" style="172" bestFit="1" customWidth="1"/>
    <col min="6217" max="6219" width="16.6640625" style="172" customWidth="1"/>
    <col min="6220" max="6468" width="11.44140625" style="172"/>
    <col min="6469" max="6471" width="16.6640625" style="172" customWidth="1"/>
    <col min="6472" max="6472" width="17.44140625" style="172" bestFit="1" customWidth="1"/>
    <col min="6473" max="6475" width="16.6640625" style="172" customWidth="1"/>
    <col min="6476" max="6724" width="11.44140625" style="172"/>
    <col min="6725" max="6727" width="16.6640625" style="172" customWidth="1"/>
    <col min="6728" max="6728" width="17.44140625" style="172" bestFit="1" customWidth="1"/>
    <col min="6729" max="6731" width="16.6640625" style="172" customWidth="1"/>
    <col min="6732" max="6980" width="11.44140625" style="172"/>
    <col min="6981" max="6983" width="16.6640625" style="172" customWidth="1"/>
    <col min="6984" max="6984" width="17.44140625" style="172" bestFit="1" customWidth="1"/>
    <col min="6985" max="6987" width="16.6640625" style="172" customWidth="1"/>
    <col min="6988" max="7236" width="11.44140625" style="172"/>
    <col min="7237" max="7239" width="16.6640625" style="172" customWidth="1"/>
    <col min="7240" max="7240" width="17.44140625" style="172" bestFit="1" customWidth="1"/>
    <col min="7241" max="7243" width="16.6640625" style="172" customWidth="1"/>
    <col min="7244" max="7492" width="11.44140625" style="172"/>
    <col min="7493" max="7495" width="16.6640625" style="172" customWidth="1"/>
    <col min="7496" max="7496" width="17.44140625" style="172" bestFit="1" customWidth="1"/>
    <col min="7497" max="7499" width="16.6640625" style="172" customWidth="1"/>
    <col min="7500" max="7748" width="11.44140625" style="172"/>
    <col min="7749" max="7751" width="16.6640625" style="172" customWidth="1"/>
    <col min="7752" max="7752" width="17.44140625" style="172" bestFit="1" customWidth="1"/>
    <col min="7753" max="7755" width="16.6640625" style="172" customWidth="1"/>
    <col min="7756" max="8004" width="11.44140625" style="172"/>
    <col min="8005" max="8007" width="16.6640625" style="172" customWidth="1"/>
    <col min="8008" max="8008" width="17.44140625" style="172" bestFit="1" customWidth="1"/>
    <col min="8009" max="8011" width="16.6640625" style="172" customWidth="1"/>
    <col min="8012" max="8260" width="11.44140625" style="172"/>
    <col min="8261" max="8263" width="16.6640625" style="172" customWidth="1"/>
    <col min="8264" max="8264" width="17.44140625" style="172" bestFit="1" customWidth="1"/>
    <col min="8265" max="8267" width="16.6640625" style="172" customWidth="1"/>
    <col min="8268" max="8516" width="11.44140625" style="172"/>
    <col min="8517" max="8519" width="16.6640625" style="172" customWidth="1"/>
    <col min="8520" max="8520" width="17.44140625" style="172" bestFit="1" customWidth="1"/>
    <col min="8521" max="8523" width="16.6640625" style="172" customWidth="1"/>
    <col min="8524" max="8772" width="11.44140625" style="172"/>
    <col min="8773" max="8775" width="16.6640625" style="172" customWidth="1"/>
    <col min="8776" max="8776" width="17.44140625" style="172" bestFit="1" customWidth="1"/>
    <col min="8777" max="8779" width="16.6640625" style="172" customWidth="1"/>
    <col min="8780" max="9028" width="11.44140625" style="172"/>
    <col min="9029" max="9031" width="16.6640625" style="172" customWidth="1"/>
    <col min="9032" max="9032" width="17.44140625" style="172" bestFit="1" customWidth="1"/>
    <col min="9033" max="9035" width="16.6640625" style="172" customWidth="1"/>
    <col min="9036" max="9284" width="11.44140625" style="172"/>
    <col min="9285" max="9287" width="16.6640625" style="172" customWidth="1"/>
    <col min="9288" max="9288" width="17.44140625" style="172" bestFit="1" customWidth="1"/>
    <col min="9289" max="9291" width="16.6640625" style="172" customWidth="1"/>
    <col min="9292" max="9540" width="11.44140625" style="172"/>
    <col min="9541" max="9543" width="16.6640625" style="172" customWidth="1"/>
    <col min="9544" max="9544" width="17.44140625" style="172" bestFit="1" customWidth="1"/>
    <col min="9545" max="9547" width="16.6640625" style="172" customWidth="1"/>
    <col min="9548" max="9796" width="11.44140625" style="172"/>
    <col min="9797" max="9799" width="16.6640625" style="172" customWidth="1"/>
    <col min="9800" max="9800" width="17.44140625" style="172" bestFit="1" customWidth="1"/>
    <col min="9801" max="9803" width="16.6640625" style="172" customWidth="1"/>
    <col min="9804" max="10052" width="11.44140625" style="172"/>
    <col min="10053" max="10055" width="16.6640625" style="172" customWidth="1"/>
    <col min="10056" max="10056" width="17.44140625" style="172" bestFit="1" customWidth="1"/>
    <col min="10057" max="10059" width="16.6640625" style="172" customWidth="1"/>
    <col min="10060" max="10308" width="11.44140625" style="172"/>
    <col min="10309" max="10311" width="16.6640625" style="172" customWidth="1"/>
    <col min="10312" max="10312" width="17.44140625" style="172" bestFit="1" customWidth="1"/>
    <col min="10313" max="10315" width="16.6640625" style="172" customWidth="1"/>
    <col min="10316" max="10564" width="11.44140625" style="172"/>
    <col min="10565" max="10567" width="16.6640625" style="172" customWidth="1"/>
    <col min="10568" max="10568" width="17.44140625" style="172" bestFit="1" customWidth="1"/>
    <col min="10569" max="10571" width="16.6640625" style="172" customWidth="1"/>
    <col min="10572" max="10820" width="11.44140625" style="172"/>
    <col min="10821" max="10823" width="16.6640625" style="172" customWidth="1"/>
    <col min="10824" max="10824" width="17.44140625" style="172" bestFit="1" customWidth="1"/>
    <col min="10825" max="10827" width="16.6640625" style="172" customWidth="1"/>
    <col min="10828" max="11076" width="11.44140625" style="172"/>
    <col min="11077" max="11079" width="16.6640625" style="172" customWidth="1"/>
    <col min="11080" max="11080" width="17.44140625" style="172" bestFit="1" customWidth="1"/>
    <col min="11081" max="11083" width="16.6640625" style="172" customWidth="1"/>
    <col min="11084" max="11332" width="11.44140625" style="172"/>
    <col min="11333" max="11335" width="16.6640625" style="172" customWidth="1"/>
    <col min="11336" max="11336" width="17.44140625" style="172" bestFit="1" customWidth="1"/>
    <col min="11337" max="11339" width="16.6640625" style="172" customWidth="1"/>
    <col min="11340" max="11588" width="11.44140625" style="172"/>
    <col min="11589" max="11591" width="16.6640625" style="172" customWidth="1"/>
    <col min="11592" max="11592" width="17.44140625" style="172" bestFit="1" customWidth="1"/>
    <col min="11593" max="11595" width="16.6640625" style="172" customWidth="1"/>
    <col min="11596" max="11844" width="11.44140625" style="172"/>
    <col min="11845" max="11847" width="16.6640625" style="172" customWidth="1"/>
    <col min="11848" max="11848" width="17.44140625" style="172" bestFit="1" customWidth="1"/>
    <col min="11849" max="11851" width="16.6640625" style="172" customWidth="1"/>
    <col min="11852" max="12100" width="11.44140625" style="172"/>
    <col min="12101" max="12103" width="16.6640625" style="172" customWidth="1"/>
    <col min="12104" max="12104" width="17.44140625" style="172" bestFit="1" customWidth="1"/>
    <col min="12105" max="12107" width="16.6640625" style="172" customWidth="1"/>
    <col min="12108" max="12356" width="11.44140625" style="172"/>
    <col min="12357" max="12359" width="16.6640625" style="172" customWidth="1"/>
    <col min="12360" max="12360" width="17.44140625" style="172" bestFit="1" customWidth="1"/>
    <col min="12361" max="12363" width="16.6640625" style="172" customWidth="1"/>
    <col min="12364" max="12612" width="11.44140625" style="172"/>
    <col min="12613" max="12615" width="16.6640625" style="172" customWidth="1"/>
    <col min="12616" max="12616" width="17.44140625" style="172" bestFit="1" customWidth="1"/>
    <col min="12617" max="12619" width="16.6640625" style="172" customWidth="1"/>
    <col min="12620" max="12868" width="11.44140625" style="172"/>
    <col min="12869" max="12871" width="16.6640625" style="172" customWidth="1"/>
    <col min="12872" max="12872" width="17.44140625" style="172" bestFit="1" customWidth="1"/>
    <col min="12873" max="12875" width="16.6640625" style="172" customWidth="1"/>
    <col min="12876" max="13124" width="11.44140625" style="172"/>
    <col min="13125" max="13127" width="16.6640625" style="172" customWidth="1"/>
    <col min="13128" max="13128" width="17.44140625" style="172" bestFit="1" customWidth="1"/>
    <col min="13129" max="13131" width="16.6640625" style="172" customWidth="1"/>
    <col min="13132" max="13380" width="11.44140625" style="172"/>
    <col min="13381" max="13383" width="16.6640625" style="172" customWidth="1"/>
    <col min="13384" max="13384" width="17.44140625" style="172" bestFit="1" customWidth="1"/>
    <col min="13385" max="13387" width="16.6640625" style="172" customWidth="1"/>
    <col min="13388" max="13636" width="11.44140625" style="172"/>
    <col min="13637" max="13639" width="16.6640625" style="172" customWidth="1"/>
    <col min="13640" max="13640" width="17.44140625" style="172" bestFit="1" customWidth="1"/>
    <col min="13641" max="13643" width="16.6640625" style="172" customWidth="1"/>
    <col min="13644" max="13892" width="11.44140625" style="172"/>
    <col min="13893" max="13895" width="16.6640625" style="172" customWidth="1"/>
    <col min="13896" max="13896" width="17.44140625" style="172" bestFit="1" customWidth="1"/>
    <col min="13897" max="13899" width="16.6640625" style="172" customWidth="1"/>
    <col min="13900" max="14148" width="11.44140625" style="172"/>
    <col min="14149" max="14151" width="16.6640625" style="172" customWidth="1"/>
    <col min="14152" max="14152" width="17.44140625" style="172" bestFit="1" customWidth="1"/>
    <col min="14153" max="14155" width="16.6640625" style="172" customWidth="1"/>
    <col min="14156" max="14404" width="11.44140625" style="172"/>
    <col min="14405" max="14407" width="16.6640625" style="172" customWidth="1"/>
    <col min="14408" max="14408" width="17.44140625" style="172" bestFit="1" customWidth="1"/>
    <col min="14409" max="14411" width="16.6640625" style="172" customWidth="1"/>
    <col min="14412" max="14660" width="11.44140625" style="172"/>
    <col min="14661" max="14663" width="16.6640625" style="172" customWidth="1"/>
    <col min="14664" max="14664" width="17.44140625" style="172" bestFit="1" customWidth="1"/>
    <col min="14665" max="14667" width="16.6640625" style="172" customWidth="1"/>
    <col min="14668" max="14916" width="11.44140625" style="172"/>
    <col min="14917" max="14919" width="16.6640625" style="172" customWidth="1"/>
    <col min="14920" max="14920" width="17.44140625" style="172" bestFit="1" customWidth="1"/>
    <col min="14921" max="14923" width="16.6640625" style="172" customWidth="1"/>
    <col min="14924" max="15172" width="11.44140625" style="172"/>
    <col min="15173" max="15175" width="16.6640625" style="172" customWidth="1"/>
    <col min="15176" max="15176" width="17.44140625" style="172" bestFit="1" customWidth="1"/>
    <col min="15177" max="15179" width="16.6640625" style="172" customWidth="1"/>
    <col min="15180" max="15428" width="11.44140625" style="172"/>
    <col min="15429" max="15431" width="16.6640625" style="172" customWidth="1"/>
    <col min="15432" max="15432" width="17.44140625" style="172" bestFit="1" customWidth="1"/>
    <col min="15433" max="15435" width="16.6640625" style="172" customWidth="1"/>
    <col min="15436" max="15684" width="11.44140625" style="172"/>
    <col min="15685" max="15687" width="16.6640625" style="172" customWidth="1"/>
    <col min="15688" max="15688" width="17.44140625" style="172" bestFit="1" customWidth="1"/>
    <col min="15689" max="15691" width="16.6640625" style="172" customWidth="1"/>
    <col min="15692" max="15940" width="11.44140625" style="172"/>
    <col min="15941" max="15943" width="16.6640625" style="172" customWidth="1"/>
    <col min="15944" max="15944" width="17.44140625" style="172" bestFit="1" customWidth="1"/>
    <col min="15945" max="15947" width="16.6640625" style="172" customWidth="1"/>
    <col min="15948" max="16196" width="11.44140625" style="172"/>
    <col min="16197" max="16199" width="16.6640625" style="172" customWidth="1"/>
    <col min="16200" max="16200" width="17.44140625" style="172" bestFit="1" customWidth="1"/>
    <col min="16201" max="16203" width="16.6640625" style="172" customWidth="1"/>
    <col min="16204" max="16384" width="11.44140625" style="172"/>
  </cols>
  <sheetData>
    <row r="1" spans="1:93" ht="12.75" customHeight="1" x14ac:dyDescent="0.25">
      <c r="A1" s="413" t="s">
        <v>361</v>
      </c>
      <c r="B1" s="413"/>
      <c r="C1" s="414" t="s">
        <v>362</v>
      </c>
      <c r="D1" s="414"/>
      <c r="E1" s="414"/>
      <c r="F1" s="414"/>
      <c r="G1" s="414"/>
      <c r="H1" s="414"/>
      <c r="I1" s="414"/>
      <c r="J1" s="414"/>
      <c r="K1" s="414"/>
      <c r="L1" s="414"/>
      <c r="M1" s="414"/>
      <c r="N1" s="414"/>
      <c r="O1" s="414"/>
      <c r="P1" s="414"/>
      <c r="Q1" s="414"/>
      <c r="R1" s="414"/>
      <c r="S1" s="414"/>
      <c r="T1" s="414"/>
      <c r="U1" s="414"/>
      <c r="V1" s="414"/>
      <c r="W1" s="414"/>
      <c r="X1" s="414"/>
      <c r="Y1" s="414"/>
      <c r="Z1" s="414"/>
      <c r="AA1" s="414"/>
      <c r="AB1" s="414"/>
      <c r="AC1" s="414"/>
      <c r="AD1" s="414"/>
      <c r="AE1" s="414"/>
      <c r="AF1" s="414"/>
      <c r="AG1" s="414"/>
      <c r="AH1" s="414"/>
      <c r="AI1" s="414"/>
      <c r="AJ1" s="414"/>
      <c r="AK1" s="414"/>
      <c r="AL1" s="414"/>
      <c r="AM1" s="414"/>
      <c r="AN1" s="414"/>
      <c r="AO1" s="414"/>
      <c r="AP1" s="414"/>
      <c r="AQ1" s="414"/>
      <c r="AR1" s="414"/>
      <c r="AS1" s="414"/>
      <c r="AT1" s="414"/>
      <c r="AU1" s="414"/>
    </row>
    <row r="2" spans="1:93" ht="13.5" customHeight="1" x14ac:dyDescent="0.25">
      <c r="A2" s="413" t="s">
        <v>363</v>
      </c>
      <c r="B2" s="413"/>
      <c r="C2" s="414" t="s">
        <v>364</v>
      </c>
      <c r="D2" s="414"/>
      <c r="E2" s="414"/>
      <c r="F2" s="414"/>
      <c r="G2" s="414"/>
      <c r="H2" s="414"/>
      <c r="I2" s="414"/>
      <c r="J2" s="414"/>
      <c r="K2" s="414"/>
      <c r="L2" s="414"/>
      <c r="M2" s="414"/>
      <c r="N2" s="414"/>
      <c r="O2" s="414"/>
      <c r="P2" s="414"/>
      <c r="Q2" s="414"/>
      <c r="R2" s="414"/>
      <c r="S2" s="414"/>
      <c r="T2" s="414"/>
      <c r="U2" s="414"/>
      <c r="V2" s="414"/>
      <c r="W2" s="414"/>
      <c r="X2" s="414"/>
      <c r="Y2" s="414"/>
      <c r="Z2" s="414"/>
      <c r="AA2" s="414"/>
      <c r="AB2" s="414"/>
      <c r="AC2" s="414"/>
      <c r="AD2" s="414"/>
      <c r="AE2" s="414"/>
      <c r="AF2" s="414"/>
      <c r="AG2" s="414"/>
      <c r="AH2" s="414"/>
      <c r="AI2" s="414"/>
      <c r="AJ2" s="414"/>
      <c r="AK2" s="414"/>
      <c r="AL2" s="414"/>
      <c r="AM2" s="414"/>
      <c r="AN2" s="414"/>
      <c r="AO2" s="414"/>
      <c r="AP2" s="414"/>
      <c r="AQ2" s="414"/>
      <c r="AR2" s="414"/>
      <c r="AS2" s="414"/>
      <c r="AT2" s="414"/>
      <c r="AU2" s="414"/>
    </row>
    <row r="3" spans="1:93" x14ac:dyDescent="0.25">
      <c r="A3" s="413" t="s">
        <v>365</v>
      </c>
      <c r="B3" s="413"/>
      <c r="C3" s="414" t="s">
        <v>366</v>
      </c>
      <c r="D3" s="414"/>
      <c r="E3" s="414"/>
      <c r="F3" s="414"/>
      <c r="G3" s="414"/>
      <c r="H3" s="414"/>
      <c r="I3" s="414"/>
      <c r="J3" s="414"/>
      <c r="K3" s="414"/>
      <c r="L3" s="414"/>
      <c r="M3" s="414"/>
      <c r="N3" s="414"/>
      <c r="O3" s="414"/>
      <c r="P3" s="414"/>
      <c r="Q3" s="414"/>
      <c r="R3" s="414"/>
      <c r="S3" s="414"/>
      <c r="T3" s="414"/>
      <c r="U3" s="414"/>
      <c r="V3" s="414"/>
      <c r="W3" s="414"/>
      <c r="X3" s="414"/>
      <c r="Y3" s="414"/>
      <c r="Z3" s="414"/>
      <c r="AA3" s="414"/>
      <c r="AB3" s="414"/>
      <c r="AC3" s="414"/>
      <c r="AD3" s="414"/>
      <c r="AE3" s="414"/>
      <c r="AF3" s="414"/>
      <c r="AG3" s="414"/>
      <c r="AH3" s="414"/>
      <c r="AI3" s="414"/>
      <c r="AJ3" s="414"/>
      <c r="AK3" s="414"/>
      <c r="AL3" s="414"/>
      <c r="AM3" s="414"/>
      <c r="AN3" s="414"/>
      <c r="AO3" s="414"/>
      <c r="AP3" s="414"/>
      <c r="AQ3" s="414"/>
      <c r="AR3" s="414"/>
      <c r="AS3" s="414"/>
      <c r="AT3" s="414"/>
      <c r="AU3" s="414"/>
    </row>
    <row r="4" spans="1:93" x14ac:dyDescent="0.25">
      <c r="A4" s="413" t="s">
        <v>367</v>
      </c>
      <c r="B4" s="413"/>
      <c r="C4" s="414" t="s">
        <v>368</v>
      </c>
      <c r="D4" s="414"/>
      <c r="E4" s="414"/>
      <c r="F4" s="414"/>
      <c r="G4" s="414"/>
      <c r="H4" s="414"/>
      <c r="I4" s="414"/>
      <c r="J4" s="414"/>
      <c r="K4" s="414"/>
      <c r="L4" s="414"/>
      <c r="M4" s="414"/>
      <c r="N4" s="414"/>
      <c r="O4" s="414"/>
      <c r="P4" s="414"/>
      <c r="Q4" s="414"/>
      <c r="R4" s="414"/>
      <c r="S4" s="414"/>
      <c r="T4" s="414"/>
      <c r="U4" s="414"/>
      <c r="V4" s="414"/>
      <c r="W4" s="414"/>
      <c r="X4" s="414"/>
      <c r="Y4" s="414"/>
      <c r="Z4" s="414"/>
      <c r="AA4" s="414"/>
      <c r="AB4" s="414"/>
      <c r="AC4" s="414"/>
      <c r="AD4" s="414"/>
      <c r="AE4" s="414"/>
      <c r="AF4" s="414"/>
      <c r="AG4" s="414"/>
      <c r="AH4" s="414"/>
      <c r="AI4" s="414"/>
      <c r="AJ4" s="414"/>
      <c r="AK4" s="414"/>
      <c r="AL4" s="414"/>
      <c r="AM4" s="414"/>
      <c r="AN4" s="414"/>
      <c r="AO4" s="414"/>
      <c r="AP4" s="414"/>
      <c r="AQ4" s="414"/>
      <c r="AR4" s="414"/>
      <c r="AS4" s="414"/>
      <c r="AT4" s="414"/>
      <c r="AU4" s="414"/>
    </row>
    <row r="5" spans="1:93" x14ac:dyDescent="0.25">
      <c r="A5" s="415" t="s">
        <v>3</v>
      </c>
      <c r="B5" s="415"/>
      <c r="C5" s="419" t="s">
        <v>369</v>
      </c>
      <c r="D5" s="419"/>
      <c r="E5" s="419"/>
      <c r="F5" s="419"/>
      <c r="G5" s="419"/>
      <c r="H5" s="419"/>
      <c r="I5" s="419"/>
      <c r="J5" s="419"/>
      <c r="K5" s="419"/>
      <c r="L5" s="419"/>
      <c r="M5" s="419"/>
      <c r="N5" s="419"/>
      <c r="O5" s="419"/>
      <c r="P5" s="419"/>
      <c r="Q5" s="419"/>
      <c r="R5" s="419"/>
      <c r="S5" s="419"/>
      <c r="T5" s="419"/>
      <c r="U5" s="419"/>
      <c r="V5" s="419"/>
      <c r="W5" s="419"/>
      <c r="X5" s="419"/>
      <c r="Y5" s="419"/>
      <c r="Z5" s="419"/>
      <c r="AA5" s="419"/>
      <c r="AB5" s="419"/>
      <c r="AC5" s="419"/>
      <c r="AD5" s="419"/>
      <c r="AE5" s="419"/>
      <c r="AF5" s="419"/>
      <c r="AG5" s="419"/>
      <c r="AH5" s="419"/>
      <c r="AI5" s="419"/>
      <c r="AJ5" s="419"/>
      <c r="AK5" s="419"/>
      <c r="AL5" s="419"/>
      <c r="AM5" s="419"/>
      <c r="AN5" s="419"/>
      <c r="AO5" s="419"/>
      <c r="AP5" s="419"/>
      <c r="AQ5" s="419"/>
      <c r="AR5" s="419"/>
      <c r="AS5" s="419"/>
      <c r="AT5" s="419"/>
      <c r="AU5" s="419"/>
    </row>
    <row r="6" spans="1:93" ht="49.5" customHeight="1" x14ac:dyDescent="0.25">
      <c r="A6" s="416" t="s">
        <v>370</v>
      </c>
      <c r="B6" s="416"/>
      <c r="C6" s="417" t="s">
        <v>371</v>
      </c>
      <c r="D6" s="417"/>
      <c r="E6" s="417"/>
      <c r="F6" s="417"/>
      <c r="G6" s="417"/>
      <c r="H6" s="417"/>
      <c r="I6" s="417"/>
      <c r="J6" s="417"/>
      <c r="K6" s="417"/>
      <c r="L6" s="417"/>
      <c r="M6" s="417"/>
      <c r="N6" s="417"/>
      <c r="O6" s="417"/>
      <c r="P6" s="417"/>
      <c r="Q6" s="417"/>
      <c r="R6" s="417"/>
      <c r="S6" s="417"/>
      <c r="T6" s="417"/>
      <c r="U6" s="417"/>
      <c r="V6" s="417"/>
      <c r="W6" s="417"/>
      <c r="X6" s="417"/>
      <c r="Y6" s="417" t="s">
        <v>372</v>
      </c>
      <c r="Z6" s="417"/>
      <c r="AA6" s="417" t="s">
        <v>373</v>
      </c>
      <c r="AB6" s="417"/>
      <c r="AC6" s="417"/>
      <c r="AD6" s="417"/>
      <c r="AE6" s="417"/>
      <c r="AF6" s="417"/>
      <c r="AG6" s="417"/>
      <c r="AH6" s="417"/>
      <c r="AI6" s="417"/>
      <c r="AJ6" s="417"/>
      <c r="AK6" s="417"/>
      <c r="AL6" s="417"/>
      <c r="AM6" s="417"/>
      <c r="AN6" s="417"/>
      <c r="AO6" s="417"/>
      <c r="AP6" s="417"/>
      <c r="AQ6" s="417"/>
      <c r="AR6" s="417"/>
      <c r="AS6" s="417"/>
      <c r="AT6" s="417"/>
      <c r="AU6" s="417"/>
    </row>
    <row r="7" spans="1:93" ht="13.5" customHeight="1" x14ac:dyDescent="0.25">
      <c r="A7" s="416"/>
      <c r="B7" s="416"/>
      <c r="C7" s="416" t="s">
        <v>420</v>
      </c>
      <c r="D7" s="416"/>
      <c r="E7" s="416"/>
      <c r="F7" s="416"/>
      <c r="G7" s="416"/>
      <c r="H7" s="416"/>
      <c r="I7" s="416"/>
      <c r="J7" s="416"/>
      <c r="K7" s="416"/>
      <c r="L7" s="416"/>
      <c r="M7" s="416"/>
      <c r="N7" s="416"/>
      <c r="O7" s="416"/>
      <c r="P7" s="416"/>
      <c r="Q7" s="416"/>
      <c r="R7" s="416"/>
      <c r="S7" s="416"/>
      <c r="T7" s="416"/>
      <c r="U7" s="416"/>
      <c r="V7" s="416"/>
      <c r="W7" s="416"/>
      <c r="X7" s="416"/>
      <c r="Y7" s="416" t="s">
        <v>374</v>
      </c>
      <c r="Z7" s="418"/>
      <c r="AA7" s="420" t="s">
        <v>421</v>
      </c>
      <c r="AB7" s="420"/>
      <c r="AC7" s="420"/>
      <c r="AD7" s="420"/>
      <c r="AE7" s="420"/>
      <c r="AF7" s="420"/>
      <c r="AG7" s="420"/>
      <c r="AH7" s="420"/>
      <c r="AI7" s="420"/>
      <c r="AJ7" s="420"/>
      <c r="AK7" s="420"/>
      <c r="AL7" s="420"/>
      <c r="AM7" s="420"/>
      <c r="AN7" s="420"/>
      <c r="AO7" s="420"/>
      <c r="AP7" s="420"/>
      <c r="AQ7" s="420"/>
      <c r="AR7" s="420"/>
      <c r="AS7" s="420"/>
      <c r="AT7" s="420"/>
      <c r="AU7" s="420"/>
    </row>
    <row r="8" spans="1:93" ht="13.5" customHeight="1" x14ac:dyDescent="0.25">
      <c r="A8" s="416"/>
      <c r="B8" s="416"/>
      <c r="C8" s="416"/>
      <c r="D8" s="416"/>
      <c r="E8" s="416"/>
      <c r="F8" s="416"/>
      <c r="G8" s="416"/>
      <c r="H8" s="416"/>
      <c r="I8" s="416"/>
      <c r="J8" s="416"/>
      <c r="K8" s="416"/>
      <c r="L8" s="416"/>
      <c r="M8" s="416"/>
      <c r="N8" s="416"/>
      <c r="O8" s="416"/>
      <c r="P8" s="416"/>
      <c r="Q8" s="416"/>
      <c r="R8" s="416"/>
      <c r="S8" s="416"/>
      <c r="T8" s="416"/>
      <c r="U8" s="416"/>
      <c r="V8" s="416"/>
      <c r="W8" s="416"/>
      <c r="X8" s="416"/>
      <c r="Y8" s="418"/>
      <c r="Z8" s="418"/>
      <c r="AA8" s="420"/>
      <c r="AB8" s="420"/>
      <c r="AC8" s="420"/>
      <c r="AD8" s="420"/>
      <c r="AE8" s="420"/>
      <c r="AF8" s="420"/>
      <c r="AG8" s="420"/>
      <c r="AH8" s="420"/>
      <c r="AI8" s="420"/>
      <c r="AJ8" s="420"/>
      <c r="AK8" s="420"/>
      <c r="AL8" s="420"/>
      <c r="AM8" s="420"/>
      <c r="AN8" s="420"/>
      <c r="AO8" s="420"/>
      <c r="AP8" s="420"/>
      <c r="AQ8" s="420"/>
      <c r="AR8" s="420"/>
      <c r="AS8" s="420"/>
      <c r="AT8" s="420"/>
      <c r="AU8" s="420"/>
    </row>
    <row r="9" spans="1:93" ht="25.5" customHeight="1" thickBot="1" x14ac:dyDescent="0.3">
      <c r="A9" s="416"/>
      <c r="B9" s="416"/>
      <c r="C9" s="416"/>
      <c r="D9" s="416"/>
      <c r="E9" s="416"/>
      <c r="F9" s="416"/>
      <c r="G9" s="416"/>
      <c r="H9" s="416"/>
      <c r="I9" s="416"/>
      <c r="J9" s="416"/>
      <c r="K9" s="416"/>
      <c r="L9" s="416"/>
      <c r="M9" s="416"/>
      <c r="N9" s="416"/>
      <c r="O9" s="416"/>
      <c r="P9" s="416"/>
      <c r="Q9" s="416"/>
      <c r="R9" s="416"/>
      <c r="S9" s="416"/>
      <c r="T9" s="416"/>
      <c r="U9" s="416"/>
      <c r="V9" s="416"/>
      <c r="W9" s="416"/>
      <c r="X9" s="416"/>
      <c r="Y9" s="416" t="s">
        <v>375</v>
      </c>
      <c r="Z9" s="416"/>
      <c r="AA9" s="416" t="s">
        <v>376</v>
      </c>
      <c r="AB9" s="416"/>
      <c r="AC9" s="416"/>
      <c r="AD9" s="416"/>
      <c r="AE9" s="416"/>
      <c r="AF9" s="416"/>
      <c r="AG9" s="416"/>
      <c r="AH9" s="416"/>
      <c r="AI9" s="416"/>
      <c r="AJ9" s="416"/>
      <c r="AK9" s="416"/>
      <c r="AL9" s="416"/>
      <c r="AM9" s="416"/>
      <c r="AN9" s="416"/>
      <c r="AO9" s="416"/>
      <c r="AP9" s="416"/>
      <c r="AQ9" s="416"/>
      <c r="AR9" s="416"/>
      <c r="AS9" s="416"/>
      <c r="AT9" s="416"/>
      <c r="AU9" s="416"/>
    </row>
    <row r="10" spans="1:93" ht="13.8" x14ac:dyDescent="0.3">
      <c r="A10" s="416"/>
      <c r="B10" s="416"/>
      <c r="C10" s="423" t="s">
        <v>377</v>
      </c>
      <c r="D10" s="423"/>
      <c r="E10" s="423"/>
      <c r="F10" s="423"/>
      <c r="G10" s="423"/>
      <c r="H10" s="423"/>
      <c r="I10" s="423"/>
      <c r="J10" s="423"/>
      <c r="K10" s="423"/>
      <c r="L10" s="423"/>
      <c r="M10" s="423"/>
      <c r="N10" s="423"/>
      <c r="O10" s="423"/>
      <c r="P10" s="423"/>
      <c r="Q10" s="423"/>
      <c r="R10" s="423"/>
      <c r="S10" s="423"/>
      <c r="T10" s="423"/>
      <c r="U10" s="423"/>
      <c r="V10" s="423"/>
      <c r="W10" s="423"/>
      <c r="X10" s="423"/>
      <c r="Y10" s="423" t="s">
        <v>53</v>
      </c>
      <c r="Z10" s="423"/>
      <c r="AA10" s="421" t="s">
        <v>378</v>
      </c>
      <c r="AB10" s="421"/>
      <c r="AC10" s="421"/>
      <c r="AD10" s="421"/>
      <c r="AE10" s="421"/>
      <c r="AF10" s="421"/>
      <c r="AG10" s="421"/>
      <c r="AH10" s="421"/>
      <c r="AI10" s="421"/>
      <c r="AJ10" s="421"/>
      <c r="AK10" s="421"/>
      <c r="AL10" s="421"/>
      <c r="AM10" s="421"/>
      <c r="AN10" s="421"/>
      <c r="AO10" s="421"/>
      <c r="AP10" s="421"/>
      <c r="AQ10" s="421"/>
      <c r="AR10" s="421"/>
      <c r="AS10" s="421"/>
      <c r="AT10" s="421"/>
      <c r="AU10" s="421"/>
      <c r="AX10" s="432" t="s">
        <v>447</v>
      </c>
      <c r="AY10" s="428" t="s">
        <v>444</v>
      </c>
      <c r="AZ10" s="428"/>
      <c r="BA10" s="428"/>
      <c r="BB10" s="428"/>
      <c r="BC10" s="428"/>
      <c r="BD10" s="282"/>
      <c r="BE10" s="282"/>
      <c r="BF10" s="282"/>
      <c r="BG10" s="282"/>
      <c r="BH10" s="282"/>
      <c r="BI10" s="282"/>
      <c r="BJ10" s="282"/>
      <c r="BK10" s="282"/>
      <c r="BL10" s="282"/>
      <c r="BM10" s="282"/>
      <c r="BN10" s="282"/>
      <c r="BO10" s="282"/>
      <c r="BP10" s="282"/>
      <c r="BQ10" s="282"/>
      <c r="BR10" s="282"/>
      <c r="BS10" s="282"/>
      <c r="BT10" s="429" t="s">
        <v>443</v>
      </c>
      <c r="BU10" s="428" t="s">
        <v>445</v>
      </c>
      <c r="BV10" s="428"/>
      <c r="BW10" s="428"/>
      <c r="BX10" s="428"/>
      <c r="BY10" s="428"/>
      <c r="BZ10" s="428"/>
      <c r="CA10" s="428"/>
      <c r="CB10" s="428"/>
      <c r="CC10" s="428"/>
      <c r="CD10" s="428"/>
      <c r="CE10" s="428"/>
      <c r="CF10" s="428"/>
      <c r="CG10" s="428"/>
      <c r="CH10" s="428"/>
      <c r="CI10" s="428"/>
      <c r="CJ10" s="428"/>
      <c r="CK10" s="428"/>
      <c r="CL10" s="428"/>
      <c r="CM10" s="428"/>
      <c r="CN10" s="428"/>
      <c r="CO10" s="431"/>
    </row>
    <row r="11" spans="1:93" x14ac:dyDescent="0.25">
      <c r="A11" s="194"/>
      <c r="B11" s="194"/>
      <c r="C11" s="195"/>
      <c r="D11" s="195">
        <v>2010</v>
      </c>
      <c r="E11" s="195">
        <f>D11+1</f>
        <v>2011</v>
      </c>
      <c r="F11" s="195">
        <f t="shared" ref="F11" si="0">E11+1</f>
        <v>2012</v>
      </c>
      <c r="G11" s="195">
        <f>F11+1</f>
        <v>2013</v>
      </c>
      <c r="H11" s="195">
        <f t="shared" ref="H11:X11" si="1">G11+1</f>
        <v>2014</v>
      </c>
      <c r="I11" s="195">
        <f t="shared" si="1"/>
        <v>2015</v>
      </c>
      <c r="J11" s="195">
        <f t="shared" si="1"/>
        <v>2016</v>
      </c>
      <c r="K11" s="195">
        <f t="shared" si="1"/>
        <v>2017</v>
      </c>
      <c r="L11" s="195">
        <f t="shared" si="1"/>
        <v>2018</v>
      </c>
      <c r="M11" s="195">
        <f t="shared" si="1"/>
        <v>2019</v>
      </c>
      <c r="N11" s="195">
        <f t="shared" si="1"/>
        <v>2020</v>
      </c>
      <c r="O11" s="195">
        <f t="shared" si="1"/>
        <v>2021</v>
      </c>
      <c r="P11" s="195">
        <f t="shared" si="1"/>
        <v>2022</v>
      </c>
      <c r="Q11" s="195">
        <f t="shared" si="1"/>
        <v>2023</v>
      </c>
      <c r="R11" s="195">
        <f t="shared" si="1"/>
        <v>2024</v>
      </c>
      <c r="S11" s="195">
        <f t="shared" si="1"/>
        <v>2025</v>
      </c>
      <c r="T11" s="195">
        <f t="shared" si="1"/>
        <v>2026</v>
      </c>
      <c r="U11" s="195">
        <f t="shared" si="1"/>
        <v>2027</v>
      </c>
      <c r="V11" s="195">
        <f t="shared" si="1"/>
        <v>2028</v>
      </c>
      <c r="W11" s="195">
        <f t="shared" si="1"/>
        <v>2029</v>
      </c>
      <c r="X11" s="195">
        <f t="shared" si="1"/>
        <v>2030</v>
      </c>
      <c r="Y11" s="195"/>
      <c r="Z11" s="195"/>
      <c r="AA11" s="173">
        <v>2010</v>
      </c>
      <c r="AB11" s="229">
        <f>AA11+1</f>
        <v>2011</v>
      </c>
      <c r="AC11" s="229">
        <f t="shared" ref="AC11:AD11" si="2">AB11+1</f>
        <v>2012</v>
      </c>
      <c r="AD11" s="229">
        <f t="shared" si="2"/>
        <v>2013</v>
      </c>
      <c r="AE11" s="229">
        <f>AD11+1</f>
        <v>2014</v>
      </c>
      <c r="AF11" s="229">
        <f t="shared" ref="AF11:AU11" si="3">AE11+1</f>
        <v>2015</v>
      </c>
      <c r="AG11" s="229">
        <f t="shared" si="3"/>
        <v>2016</v>
      </c>
      <c r="AH11" s="229">
        <f t="shared" si="3"/>
        <v>2017</v>
      </c>
      <c r="AI11" s="229">
        <f t="shared" si="3"/>
        <v>2018</v>
      </c>
      <c r="AJ11" s="229">
        <f t="shared" si="3"/>
        <v>2019</v>
      </c>
      <c r="AK11" s="229">
        <f t="shared" si="3"/>
        <v>2020</v>
      </c>
      <c r="AL11" s="229">
        <f t="shared" si="3"/>
        <v>2021</v>
      </c>
      <c r="AM11" s="229">
        <f t="shared" si="3"/>
        <v>2022</v>
      </c>
      <c r="AN11" s="229">
        <f t="shared" si="3"/>
        <v>2023</v>
      </c>
      <c r="AO11" s="229">
        <f t="shared" si="3"/>
        <v>2024</v>
      </c>
      <c r="AP11" s="229">
        <f t="shared" si="3"/>
        <v>2025</v>
      </c>
      <c r="AQ11" s="229">
        <f t="shared" si="3"/>
        <v>2026</v>
      </c>
      <c r="AR11" s="229">
        <f t="shared" si="3"/>
        <v>2027</v>
      </c>
      <c r="AS11" s="229">
        <f t="shared" si="3"/>
        <v>2028</v>
      </c>
      <c r="AT11" s="229">
        <f t="shared" si="3"/>
        <v>2029</v>
      </c>
      <c r="AU11" s="229">
        <f t="shared" si="3"/>
        <v>2030</v>
      </c>
      <c r="AX11" s="433"/>
      <c r="AY11" s="229">
        <f>AA11</f>
        <v>2010</v>
      </c>
      <c r="AZ11" s="229">
        <f>AB11</f>
        <v>2011</v>
      </c>
      <c r="BA11" s="229">
        <f>AC11</f>
        <v>2012</v>
      </c>
      <c r="BB11" s="229">
        <f>AD11</f>
        <v>2013</v>
      </c>
      <c r="BC11" s="229">
        <f t="shared" ref="BC11:BS11" si="4">AE11</f>
        <v>2014</v>
      </c>
      <c r="BD11" s="229">
        <f t="shared" si="4"/>
        <v>2015</v>
      </c>
      <c r="BE11" s="229">
        <f t="shared" si="4"/>
        <v>2016</v>
      </c>
      <c r="BF11" s="229">
        <f t="shared" si="4"/>
        <v>2017</v>
      </c>
      <c r="BG11" s="229">
        <f t="shared" si="4"/>
        <v>2018</v>
      </c>
      <c r="BH11" s="229">
        <f t="shared" si="4"/>
        <v>2019</v>
      </c>
      <c r="BI11" s="229">
        <f t="shared" si="4"/>
        <v>2020</v>
      </c>
      <c r="BJ11" s="229">
        <f t="shared" si="4"/>
        <v>2021</v>
      </c>
      <c r="BK11" s="229">
        <f t="shared" si="4"/>
        <v>2022</v>
      </c>
      <c r="BL11" s="229">
        <f t="shared" si="4"/>
        <v>2023</v>
      </c>
      <c r="BM11" s="229">
        <f t="shared" si="4"/>
        <v>2024</v>
      </c>
      <c r="BN11" s="229">
        <f t="shared" si="4"/>
        <v>2025</v>
      </c>
      <c r="BO11" s="229">
        <f t="shared" si="4"/>
        <v>2026</v>
      </c>
      <c r="BP11" s="229">
        <f t="shared" si="4"/>
        <v>2027</v>
      </c>
      <c r="BQ11" s="229">
        <f t="shared" si="4"/>
        <v>2028</v>
      </c>
      <c r="BR11" s="229">
        <f t="shared" si="4"/>
        <v>2029</v>
      </c>
      <c r="BS11" s="229">
        <f t="shared" si="4"/>
        <v>2030</v>
      </c>
      <c r="BT11" s="430"/>
      <c r="BU11" s="229">
        <f>AY11</f>
        <v>2010</v>
      </c>
      <c r="BV11" s="229">
        <f>AZ11</f>
        <v>2011</v>
      </c>
      <c r="BW11" s="229">
        <f>BA11</f>
        <v>2012</v>
      </c>
      <c r="BX11" s="229">
        <f>BW11+1</f>
        <v>2013</v>
      </c>
      <c r="BY11" s="229">
        <f t="shared" ref="BY11:CO11" si="5">BX11+1</f>
        <v>2014</v>
      </c>
      <c r="BZ11" s="229">
        <f t="shared" si="5"/>
        <v>2015</v>
      </c>
      <c r="CA11" s="229">
        <f t="shared" si="5"/>
        <v>2016</v>
      </c>
      <c r="CB11" s="229">
        <f t="shared" si="5"/>
        <v>2017</v>
      </c>
      <c r="CC11" s="229">
        <f t="shared" si="5"/>
        <v>2018</v>
      </c>
      <c r="CD11" s="229">
        <f t="shared" si="5"/>
        <v>2019</v>
      </c>
      <c r="CE11" s="229">
        <f t="shared" si="5"/>
        <v>2020</v>
      </c>
      <c r="CF11" s="229">
        <f t="shared" si="5"/>
        <v>2021</v>
      </c>
      <c r="CG11" s="229">
        <f t="shared" si="5"/>
        <v>2022</v>
      </c>
      <c r="CH11" s="229">
        <f t="shared" si="5"/>
        <v>2023</v>
      </c>
      <c r="CI11" s="229">
        <f t="shared" si="5"/>
        <v>2024</v>
      </c>
      <c r="CJ11" s="229">
        <f t="shared" si="5"/>
        <v>2025</v>
      </c>
      <c r="CK11" s="229">
        <f t="shared" si="5"/>
        <v>2026</v>
      </c>
      <c r="CL11" s="229">
        <f t="shared" si="5"/>
        <v>2027</v>
      </c>
      <c r="CM11" s="229">
        <f t="shared" si="5"/>
        <v>2028</v>
      </c>
      <c r="CN11" s="229">
        <f t="shared" si="5"/>
        <v>2029</v>
      </c>
      <c r="CO11" s="229">
        <f t="shared" si="5"/>
        <v>2030</v>
      </c>
    </row>
    <row r="12" spans="1:93" ht="52.5" customHeight="1" x14ac:dyDescent="0.25">
      <c r="A12" s="424" t="s">
        <v>379</v>
      </c>
      <c r="B12" s="174" t="s">
        <v>380</v>
      </c>
      <c r="C12" s="184" t="s">
        <v>381</v>
      </c>
      <c r="D12" s="269">
        <f>SUM(BU12:BU14)</f>
        <v>9990.5340000000015</v>
      </c>
      <c r="E12" s="269">
        <f>SUM(BV12:BV14)</f>
        <v>9990.5340000000015</v>
      </c>
      <c r="F12" s="269">
        <f>SUM(BW12:BW14)</f>
        <v>9990.5340000000015</v>
      </c>
      <c r="G12" s="269">
        <f>SUM(BX12:BX14)</f>
        <v>9990.5340000000015</v>
      </c>
      <c r="H12" s="269">
        <f t="shared" ref="H12:X12" si="6">SUM(BY12:BY14)</f>
        <v>13241.171000000002</v>
      </c>
      <c r="I12" s="269">
        <f t="shared" si="6"/>
        <v>10103.040999999999</v>
      </c>
      <c r="J12" s="269">
        <f t="shared" si="6"/>
        <v>9883.8070282499993</v>
      </c>
      <c r="K12" s="269">
        <f t="shared" si="6"/>
        <v>10076.883328815</v>
      </c>
      <c r="L12" s="269">
        <f t="shared" si="6"/>
        <v>10273.821155391301</v>
      </c>
      <c r="M12" s="269">
        <f t="shared" si="6"/>
        <v>10474.69773849913</v>
      </c>
      <c r="N12" s="269">
        <f t="shared" si="6"/>
        <v>10679.59185326911</v>
      </c>
      <c r="O12" s="269">
        <f t="shared" si="6"/>
        <v>10888.583850334491</v>
      </c>
      <c r="P12" s="269">
        <f t="shared" si="6"/>
        <v>11101.755687341181</v>
      </c>
      <c r="Q12" s="269">
        <f t="shared" si="6"/>
        <v>11319.190961088007</v>
      </c>
      <c r="R12" s="269">
        <f t="shared" si="6"/>
        <v>11319.190961088007</v>
      </c>
      <c r="S12" s="269">
        <f t="shared" si="6"/>
        <v>11319.190961088007</v>
      </c>
      <c r="T12" s="269">
        <f t="shared" si="6"/>
        <v>11319.190961088007</v>
      </c>
      <c r="U12" s="269">
        <f t="shared" si="6"/>
        <v>11319.190961088007</v>
      </c>
      <c r="V12" s="269">
        <f t="shared" si="6"/>
        <v>11319.190961088007</v>
      </c>
      <c r="W12" s="269">
        <f t="shared" si="6"/>
        <v>11319.190961088007</v>
      </c>
      <c r="X12" s="269">
        <f t="shared" si="6"/>
        <v>11319.190961088007</v>
      </c>
      <c r="Y12" s="426" t="s">
        <v>382</v>
      </c>
      <c r="Z12" s="228">
        <v>0.01</v>
      </c>
      <c r="AA12" s="260">
        <f>D12*$Z12*10^-3*44/28</f>
        <v>0.15699410571428576</v>
      </c>
      <c r="AB12" s="260">
        <f t="shared" ref="AB12:AU15" si="7">E12*$Z12*10^-3*44/28</f>
        <v>0.15699410571428576</v>
      </c>
      <c r="AC12" s="260">
        <f t="shared" si="7"/>
        <v>0.15699410571428576</v>
      </c>
      <c r="AD12" s="260">
        <f t="shared" si="7"/>
        <v>0.15699410571428576</v>
      </c>
      <c r="AE12" s="260">
        <f t="shared" si="7"/>
        <v>0.20807554428571434</v>
      </c>
      <c r="AF12" s="260">
        <f t="shared" si="7"/>
        <v>0.15876207285714283</v>
      </c>
      <c r="AG12" s="260">
        <f t="shared" si="7"/>
        <v>0.15531696758678573</v>
      </c>
      <c r="AH12" s="260">
        <f t="shared" si="7"/>
        <v>0.15835102373852145</v>
      </c>
      <c r="AI12" s="260">
        <f t="shared" si="7"/>
        <v>0.16144576101329186</v>
      </c>
      <c r="AJ12" s="260">
        <f t="shared" si="7"/>
        <v>0.16460239303355775</v>
      </c>
      <c r="AK12" s="260">
        <f t="shared" si="7"/>
        <v>0.16782215769422887</v>
      </c>
      <c r="AL12" s="260">
        <f t="shared" si="7"/>
        <v>0.17110631764811343</v>
      </c>
      <c r="AM12" s="260">
        <f t="shared" si="7"/>
        <v>0.1744561608010757</v>
      </c>
      <c r="AN12" s="260">
        <f t="shared" si="7"/>
        <v>0.17787300081709725</v>
      </c>
      <c r="AO12" s="260">
        <f t="shared" si="7"/>
        <v>0.17787300081709725</v>
      </c>
      <c r="AP12" s="260">
        <f t="shared" si="7"/>
        <v>0.17787300081709725</v>
      </c>
      <c r="AQ12" s="260">
        <f t="shared" si="7"/>
        <v>0.17787300081709725</v>
      </c>
      <c r="AR12" s="260">
        <f t="shared" si="7"/>
        <v>0.17787300081709725</v>
      </c>
      <c r="AS12" s="260">
        <f t="shared" si="7"/>
        <v>0.17787300081709725</v>
      </c>
      <c r="AT12" s="260">
        <f t="shared" si="7"/>
        <v>0.17787300081709725</v>
      </c>
      <c r="AU12" s="260">
        <f t="shared" si="7"/>
        <v>0.17787300081709725</v>
      </c>
      <c r="AX12" s="263" t="s">
        <v>324</v>
      </c>
      <c r="AY12" s="304">
        <f>'Data Sawah'!B28</f>
        <v>19640.7</v>
      </c>
      <c r="AZ12" s="304">
        <f>'Data Sawah'!C28</f>
        <v>19640.7</v>
      </c>
      <c r="BA12" s="304">
        <f>'Data Sawah'!D28</f>
        <v>19640.7</v>
      </c>
      <c r="BB12" s="304">
        <f>'Data Sawah'!E28</f>
        <v>19640.7</v>
      </c>
      <c r="BC12" s="304">
        <f>'Data Sawah'!F28</f>
        <v>25108.400000000001</v>
      </c>
      <c r="BD12" s="304">
        <f>'Data Sawah'!G28</f>
        <v>19849.900000000001</v>
      </c>
      <c r="BE12" s="304">
        <f>'Data Sawah'!H28</f>
        <v>13596.922575000001</v>
      </c>
      <c r="BF12" s="304">
        <f>'Data Sawah'!I28</f>
        <v>13868.861026499999</v>
      </c>
      <c r="BG12" s="304">
        <f>'Data Sawah'!J28</f>
        <v>14146.23824703</v>
      </c>
      <c r="BH12" s="304">
        <f>'Data Sawah'!K28</f>
        <v>14429.163011970602</v>
      </c>
      <c r="BI12" s="304">
        <f>'Data Sawah'!L28</f>
        <v>14717.746272210014</v>
      </c>
      <c r="BJ12" s="304">
        <f>'Data Sawah'!M28</f>
        <v>15012.101197654214</v>
      </c>
      <c r="BK12" s="304">
        <f>'Data Sawah'!N28</f>
        <v>15312.343221607298</v>
      </c>
      <c r="BL12" s="304">
        <f>'Data Sawah'!O28</f>
        <v>15618.590086039445</v>
      </c>
      <c r="BM12" s="304">
        <f>'Data Sawah'!P28</f>
        <v>15618.590086039445</v>
      </c>
      <c r="BN12" s="304">
        <f>'Data Sawah'!Q28</f>
        <v>15618.590086039445</v>
      </c>
      <c r="BO12" s="304">
        <f>'Data Sawah'!R28</f>
        <v>15618.590086039445</v>
      </c>
      <c r="BP12" s="304">
        <f>'Data Sawah'!S28</f>
        <v>15618.590086039445</v>
      </c>
      <c r="BQ12" s="304">
        <f>'Data Sawah'!T28</f>
        <v>15618.590086039445</v>
      </c>
      <c r="BR12" s="304">
        <f>'Data Sawah'!U28</f>
        <v>15618.590086039445</v>
      </c>
      <c r="BS12" s="304">
        <f>'Data Sawah'!V28</f>
        <v>15618.590086039445</v>
      </c>
      <c r="BT12" s="264">
        <v>46</v>
      </c>
      <c r="BU12" s="285">
        <f t="shared" ref="BU12:BX15" si="8">AY12*$BT12/100</f>
        <v>9034.7220000000016</v>
      </c>
      <c r="BV12" s="285">
        <f t="shared" si="8"/>
        <v>9034.7220000000016</v>
      </c>
      <c r="BW12" s="285">
        <f t="shared" si="8"/>
        <v>9034.7220000000016</v>
      </c>
      <c r="BX12" s="285">
        <f t="shared" ref="BX12:CO12" si="9">BB12*$BT12/100</f>
        <v>9034.7220000000016</v>
      </c>
      <c r="BY12" s="285">
        <f t="shared" si="9"/>
        <v>11549.864000000001</v>
      </c>
      <c r="BZ12" s="285">
        <f t="shared" si="9"/>
        <v>9130.9539999999997</v>
      </c>
      <c r="CA12" s="285">
        <f t="shared" si="9"/>
        <v>6254.5843844999999</v>
      </c>
      <c r="CB12" s="285">
        <f t="shared" si="9"/>
        <v>6379.67607219</v>
      </c>
      <c r="CC12" s="285">
        <f t="shared" si="9"/>
        <v>6507.2695936337996</v>
      </c>
      <c r="CD12" s="285">
        <f t="shared" si="9"/>
        <v>6637.4149855064779</v>
      </c>
      <c r="CE12" s="285">
        <f t="shared" si="9"/>
        <v>6770.1632852166067</v>
      </c>
      <c r="CF12" s="285">
        <f t="shared" si="9"/>
        <v>6905.5665509209384</v>
      </c>
      <c r="CG12" s="285">
        <f t="shared" si="9"/>
        <v>7043.6778819393576</v>
      </c>
      <c r="CH12" s="285">
        <f t="shared" si="9"/>
        <v>7184.5514395781447</v>
      </c>
      <c r="CI12" s="285">
        <f t="shared" si="9"/>
        <v>7184.5514395781447</v>
      </c>
      <c r="CJ12" s="285">
        <f t="shared" si="9"/>
        <v>7184.5514395781447</v>
      </c>
      <c r="CK12" s="285">
        <f t="shared" si="9"/>
        <v>7184.5514395781447</v>
      </c>
      <c r="CL12" s="285">
        <f t="shared" si="9"/>
        <v>7184.5514395781447</v>
      </c>
      <c r="CM12" s="285">
        <f t="shared" si="9"/>
        <v>7184.5514395781447</v>
      </c>
      <c r="CN12" s="285">
        <f t="shared" si="9"/>
        <v>7184.5514395781447</v>
      </c>
      <c r="CO12" s="285">
        <f t="shared" si="9"/>
        <v>7184.5514395781447</v>
      </c>
    </row>
    <row r="13" spans="1:93" ht="38.4" thickBot="1" x14ac:dyDescent="0.3">
      <c r="A13" s="425"/>
      <c r="B13" s="185" t="s">
        <v>383</v>
      </c>
      <c r="C13" s="186" t="s">
        <v>384</v>
      </c>
      <c r="D13" s="270">
        <f>SUM(BU15:BU17)</f>
        <v>6.6404999999999994</v>
      </c>
      <c r="E13" s="270">
        <f t="shared" ref="E13:F13" si="10">SUM(BV15:BV17)</f>
        <v>6.6404999999999994</v>
      </c>
      <c r="F13" s="270">
        <f t="shared" si="10"/>
        <v>6.6404999999999994</v>
      </c>
      <c r="G13" s="270">
        <f t="shared" ref="G13" si="11">SUM(BX15:BX17)</f>
        <v>6.6404999999999994</v>
      </c>
      <c r="H13" s="270">
        <f t="shared" ref="H13" si="12">SUM(BY15:BY17)</f>
        <v>6.6404999999999994</v>
      </c>
      <c r="I13" s="270">
        <f t="shared" ref="I13" si="13">SUM(BZ15:BZ17)</f>
        <v>6.6404999999999994</v>
      </c>
      <c r="J13" s="270">
        <f t="shared" ref="J13" si="14">SUM(CA15:CA17)</f>
        <v>6.6404999999999994</v>
      </c>
      <c r="K13" s="270">
        <f t="shared" ref="K13" si="15">SUM(CB15:CB17)</f>
        <v>6.6404999999999994</v>
      </c>
      <c r="L13" s="270">
        <f t="shared" ref="L13" si="16">SUM(CC15:CC17)</f>
        <v>6.6404999999999994</v>
      </c>
      <c r="M13" s="270">
        <f t="shared" ref="M13" si="17">SUM(CD15:CD17)</f>
        <v>6.6404999999999994</v>
      </c>
      <c r="N13" s="270">
        <f t="shared" ref="N13" si="18">SUM(CE15:CE17)</f>
        <v>6.6404999999999994</v>
      </c>
      <c r="O13" s="270">
        <f t="shared" ref="O13" si="19">SUM(CF15:CF17)</f>
        <v>6.6404999999999994</v>
      </c>
      <c r="P13" s="270">
        <f t="shared" ref="P13" si="20">SUM(CG15:CG17)</f>
        <v>6.6404999999999994</v>
      </c>
      <c r="Q13" s="270">
        <f t="shared" ref="Q13" si="21">SUM(CH15:CH17)</f>
        <v>6.6404999999999994</v>
      </c>
      <c r="R13" s="270">
        <f t="shared" ref="R13" si="22">SUM(CI15:CI17)</f>
        <v>6.6404999999999994</v>
      </c>
      <c r="S13" s="270">
        <f t="shared" ref="S13" si="23">SUM(CJ15:CJ17)</f>
        <v>6.6404999999999994</v>
      </c>
      <c r="T13" s="270">
        <f t="shared" ref="T13" si="24">SUM(CK15:CK17)</f>
        <v>6.6404999999999994</v>
      </c>
      <c r="U13" s="270">
        <f t="shared" ref="U13" si="25">SUM(CL15:CL17)</f>
        <v>6.6404999999999994</v>
      </c>
      <c r="V13" s="270">
        <f t="shared" ref="V13" si="26">SUM(CM15:CM17)</f>
        <v>6.6404999999999994</v>
      </c>
      <c r="W13" s="270">
        <f t="shared" ref="W13" si="27">SUM(CN15:CN17)</f>
        <v>6.6404999999999994</v>
      </c>
      <c r="X13" s="270">
        <f t="shared" ref="X13" si="28">SUM(CO15:CO17)</f>
        <v>6.6404999999999994</v>
      </c>
      <c r="Y13" s="427"/>
      <c r="Z13" s="227">
        <v>0.01</v>
      </c>
      <c r="AA13" s="260">
        <f>D13*$Z13*10^-3*44/28</f>
        <v>1.0435071428571428E-4</v>
      </c>
      <c r="AB13" s="260">
        <f t="shared" si="7"/>
        <v>1.0435071428571428E-4</v>
      </c>
      <c r="AC13" s="260">
        <f t="shared" si="7"/>
        <v>1.0435071428571428E-4</v>
      </c>
      <c r="AD13" s="260">
        <f t="shared" si="7"/>
        <v>1.0435071428571428E-4</v>
      </c>
      <c r="AE13" s="260">
        <f t="shared" si="7"/>
        <v>1.0435071428571428E-4</v>
      </c>
      <c r="AF13" s="260">
        <f t="shared" si="7"/>
        <v>1.0435071428571428E-4</v>
      </c>
      <c r="AG13" s="260">
        <f t="shared" si="7"/>
        <v>1.0435071428571428E-4</v>
      </c>
      <c r="AH13" s="260">
        <f t="shared" si="7"/>
        <v>1.0435071428571428E-4</v>
      </c>
      <c r="AI13" s="260">
        <f t="shared" si="7"/>
        <v>1.0435071428571428E-4</v>
      </c>
      <c r="AJ13" s="260">
        <f t="shared" si="7"/>
        <v>1.0435071428571428E-4</v>
      </c>
      <c r="AK13" s="260">
        <f t="shared" si="7"/>
        <v>1.0435071428571428E-4</v>
      </c>
      <c r="AL13" s="260">
        <f t="shared" si="7"/>
        <v>1.0435071428571428E-4</v>
      </c>
      <c r="AM13" s="260">
        <f t="shared" si="7"/>
        <v>1.0435071428571428E-4</v>
      </c>
      <c r="AN13" s="260">
        <f t="shared" si="7"/>
        <v>1.0435071428571428E-4</v>
      </c>
      <c r="AO13" s="260">
        <f t="shared" si="7"/>
        <v>1.0435071428571428E-4</v>
      </c>
      <c r="AP13" s="260">
        <f t="shared" si="7"/>
        <v>1.0435071428571428E-4</v>
      </c>
      <c r="AQ13" s="260">
        <f t="shared" si="7"/>
        <v>1.0435071428571428E-4</v>
      </c>
      <c r="AR13" s="260">
        <f t="shared" si="7"/>
        <v>1.0435071428571428E-4</v>
      </c>
      <c r="AS13" s="260">
        <f t="shared" si="7"/>
        <v>1.0435071428571428E-4</v>
      </c>
      <c r="AT13" s="260">
        <f t="shared" si="7"/>
        <v>1.0435071428571428E-4</v>
      </c>
      <c r="AU13" s="260">
        <f t="shared" si="7"/>
        <v>1.0435071428571428E-4</v>
      </c>
      <c r="AX13" s="263" t="s">
        <v>326</v>
      </c>
      <c r="AY13" s="304">
        <f>'Data Sawah'!B29</f>
        <v>4838.8</v>
      </c>
      <c r="AZ13" s="304">
        <f>'Data Sawah'!C29</f>
        <v>4838.8</v>
      </c>
      <c r="BA13" s="304">
        <f>'Data Sawah'!D29</f>
        <v>4838.8</v>
      </c>
      <c r="BB13" s="304">
        <f>'Data Sawah'!E29</f>
        <v>4838.8</v>
      </c>
      <c r="BC13" s="304">
        <f>'Data Sawah'!F29</f>
        <v>9742.1</v>
      </c>
      <c r="BD13" s="304">
        <f>'Data Sawah'!G29</f>
        <v>4947.3</v>
      </c>
      <c r="BE13" s="304">
        <f>'Data Sawah'!H29</f>
        <v>22661.537625000001</v>
      </c>
      <c r="BF13" s="304">
        <f>'Data Sawah'!I29</f>
        <v>23114.7683775</v>
      </c>
      <c r="BG13" s="304">
        <f>'Data Sawah'!J29</f>
        <v>23577.06374505</v>
      </c>
      <c r="BH13" s="304">
        <f>'Data Sawah'!K29</f>
        <v>24048.605019951006</v>
      </c>
      <c r="BI13" s="304">
        <f>'Data Sawah'!L29</f>
        <v>24529.577120350023</v>
      </c>
      <c r="BJ13" s="304">
        <f>'Data Sawah'!M29</f>
        <v>25020.168662757023</v>
      </c>
      <c r="BK13" s="304">
        <f>'Data Sawah'!N29</f>
        <v>25520.572036012163</v>
      </c>
      <c r="BL13" s="304">
        <f>'Data Sawah'!O29</f>
        <v>26030.983476732406</v>
      </c>
      <c r="BM13" s="304">
        <f>'Data Sawah'!P29</f>
        <v>26030.983476732406</v>
      </c>
      <c r="BN13" s="304">
        <f>'Data Sawah'!Q29</f>
        <v>26030.983476732406</v>
      </c>
      <c r="BO13" s="304">
        <f>'Data Sawah'!R29</f>
        <v>26030.983476732406</v>
      </c>
      <c r="BP13" s="304">
        <f>'Data Sawah'!S29</f>
        <v>26030.983476732406</v>
      </c>
      <c r="BQ13" s="304">
        <f>'Data Sawah'!T29</f>
        <v>26030.983476732406</v>
      </c>
      <c r="BR13" s="304">
        <f>'Data Sawah'!U29</f>
        <v>26030.983476732406</v>
      </c>
      <c r="BS13" s="304">
        <f>'Data Sawah'!V29</f>
        <v>26030.983476732406</v>
      </c>
      <c r="BT13" s="264">
        <v>15</v>
      </c>
      <c r="BU13" s="285">
        <f t="shared" si="8"/>
        <v>725.82</v>
      </c>
      <c r="BV13" s="285">
        <f t="shared" si="8"/>
        <v>725.82</v>
      </c>
      <c r="BW13" s="285">
        <f t="shared" si="8"/>
        <v>725.82</v>
      </c>
      <c r="BX13" s="285">
        <f t="shared" si="8"/>
        <v>725.82</v>
      </c>
      <c r="BY13" s="285">
        <f t="shared" ref="BY13:CH17" si="29">BC13*$BT13/100</f>
        <v>1461.3150000000001</v>
      </c>
      <c r="BZ13" s="285">
        <f t="shared" si="29"/>
        <v>742.09500000000003</v>
      </c>
      <c r="CA13" s="285">
        <f t="shared" si="29"/>
        <v>3399.2306437500001</v>
      </c>
      <c r="CB13" s="285">
        <f t="shared" si="29"/>
        <v>3467.2152566250002</v>
      </c>
      <c r="CC13" s="285">
        <f t="shared" si="29"/>
        <v>3536.5595617575</v>
      </c>
      <c r="CD13" s="285">
        <f t="shared" si="29"/>
        <v>3607.2907529926511</v>
      </c>
      <c r="CE13" s="285">
        <f t="shared" si="29"/>
        <v>3679.4365680525034</v>
      </c>
      <c r="CF13" s="285">
        <f t="shared" si="29"/>
        <v>3753.0252994135535</v>
      </c>
      <c r="CG13" s="285">
        <f t="shared" si="29"/>
        <v>3828.085805401824</v>
      </c>
      <c r="CH13" s="285">
        <f t="shared" si="29"/>
        <v>3904.6475215098612</v>
      </c>
      <c r="CI13" s="285">
        <f t="shared" ref="CI13:CO17" si="30">BM13*$BT13/100</f>
        <v>3904.6475215098612</v>
      </c>
      <c r="CJ13" s="285">
        <f t="shared" si="30"/>
        <v>3904.6475215098612</v>
      </c>
      <c r="CK13" s="285">
        <f t="shared" si="30"/>
        <v>3904.6475215098612</v>
      </c>
      <c r="CL13" s="285">
        <f t="shared" si="30"/>
        <v>3904.6475215098612</v>
      </c>
      <c r="CM13" s="285">
        <f t="shared" si="30"/>
        <v>3904.6475215098612</v>
      </c>
      <c r="CN13" s="285">
        <f t="shared" si="30"/>
        <v>3904.6475215098612</v>
      </c>
      <c r="CO13" s="285">
        <f t="shared" si="30"/>
        <v>3904.6475215098612</v>
      </c>
    </row>
    <row r="14" spans="1:93" ht="57.75" customHeight="1" x14ac:dyDescent="0.25">
      <c r="A14" s="434" t="s">
        <v>385</v>
      </c>
      <c r="B14" s="183" t="s">
        <v>380</v>
      </c>
      <c r="C14" s="184" t="s">
        <v>381</v>
      </c>
      <c r="D14" s="261">
        <f>D12</f>
        <v>9990.5340000000015</v>
      </c>
      <c r="E14" s="261">
        <f t="shared" ref="E14:X14" si="31">E12</f>
        <v>9990.5340000000015</v>
      </c>
      <c r="F14" s="261">
        <f t="shared" si="31"/>
        <v>9990.5340000000015</v>
      </c>
      <c r="G14" s="261">
        <f t="shared" si="31"/>
        <v>9990.5340000000015</v>
      </c>
      <c r="H14" s="261">
        <f t="shared" si="31"/>
        <v>13241.171000000002</v>
      </c>
      <c r="I14" s="261">
        <f t="shared" si="31"/>
        <v>10103.040999999999</v>
      </c>
      <c r="J14" s="261">
        <f t="shared" si="31"/>
        <v>9883.8070282499993</v>
      </c>
      <c r="K14" s="261">
        <f t="shared" si="31"/>
        <v>10076.883328815</v>
      </c>
      <c r="L14" s="261">
        <f t="shared" si="31"/>
        <v>10273.821155391301</v>
      </c>
      <c r="M14" s="261">
        <f t="shared" si="31"/>
        <v>10474.69773849913</v>
      </c>
      <c r="N14" s="261">
        <f t="shared" si="31"/>
        <v>10679.59185326911</v>
      </c>
      <c r="O14" s="261">
        <f t="shared" si="31"/>
        <v>10888.583850334491</v>
      </c>
      <c r="P14" s="261">
        <f t="shared" si="31"/>
        <v>11101.755687341181</v>
      </c>
      <c r="Q14" s="261">
        <f t="shared" si="31"/>
        <v>11319.190961088007</v>
      </c>
      <c r="R14" s="261">
        <f t="shared" si="31"/>
        <v>11319.190961088007</v>
      </c>
      <c r="S14" s="261">
        <f t="shared" si="31"/>
        <v>11319.190961088007</v>
      </c>
      <c r="T14" s="261">
        <f t="shared" si="31"/>
        <v>11319.190961088007</v>
      </c>
      <c r="U14" s="261">
        <f t="shared" si="31"/>
        <v>11319.190961088007</v>
      </c>
      <c r="V14" s="261">
        <f t="shared" si="31"/>
        <v>11319.190961088007</v>
      </c>
      <c r="W14" s="261">
        <f t="shared" si="31"/>
        <v>11319.190961088007</v>
      </c>
      <c r="X14" s="261">
        <f t="shared" si="31"/>
        <v>11319.190961088007</v>
      </c>
      <c r="Y14" s="426" t="s">
        <v>386</v>
      </c>
      <c r="Z14" s="228">
        <v>3.0000000000000001E-3</v>
      </c>
      <c r="AA14" s="260">
        <f>D14*$Z14*10^-3*44/28</f>
        <v>4.7098231714285718E-2</v>
      </c>
      <c r="AB14" s="260">
        <f t="shared" si="7"/>
        <v>4.7098231714285718E-2</v>
      </c>
      <c r="AC14" s="260">
        <f t="shared" si="7"/>
        <v>4.7098231714285718E-2</v>
      </c>
      <c r="AD14" s="260">
        <f t="shared" si="7"/>
        <v>4.7098231714285718E-2</v>
      </c>
      <c r="AE14" s="260">
        <f t="shared" si="7"/>
        <v>6.2422663285714289E-2</v>
      </c>
      <c r="AF14" s="260">
        <f t="shared" si="7"/>
        <v>4.7628621857142853E-2</v>
      </c>
      <c r="AG14" s="260">
        <f t="shared" si="7"/>
        <v>4.6595090276035714E-2</v>
      </c>
      <c r="AH14" s="260">
        <f t="shared" si="7"/>
        <v>4.7505307121556435E-2</v>
      </c>
      <c r="AI14" s="260">
        <f t="shared" si="7"/>
        <v>4.843372830398756E-2</v>
      </c>
      <c r="AJ14" s="260">
        <f t="shared" si="7"/>
        <v>4.9380717910067325E-2</v>
      </c>
      <c r="AK14" s="260">
        <f t="shared" si="7"/>
        <v>5.0346647308268669E-2</v>
      </c>
      <c r="AL14" s="260">
        <f t="shared" si="7"/>
        <v>5.1331895294434028E-2</v>
      </c>
      <c r="AM14" s="260">
        <f t="shared" si="7"/>
        <v>5.2336848240322711E-2</v>
      </c>
      <c r="AN14" s="260">
        <f t="shared" si="7"/>
        <v>5.3361900245129178E-2</v>
      </c>
      <c r="AO14" s="260">
        <f t="shared" si="7"/>
        <v>5.3361900245129178E-2</v>
      </c>
      <c r="AP14" s="260">
        <f t="shared" si="7"/>
        <v>5.3361900245129178E-2</v>
      </c>
      <c r="AQ14" s="260">
        <f t="shared" si="7"/>
        <v>5.3361900245129178E-2</v>
      </c>
      <c r="AR14" s="260">
        <f t="shared" si="7"/>
        <v>5.3361900245129178E-2</v>
      </c>
      <c r="AS14" s="260">
        <f t="shared" si="7"/>
        <v>5.3361900245129178E-2</v>
      </c>
      <c r="AT14" s="260">
        <f t="shared" si="7"/>
        <v>5.3361900245129178E-2</v>
      </c>
      <c r="AU14" s="260">
        <f t="shared" si="7"/>
        <v>5.3361900245129178E-2</v>
      </c>
      <c r="AX14" s="263" t="s">
        <v>325</v>
      </c>
      <c r="AY14" s="304">
        <f>'Data Sawah'!B30</f>
        <v>1095.2</v>
      </c>
      <c r="AZ14" s="304">
        <f>'Data Sawah'!C30</f>
        <v>1095.2</v>
      </c>
      <c r="BA14" s="304">
        <f>'Data Sawah'!D30</f>
        <v>1095.2</v>
      </c>
      <c r="BB14" s="304">
        <f>'Data Sawah'!E30</f>
        <v>1095.2</v>
      </c>
      <c r="BC14" s="304">
        <f>'Data Sawah'!F30</f>
        <v>1095.2</v>
      </c>
      <c r="BD14" s="304">
        <f>'Data Sawah'!G30</f>
        <v>1095.2</v>
      </c>
      <c r="BE14" s="304">
        <f>'Data Sawah'!H30</f>
        <v>1095.2</v>
      </c>
      <c r="BF14" s="304">
        <f>'Data Sawah'!I30</f>
        <v>1095.2</v>
      </c>
      <c r="BG14" s="304">
        <f>'Data Sawah'!J30</f>
        <v>1095.2</v>
      </c>
      <c r="BH14" s="304">
        <f>'Data Sawah'!K30</f>
        <v>1095.2</v>
      </c>
      <c r="BI14" s="304">
        <f>'Data Sawah'!L30</f>
        <v>1095.2</v>
      </c>
      <c r="BJ14" s="304">
        <f>'Data Sawah'!M30</f>
        <v>1095.2</v>
      </c>
      <c r="BK14" s="304">
        <f>'Data Sawah'!N30</f>
        <v>1095.2</v>
      </c>
      <c r="BL14" s="304">
        <f>'Data Sawah'!O30</f>
        <v>1095.2</v>
      </c>
      <c r="BM14" s="304">
        <f>'Data Sawah'!P30</f>
        <v>1095.2</v>
      </c>
      <c r="BN14" s="304">
        <f>'Data Sawah'!Q30</f>
        <v>1095.2</v>
      </c>
      <c r="BO14" s="304">
        <f>'Data Sawah'!R30</f>
        <v>1095.2</v>
      </c>
      <c r="BP14" s="304">
        <f>'Data Sawah'!S30</f>
        <v>1095.2</v>
      </c>
      <c r="BQ14" s="304">
        <f>'Data Sawah'!T30</f>
        <v>1095.2</v>
      </c>
      <c r="BR14" s="304">
        <f>'Data Sawah'!U30</f>
        <v>1095.2</v>
      </c>
      <c r="BS14" s="304">
        <f>'Data Sawah'!V30</f>
        <v>1095.2</v>
      </c>
      <c r="BT14" s="264">
        <v>21</v>
      </c>
      <c r="BU14" s="285">
        <f t="shared" si="8"/>
        <v>229.99200000000002</v>
      </c>
      <c r="BV14" s="285">
        <f t="shared" si="8"/>
        <v>229.99200000000002</v>
      </c>
      <c r="BW14" s="285">
        <f t="shared" si="8"/>
        <v>229.99200000000002</v>
      </c>
      <c r="BX14" s="285">
        <f>BB14*$BT14/100</f>
        <v>229.99200000000002</v>
      </c>
      <c r="BY14" s="285">
        <f t="shared" si="29"/>
        <v>229.99200000000002</v>
      </c>
      <c r="BZ14" s="285">
        <f t="shared" si="29"/>
        <v>229.99200000000002</v>
      </c>
      <c r="CA14" s="285">
        <f t="shared" si="29"/>
        <v>229.99200000000002</v>
      </c>
      <c r="CB14" s="285">
        <f t="shared" si="29"/>
        <v>229.99200000000002</v>
      </c>
      <c r="CC14" s="285">
        <f t="shared" si="29"/>
        <v>229.99200000000002</v>
      </c>
      <c r="CD14" s="285">
        <f t="shared" si="29"/>
        <v>229.99200000000002</v>
      </c>
      <c r="CE14" s="285">
        <f t="shared" si="29"/>
        <v>229.99200000000002</v>
      </c>
      <c r="CF14" s="285">
        <f t="shared" si="29"/>
        <v>229.99200000000002</v>
      </c>
      <c r="CG14" s="285">
        <f t="shared" si="29"/>
        <v>229.99200000000002</v>
      </c>
      <c r="CH14" s="285">
        <f t="shared" si="29"/>
        <v>229.99200000000002</v>
      </c>
      <c r="CI14" s="285">
        <f t="shared" si="30"/>
        <v>229.99200000000002</v>
      </c>
      <c r="CJ14" s="285">
        <f t="shared" si="30"/>
        <v>229.99200000000002</v>
      </c>
      <c r="CK14" s="285">
        <f t="shared" si="30"/>
        <v>229.99200000000002</v>
      </c>
      <c r="CL14" s="285">
        <f t="shared" si="30"/>
        <v>229.99200000000002</v>
      </c>
      <c r="CM14" s="285">
        <f t="shared" si="30"/>
        <v>229.99200000000002</v>
      </c>
      <c r="CN14" s="285">
        <f t="shared" si="30"/>
        <v>229.99200000000002</v>
      </c>
      <c r="CO14" s="285">
        <f t="shared" si="30"/>
        <v>229.99200000000002</v>
      </c>
    </row>
    <row r="15" spans="1:93" ht="53.25" customHeight="1" x14ac:dyDescent="0.25">
      <c r="A15" s="424"/>
      <c r="B15" s="174" t="s">
        <v>383</v>
      </c>
      <c r="C15" s="175" t="s">
        <v>384</v>
      </c>
      <c r="D15" s="261">
        <f>D13</f>
        <v>6.6404999999999994</v>
      </c>
      <c r="E15" s="261">
        <f t="shared" ref="E15:X15" si="32">E13</f>
        <v>6.6404999999999994</v>
      </c>
      <c r="F15" s="261">
        <f t="shared" si="32"/>
        <v>6.6404999999999994</v>
      </c>
      <c r="G15" s="261">
        <f t="shared" si="32"/>
        <v>6.6404999999999994</v>
      </c>
      <c r="H15" s="261">
        <f t="shared" si="32"/>
        <v>6.6404999999999994</v>
      </c>
      <c r="I15" s="261">
        <f t="shared" si="32"/>
        <v>6.6404999999999994</v>
      </c>
      <c r="J15" s="261">
        <f t="shared" si="32"/>
        <v>6.6404999999999994</v>
      </c>
      <c r="K15" s="261">
        <f t="shared" si="32"/>
        <v>6.6404999999999994</v>
      </c>
      <c r="L15" s="261">
        <f t="shared" si="32"/>
        <v>6.6404999999999994</v>
      </c>
      <c r="M15" s="261">
        <f t="shared" si="32"/>
        <v>6.6404999999999994</v>
      </c>
      <c r="N15" s="261">
        <f t="shared" si="32"/>
        <v>6.6404999999999994</v>
      </c>
      <c r="O15" s="261">
        <f t="shared" si="32"/>
        <v>6.6404999999999994</v>
      </c>
      <c r="P15" s="261">
        <f t="shared" si="32"/>
        <v>6.6404999999999994</v>
      </c>
      <c r="Q15" s="261">
        <f t="shared" si="32"/>
        <v>6.6404999999999994</v>
      </c>
      <c r="R15" s="261">
        <f t="shared" si="32"/>
        <v>6.6404999999999994</v>
      </c>
      <c r="S15" s="261">
        <f t="shared" si="32"/>
        <v>6.6404999999999994</v>
      </c>
      <c r="T15" s="261">
        <f t="shared" si="32"/>
        <v>6.6404999999999994</v>
      </c>
      <c r="U15" s="261">
        <f t="shared" si="32"/>
        <v>6.6404999999999994</v>
      </c>
      <c r="V15" s="261">
        <f t="shared" si="32"/>
        <v>6.6404999999999994</v>
      </c>
      <c r="W15" s="261">
        <f t="shared" si="32"/>
        <v>6.6404999999999994</v>
      </c>
      <c r="X15" s="261">
        <f t="shared" si="32"/>
        <v>6.6404999999999994</v>
      </c>
      <c r="Y15" s="435"/>
      <c r="Z15" s="226">
        <v>3.0000000000000001E-3</v>
      </c>
      <c r="AA15" s="260">
        <f>D15*$Z15*10^-3*44/28</f>
        <v>3.1305214285714287E-5</v>
      </c>
      <c r="AB15" s="260">
        <f t="shared" si="7"/>
        <v>3.1305214285714287E-5</v>
      </c>
      <c r="AC15" s="260">
        <f t="shared" si="7"/>
        <v>3.1305214285714287E-5</v>
      </c>
      <c r="AD15" s="260">
        <f t="shared" si="7"/>
        <v>3.1305214285714287E-5</v>
      </c>
      <c r="AE15" s="260">
        <f t="shared" si="7"/>
        <v>3.1305214285714287E-5</v>
      </c>
      <c r="AF15" s="260">
        <f t="shared" si="7"/>
        <v>3.1305214285714287E-5</v>
      </c>
      <c r="AG15" s="260">
        <f t="shared" si="7"/>
        <v>3.1305214285714287E-5</v>
      </c>
      <c r="AH15" s="260">
        <f t="shared" si="7"/>
        <v>3.1305214285714287E-5</v>
      </c>
      <c r="AI15" s="260">
        <f t="shared" si="7"/>
        <v>3.1305214285714287E-5</v>
      </c>
      <c r="AJ15" s="260">
        <f t="shared" si="7"/>
        <v>3.1305214285714287E-5</v>
      </c>
      <c r="AK15" s="260">
        <f t="shared" si="7"/>
        <v>3.1305214285714287E-5</v>
      </c>
      <c r="AL15" s="260">
        <f t="shared" si="7"/>
        <v>3.1305214285714287E-5</v>
      </c>
      <c r="AM15" s="260">
        <f t="shared" si="7"/>
        <v>3.1305214285714287E-5</v>
      </c>
      <c r="AN15" s="260">
        <f t="shared" si="7"/>
        <v>3.1305214285714287E-5</v>
      </c>
      <c r="AO15" s="260">
        <f t="shared" si="7"/>
        <v>3.1305214285714287E-5</v>
      </c>
      <c r="AP15" s="260">
        <f t="shared" si="7"/>
        <v>3.1305214285714287E-5</v>
      </c>
      <c r="AQ15" s="260">
        <f t="shared" si="7"/>
        <v>3.1305214285714287E-5</v>
      </c>
      <c r="AR15" s="260">
        <f t="shared" si="7"/>
        <v>3.1305214285714287E-5</v>
      </c>
      <c r="AS15" s="260">
        <f t="shared" si="7"/>
        <v>3.1305214285714287E-5</v>
      </c>
      <c r="AT15" s="260">
        <f t="shared" si="7"/>
        <v>3.1305214285714287E-5</v>
      </c>
      <c r="AU15" s="260">
        <f t="shared" si="7"/>
        <v>3.1305214285714287E-5</v>
      </c>
      <c r="AX15" s="263" t="s">
        <v>270</v>
      </c>
      <c r="AY15" s="304">
        <f>'Data Sawah'!B31</f>
        <v>1328.1</v>
      </c>
      <c r="AZ15" s="304">
        <f>'Data Sawah'!C31</f>
        <v>1328.1</v>
      </c>
      <c r="BA15" s="304">
        <f>'Data Sawah'!D31</f>
        <v>1328.1</v>
      </c>
      <c r="BB15" s="304">
        <f>'Data Sawah'!E31</f>
        <v>1328.1</v>
      </c>
      <c r="BC15" s="304">
        <f>'Data Sawah'!F31</f>
        <v>1328.1</v>
      </c>
      <c r="BD15" s="304">
        <f>'Data Sawah'!G31</f>
        <v>1328.1</v>
      </c>
      <c r="BE15" s="304">
        <f>'Data Sawah'!H31</f>
        <v>1328.1</v>
      </c>
      <c r="BF15" s="304">
        <f>'Data Sawah'!I31</f>
        <v>1328.1</v>
      </c>
      <c r="BG15" s="304">
        <f>'Data Sawah'!J31</f>
        <v>1328.1</v>
      </c>
      <c r="BH15" s="304">
        <f>'Data Sawah'!K31</f>
        <v>1328.1</v>
      </c>
      <c r="BI15" s="304">
        <f>'Data Sawah'!L31</f>
        <v>1328.1</v>
      </c>
      <c r="BJ15" s="304">
        <f>'Data Sawah'!M31</f>
        <v>1328.1</v>
      </c>
      <c r="BK15" s="304">
        <f>'Data Sawah'!N31</f>
        <v>1328.1</v>
      </c>
      <c r="BL15" s="304">
        <f>'Data Sawah'!O31</f>
        <v>1328.1</v>
      </c>
      <c r="BM15" s="304">
        <f>'Data Sawah'!P31</f>
        <v>1328.1</v>
      </c>
      <c r="BN15" s="304">
        <f>'Data Sawah'!Q31</f>
        <v>1328.1</v>
      </c>
      <c r="BO15" s="304">
        <f>'Data Sawah'!R31</f>
        <v>1328.1</v>
      </c>
      <c r="BP15" s="304">
        <f>'Data Sawah'!S31</f>
        <v>1328.1</v>
      </c>
      <c r="BQ15" s="304">
        <f>'Data Sawah'!T31</f>
        <v>1328.1</v>
      </c>
      <c r="BR15" s="304">
        <f>'Data Sawah'!U31</f>
        <v>1328.1</v>
      </c>
      <c r="BS15" s="304">
        <f>'Data Sawah'!V31</f>
        <v>1328.1</v>
      </c>
      <c r="BT15" s="264">
        <v>0.5</v>
      </c>
      <c r="BU15" s="265">
        <f t="shared" si="8"/>
        <v>6.6404999999999994</v>
      </c>
      <c r="BV15" s="265">
        <f t="shared" si="8"/>
        <v>6.6404999999999994</v>
      </c>
      <c r="BW15" s="265">
        <f t="shared" si="8"/>
        <v>6.6404999999999994</v>
      </c>
      <c r="BX15" s="265">
        <f>BB15*$BT15/100</f>
        <v>6.6404999999999994</v>
      </c>
      <c r="BY15" s="265">
        <f t="shared" si="29"/>
        <v>6.6404999999999994</v>
      </c>
      <c r="BZ15" s="265">
        <f t="shared" si="29"/>
        <v>6.6404999999999994</v>
      </c>
      <c r="CA15" s="265">
        <f t="shared" si="29"/>
        <v>6.6404999999999994</v>
      </c>
      <c r="CB15" s="265">
        <f t="shared" si="29"/>
        <v>6.6404999999999994</v>
      </c>
      <c r="CC15" s="265">
        <f t="shared" si="29"/>
        <v>6.6404999999999994</v>
      </c>
      <c r="CD15" s="265">
        <f t="shared" si="29"/>
        <v>6.6404999999999994</v>
      </c>
      <c r="CE15" s="265">
        <f t="shared" si="29"/>
        <v>6.6404999999999994</v>
      </c>
      <c r="CF15" s="265">
        <f t="shared" si="29"/>
        <v>6.6404999999999994</v>
      </c>
      <c r="CG15" s="265">
        <f t="shared" si="29"/>
        <v>6.6404999999999994</v>
      </c>
      <c r="CH15" s="265">
        <f t="shared" si="29"/>
        <v>6.6404999999999994</v>
      </c>
      <c r="CI15" s="265">
        <f t="shared" si="30"/>
        <v>6.6404999999999994</v>
      </c>
      <c r="CJ15" s="265">
        <f t="shared" si="30"/>
        <v>6.6404999999999994</v>
      </c>
      <c r="CK15" s="265">
        <f t="shared" si="30"/>
        <v>6.6404999999999994</v>
      </c>
      <c r="CL15" s="265">
        <f t="shared" si="30"/>
        <v>6.6404999999999994</v>
      </c>
      <c r="CM15" s="265">
        <f t="shared" si="30"/>
        <v>6.6404999999999994</v>
      </c>
      <c r="CN15" s="265">
        <f t="shared" si="30"/>
        <v>6.6404999999999994</v>
      </c>
      <c r="CO15" s="265">
        <f t="shared" si="30"/>
        <v>6.6404999999999994</v>
      </c>
    </row>
    <row r="16" spans="1:93" x14ac:dyDescent="0.25">
      <c r="A16" s="422" t="s">
        <v>25</v>
      </c>
      <c r="B16" s="422"/>
      <c r="C16" s="176"/>
      <c r="D16" s="176">
        <f>SUM(D14:D15)</f>
        <v>9997.174500000001</v>
      </c>
      <c r="E16" s="176">
        <f t="shared" ref="E16:X16" si="33">SUM(E14:E15)</f>
        <v>9997.174500000001</v>
      </c>
      <c r="F16" s="176">
        <f t="shared" si="33"/>
        <v>9997.174500000001</v>
      </c>
      <c r="G16" s="286">
        <f t="shared" si="33"/>
        <v>9997.174500000001</v>
      </c>
      <c r="H16" s="286">
        <f t="shared" si="33"/>
        <v>13247.811500000002</v>
      </c>
      <c r="I16" s="286">
        <f t="shared" si="33"/>
        <v>10109.681499999999</v>
      </c>
      <c r="J16" s="286">
        <f t="shared" si="33"/>
        <v>9890.4475282499989</v>
      </c>
      <c r="K16" s="286">
        <f t="shared" si="33"/>
        <v>10083.523828814999</v>
      </c>
      <c r="L16" s="286">
        <f t="shared" si="33"/>
        <v>10280.4616553913</v>
      </c>
      <c r="M16" s="286">
        <f t="shared" si="33"/>
        <v>10481.338238499129</v>
      </c>
      <c r="N16" s="286">
        <f t="shared" si="33"/>
        <v>10686.23235326911</v>
      </c>
      <c r="O16" s="286">
        <f t="shared" si="33"/>
        <v>10895.224350334491</v>
      </c>
      <c r="P16" s="286">
        <f t="shared" si="33"/>
        <v>11108.396187341181</v>
      </c>
      <c r="Q16" s="286">
        <f t="shared" si="33"/>
        <v>11325.831461088006</v>
      </c>
      <c r="R16" s="286">
        <f t="shared" si="33"/>
        <v>11325.831461088006</v>
      </c>
      <c r="S16" s="286">
        <f t="shared" si="33"/>
        <v>11325.831461088006</v>
      </c>
      <c r="T16" s="286">
        <f t="shared" si="33"/>
        <v>11325.831461088006</v>
      </c>
      <c r="U16" s="286">
        <f t="shared" si="33"/>
        <v>11325.831461088006</v>
      </c>
      <c r="V16" s="286">
        <f t="shared" si="33"/>
        <v>11325.831461088006</v>
      </c>
      <c r="W16" s="286">
        <f t="shared" si="33"/>
        <v>11325.831461088006</v>
      </c>
      <c r="X16" s="286">
        <f t="shared" si="33"/>
        <v>11325.831461088006</v>
      </c>
      <c r="Y16" s="176"/>
      <c r="Z16" s="178" t="s">
        <v>387</v>
      </c>
      <c r="AA16" s="291">
        <f>SUM(AA12:AA15)</f>
        <v>0.2042279933571429</v>
      </c>
      <c r="AB16" s="291">
        <f t="shared" ref="AB16:AU16" si="34">SUM(AB12:AB15)</f>
        <v>0.2042279933571429</v>
      </c>
      <c r="AC16" s="291">
        <f t="shared" si="34"/>
        <v>0.2042279933571429</v>
      </c>
      <c r="AD16" s="291">
        <f>SUM(AD12:AD15)</f>
        <v>0.2042279933571429</v>
      </c>
      <c r="AE16" s="291">
        <f t="shared" si="34"/>
        <v>0.27063386350000007</v>
      </c>
      <c r="AF16" s="291">
        <f t="shared" si="34"/>
        <v>0.2065263506428571</v>
      </c>
      <c r="AG16" s="291">
        <f t="shared" si="34"/>
        <v>0.20204771379139289</v>
      </c>
      <c r="AH16" s="291">
        <f t="shared" si="34"/>
        <v>0.2059919867886493</v>
      </c>
      <c r="AI16" s="291">
        <f t="shared" si="34"/>
        <v>0.21001514524585085</v>
      </c>
      <c r="AJ16" s="291">
        <f t="shared" si="34"/>
        <v>0.2141187668721965</v>
      </c>
      <c r="AK16" s="291">
        <f t="shared" si="34"/>
        <v>0.21830446093106895</v>
      </c>
      <c r="AL16" s="291">
        <f t="shared" si="34"/>
        <v>0.22257386887111888</v>
      </c>
      <c r="AM16" s="291">
        <f t="shared" si="34"/>
        <v>0.22692866496996986</v>
      </c>
      <c r="AN16" s="291">
        <f t="shared" si="34"/>
        <v>0.23137055699079787</v>
      </c>
      <c r="AO16" s="291">
        <f t="shared" si="34"/>
        <v>0.23137055699079787</v>
      </c>
      <c r="AP16" s="291">
        <f t="shared" si="34"/>
        <v>0.23137055699079787</v>
      </c>
      <c r="AQ16" s="291">
        <f t="shared" si="34"/>
        <v>0.23137055699079787</v>
      </c>
      <c r="AR16" s="291">
        <f t="shared" si="34"/>
        <v>0.23137055699079787</v>
      </c>
      <c r="AS16" s="291">
        <f t="shared" si="34"/>
        <v>0.23137055699079787</v>
      </c>
      <c r="AT16" s="291">
        <f t="shared" si="34"/>
        <v>0.23137055699079787</v>
      </c>
      <c r="AU16" s="291">
        <f t="shared" si="34"/>
        <v>0.23137055699079787</v>
      </c>
      <c r="AX16" s="263" t="s">
        <v>446</v>
      </c>
      <c r="AY16" s="304">
        <f>'Data Sawah'!B32</f>
        <v>0</v>
      </c>
      <c r="AZ16" s="304">
        <f>'Data Sawah'!C32</f>
        <v>0</v>
      </c>
      <c r="BA16" s="304">
        <f>'Data Sawah'!D32</f>
        <v>0</v>
      </c>
      <c r="BB16" s="304">
        <f>'Data Sawah'!E32</f>
        <v>0</v>
      </c>
      <c r="BC16" s="304">
        <f>'Data Sawah'!F32</f>
        <v>0</v>
      </c>
      <c r="BD16" s="304">
        <f>'Data Sawah'!G32</f>
        <v>0</v>
      </c>
      <c r="BE16" s="304">
        <f>'Data Sawah'!H32</f>
        <v>0</v>
      </c>
      <c r="BF16" s="304">
        <f>'Data Sawah'!I32</f>
        <v>0</v>
      </c>
      <c r="BG16" s="304">
        <f>'Data Sawah'!J32</f>
        <v>0</v>
      </c>
      <c r="BH16" s="304">
        <f>'Data Sawah'!K32</f>
        <v>0</v>
      </c>
      <c r="BI16" s="304">
        <f>'Data Sawah'!L32</f>
        <v>0</v>
      </c>
      <c r="BJ16" s="304">
        <f>'Data Sawah'!M32</f>
        <v>0</v>
      </c>
      <c r="BK16" s="304">
        <f>'Data Sawah'!N32</f>
        <v>0</v>
      </c>
      <c r="BL16" s="304">
        <f>'Data Sawah'!O32</f>
        <v>0</v>
      </c>
      <c r="BM16" s="304">
        <f>'Data Sawah'!P32</f>
        <v>0</v>
      </c>
      <c r="BN16" s="304">
        <f>'Data Sawah'!Q32</f>
        <v>0</v>
      </c>
      <c r="BO16" s="304">
        <f>'Data Sawah'!R32</f>
        <v>0</v>
      </c>
      <c r="BP16" s="304">
        <f>'Data Sawah'!S32</f>
        <v>0</v>
      </c>
      <c r="BQ16" s="304">
        <f>'Data Sawah'!T32</f>
        <v>0</v>
      </c>
      <c r="BR16" s="304">
        <f>'Data Sawah'!U32</f>
        <v>0</v>
      </c>
      <c r="BS16" s="304">
        <f>'Data Sawah'!V32</f>
        <v>0</v>
      </c>
      <c r="BT16" s="264">
        <v>0.5</v>
      </c>
      <c r="BU16" s="265">
        <f>AY16*$BT16/100</f>
        <v>0</v>
      </c>
      <c r="BV16" s="265">
        <f>AZ16*$BT16/100</f>
        <v>0</v>
      </c>
      <c r="BW16" s="265">
        <f t="shared" ref="BW16:BW17" si="35">BA16*$BT16/100</f>
        <v>0</v>
      </c>
      <c r="BX16" s="265">
        <f t="shared" ref="BX16:BX17" si="36">BB16*$BT16/100</f>
        <v>0</v>
      </c>
      <c r="BY16" s="265">
        <f t="shared" si="29"/>
        <v>0</v>
      </c>
      <c r="BZ16" s="265">
        <f t="shared" si="29"/>
        <v>0</v>
      </c>
      <c r="CA16" s="265">
        <f t="shared" si="29"/>
        <v>0</v>
      </c>
      <c r="CB16" s="265">
        <f t="shared" si="29"/>
        <v>0</v>
      </c>
      <c r="CC16" s="265">
        <f t="shared" si="29"/>
        <v>0</v>
      </c>
      <c r="CD16" s="265">
        <f t="shared" si="29"/>
        <v>0</v>
      </c>
      <c r="CE16" s="265">
        <f t="shared" si="29"/>
        <v>0</v>
      </c>
      <c r="CF16" s="265">
        <f t="shared" si="29"/>
        <v>0</v>
      </c>
      <c r="CG16" s="265">
        <f t="shared" si="29"/>
        <v>0</v>
      </c>
      <c r="CH16" s="265">
        <f t="shared" si="29"/>
        <v>0</v>
      </c>
      <c r="CI16" s="265">
        <f t="shared" si="30"/>
        <v>0</v>
      </c>
      <c r="CJ16" s="265">
        <f t="shared" si="30"/>
        <v>0</v>
      </c>
      <c r="CK16" s="265">
        <f t="shared" si="30"/>
        <v>0</v>
      </c>
      <c r="CL16" s="265">
        <f t="shared" si="30"/>
        <v>0</v>
      </c>
      <c r="CM16" s="265">
        <f t="shared" si="30"/>
        <v>0</v>
      </c>
      <c r="CN16" s="265">
        <f t="shared" si="30"/>
        <v>0</v>
      </c>
      <c r="CO16" s="265">
        <f t="shared" si="30"/>
        <v>0</v>
      </c>
    </row>
    <row r="17" spans="1:93" ht="13.8" thickBot="1" x14ac:dyDescent="0.3">
      <c r="AX17" s="266" t="s">
        <v>271</v>
      </c>
      <c r="AY17" s="304">
        <f>'Data Sawah'!B33</f>
        <v>0</v>
      </c>
      <c r="AZ17" s="304">
        <f>'Data Sawah'!C33</f>
        <v>0</v>
      </c>
      <c r="BA17" s="304">
        <f>'Data Sawah'!D33</f>
        <v>0</v>
      </c>
      <c r="BB17" s="304">
        <f>'Data Sawah'!E33</f>
        <v>0</v>
      </c>
      <c r="BC17" s="304">
        <f>'Data Sawah'!F33</f>
        <v>0</v>
      </c>
      <c r="BD17" s="304">
        <f>'Data Sawah'!G33</f>
        <v>0</v>
      </c>
      <c r="BE17" s="304">
        <f>'Data Sawah'!H33</f>
        <v>0</v>
      </c>
      <c r="BF17" s="304">
        <f>'Data Sawah'!I33</f>
        <v>0</v>
      </c>
      <c r="BG17" s="304">
        <f>'Data Sawah'!J33</f>
        <v>0</v>
      </c>
      <c r="BH17" s="304">
        <f>'Data Sawah'!K33</f>
        <v>0</v>
      </c>
      <c r="BI17" s="304">
        <f>'Data Sawah'!L33</f>
        <v>0</v>
      </c>
      <c r="BJ17" s="304">
        <f>'Data Sawah'!M33</f>
        <v>0</v>
      </c>
      <c r="BK17" s="304">
        <f>'Data Sawah'!N33</f>
        <v>0</v>
      </c>
      <c r="BL17" s="304">
        <f>'Data Sawah'!O33</f>
        <v>0</v>
      </c>
      <c r="BM17" s="304">
        <f>'Data Sawah'!P33</f>
        <v>0</v>
      </c>
      <c r="BN17" s="304">
        <f>'Data Sawah'!Q33</f>
        <v>0</v>
      </c>
      <c r="BO17" s="304">
        <f>'Data Sawah'!R33</f>
        <v>0</v>
      </c>
      <c r="BP17" s="304">
        <f>'Data Sawah'!S33</f>
        <v>0</v>
      </c>
      <c r="BQ17" s="304">
        <f>'Data Sawah'!T33</f>
        <v>0</v>
      </c>
      <c r="BR17" s="304">
        <f>'Data Sawah'!U33</f>
        <v>0</v>
      </c>
      <c r="BS17" s="304">
        <f>'Data Sawah'!V33</f>
        <v>0</v>
      </c>
      <c r="BT17" s="267">
        <v>16</v>
      </c>
      <c r="BU17" s="268">
        <f>AY17*$BT17/100</f>
        <v>0</v>
      </c>
      <c r="BV17" s="268">
        <f>AZ17*$BT17/100</f>
        <v>0</v>
      </c>
      <c r="BW17" s="265">
        <f t="shared" si="35"/>
        <v>0</v>
      </c>
      <c r="BX17" s="265">
        <f t="shared" si="36"/>
        <v>0</v>
      </c>
      <c r="BY17" s="265">
        <f t="shared" si="29"/>
        <v>0</v>
      </c>
      <c r="BZ17" s="265">
        <f t="shared" si="29"/>
        <v>0</v>
      </c>
      <c r="CA17" s="265">
        <f t="shared" si="29"/>
        <v>0</v>
      </c>
      <c r="CB17" s="265">
        <f t="shared" si="29"/>
        <v>0</v>
      </c>
      <c r="CC17" s="265">
        <f t="shared" si="29"/>
        <v>0</v>
      </c>
      <c r="CD17" s="265">
        <f t="shared" si="29"/>
        <v>0</v>
      </c>
      <c r="CE17" s="265">
        <f t="shared" si="29"/>
        <v>0</v>
      </c>
      <c r="CF17" s="265">
        <f t="shared" si="29"/>
        <v>0</v>
      </c>
      <c r="CG17" s="265">
        <f t="shared" si="29"/>
        <v>0</v>
      </c>
      <c r="CH17" s="265">
        <f t="shared" si="29"/>
        <v>0</v>
      </c>
      <c r="CI17" s="265">
        <f t="shared" si="30"/>
        <v>0</v>
      </c>
      <c r="CJ17" s="265">
        <f t="shared" si="30"/>
        <v>0</v>
      </c>
      <c r="CK17" s="265">
        <f t="shared" si="30"/>
        <v>0</v>
      </c>
      <c r="CL17" s="265">
        <f t="shared" si="30"/>
        <v>0</v>
      </c>
      <c r="CM17" s="265">
        <f t="shared" si="30"/>
        <v>0</v>
      </c>
      <c r="CN17" s="265">
        <f t="shared" si="30"/>
        <v>0</v>
      </c>
      <c r="CO17" s="265">
        <f t="shared" si="30"/>
        <v>0</v>
      </c>
    </row>
    <row r="18" spans="1:93" x14ac:dyDescent="0.25">
      <c r="AA18" s="187"/>
    </row>
    <row r="19" spans="1:93" x14ac:dyDescent="0.25">
      <c r="A19" s="182" t="s">
        <v>388</v>
      </c>
      <c r="B19" s="230"/>
      <c r="C19" s="172" t="s">
        <v>389</v>
      </c>
    </row>
    <row r="20" spans="1:93" x14ac:dyDescent="0.25">
      <c r="A20" s="182"/>
      <c r="B20" s="179"/>
      <c r="C20" s="172" t="s">
        <v>390</v>
      </c>
    </row>
    <row r="21" spans="1:93" x14ac:dyDescent="0.25">
      <c r="B21" s="180"/>
      <c r="C21" s="172" t="s">
        <v>391</v>
      </c>
    </row>
    <row r="22" spans="1:93" x14ac:dyDescent="0.25">
      <c r="B22" s="262"/>
      <c r="C22" s="172" t="s">
        <v>448</v>
      </c>
    </row>
    <row r="24" spans="1:93" ht="26.4" x14ac:dyDescent="0.25">
      <c r="A24" s="181" t="s">
        <v>393</v>
      </c>
      <c r="B24" s="172" t="s">
        <v>394</v>
      </c>
    </row>
    <row r="25" spans="1:93" x14ac:dyDescent="0.25">
      <c r="B25" s="172" t="s">
        <v>324</v>
      </c>
      <c r="C25" s="172" t="s">
        <v>325</v>
      </c>
      <c r="X25" s="177" t="s">
        <v>326</v>
      </c>
    </row>
    <row r="26" spans="1:93" x14ac:dyDescent="0.25">
      <c r="A26" s="181" t="s">
        <v>392</v>
      </c>
    </row>
    <row r="28" spans="1:93" x14ac:dyDescent="0.25">
      <c r="A28" s="181" t="s">
        <v>327</v>
      </c>
      <c r="B28" s="172">
        <f>B26*46%</f>
        <v>0</v>
      </c>
      <c r="C28" s="172">
        <f>C26*22%</f>
        <v>0</v>
      </c>
      <c r="X28" s="177">
        <f>X26*15%</f>
        <v>0</v>
      </c>
    </row>
    <row r="31" spans="1:93" ht="26.4" x14ac:dyDescent="0.25">
      <c r="A31" s="181" t="s">
        <v>395</v>
      </c>
      <c r="B31" s="172" t="s">
        <v>396</v>
      </c>
    </row>
    <row r="33" spans="1:52" x14ac:dyDescent="0.25">
      <c r="B33" s="172" t="s">
        <v>397</v>
      </c>
      <c r="X33" s="172"/>
      <c r="Y33" s="177"/>
      <c r="AA33" s="172" t="s">
        <v>401</v>
      </c>
      <c r="AV33" s="172" t="s">
        <v>402</v>
      </c>
    </row>
    <row r="34" spans="1:52" x14ac:dyDescent="0.25">
      <c r="B34" s="181" t="s">
        <v>407</v>
      </c>
      <c r="C34" s="172" t="s">
        <v>408</v>
      </c>
      <c r="X34" s="172" t="s">
        <v>398</v>
      </c>
      <c r="Y34" s="177" t="s">
        <v>399</v>
      </c>
      <c r="Z34" s="172" t="s">
        <v>400</v>
      </c>
      <c r="AA34" s="181" t="s">
        <v>409</v>
      </c>
      <c r="AB34" s="172" t="s">
        <v>410</v>
      </c>
      <c r="AC34" s="172" t="s">
        <v>398</v>
      </c>
      <c r="AD34" s="177" t="s">
        <v>399</v>
      </c>
      <c r="AE34" s="177"/>
      <c r="AF34" s="177"/>
      <c r="AG34" s="177"/>
      <c r="AH34" s="177"/>
      <c r="AI34" s="177"/>
      <c r="AJ34" s="177"/>
      <c r="AK34" s="177"/>
      <c r="AL34" s="177"/>
      <c r="AM34" s="177"/>
      <c r="AN34" s="177"/>
      <c r="AO34" s="177"/>
      <c r="AP34" s="177"/>
      <c r="AQ34" s="177"/>
      <c r="AR34" s="177"/>
      <c r="AS34" s="177"/>
      <c r="AT34" s="177"/>
      <c r="AU34" s="177"/>
      <c r="AV34" s="181" t="s">
        <v>407</v>
      </c>
      <c r="AW34" s="172" t="s">
        <v>410</v>
      </c>
      <c r="AX34" s="172" t="s">
        <v>398</v>
      </c>
      <c r="AY34" s="177" t="s">
        <v>399</v>
      </c>
      <c r="AZ34" s="172" t="s">
        <v>400</v>
      </c>
    </row>
    <row r="35" spans="1:52" x14ac:dyDescent="0.25">
      <c r="A35" s="181">
        <v>2000</v>
      </c>
    </row>
    <row r="36" spans="1:52" x14ac:dyDescent="0.25">
      <c r="A36" s="181">
        <v>2001</v>
      </c>
    </row>
    <row r="37" spans="1:52" x14ac:dyDescent="0.25">
      <c r="A37" s="181">
        <v>2002</v>
      </c>
    </row>
    <row r="38" spans="1:52" x14ac:dyDescent="0.25">
      <c r="A38" s="181">
        <v>2003</v>
      </c>
    </row>
    <row r="39" spans="1:52" x14ac:dyDescent="0.25">
      <c r="A39" s="181">
        <v>2004</v>
      </c>
    </row>
    <row r="40" spans="1:52" x14ac:dyDescent="0.25">
      <c r="A40" s="181">
        <v>2005</v>
      </c>
    </row>
    <row r="41" spans="1:52" x14ac:dyDescent="0.25">
      <c r="A41" s="181">
        <v>2006</v>
      </c>
    </row>
    <row r="42" spans="1:52" x14ac:dyDescent="0.25">
      <c r="A42" s="181">
        <v>2007</v>
      </c>
    </row>
    <row r="43" spans="1:52" x14ac:dyDescent="0.25">
      <c r="A43" s="181">
        <v>2008</v>
      </c>
    </row>
    <row r="44" spans="1:52" x14ac:dyDescent="0.25">
      <c r="A44" s="181">
        <v>2009</v>
      </c>
    </row>
    <row r="45" spans="1:52" x14ac:dyDescent="0.25">
      <c r="A45" s="181">
        <v>2010</v>
      </c>
    </row>
    <row r="46" spans="1:52" x14ac:dyDescent="0.25">
      <c r="A46" s="181">
        <v>2011</v>
      </c>
    </row>
    <row r="47" spans="1:52" x14ac:dyDescent="0.25">
      <c r="A47" s="181">
        <v>2012</v>
      </c>
    </row>
    <row r="48" spans="1:52" x14ac:dyDescent="0.25">
      <c r="A48" s="181">
        <v>2013</v>
      </c>
    </row>
    <row r="51" spans="1:1" ht="14.4" x14ac:dyDescent="0.3">
      <c r="A51" s="17"/>
    </row>
    <row r="52" spans="1:1" ht="14.4" x14ac:dyDescent="0.3">
      <c r="A52" s="17"/>
    </row>
    <row r="53" spans="1:1" ht="14.4" x14ac:dyDescent="0.3">
      <c r="A53" s="17"/>
    </row>
    <row r="54" spans="1:1" ht="14.4" x14ac:dyDescent="0.3">
      <c r="A54" s="17"/>
    </row>
    <row r="55" spans="1:1" ht="14.4" x14ac:dyDescent="0.3">
      <c r="A55" s="17"/>
    </row>
    <row r="56" spans="1:1" ht="14.4" x14ac:dyDescent="0.3">
      <c r="A56" s="17"/>
    </row>
  </sheetData>
  <mergeCells count="32">
    <mergeCell ref="AY10:BC10"/>
    <mergeCell ref="BT10:BT11"/>
    <mergeCell ref="BU10:CO10"/>
    <mergeCell ref="AX10:AX11"/>
    <mergeCell ref="A14:A15"/>
    <mergeCell ref="Y14:Y15"/>
    <mergeCell ref="A16:B16"/>
    <mergeCell ref="C9:X9"/>
    <mergeCell ref="Y9:Z9"/>
    <mergeCell ref="C10:X10"/>
    <mergeCell ref="Y10:Z10"/>
    <mergeCell ref="A12:A13"/>
    <mergeCell ref="Y12:Y13"/>
    <mergeCell ref="A4:B4"/>
    <mergeCell ref="A5:B5"/>
    <mergeCell ref="A6:B10"/>
    <mergeCell ref="C6:X6"/>
    <mergeCell ref="Y6:Z6"/>
    <mergeCell ref="C7:X8"/>
    <mergeCell ref="Y7:Z8"/>
    <mergeCell ref="C5:AU5"/>
    <mergeCell ref="AA6:AU6"/>
    <mergeCell ref="AA7:AU8"/>
    <mergeCell ref="AA9:AU9"/>
    <mergeCell ref="AA10:AU10"/>
    <mergeCell ref="C4:AU4"/>
    <mergeCell ref="A1:B1"/>
    <mergeCell ref="A2:B2"/>
    <mergeCell ref="A3:B3"/>
    <mergeCell ref="C1:AU1"/>
    <mergeCell ref="C2:AU2"/>
    <mergeCell ref="C3:AU3"/>
  </mergeCells>
  <hyperlinks>
    <hyperlink ref="B20" r:id="rId1" display="http://www.deptan.go.id/tampil.php?page=inf_basisdata" xr:uid="{00000000-0004-0000-0800-000000000000}"/>
  </hyperlinks>
  <pageMargins left="0.75" right="0.75" top="1" bottom="1" header="0.5" footer="0.5"/>
  <pageSetup orientation="portrait" horizontalDpi="4294967292" verticalDpi="4294967292"/>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24F34A919E874E998CDABCAEF0C332" ma:contentTypeVersion="5" ma:contentTypeDescription="Create a new document." ma:contentTypeScope="" ma:versionID="8ec79cf3ce22ff73ef3865a1057bc1ec">
  <xsd:schema xmlns:xsd="http://www.w3.org/2001/XMLSchema" xmlns:xs="http://www.w3.org/2001/XMLSchema" xmlns:p="http://schemas.microsoft.com/office/2006/metadata/properties" xmlns:ns2="2bab6046-cf29-4de6-95c2-0ed88767753d" xmlns:ns3="06ee0bfa-d96b-42f0-a0ae-ade441056b35" xmlns:ns4="b747f8fc-e323-40fe-a283-a1b526cc7450" xmlns:ns5="e3c18b1d-b44e-4087-bbe0-2954ffd0cf57" targetNamespace="http://schemas.microsoft.com/office/2006/metadata/properties" ma:root="true" ma:fieldsID="429f9dc335f5b97bfb768cc8e80cb3bf" ns2:_="" ns3:_="" ns4:_="" ns5:_="">
    <xsd:import namespace="2bab6046-cf29-4de6-95c2-0ed88767753d"/>
    <xsd:import namespace="06ee0bfa-d96b-42f0-a0ae-ade441056b35"/>
    <xsd:import namespace="b747f8fc-e323-40fe-a283-a1b526cc7450"/>
    <xsd:import namespace="e3c18b1d-b44e-4087-bbe0-2954ffd0cf57"/>
    <xsd:element name="properties">
      <xsd:complexType>
        <xsd:sequence>
          <xsd:element name="documentManagement">
            <xsd:complexType>
              <xsd:all>
                <xsd:element ref="ns2:lcf76f155ced4ddcb4097134ff3c332f" minOccurs="0"/>
                <xsd:element ref="ns3:TaxCatchAll"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5:SharedWithUsers" minOccurs="0"/>
                <xsd:element ref="ns5:SharedWithDetails" minOccurs="0"/>
                <xsd:element ref="ns4:MediaServiceLocation" minOccurs="0"/>
                <xsd:element ref="ns4: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ab6046-cf29-4de6-95c2-0ed88767753d" elementFormDefault="qualified">
    <xsd:import namespace="http://schemas.microsoft.com/office/2006/documentManagement/types"/>
    <xsd:import namespace="http://schemas.microsoft.com/office/infopath/2007/PartnerControls"/>
    <xsd:element name="lcf76f155ced4ddcb4097134ff3c332f" ma:index="8"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6ee0bfa-d96b-42f0-a0ae-ade441056b35"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3a441582-034d-449f-88de-e4b6b8e9b601}" ma:internalName="TaxCatchAll" ma:showField="CatchAllData" ma:web="06ee0bfa-d96b-42f0-a0ae-ade441056b3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747f8fc-e323-40fe-a283-a1b526cc745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3c18b1d-b44e-4087-bbe0-2954ffd0cf57"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06ee0bfa-d96b-42f0-a0ae-ade441056b35" xsi:nil="true"/>
    <lcf76f155ced4ddcb4097134ff3c332f xmlns="2bab6046-cf29-4de6-95c2-0ed88767753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FEED177-62E6-4BE6-A2B9-D1B72CC7DD77}">
  <ds:schemaRefs>
    <ds:schemaRef ds:uri="http://schemas.microsoft.com/sharepoint/v3/contenttype/forms"/>
  </ds:schemaRefs>
</ds:datastoreItem>
</file>

<file path=customXml/itemProps2.xml><?xml version="1.0" encoding="utf-8"?>
<ds:datastoreItem xmlns:ds="http://schemas.openxmlformats.org/officeDocument/2006/customXml" ds:itemID="{EBFCB09C-FAFF-4BC2-8491-44361BAE9A6A}"/>
</file>

<file path=customXml/itemProps3.xml><?xml version="1.0" encoding="utf-8"?>
<ds:datastoreItem xmlns:ds="http://schemas.openxmlformats.org/officeDocument/2006/customXml" ds:itemID="{CD0A249A-2CC4-4A9E-A7FB-F36AE77559E8}">
  <ds:schemaRefs>
    <ds:schemaRef ds:uri="http://schemas.microsoft.com/office/2006/metadata/properties"/>
    <ds:schemaRef ds:uri="http://schemas.microsoft.com/office/infopath/2007/PartnerControls"/>
    <ds:schemaRef ds:uri="06ee0bfa-d96b-42f0-a0ae-ade441056b35"/>
    <ds:schemaRef ds:uri="2bab6046-cf29-4de6-95c2-0ed8876775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3A1 dan 2 Peternakan-CH4</vt:lpstr>
      <vt:lpstr>3A2 Peternakan-N2O</vt:lpstr>
      <vt:lpstr>EF&amp;SF lahan sawah</vt:lpstr>
      <vt:lpstr>3C5 Lahan sawah</vt:lpstr>
      <vt:lpstr>EF pupuk-kapur</vt:lpstr>
      <vt:lpstr>Kapur pertanian-CO2</vt:lpstr>
      <vt:lpstr>Pupuk Urea-CO2</vt:lpstr>
      <vt:lpstr>Direct N2O</vt:lpstr>
      <vt:lpstr>RANGKUMAN</vt:lpstr>
      <vt:lpstr>Sheet1</vt:lpstr>
      <vt:lpstr>Data Sawah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dc:creator>
  <cp:lastModifiedBy>Karimah, Yumna   (ICRAF)</cp:lastModifiedBy>
  <cp:lastPrinted>2012-09-08T20:51:12Z</cp:lastPrinted>
  <dcterms:created xsi:type="dcterms:W3CDTF">2012-08-01T00:54:49Z</dcterms:created>
  <dcterms:modified xsi:type="dcterms:W3CDTF">2024-01-23T12:13:54Z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0x0101006F24F34A919E874E998CDABCAEF0C332</vt:lpwstr>
  </property>
</Properties>
</file>