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rafcifor.sharepoint.com/sites/ICRAFIndonesia_4800d/Shared Documents/1.8. Land4Lives/7_WP1/WP1_1110/2_LUMENS/1_CSA with Gender Responsive/Calculation/SCIENDO_livestock_agric/Livestock_Agriculture/"/>
    </mc:Choice>
  </mc:AlternateContent>
  <xr:revisionPtr revIDLastSave="2" documentId="11_F532993531DAE04926D9FDB69FB0FA81C5A91B27" xr6:coauthVersionLast="47" xr6:coauthVersionMax="47" xr10:uidLastSave="{D117A35A-6340-44B1-AE9F-CB75934B21DC}"/>
  <bookViews>
    <workbookView xWindow="-108" yWindow="-108" windowWidth="23256" windowHeight="12456" xr2:uid="{00000000-000D-0000-FFFF-FFFF00000000}"/>
  </bookViews>
  <sheets>
    <sheet name="RANGKUMAN" sheetId="12" r:id="rId1"/>
    <sheet name="Scenario" sheetId="14" r:id="rId2"/>
    <sheet name="Sheet1" sheetId="15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4" l="1"/>
  <c r="E16" i="15" l="1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D16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D15" i="15"/>
  <c r="D14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D13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K17" i="15" l="1"/>
  <c r="F17" i="15"/>
  <c r="G17" i="15"/>
  <c r="N17" i="15"/>
  <c r="D17" i="15"/>
  <c r="L17" i="15"/>
  <c r="O17" i="15"/>
  <c r="H17" i="15"/>
  <c r="P17" i="15"/>
  <c r="R17" i="15"/>
  <c r="J17" i="15"/>
  <c r="Q17" i="15"/>
  <c r="I17" i="15"/>
  <c r="M17" i="15"/>
  <c r="E17" i="15"/>
  <c r="S17" i="15" s="1"/>
  <c r="D92" i="14" l="1"/>
  <c r="D91" i="14"/>
  <c r="D90" i="14"/>
  <c r="D87" i="14"/>
  <c r="D86" i="14"/>
  <c r="D85" i="14"/>
  <c r="E75" i="14"/>
  <c r="E59" i="14" l="1"/>
  <c r="F43" i="14"/>
  <c r="F44" i="14" s="1"/>
  <c r="E44" i="14"/>
  <c r="S44" i="14"/>
  <c r="R44" i="14"/>
  <c r="L44" i="14"/>
  <c r="M43" i="14"/>
  <c r="M44" i="14" s="1"/>
  <c r="E24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S35" i="14"/>
  <c r="S48" i="14" s="1"/>
  <c r="S81" i="14" s="1"/>
  <c r="R35" i="14"/>
  <c r="R48" i="14" s="1"/>
  <c r="R81" i="14" s="1"/>
  <c r="Q35" i="14"/>
  <c r="Q48" i="14" s="1"/>
  <c r="Q81" i="14" s="1"/>
  <c r="P35" i="14"/>
  <c r="O35" i="14"/>
  <c r="O48" i="14" s="1"/>
  <c r="O81" i="14" s="1"/>
  <c r="N35" i="14"/>
  <c r="N48" i="14" s="1"/>
  <c r="N81" i="14" s="1"/>
  <c r="M35" i="14"/>
  <c r="M48" i="14" s="1"/>
  <c r="M81" i="14" s="1"/>
  <c r="L35" i="14"/>
  <c r="L48" i="14" s="1"/>
  <c r="L81" i="14" s="1"/>
  <c r="K35" i="14"/>
  <c r="K48" i="14" s="1"/>
  <c r="K81" i="14" s="1"/>
  <c r="J35" i="14"/>
  <c r="J48" i="14" s="1"/>
  <c r="J81" i="14" s="1"/>
  <c r="I35" i="14"/>
  <c r="I48" i="14" s="1"/>
  <c r="I81" i="14" s="1"/>
  <c r="H35" i="14"/>
  <c r="G35" i="14"/>
  <c r="G48" i="14" s="1"/>
  <c r="G81" i="14" s="1"/>
  <c r="F35" i="14"/>
  <c r="F48" i="14" s="1"/>
  <c r="F81" i="14" s="1"/>
  <c r="E35" i="14"/>
  <c r="E48" i="14" s="1"/>
  <c r="E81" i="14" s="1"/>
  <c r="S32" i="14"/>
  <c r="R32" i="14"/>
  <c r="Q32" i="14"/>
  <c r="Q47" i="14" s="1"/>
  <c r="P32" i="14"/>
  <c r="P47" i="14" s="1"/>
  <c r="O32" i="14"/>
  <c r="N32" i="14"/>
  <c r="N37" i="14" s="1"/>
  <c r="M32" i="14"/>
  <c r="M37" i="14" s="1"/>
  <c r="L32" i="14"/>
  <c r="L47" i="14" s="1"/>
  <c r="K32" i="14"/>
  <c r="J32" i="14"/>
  <c r="I32" i="14"/>
  <c r="I47" i="14" s="1"/>
  <c r="H32" i="14"/>
  <c r="H47" i="14" s="1"/>
  <c r="G32" i="14"/>
  <c r="F32" i="14"/>
  <c r="F37" i="14" s="1"/>
  <c r="E32" i="14"/>
  <c r="E47" i="14" s="1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F30" i="14"/>
  <c r="G30" i="14" s="1"/>
  <c r="H30" i="14" s="1"/>
  <c r="I30" i="14" s="1"/>
  <c r="J30" i="14" s="1"/>
  <c r="K30" i="14" s="1"/>
  <c r="L30" i="14" s="1"/>
  <c r="M30" i="14" s="1"/>
  <c r="S23" i="14"/>
  <c r="S36" i="14" s="1"/>
  <c r="S49" i="14" s="1"/>
  <c r="S82" i="14" s="1"/>
  <c r="R23" i="14"/>
  <c r="R36" i="14" s="1"/>
  <c r="R49" i="14" s="1"/>
  <c r="R82" i="14" s="1"/>
  <c r="Q23" i="14"/>
  <c r="Q36" i="14" s="1"/>
  <c r="Q49" i="14" s="1"/>
  <c r="Q82" i="14" s="1"/>
  <c r="P23" i="14"/>
  <c r="P36" i="14" s="1"/>
  <c r="O23" i="14"/>
  <c r="O36" i="14" s="1"/>
  <c r="O49" i="14" s="1"/>
  <c r="O82" i="14" s="1"/>
  <c r="N23" i="14"/>
  <c r="N36" i="14" s="1"/>
  <c r="N49" i="14" s="1"/>
  <c r="N82" i="14" s="1"/>
  <c r="M23" i="14"/>
  <c r="M36" i="14" s="1"/>
  <c r="M49" i="14" s="1"/>
  <c r="M82" i="14" s="1"/>
  <c r="L23" i="14"/>
  <c r="L36" i="14" s="1"/>
  <c r="K23" i="14"/>
  <c r="K36" i="14" s="1"/>
  <c r="K49" i="14" s="1"/>
  <c r="K82" i="14" s="1"/>
  <c r="J23" i="14"/>
  <c r="J36" i="14" s="1"/>
  <c r="J49" i="14" s="1"/>
  <c r="J82" i="14" s="1"/>
  <c r="I23" i="14"/>
  <c r="I36" i="14" s="1"/>
  <c r="I49" i="14" s="1"/>
  <c r="I82" i="14" s="1"/>
  <c r="H23" i="14"/>
  <c r="H36" i="14" s="1"/>
  <c r="G23" i="14"/>
  <c r="G36" i="14" s="1"/>
  <c r="G49" i="14" s="1"/>
  <c r="G82" i="14" s="1"/>
  <c r="F23" i="14"/>
  <c r="F36" i="14" s="1"/>
  <c r="F49" i="14" s="1"/>
  <c r="F82" i="14" s="1"/>
  <c r="E23" i="14"/>
  <c r="E25" i="14" s="1"/>
  <c r="F17" i="14"/>
  <c r="F7" i="14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24" i="12"/>
  <c r="C23" i="12"/>
  <c r="C22" i="12"/>
  <c r="C21" i="12"/>
  <c r="C20" i="12"/>
  <c r="C19" i="12"/>
  <c r="C18" i="12"/>
  <c r="C17" i="12"/>
  <c r="C16" i="12"/>
  <c r="F26" i="12"/>
  <c r="G37" i="14" l="1"/>
  <c r="O37" i="14"/>
  <c r="L74" i="14"/>
  <c r="E52" i="14"/>
  <c r="H37" i="14"/>
  <c r="H39" i="14" s="1"/>
  <c r="P37" i="14"/>
  <c r="H74" i="14"/>
  <c r="I74" i="14"/>
  <c r="J74" i="14"/>
  <c r="K74" i="14"/>
  <c r="E74" i="14"/>
  <c r="M74" i="14"/>
  <c r="G17" i="14"/>
  <c r="F75" i="14"/>
  <c r="E37" i="14"/>
  <c r="F74" i="14"/>
  <c r="N43" i="14"/>
  <c r="O43" i="14" s="1"/>
  <c r="P43" i="14" s="1"/>
  <c r="Q43" i="14" s="1"/>
  <c r="Q44" i="14" s="1"/>
  <c r="M47" i="14"/>
  <c r="M52" i="14" s="1"/>
  <c r="G74" i="14"/>
  <c r="L52" i="14"/>
  <c r="L38" i="14"/>
  <c r="L49" i="14"/>
  <c r="L82" i="14" s="1"/>
  <c r="H38" i="14"/>
  <c r="H49" i="14"/>
  <c r="H82" i="14" s="1"/>
  <c r="P38" i="14"/>
  <c r="P49" i="14"/>
  <c r="P82" i="14" s="1"/>
  <c r="I53" i="14"/>
  <c r="I52" i="14"/>
  <c r="Q53" i="14"/>
  <c r="Q52" i="14"/>
  <c r="F47" i="14"/>
  <c r="N47" i="14"/>
  <c r="G47" i="14"/>
  <c r="O47" i="14"/>
  <c r="J37" i="14"/>
  <c r="R37" i="14"/>
  <c r="K37" i="14"/>
  <c r="S37" i="14"/>
  <c r="H48" i="14"/>
  <c r="H81" i="14" s="1"/>
  <c r="P48" i="14"/>
  <c r="S38" i="14"/>
  <c r="K38" i="14"/>
  <c r="L37" i="14"/>
  <c r="J47" i="14"/>
  <c r="R47" i="14"/>
  <c r="K47" i="14"/>
  <c r="S47" i="14"/>
  <c r="I38" i="14"/>
  <c r="Q38" i="14"/>
  <c r="J38" i="14"/>
  <c r="R38" i="14"/>
  <c r="I37" i="14"/>
  <c r="Q37" i="14"/>
  <c r="M38" i="14"/>
  <c r="M39" i="14" s="1"/>
  <c r="E45" i="14"/>
  <c r="E46" i="14" s="1"/>
  <c r="E76" i="14" s="1"/>
  <c r="E36" i="14"/>
  <c r="E38" i="14" s="1"/>
  <c r="E39" i="14" s="1"/>
  <c r="F38" i="14"/>
  <c r="F39" i="14" s="1"/>
  <c r="N38" i="14"/>
  <c r="G38" i="14"/>
  <c r="O38" i="14"/>
  <c r="G43" i="14"/>
  <c r="N44" i="14"/>
  <c r="P44" i="14"/>
  <c r="F45" i="14"/>
  <c r="F46" i="14" s="1"/>
  <c r="F76" i="14" s="1"/>
  <c r="F92" i="14" s="1"/>
  <c r="O44" i="14"/>
  <c r="G45" i="14"/>
  <c r="G39" i="14"/>
  <c r="N30" i="14"/>
  <c r="N74" i="14" s="1"/>
  <c r="C25" i="12"/>
  <c r="C26" i="12" s="1"/>
  <c r="H26" i="12"/>
  <c r="G26" i="12"/>
  <c r="E26" i="12"/>
  <c r="D26" i="12"/>
  <c r="E61" i="14"/>
  <c r="E62" i="14" s="1"/>
  <c r="E65" i="14" s="1"/>
  <c r="E66" i="14" s="1"/>
  <c r="L53" i="14" l="1"/>
  <c r="P53" i="14"/>
  <c r="E90" i="14"/>
  <c r="E85" i="14"/>
  <c r="H85" i="14"/>
  <c r="H90" i="14"/>
  <c r="M85" i="14"/>
  <c r="M90" i="14"/>
  <c r="F79" i="14"/>
  <c r="F78" i="14"/>
  <c r="P52" i="14"/>
  <c r="P81" i="14"/>
  <c r="E78" i="14"/>
  <c r="E79" i="14"/>
  <c r="F85" i="14"/>
  <c r="F90" i="14"/>
  <c r="K39" i="14"/>
  <c r="H52" i="14"/>
  <c r="G85" i="14"/>
  <c r="G90" i="14"/>
  <c r="H53" i="14"/>
  <c r="I39" i="14"/>
  <c r="M53" i="14"/>
  <c r="H17" i="14"/>
  <c r="G75" i="14"/>
  <c r="G79" i="14" s="1"/>
  <c r="E91" i="14"/>
  <c r="E86" i="14"/>
  <c r="L39" i="14"/>
  <c r="S52" i="14"/>
  <c r="S53" i="14"/>
  <c r="O52" i="14"/>
  <c r="O53" i="14"/>
  <c r="K52" i="14"/>
  <c r="K53" i="14"/>
  <c r="G52" i="14"/>
  <c r="G53" i="14"/>
  <c r="R52" i="14"/>
  <c r="R53" i="14"/>
  <c r="N52" i="14"/>
  <c r="N53" i="14"/>
  <c r="E49" i="14"/>
  <c r="J52" i="14"/>
  <c r="J53" i="14"/>
  <c r="F52" i="14"/>
  <c r="F53" i="14"/>
  <c r="J39" i="14"/>
  <c r="G44" i="14"/>
  <c r="G46" i="14" s="1"/>
  <c r="G76" i="14" s="1"/>
  <c r="G92" i="14" s="1"/>
  <c r="H43" i="14"/>
  <c r="O30" i="14"/>
  <c r="O74" i="14" s="1"/>
  <c r="N39" i="14"/>
  <c r="S24" i="14"/>
  <c r="Q25" i="14"/>
  <c r="N25" i="14"/>
  <c r="I25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S25" i="14"/>
  <c r="R25" i="14"/>
  <c r="P25" i="14"/>
  <c r="O25" i="14"/>
  <c r="M25" i="14"/>
  <c r="L25" i="14"/>
  <c r="K25" i="14"/>
  <c r="J25" i="14"/>
  <c r="H25" i="14"/>
  <c r="G25" i="14"/>
  <c r="F25" i="14"/>
  <c r="E12" i="14"/>
  <c r="E11" i="14"/>
  <c r="E13" i="14" s="1"/>
  <c r="E8" i="14"/>
  <c r="F59" i="14"/>
  <c r="F61" i="14" s="1"/>
  <c r="F62" i="14" s="1"/>
  <c r="F65" i="14" s="1"/>
  <c r="F66" i="14" s="1"/>
  <c r="F4" i="14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E88" i="14" l="1"/>
  <c r="N85" i="14"/>
  <c r="N90" i="14"/>
  <c r="E53" i="14"/>
  <c r="E55" i="14" s="1"/>
  <c r="E82" i="14"/>
  <c r="E92" i="14" s="1"/>
  <c r="E93" i="14" s="1"/>
  <c r="E94" i="14" s="1"/>
  <c r="L90" i="14"/>
  <c r="L85" i="14"/>
  <c r="I17" i="14"/>
  <c r="H75" i="14"/>
  <c r="H45" i="14"/>
  <c r="G78" i="14"/>
  <c r="I26" i="14"/>
  <c r="J85" i="14"/>
  <c r="J90" i="14"/>
  <c r="I85" i="14"/>
  <c r="I90" i="14"/>
  <c r="K90" i="14"/>
  <c r="K85" i="14"/>
  <c r="F55" i="14"/>
  <c r="F54" i="14"/>
  <c r="F56" i="14" s="1"/>
  <c r="E54" i="14"/>
  <c r="E56" i="14" s="1"/>
  <c r="F26" i="14"/>
  <c r="G55" i="14"/>
  <c r="G54" i="14"/>
  <c r="I43" i="14"/>
  <c r="H44" i="14"/>
  <c r="H46" i="14" s="1"/>
  <c r="H76" i="14" s="1"/>
  <c r="H92" i="14" s="1"/>
  <c r="H26" i="14"/>
  <c r="P30" i="14"/>
  <c r="P74" i="14" s="1"/>
  <c r="O39" i="14"/>
  <c r="G26" i="14"/>
  <c r="F8" i="14"/>
  <c r="F12" i="14"/>
  <c r="F11" i="14"/>
  <c r="F13" i="14" s="1"/>
  <c r="D15" i="12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E57" i="14" l="1"/>
  <c r="G91" i="14"/>
  <c r="G93" i="14" s="1"/>
  <c r="G86" i="14"/>
  <c r="G88" i="14" s="1"/>
  <c r="F68" i="14"/>
  <c r="F57" i="14"/>
  <c r="O85" i="14"/>
  <c r="O90" i="14"/>
  <c r="I86" i="14"/>
  <c r="I88" i="14" s="1"/>
  <c r="I91" i="14"/>
  <c r="H79" i="14"/>
  <c r="H78" i="14"/>
  <c r="H86" i="14"/>
  <c r="H88" i="14" s="1"/>
  <c r="H91" i="14"/>
  <c r="H93" i="14" s="1"/>
  <c r="F69" i="14"/>
  <c r="J27" i="12" s="1"/>
  <c r="J26" i="12" s="1"/>
  <c r="E68" i="14"/>
  <c r="E69" i="14" s="1"/>
  <c r="I27" i="12" s="1"/>
  <c r="I26" i="12" s="1"/>
  <c r="J17" i="14"/>
  <c r="I75" i="14"/>
  <c r="I45" i="14"/>
  <c r="F86" i="14"/>
  <c r="F88" i="14" s="1"/>
  <c r="F91" i="14"/>
  <c r="F93" i="14" s="1"/>
  <c r="H55" i="14"/>
  <c r="H54" i="14"/>
  <c r="H56" i="14" s="1"/>
  <c r="G56" i="14"/>
  <c r="J43" i="14"/>
  <c r="I44" i="14"/>
  <c r="P39" i="14"/>
  <c r="Q30" i="14"/>
  <c r="Q74" i="14" s="1"/>
  <c r="G59" i="14"/>
  <c r="G61" i="14" s="1"/>
  <c r="G62" i="14" s="1"/>
  <c r="G65" i="14" s="1"/>
  <c r="G66" i="14" s="1"/>
  <c r="G12" i="14"/>
  <c r="G8" i="14"/>
  <c r="G11" i="14"/>
  <c r="I46" i="14" l="1"/>
  <c r="I76" i="14" s="1"/>
  <c r="I92" i="14" s="1"/>
  <c r="I93" i="14" s="1"/>
  <c r="I94" i="14" s="1"/>
  <c r="F94" i="14"/>
  <c r="K17" i="14"/>
  <c r="J75" i="14"/>
  <c r="J45" i="14"/>
  <c r="J26" i="14"/>
  <c r="H57" i="14"/>
  <c r="H94" i="14"/>
  <c r="G57" i="14"/>
  <c r="P85" i="14"/>
  <c r="P90" i="14"/>
  <c r="I78" i="14"/>
  <c r="I79" i="14"/>
  <c r="G94" i="14"/>
  <c r="I55" i="14"/>
  <c r="I54" i="14"/>
  <c r="K43" i="14"/>
  <c r="K44" i="14" s="1"/>
  <c r="J44" i="14"/>
  <c r="R30" i="14"/>
  <c r="R74" i="14" s="1"/>
  <c r="Q39" i="14"/>
  <c r="G13" i="14"/>
  <c r="H59" i="14"/>
  <c r="H61" i="14" s="1"/>
  <c r="H62" i="14" s="1"/>
  <c r="H65" i="14" s="1"/>
  <c r="H66" i="14" s="1"/>
  <c r="H12" i="14"/>
  <c r="H8" i="14"/>
  <c r="H11" i="14"/>
  <c r="J46" i="14" l="1"/>
  <c r="J76" i="14" s="1"/>
  <c r="J92" i="14" s="1"/>
  <c r="J86" i="14"/>
  <c r="J88" i="14" s="1"/>
  <c r="J91" i="14"/>
  <c r="G68" i="14"/>
  <c r="G69" i="14" s="1"/>
  <c r="K27" i="12" s="1"/>
  <c r="K26" i="12" s="1"/>
  <c r="Q85" i="14"/>
  <c r="Q90" i="14"/>
  <c r="J78" i="14"/>
  <c r="J79" i="14"/>
  <c r="L17" i="14"/>
  <c r="K75" i="14"/>
  <c r="K45" i="14"/>
  <c r="K46" i="14" s="1"/>
  <c r="K26" i="14"/>
  <c r="I56" i="14"/>
  <c r="H13" i="14"/>
  <c r="H68" i="14" s="1"/>
  <c r="H69" i="14" s="1"/>
  <c r="S30" i="14"/>
  <c r="S74" i="14" s="1"/>
  <c r="R39" i="14"/>
  <c r="I59" i="14"/>
  <c r="I61" i="14" s="1"/>
  <c r="I62" i="14" s="1"/>
  <c r="I65" i="14" s="1"/>
  <c r="I66" i="14" s="1"/>
  <c r="I12" i="14"/>
  <c r="I11" i="14"/>
  <c r="I8" i="14"/>
  <c r="J54" i="14" l="1"/>
  <c r="J55" i="14"/>
  <c r="J93" i="14"/>
  <c r="K76" i="14"/>
  <c r="K92" i="14" s="1"/>
  <c r="K55" i="14"/>
  <c r="K54" i="14"/>
  <c r="K56" i="14" s="1"/>
  <c r="K79" i="14"/>
  <c r="K78" i="14"/>
  <c r="M17" i="14"/>
  <c r="L75" i="14"/>
  <c r="L45" i="14"/>
  <c r="L46" i="14" s="1"/>
  <c r="L26" i="14"/>
  <c r="R85" i="14"/>
  <c r="R90" i="14"/>
  <c r="I57" i="14"/>
  <c r="J94" i="14"/>
  <c r="K91" i="14"/>
  <c r="K93" i="14" s="1"/>
  <c r="K86" i="14"/>
  <c r="K88" i="14" s="1"/>
  <c r="K94" i="14" s="1"/>
  <c r="L27" i="12"/>
  <c r="L26" i="12" s="1"/>
  <c r="J56" i="14"/>
  <c r="S39" i="14"/>
  <c r="I13" i="14"/>
  <c r="I68" i="14" s="1"/>
  <c r="J59" i="14"/>
  <c r="J61" i="14" s="1"/>
  <c r="J62" i="14" s="1"/>
  <c r="J65" i="14" s="1"/>
  <c r="J66" i="14" s="1"/>
  <c r="J12" i="14"/>
  <c r="J8" i="14"/>
  <c r="J11" i="14"/>
  <c r="J57" i="14" l="1"/>
  <c r="N17" i="14"/>
  <c r="M75" i="14"/>
  <c r="M45" i="14"/>
  <c r="M46" i="14" s="1"/>
  <c r="M26" i="14"/>
  <c r="L76" i="14"/>
  <c r="L92" i="14" s="1"/>
  <c r="L55" i="14"/>
  <c r="L54" i="14"/>
  <c r="K57" i="14"/>
  <c r="L78" i="14"/>
  <c r="L79" i="14"/>
  <c r="I69" i="14"/>
  <c r="M27" i="12" s="1"/>
  <c r="M26" i="12" s="1"/>
  <c r="S90" i="14"/>
  <c r="S85" i="14"/>
  <c r="L86" i="14"/>
  <c r="L88" i="14" s="1"/>
  <c r="L91" i="14"/>
  <c r="J13" i="14"/>
  <c r="K59" i="14"/>
  <c r="K61" i="14" s="1"/>
  <c r="K62" i="14" s="1"/>
  <c r="K65" i="14" s="1"/>
  <c r="K66" i="14" s="1"/>
  <c r="K12" i="14"/>
  <c r="K8" i="14"/>
  <c r="K11" i="14"/>
  <c r="M91" i="14" l="1"/>
  <c r="M86" i="14"/>
  <c r="M88" i="14" s="1"/>
  <c r="M76" i="14"/>
  <c r="M92" i="14" s="1"/>
  <c r="M55" i="14"/>
  <c r="M54" i="14"/>
  <c r="M56" i="14" s="1"/>
  <c r="L93" i="14"/>
  <c r="L94" i="14" s="1"/>
  <c r="M78" i="14"/>
  <c r="M79" i="14"/>
  <c r="O17" i="14"/>
  <c r="N75" i="14"/>
  <c r="N45" i="14"/>
  <c r="N46" i="14" s="1"/>
  <c r="N26" i="14"/>
  <c r="L56" i="14"/>
  <c r="J68" i="14"/>
  <c r="J69" i="14" s="1"/>
  <c r="N27" i="12" s="1"/>
  <c r="N26" i="12" s="1"/>
  <c r="K13" i="14"/>
  <c r="L59" i="14"/>
  <c r="L61" i="14" s="1"/>
  <c r="L62" i="14" s="1"/>
  <c r="L65" i="14" s="1"/>
  <c r="L66" i="14" s="1"/>
  <c r="L12" i="14"/>
  <c r="L8" i="14"/>
  <c r="L11" i="14"/>
  <c r="K68" i="14" l="1"/>
  <c r="K69" i="14" s="1"/>
  <c r="O27" i="12" s="1"/>
  <c r="O26" i="12" s="1"/>
  <c r="M57" i="14"/>
  <c r="N79" i="14"/>
  <c r="N78" i="14"/>
  <c r="P17" i="14"/>
  <c r="O75" i="14"/>
  <c r="O26" i="14"/>
  <c r="O45" i="14"/>
  <c r="O46" i="14" s="1"/>
  <c r="N86" i="14"/>
  <c r="N88" i="14" s="1"/>
  <c r="N91" i="14"/>
  <c r="N76" i="14"/>
  <c r="N92" i="14" s="1"/>
  <c r="N54" i="14"/>
  <c r="N55" i="14"/>
  <c r="L57" i="14"/>
  <c r="M93" i="14"/>
  <c r="M94" i="14" s="1"/>
  <c r="L13" i="14"/>
  <c r="M59" i="14"/>
  <c r="M61" i="14" s="1"/>
  <c r="M62" i="14" s="1"/>
  <c r="M65" i="14" s="1"/>
  <c r="M66" i="14" s="1"/>
  <c r="M12" i="14"/>
  <c r="M11" i="14"/>
  <c r="M8" i="14"/>
  <c r="N93" i="14" l="1"/>
  <c r="N94" i="14" s="1"/>
  <c r="Q17" i="14"/>
  <c r="P75" i="14"/>
  <c r="P26" i="14"/>
  <c r="P45" i="14"/>
  <c r="P46" i="14" s="1"/>
  <c r="N56" i="14"/>
  <c r="N57" i="14" s="1"/>
  <c r="O54" i="14"/>
  <c r="O76" i="14"/>
  <c r="O92" i="14" s="1"/>
  <c r="O55" i="14"/>
  <c r="O78" i="14"/>
  <c r="O79" i="14"/>
  <c r="L68" i="14"/>
  <c r="L69" i="14" s="1"/>
  <c r="P27" i="12" s="1"/>
  <c r="P26" i="12" s="1"/>
  <c r="O86" i="14"/>
  <c r="O88" i="14" s="1"/>
  <c r="O91" i="14"/>
  <c r="M13" i="14"/>
  <c r="N59" i="14"/>
  <c r="N61" i="14" s="1"/>
  <c r="N62" i="14" s="1"/>
  <c r="N65" i="14" s="1"/>
  <c r="N66" i="14" s="1"/>
  <c r="N12" i="14"/>
  <c r="N8" i="14"/>
  <c r="N11" i="14"/>
  <c r="P76" i="14" l="1"/>
  <c r="P92" i="14" s="1"/>
  <c r="P54" i="14"/>
  <c r="P55" i="14"/>
  <c r="P86" i="14"/>
  <c r="P88" i="14" s="1"/>
  <c r="P91" i="14"/>
  <c r="P93" i="14" s="1"/>
  <c r="O56" i="14"/>
  <c r="P78" i="14"/>
  <c r="P79" i="14"/>
  <c r="M68" i="14"/>
  <c r="M69" i="14" s="1"/>
  <c r="Q27" i="12" s="1"/>
  <c r="Q26" i="12" s="1"/>
  <c r="O93" i="14"/>
  <c r="O94" i="14" s="1"/>
  <c r="R17" i="14"/>
  <c r="Q75" i="14"/>
  <c r="Q26" i="14"/>
  <c r="Q45" i="14"/>
  <c r="Q46" i="14" s="1"/>
  <c r="O59" i="14"/>
  <c r="O61" i="14" s="1"/>
  <c r="O62" i="14" s="1"/>
  <c r="O65" i="14" s="1"/>
  <c r="O66" i="14" s="1"/>
  <c r="O12" i="14"/>
  <c r="N13" i="14"/>
  <c r="O8" i="14"/>
  <c r="O11" i="14"/>
  <c r="P56" i="14" l="1"/>
  <c r="Q76" i="14"/>
  <c r="Q92" i="14" s="1"/>
  <c r="Q54" i="14"/>
  <c r="Q55" i="14"/>
  <c r="P94" i="14"/>
  <c r="N68" i="14"/>
  <c r="N69" i="14" s="1"/>
  <c r="R27" i="12" s="1"/>
  <c r="R26" i="12" s="1"/>
  <c r="Q86" i="14"/>
  <c r="Q88" i="14" s="1"/>
  <c r="Q91" i="14"/>
  <c r="Q93" i="14" s="1"/>
  <c r="P57" i="14"/>
  <c r="Q79" i="14"/>
  <c r="Q78" i="14"/>
  <c r="S17" i="14"/>
  <c r="R75" i="14"/>
  <c r="R26" i="14"/>
  <c r="R45" i="14"/>
  <c r="R46" i="14" s="1"/>
  <c r="O57" i="14"/>
  <c r="O13" i="14"/>
  <c r="O68" i="14" s="1"/>
  <c r="O69" i="14" s="1"/>
  <c r="P59" i="14"/>
  <c r="P61" i="14" s="1"/>
  <c r="P62" i="14" s="1"/>
  <c r="P65" i="14" s="1"/>
  <c r="P66" i="14" s="1"/>
  <c r="P12" i="14"/>
  <c r="P8" i="14"/>
  <c r="P11" i="14"/>
  <c r="R78" i="14" l="1"/>
  <c r="R79" i="14"/>
  <c r="R76" i="14"/>
  <c r="R92" i="14" s="1"/>
  <c r="R55" i="14"/>
  <c r="R54" i="14"/>
  <c r="R86" i="14"/>
  <c r="R88" i="14" s="1"/>
  <c r="R91" i="14"/>
  <c r="R93" i="14" s="1"/>
  <c r="Q56" i="14"/>
  <c r="Q57" i="14" s="1"/>
  <c r="Q94" i="14"/>
  <c r="S75" i="14"/>
  <c r="S26" i="14"/>
  <c r="S45" i="14"/>
  <c r="S46" i="14" s="1"/>
  <c r="S27" i="12"/>
  <c r="S26" i="12" s="1"/>
  <c r="Q59" i="14"/>
  <c r="Q61" i="14" s="1"/>
  <c r="Q62" i="14" s="1"/>
  <c r="Q65" i="14" s="1"/>
  <c r="Q66" i="14" s="1"/>
  <c r="Q12" i="14"/>
  <c r="P13" i="14"/>
  <c r="Q8" i="14"/>
  <c r="Q11" i="14"/>
  <c r="S91" i="14" l="1"/>
  <c r="S86" i="14"/>
  <c r="S88" i="14" s="1"/>
  <c r="P68" i="14"/>
  <c r="P69" i="14" s="1"/>
  <c r="T27" i="12" s="1"/>
  <c r="T26" i="12" s="1"/>
  <c r="R56" i="14"/>
  <c r="S79" i="14"/>
  <c r="S78" i="14"/>
  <c r="R94" i="14"/>
  <c r="S76" i="14"/>
  <c r="S92" i="14" s="1"/>
  <c r="S55" i="14"/>
  <c r="S54" i="14"/>
  <c r="S56" i="14" s="1"/>
  <c r="R59" i="14"/>
  <c r="R61" i="14" s="1"/>
  <c r="R62" i="14" s="1"/>
  <c r="R65" i="14" s="1"/>
  <c r="R66" i="14" s="1"/>
  <c r="R12" i="14"/>
  <c r="Q13" i="14"/>
  <c r="R8" i="14"/>
  <c r="R11" i="14"/>
  <c r="Q68" i="14" l="1"/>
  <c r="Q69" i="14" s="1"/>
  <c r="U27" i="12" s="1"/>
  <c r="U26" i="12" s="1"/>
  <c r="S57" i="14"/>
  <c r="U57" i="14" s="1"/>
  <c r="U56" i="14"/>
  <c r="U88" i="14"/>
  <c r="R68" i="14"/>
  <c r="R57" i="14"/>
  <c r="S93" i="14"/>
  <c r="U93" i="14" s="1"/>
  <c r="R13" i="14"/>
  <c r="S59" i="14"/>
  <c r="S61" i="14" s="1"/>
  <c r="S62" i="14" s="1"/>
  <c r="S65" i="14" s="1"/>
  <c r="S66" i="14" s="1"/>
  <c r="S12" i="14"/>
  <c r="S8" i="14"/>
  <c r="S11" i="14"/>
  <c r="S94" i="14" l="1"/>
  <c r="U94" i="14" s="1"/>
  <c r="R69" i="14"/>
  <c r="V27" i="12" s="1"/>
  <c r="V26" i="12" s="1"/>
  <c r="S13" i="14"/>
  <c r="S68" i="14" l="1"/>
  <c r="S69" i="14" s="1"/>
  <c r="W27" i="12" s="1"/>
  <c r="W30" i="12" l="1"/>
  <c r="W26" i="12"/>
</calcChain>
</file>

<file path=xl/sharedStrings.xml><?xml version="1.0" encoding="utf-8"?>
<sst xmlns="http://schemas.openxmlformats.org/spreadsheetml/2006/main" count="112" uniqueCount="87">
  <si>
    <t>3A1 Fermentasi Enterik</t>
  </si>
  <si>
    <t>3A2 Pengelolaan Limbah Ternak</t>
  </si>
  <si>
    <t>3C1 Pembakaran Biomasa</t>
  </si>
  <si>
    <t>3C2 Aplikasi Kapur</t>
  </si>
  <si>
    <t>3C3 Aplikasi Urea</t>
  </si>
  <si>
    <t>3C4 N2O Langsung dari Pengolahan Tanah</t>
  </si>
  <si>
    <t>3C5 N2O Tidak Langsung dari Pengolahan Tanah</t>
  </si>
  <si>
    <t>3C6 N2O Tidak Langsung dari Penggunaan Pupuk</t>
  </si>
  <si>
    <t>3C7 Budidaya Padi</t>
  </si>
  <si>
    <t>PETERNAKAN</t>
  </si>
  <si>
    <t>PERTANIAN</t>
  </si>
  <si>
    <t>Peningkatan kegiatan peternakan untuk memenuhi kebutuhan daging utamanya daging sapi akan di dukung dengan rencana aksi pemanfaatan limbah kotoran sapi. Ada 2 kegiatan yang diusulkan yaitu:</t>
  </si>
  <si>
    <t>Jumlah Sapi Potong yang Dibiogaskan</t>
  </si>
  <si>
    <t>Jumlah Sapi Potong yang Di-UPPO-kan</t>
  </si>
  <si>
    <t>KEGIATAN</t>
  </si>
  <si>
    <t>Pencegahan Pelepasan CH4 dari Pengolahan Limbah Ternak</t>
  </si>
  <si>
    <t>EF (Kg/ekor/thn)</t>
  </si>
  <si>
    <t>Emisi CH4 (Gg) dari Biogas</t>
  </si>
  <si>
    <t>Emisi CH4 (Gg) dari UPPO</t>
  </si>
  <si>
    <t>Penerapan Budidaya Padi Ramah Iklim</t>
  </si>
  <si>
    <t>Luas Sawah Intermittent (dari irigasi penuh) (Ha)</t>
  </si>
  <si>
    <t>Baseline EF Padi Sawah Tergenang (Kg CH4/ha/musim)</t>
  </si>
  <si>
    <t>SF Air BAU (Irigasi tergenang penuh)</t>
  </si>
  <si>
    <t>SF Air Mitigasi (Intermittent)</t>
  </si>
  <si>
    <t>IP (kali)</t>
  </si>
  <si>
    <t>SF Varitas BAU (liat SF BAU)</t>
  </si>
  <si>
    <t>EF Padi Sawah Per Luas Sawah Setelah Penerapan</t>
  </si>
  <si>
    <t>EF Padi Sawah Per Luas Sawah Sebelum Penerapan</t>
  </si>
  <si>
    <t>Penurunan CH4 Total  (Gg)</t>
  </si>
  <si>
    <t>Penggantian Penggunaan Pupuk</t>
  </si>
  <si>
    <t>Jumlah Pupuk yang dihasilkan</t>
  </si>
  <si>
    <t>Jumlah Sapi yang Di-UPPO (Ekor)</t>
  </si>
  <si>
    <t>Jumlah Tinja Per Ekor Per Hari (Kg)</t>
  </si>
  <si>
    <t>Jumlah Tinja Per Tahun (Gg)</t>
  </si>
  <si>
    <t>Kandungan N dalam Pupuk (%)</t>
  </si>
  <si>
    <t>Jumlah N dalam urea (%)</t>
  </si>
  <si>
    <t>Jumlah Urea yang tergantikan  (Gg) (Pupuk yang dipakai untuk mengganti urea hanya 80%, lihat skenario. Sisanya 20% menggantikan NPK)</t>
  </si>
  <si>
    <t>Penurunan CO2 dari penggantian urea (Gg)</t>
  </si>
  <si>
    <t>TOTAL (Gg)</t>
  </si>
  <si>
    <t>TOTAL (Ton)</t>
  </si>
  <si>
    <t>Penurunan Emisi</t>
  </si>
  <si>
    <t>Emisi Mitigasi</t>
  </si>
  <si>
    <t>Emisi BAU</t>
  </si>
  <si>
    <t>1. 1. Pembuatan biogas sebanyak 1 unit/2 tahun. 1 unit terdiri dari 4 ekor sapi (sedikit yah). Hasilnya digunakan untuk menggantikan LPG untuk memasak. Hasilnya digunakan untuk menggantikan LPG untuk memasak. Didukung BLH dan peternakan. Pembangunan dimulai tahun 2016 sampai dengan 2030.</t>
  </si>
  <si>
    <t>2. Pembangunan UPPO 1 unit/tahun. 1 unit untuk 35 ekor sapi. Hasli dari UPPO ini digunakan untuk mengurangi pupuk NPK dan urea. Target kegiatan dimulai pada tahun 2016-2030.</t>
  </si>
  <si>
    <t>Meningkatkan produksi padi dengan teknologi budidaya rendah emisi GRK dengan pemakaian pupuk yang rasional dengan penambahan pupuk organik sebagai pengganti sebagian pupuk kimia melalui:</t>
  </si>
  <si>
    <t xml:space="preserve">1. Di tahun 2030 Luas Sawah tadah hujan yang diperoleh dari selisih data luas sawah tadah hujan – data luas panen tadah hujan (antara 3.000 – 4000 an Ha) menjadi intermitten. </t>
  </si>
  <si>
    <t>3. Sebanyak 20% dari total varietas yang ada akan menjadi varietas rendah emisi di tahun 2023</t>
  </si>
  <si>
    <t>4. Sebanyak 30% dari total varietas aka menjadi varietas rendah emisi ditahun 2030</t>
  </si>
  <si>
    <t xml:space="preserve">5. Kompos granule (17% N) = 2 Ton/Ha; Kompos Jerami (2 Ton/Ha); Kompos dari ternak (disesuaikan dengan hasil perhitungan UPPO)
</t>
  </si>
  <si>
    <t>2. Perubahan dari sistem irigasi terus menerus menjadi intermitten 20 Ha/ Tahun (di luar dari luas pada point 1). Dimulai sejak tahun 2016 sampai dengan 2030. Sawah-sawah yang di-intermittent-kan akan berlanjut terus menurus sehingga sawah intermittent akan akumulatif. Penerapan ini diikuti perubahan varitas dengan SFv 30% lebih rendah dari BAU, dengan total tidak melebihi 20% penanaman secara total sampai tahun 2023 dan tidak lebih dari 30% penanaman total sampai dengan 2030 (termasuk pada percontohan poin 1)</t>
  </si>
  <si>
    <t>SF Varitas Mitigasi (Lihat Scenario SF Varitas tabel disamping kiri)</t>
  </si>
  <si>
    <t>Scen 2</t>
  </si>
  <si>
    <t>Scen 1</t>
  </si>
  <si>
    <t>Luas Sawah Intermittent (dari sawah tadah hujan) (Ha)</t>
  </si>
  <si>
    <t>Target perkembangan konversi irigasi (%)</t>
  </si>
  <si>
    <t>SF Air BAU (Irigasi Tadah Hujan)</t>
  </si>
  <si>
    <t>scen 3</t>
  </si>
  <si>
    <t>Luas Tanam Total</t>
  </si>
  <si>
    <t>Peralihan Varitas Terintegrasi skenario 1 dan 2</t>
  </si>
  <si>
    <t>Jumlah target peralihan Varitas (dalam Ha)</t>
  </si>
  <si>
    <t>Target Peralihan Varitas Total (%)</t>
  </si>
  <si>
    <t>Target Peralihan Varitas Bersih (dalam Ha)</t>
  </si>
  <si>
    <t>Penurunan Emisi dari Perubahan Varitas Diluar Paket Irigasi</t>
  </si>
  <si>
    <t>Penurunan Emisi dari Penerapan Intermitten dari Sawah Tadah Hujan dan Perubahan Varitas</t>
  </si>
  <si>
    <t>Penurunan Emisi dari Penerapan Intermitten dari Sawah Irigasi Teknis dan Perubahan Varitas</t>
  </si>
  <si>
    <t>Kontribusi Sawah Irigasi Teknis terhadap Target Peralihan (Non Scen 1)</t>
  </si>
  <si>
    <t>Kontribusi Sawah Tadah Hujan terhadap Target Peralihan (Non Scen 2)</t>
  </si>
  <si>
    <t>Penurunan CH4 Total  dari Sawah Irigasi Teknis (Gg)</t>
  </si>
  <si>
    <t>Penurunan CH4 Total  dari Sawah  Tadah Hujan Teknis (Gg)</t>
  </si>
  <si>
    <t>TAMBAHAN ANALISA</t>
  </si>
  <si>
    <t>Jumlah Sawah Yang diturunkan GRK:</t>
  </si>
  <si>
    <t>- Penerapan Intermitten di Sawah Tadah Hujan (Scen 1)</t>
  </si>
  <si>
    <t>- Penerapan Intermitten di Sawah Irigasi Teknis (Scen 2)</t>
  </si>
  <si>
    <t>- Penurunan hanya dari perubahan Varitas</t>
  </si>
  <si>
    <t>SF Pengairan BAU</t>
  </si>
  <si>
    <t>SF Pengairan Mitigasi</t>
  </si>
  <si>
    <t>SF Varitas BAU</t>
  </si>
  <si>
    <t>SF Varutas Mitigasi</t>
  </si>
  <si>
    <t>Penurunan GRK dari Pengairan saja</t>
  </si>
  <si>
    <t>Penurunan GRK dari Penggantian Varitas Saja</t>
  </si>
  <si>
    <t>SUB-TOTAL</t>
  </si>
  <si>
    <t>TOTAL</t>
  </si>
  <si>
    <t>Air_Penurunan CH4 Total  (Gg)</t>
  </si>
  <si>
    <t>Varietas_Penurunan CH4 Total  (Gg)</t>
  </si>
  <si>
    <t>Tahun</t>
  </si>
  <si>
    <t>BAU Pertanian-Peternakan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</si>
</sst>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0_);_(* \(#,##0.000\);_(* &quot;-&quot;??_);_(@_)"/>
    <numFmt numFmtId="168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1" applyNumberFormat="1" applyFont="1"/>
    <xf numFmtId="165" fontId="0" fillId="0" borderId="0" xfId="0" applyNumberFormat="1"/>
    <xf numFmtId="165" fontId="0" fillId="0" borderId="0" xfId="1" applyFont="1"/>
    <xf numFmtId="0" fontId="5" fillId="0" borderId="0" xfId="0" applyFont="1" applyAlignment="1">
      <alignment horizontal="center"/>
    </xf>
    <xf numFmtId="166" fontId="5" fillId="0" borderId="0" xfId="0" applyNumberFormat="1" applyFont="1"/>
    <xf numFmtId="167" fontId="5" fillId="0" borderId="0" xfId="0" applyNumberFormat="1" applyFont="1"/>
    <xf numFmtId="0" fontId="5" fillId="2" borderId="0" xfId="0" applyFont="1" applyFill="1"/>
    <xf numFmtId="0" fontId="0" fillId="2" borderId="0" xfId="0" applyFill="1"/>
    <xf numFmtId="165" fontId="5" fillId="0" borderId="0" xfId="0" applyNumberFormat="1" applyFont="1"/>
    <xf numFmtId="0" fontId="6" fillId="0" borderId="0" xfId="0" applyFont="1"/>
    <xf numFmtId="166" fontId="6" fillId="0" borderId="0" xfId="0" applyNumberFormat="1" applyFont="1"/>
    <xf numFmtId="0" fontId="1" fillId="0" borderId="0" xfId="0" applyFont="1"/>
    <xf numFmtId="0" fontId="0" fillId="3" borderId="0" xfId="0" applyFill="1"/>
    <xf numFmtId="166" fontId="1" fillId="0" borderId="0" xfId="0" applyNumberFormat="1" applyFont="1"/>
    <xf numFmtId="165" fontId="1" fillId="0" borderId="0" xfId="0" applyNumberFormat="1" applyFont="1"/>
    <xf numFmtId="166" fontId="1" fillId="0" borderId="0" xfId="1" applyNumberFormat="1" applyFont="1"/>
    <xf numFmtId="0" fontId="6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5" fontId="0" fillId="0" borderId="0" xfId="0" quotePrefix="1" applyNumberFormat="1"/>
    <xf numFmtId="43" fontId="0" fillId="0" borderId="0" xfId="0" applyNumberFormat="1"/>
    <xf numFmtId="0" fontId="0" fillId="3" borderId="0" xfId="0" applyFill="1" applyAlignment="1">
      <alignment wrapText="1"/>
    </xf>
    <xf numFmtId="167" fontId="0" fillId="3" borderId="0" xfId="0" applyNumberFormat="1" applyFill="1"/>
    <xf numFmtId="165" fontId="5" fillId="3" borderId="0" xfId="0" applyNumberFormat="1" applyFont="1" applyFill="1"/>
    <xf numFmtId="168" fontId="0" fillId="0" borderId="0" xfId="0" applyNumberFormat="1"/>
  </cellXfs>
  <cellStyles count="7">
    <cellStyle name="Comma" xfId="1" builtinId="3"/>
    <cellStyle name="Comma [0] 2" xfId="6" xr:uid="{00000000-0005-0000-0000-000001000000}"/>
    <cellStyle name="Comma 2" xfId="2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3" xfId="5" xr:uid="{00000000-0005-0000-0000-000006000000}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Perkembangan dan Skenario</a:t>
            </a:r>
            <a:r>
              <a:rPr lang="en-US" baseline="0"/>
              <a:t> Emisi GRK Sektor Pertanian</a:t>
            </a:r>
          </a:p>
          <a:p>
            <a:pPr>
              <a:defRPr/>
            </a:pPr>
            <a:r>
              <a:rPr lang="en-US" baseline="0"/>
              <a:t>Kabupaten Purbalingga Tahun 2010-2030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RANGKUMAN!$B$16</c:f>
              <c:strCache>
                <c:ptCount val="1"/>
                <c:pt idx="0">
                  <c:v>3A1 Fermentasi Enterik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RANGKUMAN!$C$16:$W$16</c:f>
              <c:numCache>
                <c:formatCode>_(* #,##0_);_(* \(#,##0\);_(* "-"??_);_(@_)</c:formatCode>
                <c:ptCount val="21"/>
                <c:pt idx="0">
                  <c:v>50723.02199999999</c:v>
                </c:pt>
                <c:pt idx="1">
                  <c:v>49549.332000000002</c:v>
                </c:pt>
                <c:pt idx="2">
                  <c:v>50292.9</c:v>
                </c:pt>
                <c:pt idx="3">
                  <c:v>47425.349999999991</c:v>
                </c:pt>
                <c:pt idx="4">
                  <c:v>44747.493000000002</c:v>
                </c:pt>
                <c:pt idx="5">
                  <c:v>44760.817500000012</c:v>
                </c:pt>
                <c:pt idx="6">
                  <c:v>44774.221947000005</c:v>
                </c:pt>
                <c:pt idx="7">
                  <c:v>44787.706820682004</c:v>
                </c:pt>
                <c:pt idx="8">
                  <c:v>44801.272603606085</c:v>
                </c:pt>
                <c:pt idx="9">
                  <c:v>44814.919781227727</c:v>
                </c:pt>
                <c:pt idx="10">
                  <c:v>44828.648841915099</c:v>
                </c:pt>
                <c:pt idx="11">
                  <c:v>44842.460276966587</c:v>
                </c:pt>
                <c:pt idx="12">
                  <c:v>44856.354580628387</c:v>
                </c:pt>
                <c:pt idx="13">
                  <c:v>44870.332250112158</c:v>
                </c:pt>
                <c:pt idx="14">
                  <c:v>44884.393785612832</c:v>
                </c:pt>
                <c:pt idx="15">
                  <c:v>44898.539690326506</c:v>
                </c:pt>
                <c:pt idx="16">
                  <c:v>44912.770470468466</c:v>
                </c:pt>
                <c:pt idx="17">
                  <c:v>44927.086635291278</c:v>
                </c:pt>
                <c:pt idx="18">
                  <c:v>44941.488697103028</c:v>
                </c:pt>
                <c:pt idx="19">
                  <c:v>44955.977171285638</c:v>
                </c:pt>
                <c:pt idx="20">
                  <c:v>44970.552576313363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A5E-9BC2-F4F90F3FFD9A}"/>
            </c:ext>
          </c:extLst>
        </c:ser>
        <c:ser>
          <c:idx val="1"/>
          <c:order val="1"/>
          <c:tx>
            <c:strRef>
              <c:f>RANGKUMAN!$B$17</c:f>
              <c:strCache>
                <c:ptCount val="1"/>
                <c:pt idx="0">
                  <c:v>3A2 Pengelolaan Limbah Ternak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RANGKUMAN!$C$17:$W$17</c:f>
              <c:numCache>
                <c:formatCode>_(* #,##0_);_(* \(#,##0\);_(* "-"??_);_(@_)</c:formatCode>
                <c:ptCount val="21"/>
                <c:pt idx="0">
                  <c:v>18754.382782945937</c:v>
                </c:pt>
                <c:pt idx="1">
                  <c:v>18581.56749532944</c:v>
                </c:pt>
                <c:pt idx="2">
                  <c:v>18871.025597552041</c:v>
                </c:pt>
                <c:pt idx="3">
                  <c:v>17147.77540842101</c:v>
                </c:pt>
                <c:pt idx="4">
                  <c:v>16062.539159366175</c:v>
                </c:pt>
                <c:pt idx="5">
                  <c:v>16090.771722117675</c:v>
                </c:pt>
                <c:pt idx="6">
                  <c:v>16119.173680245687</c:v>
                </c:pt>
                <c:pt idx="7">
                  <c:v>16147.746050122463</c:v>
                </c:pt>
                <c:pt idx="8">
                  <c:v>16176.489854218502</c:v>
                </c:pt>
                <c:pt idx="9">
                  <c:v>16205.40612113912</c:v>
                </c:pt>
                <c:pt idx="10">
                  <c:v>16234.495885661257</c:v>
                </c:pt>
                <c:pt idx="11">
                  <c:v>16260.154593012167</c:v>
                </c:pt>
                <c:pt idx="12">
                  <c:v>16285.967252607183</c:v>
                </c:pt>
                <c:pt idx="13">
                  <c:v>16311.934788159768</c:v>
                </c:pt>
                <c:pt idx="14">
                  <c:v>16338.058128925666</c:v>
                </c:pt>
                <c:pt idx="15">
                  <c:v>16364.338209736165</c:v>
                </c:pt>
                <c:pt idx="16">
                  <c:v>16390.775971031522</c:v>
                </c:pt>
                <c:pt idx="17">
                  <c:v>16417.372358894649</c:v>
                </c:pt>
                <c:pt idx="18">
                  <c:v>16444.128325084966</c:v>
                </c:pt>
                <c:pt idx="19">
                  <c:v>16471.044827072416</c:v>
                </c:pt>
                <c:pt idx="20">
                  <c:v>16498.122828071791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9-4A5E-9BC2-F4F90F3FFD9A}"/>
            </c:ext>
          </c:extLst>
        </c:ser>
        <c:ser>
          <c:idx val="2"/>
          <c:order val="2"/>
          <c:tx>
            <c:strRef>
              <c:f>RANGKUMAN!$B$18</c:f>
              <c:strCache>
                <c:ptCount val="1"/>
                <c:pt idx="0">
                  <c:v>3C1 Pembakaran Biomasa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RANGKUMAN!$C$18:$W$18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9-4A5E-9BC2-F4F90F3FFD9A}"/>
            </c:ext>
          </c:extLst>
        </c:ser>
        <c:ser>
          <c:idx val="3"/>
          <c:order val="3"/>
          <c:tx>
            <c:strRef>
              <c:f>RANGKUMAN!$B$19</c:f>
              <c:strCache>
                <c:ptCount val="1"/>
                <c:pt idx="0">
                  <c:v>3C2 Aplikasi Kapur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RANGKUMAN!$C$19:$W$19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9-4A5E-9BC2-F4F90F3FFD9A}"/>
            </c:ext>
          </c:extLst>
        </c:ser>
        <c:ser>
          <c:idx val="4"/>
          <c:order val="4"/>
          <c:tx>
            <c:strRef>
              <c:f>RANGKUMAN!$B$20</c:f>
              <c:strCache>
                <c:ptCount val="1"/>
                <c:pt idx="0">
                  <c:v>3C3 Aplikasi Urea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RANGKUMAN!$C$20:$W$20</c:f>
              <c:numCache>
                <c:formatCode>_(* #,##0_);_(* \(#,##0\);_(* "-"??_);_(@_)</c:formatCode>
                <c:ptCount val="21"/>
                <c:pt idx="0">
                  <c:v>14403.18</c:v>
                </c:pt>
                <c:pt idx="1">
                  <c:v>14403.18</c:v>
                </c:pt>
                <c:pt idx="2">
                  <c:v>14403.18</c:v>
                </c:pt>
                <c:pt idx="3">
                  <c:v>14403.18</c:v>
                </c:pt>
                <c:pt idx="4">
                  <c:v>18412.826666666668</c:v>
                </c:pt>
                <c:pt idx="5">
                  <c:v>14556.593333333336</c:v>
                </c:pt>
                <c:pt idx="6">
                  <c:v>19156.704864000003</c:v>
                </c:pt>
                <c:pt idx="7">
                  <c:v>19539.838961280002</c:v>
                </c:pt>
                <c:pt idx="8">
                  <c:v>19930.635740505601</c:v>
                </c:pt>
                <c:pt idx="9">
                  <c:v>20329.248455315716</c:v>
                </c:pt>
                <c:pt idx="10">
                  <c:v>20735.833424422028</c:v>
                </c:pt>
                <c:pt idx="11">
                  <c:v>21150.550092910471</c:v>
                </c:pt>
                <c:pt idx="12">
                  <c:v>21573.56109476868</c:v>
                </c:pt>
                <c:pt idx="13">
                  <c:v>22005.032316664048</c:v>
                </c:pt>
                <c:pt idx="14">
                  <c:v>22005.032316664048</c:v>
                </c:pt>
                <c:pt idx="15">
                  <c:v>22005.032316664048</c:v>
                </c:pt>
                <c:pt idx="16">
                  <c:v>22005.032316664048</c:v>
                </c:pt>
                <c:pt idx="17">
                  <c:v>22005.032316664048</c:v>
                </c:pt>
                <c:pt idx="18">
                  <c:v>22005.032316664048</c:v>
                </c:pt>
                <c:pt idx="19">
                  <c:v>22005.032316664048</c:v>
                </c:pt>
                <c:pt idx="20">
                  <c:v>22005.032316664048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9-4A5E-9BC2-F4F90F3FFD9A}"/>
            </c:ext>
          </c:extLst>
        </c:ser>
        <c:ser>
          <c:idx val="5"/>
          <c:order val="5"/>
          <c:tx>
            <c:strRef>
              <c:f>RANGKUMAN!$B$21</c:f>
              <c:strCache>
                <c:ptCount val="1"/>
                <c:pt idx="0">
                  <c:v>3C4 N2O Langsung dari Pengolahan Tanah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RANGKUMAN!$C$21:$W$21</c:f>
              <c:numCache>
                <c:formatCode>_(* #,##0_);_(* \(#,##0\);_(* "-"??_);_(@_)</c:formatCode>
                <c:ptCount val="21"/>
                <c:pt idx="0">
                  <c:v>63310.677940714297</c:v>
                </c:pt>
                <c:pt idx="1">
                  <c:v>63310.677940714297</c:v>
                </c:pt>
                <c:pt idx="2">
                  <c:v>63310.677940714297</c:v>
                </c:pt>
                <c:pt idx="3">
                  <c:v>63310.677940714297</c:v>
                </c:pt>
                <c:pt idx="4">
                  <c:v>83896.497685000024</c:v>
                </c:pt>
                <c:pt idx="5">
                  <c:v>64023.168699285707</c:v>
                </c:pt>
                <c:pt idx="6">
                  <c:v>62634.791275331794</c:v>
                </c:pt>
                <c:pt idx="7">
                  <c:v>63857.515904481283</c:v>
                </c:pt>
                <c:pt idx="8">
                  <c:v>65104.695026213762</c:v>
                </c:pt>
                <c:pt idx="9">
                  <c:v>66376.817730380921</c:v>
                </c:pt>
                <c:pt idx="10">
                  <c:v>67674.382888631371</c:v>
                </c:pt>
                <c:pt idx="11">
                  <c:v>68997.89935004685</c:v>
                </c:pt>
                <c:pt idx="12">
                  <c:v>70347.886140690665</c:v>
                </c:pt>
                <c:pt idx="13">
                  <c:v>71724.872667147341</c:v>
                </c:pt>
                <c:pt idx="14">
                  <c:v>71724.872667147341</c:v>
                </c:pt>
                <c:pt idx="15">
                  <c:v>71724.872667147341</c:v>
                </c:pt>
                <c:pt idx="16">
                  <c:v>71724.872667147341</c:v>
                </c:pt>
                <c:pt idx="17">
                  <c:v>71724.872667147341</c:v>
                </c:pt>
                <c:pt idx="18">
                  <c:v>71724.872667147341</c:v>
                </c:pt>
                <c:pt idx="19">
                  <c:v>71724.872667147341</c:v>
                </c:pt>
                <c:pt idx="20">
                  <c:v>71724.872667147341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9-4A5E-9BC2-F4F90F3FFD9A}"/>
            </c:ext>
          </c:extLst>
        </c:ser>
        <c:ser>
          <c:idx val="6"/>
          <c:order val="6"/>
          <c:tx>
            <c:strRef>
              <c:f>RANGKUMAN!$B$22</c:f>
              <c:strCache>
                <c:ptCount val="1"/>
                <c:pt idx="0">
                  <c:v>3C5 N2O Tidak Langsung dari Pengolahan Tanah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RANGKUMAN!$C$22:$W$22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9-4A5E-9BC2-F4F90F3FFD9A}"/>
            </c:ext>
          </c:extLst>
        </c:ser>
        <c:ser>
          <c:idx val="7"/>
          <c:order val="7"/>
          <c:tx>
            <c:strRef>
              <c:f>RANGKUMAN!$B$23</c:f>
              <c:strCache>
                <c:ptCount val="1"/>
                <c:pt idx="0">
                  <c:v>3C6 N2O Tidak Langsung dari Penggunaan Pupuk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RANGKUMAN!$C$23:$W$23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9-4A5E-9BC2-F4F90F3FFD9A}"/>
            </c:ext>
          </c:extLst>
        </c:ser>
        <c:ser>
          <c:idx val="8"/>
          <c:order val="8"/>
          <c:tx>
            <c:strRef>
              <c:f>RANGKUMAN!$B$24</c:f>
              <c:strCache>
                <c:ptCount val="1"/>
                <c:pt idx="0">
                  <c:v>3C7 Budidaya Padi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2025</c:v>
              </c:pt>
              <c:pt idx="16">
                <c:v>2026</c:v>
              </c:pt>
              <c:pt idx="17">
                <c:v>2027</c:v>
              </c:pt>
              <c:pt idx="18">
                <c:v>2028</c:v>
              </c:pt>
              <c:pt idx="19">
                <c:v>2029</c:v>
              </c:pt>
              <c:pt idx="20">
                <c:v>2030</c:v>
              </c:pt>
            </c:numLit>
          </c:cat>
          <c:val>
            <c:numRef>
              <c:f>RANGKUMAN!$C$24:$W$24</c:f>
              <c:numCache>
                <c:formatCode>_(* #,##0_);_(* \(#,##0\);_(* "-"??_);_(@_)</c:formatCode>
                <c:ptCount val="21"/>
                <c:pt idx="0">
                  <c:v>240389.88575467726</c:v>
                </c:pt>
                <c:pt idx="1">
                  <c:v>213431.08769664564</c:v>
                </c:pt>
                <c:pt idx="2">
                  <c:v>213934.05522325399</c:v>
                </c:pt>
                <c:pt idx="3">
                  <c:v>223091.89687597755</c:v>
                </c:pt>
                <c:pt idx="4">
                  <c:v>212064.97599803147</c:v>
                </c:pt>
                <c:pt idx="5">
                  <c:v>227745.84102417971</c:v>
                </c:pt>
                <c:pt idx="6">
                  <c:v>232285.91932097194</c:v>
                </c:pt>
                <c:pt idx="7">
                  <c:v>236914.94184069434</c:v>
                </c:pt>
                <c:pt idx="8">
                  <c:v>241634.66103621968</c:v>
                </c:pt>
                <c:pt idx="9">
                  <c:v>246446.86400855926</c:v>
                </c:pt>
                <c:pt idx="10">
                  <c:v>251353.37319387356</c:v>
                </c:pt>
                <c:pt idx="11">
                  <c:v>256356.04706413471</c:v>
                </c:pt>
                <c:pt idx="12">
                  <c:v>261456.78084171095</c:v>
                </c:pt>
                <c:pt idx="13">
                  <c:v>265816.31635361508</c:v>
                </c:pt>
                <c:pt idx="14">
                  <c:v>265686.66060369689</c:v>
                </c:pt>
                <c:pt idx="15">
                  <c:v>265557.6499072609</c:v>
                </c:pt>
                <c:pt idx="16">
                  <c:v>265429.28105508571</c:v>
                </c:pt>
                <c:pt idx="17">
                  <c:v>265301.55085391633</c:v>
                </c:pt>
                <c:pt idx="18">
                  <c:v>265174.45612638479</c:v>
                </c:pt>
                <c:pt idx="19">
                  <c:v>265047.99371093034</c:v>
                </c:pt>
                <c:pt idx="20">
                  <c:v>264922.160461722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9-4A5E-9BC2-F4F90F3F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175064"/>
        <c:axId val="339168400"/>
      </c:barChart>
      <c:catAx>
        <c:axId val="3391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68400"/>
        <c:crosses val="autoZero"/>
        <c:auto val="1"/>
        <c:lblAlgn val="ctr"/>
        <c:lblOffset val="100"/>
        <c:noMultiLvlLbl val="0"/>
      </c:catAx>
      <c:valAx>
        <c:axId val="3391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RANGKUMAN!$B$25</c:f>
              <c:strCache>
                <c:ptCount val="1"/>
                <c:pt idx="0">
                  <c:v>Emisi BAU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RANGKUMAN!$C$15:$W$15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RANGKUMAN!$C$25:$W$25</c:f>
              <c:numCache>
                <c:formatCode>_(* #,##0_);_(* \(#,##0\);_(* "-"??_);_(@_)</c:formatCode>
                <c:ptCount val="21"/>
                <c:pt idx="0">
                  <c:v>387581.14847833745</c:v>
                </c:pt>
                <c:pt idx="1">
                  <c:v>258711.98913560263</c:v>
                </c:pt>
                <c:pt idx="2">
                  <c:v>264985.26419057295</c:v>
                </c:pt>
                <c:pt idx="3">
                  <c:v>239537.31073576605</c:v>
                </c:pt>
                <c:pt idx="4">
                  <c:v>227497.50921406908</c:v>
                </c:pt>
                <c:pt idx="5">
                  <c:v>259964.00981873891</c:v>
                </c:pt>
                <c:pt idx="6">
                  <c:v>260805.41984666258</c:v>
                </c:pt>
                <c:pt idx="7">
                  <c:v>261737.27497691204</c:v>
                </c:pt>
                <c:pt idx="8">
                  <c:v>282860.32805107062</c:v>
                </c:pt>
                <c:pt idx="9">
                  <c:v>283815.1309628255</c:v>
                </c:pt>
                <c:pt idx="10">
                  <c:v>284796.31166397955</c:v>
                </c:pt>
                <c:pt idx="11">
                  <c:v>285805.45407543762</c:v>
                </c:pt>
                <c:pt idx="12">
                  <c:v>320899.0740470048</c:v>
                </c:pt>
                <c:pt idx="13">
                  <c:v>320864.82693753077</c:v>
                </c:pt>
                <c:pt idx="14">
                  <c:v>320825.55899838358</c:v>
                </c:pt>
                <c:pt idx="15">
                  <c:v>320782.0801221311</c:v>
                </c:pt>
                <c:pt idx="16">
                  <c:v>320735.19040832698</c:v>
                </c:pt>
                <c:pt idx="17">
                  <c:v>320685.68109130231</c:v>
                </c:pt>
                <c:pt idx="18">
                  <c:v>320634.33546778664</c:v>
                </c:pt>
                <c:pt idx="19">
                  <c:v>320581.92982559826</c:v>
                </c:pt>
                <c:pt idx="20">
                  <c:v>320529.23437466176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F3-494A-A268-1F0D74397380}"/>
            </c:ext>
          </c:extLst>
        </c:ser>
        <c:ser>
          <c:idx val="1"/>
          <c:order val="1"/>
          <c:tx>
            <c:strRef>
              <c:f>RANGKUMAN!$B$26</c:f>
              <c:strCache>
                <c:ptCount val="1"/>
                <c:pt idx="0">
                  <c:v>Emisi Mitigasi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RANGKUMAN!$C$15:$W$15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RANGKUMAN!$C$26:$W$26</c:f>
              <c:numCache>
                <c:formatCode>_(* #,##0_);_(* \(#,##0\);_(* "-"??_);_(@_)</c:formatCode>
                <c:ptCount val="21"/>
                <c:pt idx="0">
                  <c:v>387581.14847833745</c:v>
                </c:pt>
                <c:pt idx="1">
                  <c:v>258711.98913560263</c:v>
                </c:pt>
                <c:pt idx="2">
                  <c:v>264985.26419057295</c:v>
                </c:pt>
                <c:pt idx="3">
                  <c:v>239537.31073576605</c:v>
                </c:pt>
                <c:pt idx="4">
                  <c:v>227497.50921406908</c:v>
                </c:pt>
                <c:pt idx="5">
                  <c:v>259964.00981873891</c:v>
                </c:pt>
                <c:pt idx="6">
                  <c:v>259576.29481631584</c:v>
                </c:pt>
                <c:pt idx="7">
                  <c:v>259234.6145614972</c:v>
                </c:pt>
                <c:pt idx="8">
                  <c:v>279030.3538088288</c:v>
                </c:pt>
                <c:pt idx="9">
                  <c:v>278610.44868470111</c:v>
                </c:pt>
                <c:pt idx="10">
                  <c:v>277467.84477109445</c:v>
                </c:pt>
                <c:pt idx="11">
                  <c:v>276274.97240261856</c:v>
                </c:pt>
                <c:pt idx="12">
                  <c:v>309077.98384360166</c:v>
                </c:pt>
                <c:pt idx="13">
                  <c:v>306669.89688884211</c:v>
                </c:pt>
                <c:pt idx="14">
                  <c:v>305216.92681208486</c:v>
                </c:pt>
                <c:pt idx="15">
                  <c:v>303762.68314255413</c:v>
                </c:pt>
                <c:pt idx="16">
                  <c:v>302300.07757331763</c:v>
                </c:pt>
                <c:pt idx="17">
                  <c:v>300837.8048816786</c:v>
                </c:pt>
                <c:pt idx="18">
                  <c:v>299368.75985711219</c:v>
                </c:pt>
                <c:pt idx="19">
                  <c:v>299370.8305827821</c:v>
                </c:pt>
                <c:pt idx="20">
                  <c:v>299367.69030932838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F3-494A-A268-1F0D7439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73104"/>
        <c:axId val="339173496"/>
      </c:lineChart>
      <c:catAx>
        <c:axId val="3391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3496"/>
        <c:crosses val="autoZero"/>
        <c:auto val="1"/>
        <c:lblAlgn val="ctr"/>
        <c:lblOffset val="100"/>
        <c:noMultiLvlLbl val="0"/>
      </c:catAx>
      <c:valAx>
        <c:axId val="3391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246063</xdr:colOff>
      <xdr:row>10</xdr:row>
      <xdr:rowOff>176211</xdr:rowOff>
    </xdr:from>
    <xdr:to>
      <xdr:col>38</xdr:col>
      <xdr:colOff>395287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365123</xdr:colOff>
      <xdr:row>28</xdr:row>
      <xdr:rowOff>9525</xdr:rowOff>
    </xdr:from>
    <xdr:to>
      <xdr:col>3</xdr:col>
      <xdr:colOff>706436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UMENS\Banyumas\BAU%20GRK%20Banyumas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 peternakan"/>
      <sheetName val="3A1 dan 2 Peternakan-CH4"/>
      <sheetName val="3A2 Peternakan-N2O"/>
      <sheetName val="EF&amp;SF lahan sawah"/>
      <sheetName val="3C5 Lahan sawah"/>
      <sheetName val="EF pupuk-kapur"/>
      <sheetName val="Kapur pertanian-CO2"/>
      <sheetName val="Pupuk Urea-CO2"/>
      <sheetName val="Direct N2O"/>
      <sheetName val="RANGKUMAN"/>
      <sheetName val="Data Saw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BO16">
            <v>50723.02199999999</v>
          </cell>
          <cell r="BP16">
            <v>49549.332000000002</v>
          </cell>
          <cell r="BQ16">
            <v>50292.9</v>
          </cell>
          <cell r="BR16">
            <v>47425.349999999991</v>
          </cell>
          <cell r="BS16">
            <v>44747.493000000002</v>
          </cell>
          <cell r="BT16">
            <v>44760.817500000012</v>
          </cell>
          <cell r="BU16">
            <v>44774.221947000005</v>
          </cell>
          <cell r="BV16">
            <v>44787.706820682004</v>
          </cell>
          <cell r="BW16">
            <v>44801.272603606085</v>
          </cell>
          <cell r="BX16">
            <v>44814.919781227727</v>
          </cell>
          <cell r="BY16">
            <v>44828.648841915099</v>
          </cell>
          <cell r="BZ16">
            <v>44842.460276966587</v>
          </cell>
          <cell r="CA16">
            <v>44856.354580628387</v>
          </cell>
          <cell r="CB16">
            <v>44870.332250112158</v>
          </cell>
          <cell r="CC16">
            <v>44884.393785612832</v>
          </cell>
          <cell r="CD16">
            <v>44898.539690326506</v>
          </cell>
          <cell r="CE16">
            <v>44912.770470468466</v>
          </cell>
          <cell r="CF16">
            <v>44927.086635291278</v>
          </cell>
          <cell r="CG16">
            <v>44941.488697103028</v>
          </cell>
          <cell r="CH16">
            <v>44955.977171285638</v>
          </cell>
          <cell r="CI16">
            <v>44970.552576313363</v>
          </cell>
        </row>
        <row r="17">
          <cell r="BO17">
            <v>18754.382782945937</v>
          </cell>
          <cell r="BP17">
            <v>18581.56749532944</v>
          </cell>
          <cell r="BQ17">
            <v>18871.025597552041</v>
          </cell>
          <cell r="BR17">
            <v>17147.77540842101</v>
          </cell>
          <cell r="BS17">
            <v>16062.539159366175</v>
          </cell>
          <cell r="BT17">
            <v>16090.771722117675</v>
          </cell>
          <cell r="BU17">
            <v>16119.173680245687</v>
          </cell>
          <cell r="BV17">
            <v>16147.746050122463</v>
          </cell>
          <cell r="BW17">
            <v>16176.489854218502</v>
          </cell>
          <cell r="BX17">
            <v>16205.40612113912</v>
          </cell>
          <cell r="BY17">
            <v>16234.495885661257</v>
          </cell>
          <cell r="BZ17">
            <v>16260.154593012167</v>
          </cell>
          <cell r="CA17">
            <v>16285.967252607183</v>
          </cell>
          <cell r="CB17">
            <v>16311.934788159768</v>
          </cell>
          <cell r="CC17">
            <v>16338.058128925666</v>
          </cell>
          <cell r="CD17">
            <v>16364.338209736165</v>
          </cell>
          <cell r="CE17">
            <v>16390.775971031522</v>
          </cell>
          <cell r="CF17">
            <v>16417.372358894649</v>
          </cell>
          <cell r="CG17">
            <v>16444.128325084966</v>
          </cell>
          <cell r="CH17">
            <v>16471.044827072416</v>
          </cell>
          <cell r="CI17">
            <v>16498.122828071791</v>
          </cell>
        </row>
        <row r="18"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</row>
        <row r="19"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</row>
        <row r="20">
          <cell r="BO20">
            <v>14403.18</v>
          </cell>
          <cell r="BP20">
            <v>14403.18</v>
          </cell>
          <cell r="BQ20">
            <v>14403.18</v>
          </cell>
          <cell r="BR20">
            <v>14403.18</v>
          </cell>
          <cell r="BS20">
            <v>18412.826666666668</v>
          </cell>
          <cell r="BT20">
            <v>14556.593333333336</v>
          </cell>
          <cell r="BU20">
            <v>19156.704864000003</v>
          </cell>
          <cell r="BV20">
            <v>19539.838961280002</v>
          </cell>
          <cell r="BW20">
            <v>19930.635740505601</v>
          </cell>
          <cell r="BX20">
            <v>20329.248455315716</v>
          </cell>
          <cell r="BY20">
            <v>20735.833424422028</v>
          </cell>
          <cell r="BZ20">
            <v>21150.550092910471</v>
          </cell>
          <cell r="CA20">
            <v>21573.56109476868</v>
          </cell>
          <cell r="CB20">
            <v>22005.032316664048</v>
          </cell>
          <cell r="CC20">
            <v>22005.032316664048</v>
          </cell>
          <cell r="CD20">
            <v>22005.032316664048</v>
          </cell>
          <cell r="CE20">
            <v>22005.032316664048</v>
          </cell>
          <cell r="CF20">
            <v>22005.032316664048</v>
          </cell>
          <cell r="CG20">
            <v>22005.032316664048</v>
          </cell>
          <cell r="CH20">
            <v>22005.032316664048</v>
          </cell>
          <cell r="CI20">
            <v>22005.032316664048</v>
          </cell>
        </row>
        <row r="21">
          <cell r="BO21">
            <v>63310.677940714297</v>
          </cell>
          <cell r="BP21">
            <v>63310.677940714297</v>
          </cell>
          <cell r="BQ21">
            <v>63310.677940714297</v>
          </cell>
          <cell r="BR21">
            <v>63310.677940714297</v>
          </cell>
          <cell r="BS21">
            <v>83896.497685000024</v>
          </cell>
          <cell r="BT21">
            <v>64023.168699285707</v>
          </cell>
          <cell r="BU21">
            <v>62634.791275331794</v>
          </cell>
          <cell r="BV21">
            <v>63857.515904481283</v>
          </cell>
          <cell r="BW21">
            <v>65104.695026213762</v>
          </cell>
          <cell r="BX21">
            <v>66376.817730380921</v>
          </cell>
          <cell r="BY21">
            <v>67674.382888631371</v>
          </cell>
          <cell r="BZ21">
            <v>68997.89935004685</v>
          </cell>
          <cell r="CA21">
            <v>70347.886140690665</v>
          </cell>
          <cell r="CB21">
            <v>71724.872667147341</v>
          </cell>
          <cell r="CC21">
            <v>71724.872667147341</v>
          </cell>
          <cell r="CD21">
            <v>71724.872667147341</v>
          </cell>
          <cell r="CE21">
            <v>71724.872667147341</v>
          </cell>
          <cell r="CF21">
            <v>71724.872667147341</v>
          </cell>
          <cell r="CG21">
            <v>71724.872667147341</v>
          </cell>
          <cell r="CH21">
            <v>71724.872667147341</v>
          </cell>
          <cell r="CI21">
            <v>71724.872667147341</v>
          </cell>
        </row>
        <row r="22"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</row>
        <row r="23"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</row>
        <row r="24">
          <cell r="BO24">
            <v>240389.88575467726</v>
          </cell>
          <cell r="BP24">
            <v>213431.08769664564</v>
          </cell>
          <cell r="BQ24">
            <v>213934.05522325399</v>
          </cell>
          <cell r="BR24">
            <v>223091.89687597755</v>
          </cell>
          <cell r="BS24">
            <v>212064.97599803147</v>
          </cell>
          <cell r="BT24">
            <v>227745.84102417971</v>
          </cell>
          <cell r="BU24">
            <v>232285.91932097194</v>
          </cell>
          <cell r="BV24">
            <v>236914.94184069434</v>
          </cell>
          <cell r="BW24">
            <v>241634.66103621968</v>
          </cell>
          <cell r="BX24">
            <v>246446.86400855926</v>
          </cell>
          <cell r="BY24">
            <v>251353.37319387356</v>
          </cell>
          <cell r="BZ24">
            <v>256356.04706413471</v>
          </cell>
          <cell r="CA24">
            <v>261456.78084171095</v>
          </cell>
          <cell r="CB24">
            <v>265816.31635361508</v>
          </cell>
          <cell r="CC24">
            <v>265686.66060369689</v>
          </cell>
          <cell r="CD24">
            <v>265557.6499072609</v>
          </cell>
          <cell r="CE24">
            <v>265429.28105508571</v>
          </cell>
          <cell r="CF24">
            <v>265301.55085391633</v>
          </cell>
          <cell r="CG24">
            <v>265174.45612638479</v>
          </cell>
          <cell r="CH24">
            <v>265047.99371093034</v>
          </cell>
          <cell r="CI24">
            <v>264922.160461722</v>
          </cell>
        </row>
      </sheetData>
      <sheetData sheetId="10" refreshError="1">
        <row r="9">
          <cell r="C9">
            <v>2814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W30"/>
  <sheetViews>
    <sheetView tabSelected="1" topLeftCell="A10" zoomScale="82" zoomScaleNormal="100" workbookViewId="0">
      <selection activeCell="I15" sqref="I15:W15"/>
    </sheetView>
  </sheetViews>
  <sheetFormatPr defaultRowHeight="14.4" x14ac:dyDescent="0.3"/>
  <cols>
    <col min="2" max="2" width="51.88671875" customWidth="1"/>
    <col min="3" max="3" width="11.5546875" bestFit="1" customWidth="1"/>
    <col min="4" max="23" width="10.6640625" customWidth="1"/>
  </cols>
  <sheetData>
    <row r="15" spans="2:23" x14ac:dyDescent="0.3">
      <c r="C15">
        <v>2010</v>
      </c>
      <c r="D15">
        <f>C15+1</f>
        <v>2011</v>
      </c>
      <c r="E15">
        <f t="shared" ref="E15:W15" si="0">D15+1</f>
        <v>2012</v>
      </c>
      <c r="F15">
        <f t="shared" si="0"/>
        <v>2013</v>
      </c>
      <c r="G15">
        <f t="shared" si="0"/>
        <v>2014</v>
      </c>
      <c r="H15">
        <f t="shared" si="0"/>
        <v>2015</v>
      </c>
      <c r="I15">
        <f t="shared" si="0"/>
        <v>2016</v>
      </c>
      <c r="J15">
        <f t="shared" si="0"/>
        <v>2017</v>
      </c>
      <c r="K15">
        <f t="shared" si="0"/>
        <v>2018</v>
      </c>
      <c r="L15">
        <f t="shared" si="0"/>
        <v>2019</v>
      </c>
      <c r="M15">
        <f t="shared" si="0"/>
        <v>2020</v>
      </c>
      <c r="N15">
        <f t="shared" si="0"/>
        <v>2021</v>
      </c>
      <c r="O15">
        <f t="shared" si="0"/>
        <v>2022</v>
      </c>
      <c r="P15">
        <f t="shared" si="0"/>
        <v>2023</v>
      </c>
      <c r="Q15">
        <f t="shared" si="0"/>
        <v>2024</v>
      </c>
      <c r="R15">
        <f t="shared" si="0"/>
        <v>2025</v>
      </c>
      <c r="S15">
        <f t="shared" si="0"/>
        <v>2026</v>
      </c>
      <c r="T15">
        <f t="shared" si="0"/>
        <v>2027</v>
      </c>
      <c r="U15">
        <f t="shared" si="0"/>
        <v>2028</v>
      </c>
      <c r="V15">
        <f t="shared" si="0"/>
        <v>2029</v>
      </c>
      <c r="W15">
        <f t="shared" si="0"/>
        <v>2030</v>
      </c>
    </row>
    <row r="16" spans="2:23" x14ac:dyDescent="0.3">
      <c r="B16" t="s">
        <v>0</v>
      </c>
      <c r="C16" s="6">
        <f>[1]RANGKUMAN!BO$16</f>
        <v>50723.02199999999</v>
      </c>
      <c r="D16" s="6">
        <f>[1]RANGKUMAN!BP$16</f>
        <v>49549.332000000002</v>
      </c>
      <c r="E16" s="6">
        <f>[1]RANGKUMAN!BQ$16</f>
        <v>50292.9</v>
      </c>
      <c r="F16" s="6">
        <f>[1]RANGKUMAN!BR$16</f>
        <v>47425.349999999991</v>
      </c>
      <c r="G16" s="6">
        <f>[1]RANGKUMAN!BS$16</f>
        <v>44747.493000000002</v>
      </c>
      <c r="H16" s="6">
        <f>[1]RANGKUMAN!BT$16</f>
        <v>44760.817500000012</v>
      </c>
      <c r="I16" s="6">
        <f>[1]RANGKUMAN!BU$16</f>
        <v>44774.221947000005</v>
      </c>
      <c r="J16" s="6">
        <f>[1]RANGKUMAN!BV$16</f>
        <v>44787.706820682004</v>
      </c>
      <c r="K16" s="6">
        <f>[1]RANGKUMAN!BW$16</f>
        <v>44801.272603606085</v>
      </c>
      <c r="L16" s="6">
        <f>[1]RANGKUMAN!BX$16</f>
        <v>44814.919781227727</v>
      </c>
      <c r="M16" s="6">
        <f>[1]RANGKUMAN!BY$16</f>
        <v>44828.648841915099</v>
      </c>
      <c r="N16" s="6">
        <f>[1]RANGKUMAN!BZ$16</f>
        <v>44842.460276966587</v>
      </c>
      <c r="O16" s="6">
        <f>[1]RANGKUMAN!CA$16</f>
        <v>44856.354580628387</v>
      </c>
      <c r="P16" s="6">
        <f>[1]RANGKUMAN!CB$16</f>
        <v>44870.332250112158</v>
      </c>
      <c r="Q16" s="6">
        <f>[1]RANGKUMAN!CC$16</f>
        <v>44884.393785612832</v>
      </c>
      <c r="R16" s="6">
        <f>[1]RANGKUMAN!CD$16</f>
        <v>44898.539690326506</v>
      </c>
      <c r="S16" s="6">
        <f>[1]RANGKUMAN!CE$16</f>
        <v>44912.770470468466</v>
      </c>
      <c r="T16" s="6">
        <f>[1]RANGKUMAN!CF$16</f>
        <v>44927.086635291278</v>
      </c>
      <c r="U16" s="6">
        <f>[1]RANGKUMAN!CG$16</f>
        <v>44941.488697103028</v>
      </c>
      <c r="V16" s="6">
        <f>[1]RANGKUMAN!CH$16</f>
        <v>44955.977171285638</v>
      </c>
      <c r="W16" s="6">
        <f>[1]RANGKUMAN!CI$16</f>
        <v>44970.552576313363</v>
      </c>
    </row>
    <row r="17" spans="2:23" x14ac:dyDescent="0.3">
      <c r="B17" t="s">
        <v>1</v>
      </c>
      <c r="C17" s="6">
        <f>[1]RANGKUMAN!BO$17</f>
        <v>18754.382782945937</v>
      </c>
      <c r="D17" s="6">
        <f>[1]RANGKUMAN!BP$17</f>
        <v>18581.56749532944</v>
      </c>
      <c r="E17" s="6">
        <f>[1]RANGKUMAN!BQ$17</f>
        <v>18871.025597552041</v>
      </c>
      <c r="F17" s="6">
        <f>[1]RANGKUMAN!BR$17</f>
        <v>17147.77540842101</v>
      </c>
      <c r="G17" s="6">
        <f>[1]RANGKUMAN!BS$17</f>
        <v>16062.539159366175</v>
      </c>
      <c r="H17" s="6">
        <f>[1]RANGKUMAN!BT$17</f>
        <v>16090.771722117675</v>
      </c>
      <c r="I17" s="6">
        <f>[1]RANGKUMAN!BU$17</f>
        <v>16119.173680245687</v>
      </c>
      <c r="J17" s="6">
        <f>[1]RANGKUMAN!BV$17</f>
        <v>16147.746050122463</v>
      </c>
      <c r="K17" s="6">
        <f>[1]RANGKUMAN!BW$17</f>
        <v>16176.489854218502</v>
      </c>
      <c r="L17" s="6">
        <f>[1]RANGKUMAN!BX$17</f>
        <v>16205.40612113912</v>
      </c>
      <c r="M17" s="6">
        <f>[1]RANGKUMAN!BY$17</f>
        <v>16234.495885661257</v>
      </c>
      <c r="N17" s="6">
        <f>[1]RANGKUMAN!BZ$17</f>
        <v>16260.154593012167</v>
      </c>
      <c r="O17" s="6">
        <f>[1]RANGKUMAN!CA$17</f>
        <v>16285.967252607183</v>
      </c>
      <c r="P17" s="6">
        <f>[1]RANGKUMAN!CB$17</f>
        <v>16311.934788159768</v>
      </c>
      <c r="Q17" s="6">
        <f>[1]RANGKUMAN!CC$17</f>
        <v>16338.058128925666</v>
      </c>
      <c r="R17" s="6">
        <f>[1]RANGKUMAN!CD$17</f>
        <v>16364.338209736165</v>
      </c>
      <c r="S17" s="6">
        <f>[1]RANGKUMAN!CE$17</f>
        <v>16390.775971031522</v>
      </c>
      <c r="T17" s="6">
        <f>[1]RANGKUMAN!CF$17</f>
        <v>16417.372358894649</v>
      </c>
      <c r="U17" s="6">
        <f>[1]RANGKUMAN!CG$17</f>
        <v>16444.128325084966</v>
      </c>
      <c r="V17" s="6">
        <f>[1]RANGKUMAN!CH$17</f>
        <v>16471.044827072416</v>
      </c>
      <c r="W17" s="6">
        <f>[1]RANGKUMAN!CI$17</f>
        <v>16498.122828071791</v>
      </c>
    </row>
    <row r="18" spans="2:23" x14ac:dyDescent="0.3">
      <c r="B18" t="s">
        <v>2</v>
      </c>
      <c r="C18" s="6">
        <f>[1]RANGKUMAN!BO$18</f>
        <v>0</v>
      </c>
      <c r="D18" s="6">
        <f>[1]RANGKUMAN!BP$18</f>
        <v>0</v>
      </c>
      <c r="E18" s="6">
        <f>[1]RANGKUMAN!BQ$18</f>
        <v>0</v>
      </c>
      <c r="F18" s="6">
        <f>[1]RANGKUMAN!BR$18</f>
        <v>0</v>
      </c>
      <c r="G18" s="6">
        <f>[1]RANGKUMAN!BS$18</f>
        <v>0</v>
      </c>
      <c r="H18" s="6">
        <f>[1]RANGKUMAN!BT$18</f>
        <v>0</v>
      </c>
      <c r="I18" s="6">
        <f>[1]RANGKUMAN!BU$18</f>
        <v>0</v>
      </c>
      <c r="J18" s="6">
        <f>[1]RANGKUMAN!BV$18</f>
        <v>0</v>
      </c>
      <c r="K18" s="6">
        <f>[1]RANGKUMAN!BW$18</f>
        <v>0</v>
      </c>
      <c r="L18" s="6">
        <f>[1]RANGKUMAN!BX$18</f>
        <v>0</v>
      </c>
      <c r="M18" s="6">
        <f>[1]RANGKUMAN!BY$18</f>
        <v>0</v>
      </c>
      <c r="N18" s="6">
        <f>[1]RANGKUMAN!BZ$18</f>
        <v>0</v>
      </c>
      <c r="O18" s="6">
        <f>[1]RANGKUMAN!CA$18</f>
        <v>0</v>
      </c>
      <c r="P18" s="6">
        <f>[1]RANGKUMAN!CB$18</f>
        <v>0</v>
      </c>
      <c r="Q18" s="6">
        <f>[1]RANGKUMAN!CC$18</f>
        <v>0</v>
      </c>
      <c r="R18" s="6">
        <f>[1]RANGKUMAN!CD$18</f>
        <v>0</v>
      </c>
      <c r="S18" s="6">
        <f>[1]RANGKUMAN!CE$18</f>
        <v>0</v>
      </c>
      <c r="T18" s="6">
        <f>[1]RANGKUMAN!CF$18</f>
        <v>0</v>
      </c>
      <c r="U18" s="6">
        <f>[1]RANGKUMAN!CG$18</f>
        <v>0</v>
      </c>
      <c r="V18" s="6">
        <f>[1]RANGKUMAN!CH$18</f>
        <v>0</v>
      </c>
      <c r="W18" s="6">
        <f>[1]RANGKUMAN!CI$18</f>
        <v>0</v>
      </c>
    </row>
    <row r="19" spans="2:23" x14ac:dyDescent="0.3">
      <c r="B19" t="s">
        <v>3</v>
      </c>
      <c r="C19" s="6">
        <f>[1]RANGKUMAN!BO$19</f>
        <v>0</v>
      </c>
      <c r="D19" s="6">
        <f>[1]RANGKUMAN!BP$19</f>
        <v>0</v>
      </c>
      <c r="E19" s="6">
        <f>[1]RANGKUMAN!BQ$19</f>
        <v>0</v>
      </c>
      <c r="F19" s="6">
        <f>[1]RANGKUMAN!BR$19</f>
        <v>0</v>
      </c>
      <c r="G19" s="6">
        <f>[1]RANGKUMAN!BS$19</f>
        <v>0</v>
      </c>
      <c r="H19" s="6">
        <f>[1]RANGKUMAN!BT$19</f>
        <v>0</v>
      </c>
      <c r="I19" s="6">
        <f>[1]RANGKUMAN!BU$19</f>
        <v>0</v>
      </c>
      <c r="J19" s="6">
        <f>[1]RANGKUMAN!BV$19</f>
        <v>0</v>
      </c>
      <c r="K19" s="6">
        <f>[1]RANGKUMAN!BW$19</f>
        <v>0</v>
      </c>
      <c r="L19" s="6">
        <f>[1]RANGKUMAN!BX$19</f>
        <v>0</v>
      </c>
      <c r="M19" s="6">
        <f>[1]RANGKUMAN!BY$19</f>
        <v>0</v>
      </c>
      <c r="N19" s="6">
        <f>[1]RANGKUMAN!BZ$19</f>
        <v>0</v>
      </c>
      <c r="O19" s="6">
        <f>[1]RANGKUMAN!CA$19</f>
        <v>0</v>
      </c>
      <c r="P19" s="6">
        <f>[1]RANGKUMAN!CB$19</f>
        <v>0</v>
      </c>
      <c r="Q19" s="6">
        <f>[1]RANGKUMAN!CC$19</f>
        <v>0</v>
      </c>
      <c r="R19" s="6">
        <f>[1]RANGKUMAN!CD$19</f>
        <v>0</v>
      </c>
      <c r="S19" s="6">
        <f>[1]RANGKUMAN!CE$19</f>
        <v>0</v>
      </c>
      <c r="T19" s="6">
        <f>[1]RANGKUMAN!CF$19</f>
        <v>0</v>
      </c>
      <c r="U19" s="6">
        <f>[1]RANGKUMAN!CG$19</f>
        <v>0</v>
      </c>
      <c r="V19" s="6">
        <f>[1]RANGKUMAN!CH$19</f>
        <v>0</v>
      </c>
      <c r="W19" s="6">
        <f>[1]RANGKUMAN!CI$19</f>
        <v>0</v>
      </c>
    </row>
    <row r="20" spans="2:23" x14ac:dyDescent="0.3">
      <c r="B20" t="s">
        <v>4</v>
      </c>
      <c r="C20" s="6">
        <f>[1]RANGKUMAN!BO$20</f>
        <v>14403.18</v>
      </c>
      <c r="D20" s="6">
        <f>[1]RANGKUMAN!BP$20</f>
        <v>14403.18</v>
      </c>
      <c r="E20" s="6">
        <f>[1]RANGKUMAN!BQ$20</f>
        <v>14403.18</v>
      </c>
      <c r="F20" s="6">
        <f>[1]RANGKUMAN!BR$20</f>
        <v>14403.18</v>
      </c>
      <c r="G20" s="6">
        <f>[1]RANGKUMAN!BS$20</f>
        <v>18412.826666666668</v>
      </c>
      <c r="H20" s="6">
        <f>[1]RANGKUMAN!BT$20</f>
        <v>14556.593333333336</v>
      </c>
      <c r="I20" s="6">
        <f>[1]RANGKUMAN!BU$20</f>
        <v>19156.704864000003</v>
      </c>
      <c r="J20" s="6">
        <f>[1]RANGKUMAN!BV$20</f>
        <v>19539.838961280002</v>
      </c>
      <c r="K20" s="6">
        <f>[1]RANGKUMAN!BW$20</f>
        <v>19930.635740505601</v>
      </c>
      <c r="L20" s="6">
        <f>[1]RANGKUMAN!BX$20</f>
        <v>20329.248455315716</v>
      </c>
      <c r="M20" s="6">
        <f>[1]RANGKUMAN!BY$20</f>
        <v>20735.833424422028</v>
      </c>
      <c r="N20" s="6">
        <f>[1]RANGKUMAN!BZ$20</f>
        <v>21150.550092910471</v>
      </c>
      <c r="O20" s="6">
        <f>[1]RANGKUMAN!CA$20</f>
        <v>21573.56109476868</v>
      </c>
      <c r="P20" s="6">
        <f>[1]RANGKUMAN!CB$20</f>
        <v>22005.032316664048</v>
      </c>
      <c r="Q20" s="6">
        <f>[1]RANGKUMAN!CC$20</f>
        <v>22005.032316664048</v>
      </c>
      <c r="R20" s="6">
        <f>[1]RANGKUMAN!CD$20</f>
        <v>22005.032316664048</v>
      </c>
      <c r="S20" s="6">
        <f>[1]RANGKUMAN!CE$20</f>
        <v>22005.032316664048</v>
      </c>
      <c r="T20" s="6">
        <f>[1]RANGKUMAN!CF$20</f>
        <v>22005.032316664048</v>
      </c>
      <c r="U20" s="6">
        <f>[1]RANGKUMAN!CG$20</f>
        <v>22005.032316664048</v>
      </c>
      <c r="V20" s="6">
        <f>[1]RANGKUMAN!CH$20</f>
        <v>22005.032316664048</v>
      </c>
      <c r="W20" s="6">
        <f>[1]RANGKUMAN!CI$20</f>
        <v>22005.032316664048</v>
      </c>
    </row>
    <row r="21" spans="2:23" x14ac:dyDescent="0.3">
      <c r="B21" t="s">
        <v>5</v>
      </c>
      <c r="C21" s="6">
        <f>[1]RANGKUMAN!BO$21</f>
        <v>63310.677940714297</v>
      </c>
      <c r="D21" s="6">
        <f>[1]RANGKUMAN!BP$21</f>
        <v>63310.677940714297</v>
      </c>
      <c r="E21" s="6">
        <f>[1]RANGKUMAN!BQ$21</f>
        <v>63310.677940714297</v>
      </c>
      <c r="F21" s="6">
        <f>[1]RANGKUMAN!BR$21</f>
        <v>63310.677940714297</v>
      </c>
      <c r="G21" s="6">
        <f>[1]RANGKUMAN!BS$21</f>
        <v>83896.497685000024</v>
      </c>
      <c r="H21" s="6">
        <f>[1]RANGKUMAN!BT$21</f>
        <v>64023.168699285707</v>
      </c>
      <c r="I21" s="6">
        <f>[1]RANGKUMAN!BU$21</f>
        <v>62634.791275331794</v>
      </c>
      <c r="J21" s="6">
        <f>[1]RANGKUMAN!BV$21</f>
        <v>63857.515904481283</v>
      </c>
      <c r="K21" s="6">
        <f>[1]RANGKUMAN!BW$21</f>
        <v>65104.695026213762</v>
      </c>
      <c r="L21" s="6">
        <f>[1]RANGKUMAN!BX$21</f>
        <v>66376.817730380921</v>
      </c>
      <c r="M21" s="6">
        <f>[1]RANGKUMAN!BY$21</f>
        <v>67674.382888631371</v>
      </c>
      <c r="N21" s="6">
        <f>[1]RANGKUMAN!BZ$21</f>
        <v>68997.89935004685</v>
      </c>
      <c r="O21" s="6">
        <f>[1]RANGKUMAN!CA$21</f>
        <v>70347.886140690665</v>
      </c>
      <c r="P21" s="6">
        <f>[1]RANGKUMAN!CB$21</f>
        <v>71724.872667147341</v>
      </c>
      <c r="Q21" s="6">
        <f>[1]RANGKUMAN!CC$21</f>
        <v>71724.872667147341</v>
      </c>
      <c r="R21" s="6">
        <f>[1]RANGKUMAN!CD$21</f>
        <v>71724.872667147341</v>
      </c>
      <c r="S21" s="6">
        <f>[1]RANGKUMAN!CE$21</f>
        <v>71724.872667147341</v>
      </c>
      <c r="T21" s="6">
        <f>[1]RANGKUMAN!CF$21</f>
        <v>71724.872667147341</v>
      </c>
      <c r="U21" s="6">
        <f>[1]RANGKUMAN!CG$21</f>
        <v>71724.872667147341</v>
      </c>
      <c r="V21" s="6">
        <f>[1]RANGKUMAN!CH$21</f>
        <v>71724.872667147341</v>
      </c>
      <c r="W21" s="6">
        <f>[1]RANGKUMAN!CI$21</f>
        <v>71724.872667147341</v>
      </c>
    </row>
    <row r="22" spans="2:23" x14ac:dyDescent="0.3">
      <c r="B22" t="s">
        <v>6</v>
      </c>
      <c r="C22" s="6">
        <f>[1]RANGKUMAN!BO$22</f>
        <v>0</v>
      </c>
      <c r="D22" s="6">
        <f>[1]RANGKUMAN!BP$22</f>
        <v>0</v>
      </c>
      <c r="E22" s="6">
        <f>[1]RANGKUMAN!BQ$22</f>
        <v>0</v>
      </c>
      <c r="F22" s="6">
        <f>[1]RANGKUMAN!BR$22</f>
        <v>0</v>
      </c>
      <c r="G22" s="6">
        <f>[1]RANGKUMAN!BS$22</f>
        <v>0</v>
      </c>
      <c r="H22" s="6">
        <f>[1]RANGKUMAN!BT$22</f>
        <v>0</v>
      </c>
      <c r="I22" s="6">
        <f>[1]RANGKUMAN!BU$22</f>
        <v>0</v>
      </c>
      <c r="J22" s="6">
        <f>[1]RANGKUMAN!BV$22</f>
        <v>0</v>
      </c>
      <c r="K22" s="6">
        <f>[1]RANGKUMAN!BW$22</f>
        <v>0</v>
      </c>
      <c r="L22" s="6">
        <f>[1]RANGKUMAN!BX$22</f>
        <v>0</v>
      </c>
      <c r="M22" s="6">
        <f>[1]RANGKUMAN!BY$22</f>
        <v>0</v>
      </c>
      <c r="N22" s="6">
        <f>[1]RANGKUMAN!BZ$22</f>
        <v>0</v>
      </c>
      <c r="O22" s="6">
        <f>[1]RANGKUMAN!CA$22</f>
        <v>0</v>
      </c>
      <c r="P22" s="6">
        <f>[1]RANGKUMAN!CB$22</f>
        <v>0</v>
      </c>
      <c r="Q22" s="6">
        <f>[1]RANGKUMAN!CC$22</f>
        <v>0</v>
      </c>
      <c r="R22" s="6">
        <f>[1]RANGKUMAN!CD$22</f>
        <v>0</v>
      </c>
      <c r="S22" s="6">
        <f>[1]RANGKUMAN!CE$22</f>
        <v>0</v>
      </c>
      <c r="T22" s="6">
        <f>[1]RANGKUMAN!CF$22</f>
        <v>0</v>
      </c>
      <c r="U22" s="6">
        <f>[1]RANGKUMAN!CG$22</f>
        <v>0</v>
      </c>
      <c r="V22" s="6">
        <f>[1]RANGKUMAN!CH$22</f>
        <v>0</v>
      </c>
      <c r="W22" s="6">
        <f>[1]RANGKUMAN!CI$22</f>
        <v>0</v>
      </c>
    </row>
    <row r="23" spans="2:23" x14ac:dyDescent="0.3">
      <c r="B23" t="s">
        <v>7</v>
      </c>
      <c r="C23" s="6">
        <f>[1]RANGKUMAN!BO$23</f>
        <v>0</v>
      </c>
      <c r="D23" s="6">
        <f>[1]RANGKUMAN!BP$23</f>
        <v>0</v>
      </c>
      <c r="E23" s="6">
        <f>[1]RANGKUMAN!BQ$23</f>
        <v>0</v>
      </c>
      <c r="F23" s="6">
        <f>[1]RANGKUMAN!BR$23</f>
        <v>0</v>
      </c>
      <c r="G23" s="6">
        <f>[1]RANGKUMAN!BS$23</f>
        <v>0</v>
      </c>
      <c r="H23" s="6">
        <f>[1]RANGKUMAN!BT$23</f>
        <v>0</v>
      </c>
      <c r="I23" s="6">
        <f>[1]RANGKUMAN!BU$23</f>
        <v>0</v>
      </c>
      <c r="J23" s="6">
        <f>[1]RANGKUMAN!BV$23</f>
        <v>0</v>
      </c>
      <c r="K23" s="6">
        <f>[1]RANGKUMAN!BW$23</f>
        <v>0</v>
      </c>
      <c r="L23" s="6">
        <f>[1]RANGKUMAN!BX$23</f>
        <v>0</v>
      </c>
      <c r="M23" s="6">
        <f>[1]RANGKUMAN!BY$23</f>
        <v>0</v>
      </c>
      <c r="N23" s="6">
        <f>[1]RANGKUMAN!BZ$23</f>
        <v>0</v>
      </c>
      <c r="O23" s="6">
        <f>[1]RANGKUMAN!CA$23</f>
        <v>0</v>
      </c>
      <c r="P23" s="6">
        <f>[1]RANGKUMAN!CB$23</f>
        <v>0</v>
      </c>
      <c r="Q23" s="6">
        <f>[1]RANGKUMAN!CC$23</f>
        <v>0</v>
      </c>
      <c r="R23" s="6">
        <f>[1]RANGKUMAN!CD$23</f>
        <v>0</v>
      </c>
      <c r="S23" s="6">
        <f>[1]RANGKUMAN!CE$23</f>
        <v>0</v>
      </c>
      <c r="T23" s="6">
        <f>[1]RANGKUMAN!CF$23</f>
        <v>0</v>
      </c>
      <c r="U23" s="6">
        <f>[1]RANGKUMAN!CG$23</f>
        <v>0</v>
      </c>
      <c r="V23" s="6">
        <f>[1]RANGKUMAN!CH$23</f>
        <v>0</v>
      </c>
      <c r="W23" s="6">
        <f>[1]RANGKUMAN!CI$23</f>
        <v>0</v>
      </c>
    </row>
    <row r="24" spans="2:23" x14ac:dyDescent="0.3">
      <c r="B24" t="s">
        <v>8</v>
      </c>
      <c r="C24" s="6">
        <f>[1]RANGKUMAN!BO$24</f>
        <v>240389.88575467726</v>
      </c>
      <c r="D24" s="6">
        <f>[1]RANGKUMAN!BP$24</f>
        <v>213431.08769664564</v>
      </c>
      <c r="E24" s="6">
        <f>[1]RANGKUMAN!BQ$24</f>
        <v>213934.05522325399</v>
      </c>
      <c r="F24" s="6">
        <f>[1]RANGKUMAN!BR$24</f>
        <v>223091.89687597755</v>
      </c>
      <c r="G24" s="6">
        <f>[1]RANGKUMAN!BS$24</f>
        <v>212064.97599803147</v>
      </c>
      <c r="H24" s="6">
        <f>[1]RANGKUMAN!BT$24</f>
        <v>227745.84102417971</v>
      </c>
      <c r="I24" s="6">
        <f>[1]RANGKUMAN!BU$24</f>
        <v>232285.91932097194</v>
      </c>
      <c r="J24" s="6">
        <f>[1]RANGKUMAN!BV$24</f>
        <v>236914.94184069434</v>
      </c>
      <c r="K24" s="6">
        <f>[1]RANGKUMAN!BW$24</f>
        <v>241634.66103621968</v>
      </c>
      <c r="L24" s="6">
        <f>[1]RANGKUMAN!BX$24</f>
        <v>246446.86400855926</v>
      </c>
      <c r="M24" s="6">
        <f>[1]RANGKUMAN!BY$24</f>
        <v>251353.37319387356</v>
      </c>
      <c r="N24" s="6">
        <f>[1]RANGKUMAN!BZ$24</f>
        <v>256356.04706413471</v>
      </c>
      <c r="O24" s="6">
        <f>[1]RANGKUMAN!CA$24</f>
        <v>261456.78084171095</v>
      </c>
      <c r="P24" s="6">
        <f>[1]RANGKUMAN!CB$24</f>
        <v>265816.31635361508</v>
      </c>
      <c r="Q24" s="6">
        <f>[1]RANGKUMAN!CC$24</f>
        <v>265686.66060369689</v>
      </c>
      <c r="R24" s="6">
        <f>[1]RANGKUMAN!CD$24</f>
        <v>265557.6499072609</v>
      </c>
      <c r="S24" s="6">
        <f>[1]RANGKUMAN!CE$24</f>
        <v>265429.28105508571</v>
      </c>
      <c r="T24" s="6">
        <f>[1]RANGKUMAN!CF$24</f>
        <v>265301.55085391633</v>
      </c>
      <c r="U24" s="6">
        <f>[1]RANGKUMAN!CG$24</f>
        <v>265174.45612638479</v>
      </c>
      <c r="V24" s="6">
        <f>[1]RANGKUMAN!CH$24</f>
        <v>265047.99371093034</v>
      </c>
      <c r="W24" s="6">
        <f>[1]RANGKUMAN!CI$24</f>
        <v>264922.160461722</v>
      </c>
    </row>
    <row r="25" spans="2:23" x14ac:dyDescent="0.3">
      <c r="B25" s="9" t="s">
        <v>42</v>
      </c>
      <c r="C25" s="10">
        <f>SUM(C16:C24)</f>
        <v>387581.14847833745</v>
      </c>
      <c r="D25" s="10">
        <v>258711.98913560263</v>
      </c>
      <c r="E25" s="10">
        <v>264985.26419057295</v>
      </c>
      <c r="F25" s="10">
        <v>239537.31073576605</v>
      </c>
      <c r="G25" s="10">
        <v>227497.50921406908</v>
      </c>
      <c r="H25" s="10">
        <v>259964.00981873891</v>
      </c>
      <c r="I25" s="10">
        <v>260805.41984666258</v>
      </c>
      <c r="J25" s="10">
        <v>261737.27497691204</v>
      </c>
      <c r="K25" s="10">
        <v>282860.32805107062</v>
      </c>
      <c r="L25" s="10">
        <v>283815.1309628255</v>
      </c>
      <c r="M25" s="10">
        <v>284796.31166397955</v>
      </c>
      <c r="N25" s="10">
        <v>285805.45407543762</v>
      </c>
      <c r="O25" s="10">
        <v>320899.0740470048</v>
      </c>
      <c r="P25" s="10">
        <v>320864.82693753077</v>
      </c>
      <c r="Q25" s="10">
        <v>320825.55899838358</v>
      </c>
      <c r="R25" s="10">
        <v>320782.0801221311</v>
      </c>
      <c r="S25" s="10">
        <v>320735.19040832698</v>
      </c>
      <c r="T25" s="10">
        <v>320685.68109130231</v>
      </c>
      <c r="U25" s="10">
        <v>320634.33546778664</v>
      </c>
      <c r="V25" s="10">
        <v>320581.92982559826</v>
      </c>
      <c r="W25" s="10">
        <v>320529.23437466176</v>
      </c>
    </row>
    <row r="26" spans="2:23" x14ac:dyDescent="0.3">
      <c r="B26" s="5" t="s">
        <v>41</v>
      </c>
      <c r="C26" s="6">
        <f>C25-C27</f>
        <v>387581.14847833745</v>
      </c>
      <c r="D26" s="6">
        <f t="shared" ref="D26:W26" si="1">D25-D27</f>
        <v>258711.98913560263</v>
      </c>
      <c r="E26" s="6">
        <f t="shared" si="1"/>
        <v>264985.26419057295</v>
      </c>
      <c r="F26" s="6">
        <f>F25-F27</f>
        <v>239537.31073576605</v>
      </c>
      <c r="G26" s="6">
        <f t="shared" si="1"/>
        <v>227497.50921406908</v>
      </c>
      <c r="H26" s="6">
        <f t="shared" si="1"/>
        <v>259964.00981873891</v>
      </c>
      <c r="I26" s="6">
        <f>I25-I27</f>
        <v>259576.29481631584</v>
      </c>
      <c r="J26" s="6">
        <f t="shared" si="1"/>
        <v>259234.6145614972</v>
      </c>
      <c r="K26" s="6">
        <f t="shared" si="1"/>
        <v>279030.3538088288</v>
      </c>
      <c r="L26" s="6">
        <f t="shared" si="1"/>
        <v>278610.44868470111</v>
      </c>
      <c r="M26" s="6">
        <f t="shared" si="1"/>
        <v>277467.84477109445</v>
      </c>
      <c r="N26" s="6">
        <f t="shared" si="1"/>
        <v>276274.97240261856</v>
      </c>
      <c r="O26" s="6">
        <f t="shared" si="1"/>
        <v>309077.98384360166</v>
      </c>
      <c r="P26" s="6">
        <f t="shared" si="1"/>
        <v>306669.89688884211</v>
      </c>
      <c r="Q26" s="6">
        <f t="shared" si="1"/>
        <v>305216.92681208486</v>
      </c>
      <c r="R26" s="6">
        <f t="shared" si="1"/>
        <v>303762.68314255413</v>
      </c>
      <c r="S26" s="6">
        <f t="shared" si="1"/>
        <v>302300.07757331763</v>
      </c>
      <c r="T26" s="6">
        <f t="shared" si="1"/>
        <v>300837.8048816786</v>
      </c>
      <c r="U26" s="6">
        <f t="shared" si="1"/>
        <v>299368.75985711219</v>
      </c>
      <c r="V26" s="6">
        <f t="shared" si="1"/>
        <v>299370.8305827821</v>
      </c>
      <c r="W26" s="6">
        <f t="shared" si="1"/>
        <v>299367.69030932838</v>
      </c>
    </row>
    <row r="27" spans="2:23" x14ac:dyDescent="0.3">
      <c r="B27" s="5" t="s">
        <v>40</v>
      </c>
      <c r="I27" s="7">
        <f>Scenario!E69</f>
        <v>1229.125030346737</v>
      </c>
      <c r="J27" s="7">
        <f>Scenario!F69</f>
        <v>2502.6604154148472</v>
      </c>
      <c r="K27" s="7">
        <f>Scenario!G69</f>
        <v>3829.9742422418208</v>
      </c>
      <c r="L27" s="7">
        <f>Scenario!H69</f>
        <v>5204.6822781243809</v>
      </c>
      <c r="M27" s="7">
        <f>Scenario!I69</f>
        <v>7328.4668928850879</v>
      </c>
      <c r="N27" s="7">
        <f>Scenario!J69</f>
        <v>9530.4816728190472</v>
      </c>
      <c r="O27" s="7">
        <f>Scenario!K69</f>
        <v>11821.090203403121</v>
      </c>
      <c r="P27" s="7">
        <f>Scenario!L69</f>
        <v>14194.930048688651</v>
      </c>
      <c r="Q27" s="7">
        <f>Scenario!M69</f>
        <v>15608.632186298701</v>
      </c>
      <c r="R27" s="7">
        <f>Scenario!N69</f>
        <v>17019.396979576944</v>
      </c>
      <c r="S27" s="7">
        <f>Scenario!O69</f>
        <v>18435.112835009357</v>
      </c>
      <c r="T27" s="7">
        <f>Scenario!P69</f>
        <v>19847.876209623693</v>
      </c>
      <c r="U27" s="7">
        <f>Scenario!Q69</f>
        <v>21265.575610674474</v>
      </c>
      <c r="V27" s="7">
        <f>Scenario!R69</f>
        <v>21211.099242816174</v>
      </c>
      <c r="W27" s="7">
        <f>Scenario!S69</f>
        <v>21161.544065333372</v>
      </c>
    </row>
    <row r="30" spans="2:23" x14ac:dyDescent="0.3">
      <c r="W30" s="2">
        <f>W27/W25*100</f>
        <v>6.6020636484589623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94"/>
  <sheetViews>
    <sheetView zoomScale="70" zoomScaleNormal="70" workbookViewId="0">
      <selection activeCell="B20" sqref="B20"/>
    </sheetView>
  </sheetViews>
  <sheetFormatPr defaultRowHeight="14.4" x14ac:dyDescent="0.3"/>
  <cols>
    <col min="2" max="2" width="108.88671875" customWidth="1"/>
    <col min="4" max="4" width="64.88671875" bestFit="1" customWidth="1"/>
    <col min="5" max="5" width="10.6640625" bestFit="1" customWidth="1"/>
    <col min="6" max="6" width="9.5546875" bestFit="1" customWidth="1"/>
    <col min="7" max="9" width="9.6640625" bestFit="1" customWidth="1"/>
    <col min="10" max="19" width="10.5546875" bestFit="1" customWidth="1"/>
    <col min="21" max="21" width="12" customWidth="1"/>
  </cols>
  <sheetData>
    <row r="4" spans="2:20" x14ac:dyDescent="0.3">
      <c r="D4" s="12" t="s">
        <v>14</v>
      </c>
      <c r="E4">
        <v>2016</v>
      </c>
      <c r="F4">
        <f t="shared" ref="F4:S4" si="0">E4+1</f>
        <v>2017</v>
      </c>
      <c r="G4">
        <f t="shared" si="0"/>
        <v>2018</v>
      </c>
      <c r="H4">
        <f t="shared" si="0"/>
        <v>2019</v>
      </c>
      <c r="I4">
        <f t="shared" si="0"/>
        <v>2020</v>
      </c>
      <c r="J4">
        <f t="shared" si="0"/>
        <v>2021</v>
      </c>
      <c r="K4">
        <f t="shared" si="0"/>
        <v>2022</v>
      </c>
      <c r="L4">
        <f t="shared" si="0"/>
        <v>2023</v>
      </c>
      <c r="M4">
        <f t="shared" si="0"/>
        <v>2024</v>
      </c>
      <c r="N4">
        <f t="shared" si="0"/>
        <v>2025</v>
      </c>
      <c r="O4">
        <f t="shared" si="0"/>
        <v>2026</v>
      </c>
      <c r="P4">
        <f t="shared" si="0"/>
        <v>2027</v>
      </c>
      <c r="Q4">
        <f t="shared" si="0"/>
        <v>2028</v>
      </c>
      <c r="R4">
        <f t="shared" si="0"/>
        <v>2029</v>
      </c>
      <c r="S4">
        <f t="shared" si="0"/>
        <v>2030</v>
      </c>
    </row>
    <row r="5" spans="2:20" x14ac:dyDescent="0.3">
      <c r="B5" t="s">
        <v>9</v>
      </c>
      <c r="D5" s="12" t="s">
        <v>15</v>
      </c>
    </row>
    <row r="6" spans="2:20" ht="28.8" x14ac:dyDescent="0.3">
      <c r="B6" s="1" t="s">
        <v>11</v>
      </c>
      <c r="D6" s="1" t="s">
        <v>12</v>
      </c>
      <c r="E6" s="6">
        <v>4</v>
      </c>
      <c r="F6" s="6">
        <v>4</v>
      </c>
      <c r="G6" s="6">
        <v>8</v>
      </c>
      <c r="H6" s="6">
        <v>8</v>
      </c>
      <c r="I6" s="6">
        <v>12</v>
      </c>
      <c r="J6" s="6">
        <v>12</v>
      </c>
      <c r="K6" s="6">
        <v>16</v>
      </c>
      <c r="L6" s="6">
        <v>16</v>
      </c>
      <c r="M6" s="6">
        <v>20</v>
      </c>
      <c r="N6" s="6">
        <v>20</v>
      </c>
      <c r="O6" s="6">
        <v>24</v>
      </c>
      <c r="P6" s="6">
        <v>24</v>
      </c>
      <c r="Q6" s="6">
        <v>28</v>
      </c>
      <c r="R6" s="6">
        <v>28</v>
      </c>
      <c r="S6" s="6">
        <v>32</v>
      </c>
      <c r="T6" s="6"/>
    </row>
    <row r="7" spans="2:20" ht="43.2" x14ac:dyDescent="0.3">
      <c r="B7" s="1" t="s">
        <v>43</v>
      </c>
      <c r="D7" s="1" t="s">
        <v>13</v>
      </c>
      <c r="E7" s="6">
        <v>35</v>
      </c>
      <c r="F7" s="6">
        <f>E7+35</f>
        <v>70</v>
      </c>
      <c r="G7" s="6">
        <f t="shared" ref="G7:S7" si="1">F7+35</f>
        <v>105</v>
      </c>
      <c r="H7" s="6">
        <f t="shared" si="1"/>
        <v>140</v>
      </c>
      <c r="I7" s="6">
        <f t="shared" si="1"/>
        <v>175</v>
      </c>
      <c r="J7" s="6">
        <f t="shared" si="1"/>
        <v>210</v>
      </c>
      <c r="K7" s="6">
        <f t="shared" si="1"/>
        <v>245</v>
      </c>
      <c r="L7" s="6">
        <f t="shared" si="1"/>
        <v>280</v>
      </c>
      <c r="M7" s="6">
        <f t="shared" si="1"/>
        <v>315</v>
      </c>
      <c r="N7" s="6">
        <f t="shared" si="1"/>
        <v>350</v>
      </c>
      <c r="O7" s="6">
        <f t="shared" si="1"/>
        <v>385</v>
      </c>
      <c r="P7" s="6">
        <f t="shared" si="1"/>
        <v>420</v>
      </c>
      <c r="Q7" s="6">
        <f t="shared" si="1"/>
        <v>455</v>
      </c>
      <c r="R7" s="6">
        <f t="shared" si="1"/>
        <v>490</v>
      </c>
      <c r="S7" s="6">
        <f t="shared" si="1"/>
        <v>525</v>
      </c>
    </row>
    <row r="8" spans="2:20" ht="28.8" x14ac:dyDescent="0.3">
      <c r="B8" s="1" t="s">
        <v>44</v>
      </c>
      <c r="E8" s="10">
        <f>SUM(E6:E7)</f>
        <v>39</v>
      </c>
      <c r="F8" s="10">
        <f t="shared" ref="F8:S8" si="2">SUM(F6:F7)</f>
        <v>74</v>
      </c>
      <c r="G8" s="10">
        <f t="shared" si="2"/>
        <v>113</v>
      </c>
      <c r="H8" s="10">
        <f t="shared" si="2"/>
        <v>148</v>
      </c>
      <c r="I8" s="10">
        <f t="shared" si="2"/>
        <v>187</v>
      </c>
      <c r="J8" s="10">
        <f t="shared" si="2"/>
        <v>222</v>
      </c>
      <c r="K8" s="10">
        <f t="shared" si="2"/>
        <v>261</v>
      </c>
      <c r="L8" s="10">
        <f t="shared" si="2"/>
        <v>296</v>
      </c>
      <c r="M8" s="10">
        <f t="shared" si="2"/>
        <v>335</v>
      </c>
      <c r="N8" s="10">
        <f t="shared" si="2"/>
        <v>370</v>
      </c>
      <c r="O8" s="10">
        <f t="shared" si="2"/>
        <v>409</v>
      </c>
      <c r="P8" s="10">
        <f t="shared" si="2"/>
        <v>444</v>
      </c>
      <c r="Q8" s="10">
        <f t="shared" si="2"/>
        <v>483</v>
      </c>
      <c r="R8" s="10">
        <f t="shared" si="2"/>
        <v>518</v>
      </c>
      <c r="S8" s="10">
        <f t="shared" si="2"/>
        <v>557</v>
      </c>
    </row>
    <row r="10" spans="2:20" x14ac:dyDescent="0.3">
      <c r="B10" t="s">
        <v>10</v>
      </c>
      <c r="D10" s="1" t="s">
        <v>16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47</v>
      </c>
      <c r="M10">
        <v>47</v>
      </c>
      <c r="N10">
        <v>47</v>
      </c>
      <c r="O10">
        <v>47</v>
      </c>
      <c r="P10">
        <v>47</v>
      </c>
      <c r="Q10">
        <v>47</v>
      </c>
      <c r="R10">
        <v>47</v>
      </c>
      <c r="S10">
        <v>47</v>
      </c>
    </row>
    <row r="11" spans="2:20" ht="28.8" x14ac:dyDescent="0.3">
      <c r="B11" s="1" t="s">
        <v>45</v>
      </c>
      <c r="C11">
        <v>1</v>
      </c>
      <c r="D11" s="28" t="s">
        <v>17</v>
      </c>
      <c r="E11" s="29">
        <f>E6*E10*10^-6</f>
        <v>1.8799999999999999E-4</v>
      </c>
      <c r="F11" s="29">
        <f t="shared" ref="F11:S11" si="3">F6*F10*10^-6</f>
        <v>1.8799999999999999E-4</v>
      </c>
      <c r="G11" s="29">
        <f t="shared" si="3"/>
        <v>3.7599999999999998E-4</v>
      </c>
      <c r="H11" s="29">
        <f t="shared" si="3"/>
        <v>3.7599999999999998E-4</v>
      </c>
      <c r="I11" s="29">
        <f t="shared" si="3"/>
        <v>5.6399999999999994E-4</v>
      </c>
      <c r="J11" s="29">
        <f t="shared" si="3"/>
        <v>5.6399999999999994E-4</v>
      </c>
      <c r="K11" s="29">
        <f t="shared" si="3"/>
        <v>7.5199999999999996E-4</v>
      </c>
      <c r="L11" s="29">
        <f t="shared" si="3"/>
        <v>7.5199999999999996E-4</v>
      </c>
      <c r="M11" s="29">
        <f t="shared" si="3"/>
        <v>9.3999999999999997E-4</v>
      </c>
      <c r="N11" s="29">
        <f t="shared" si="3"/>
        <v>9.3999999999999997E-4</v>
      </c>
      <c r="O11" s="29">
        <f t="shared" si="3"/>
        <v>1.1279999999999999E-3</v>
      </c>
      <c r="P11" s="29">
        <f t="shared" si="3"/>
        <v>1.1279999999999999E-3</v>
      </c>
      <c r="Q11" s="29">
        <f t="shared" si="3"/>
        <v>1.3159999999999999E-3</v>
      </c>
      <c r="R11" s="29">
        <f t="shared" si="3"/>
        <v>1.3159999999999999E-3</v>
      </c>
      <c r="S11" s="29">
        <f t="shared" si="3"/>
        <v>1.5039999999999999E-3</v>
      </c>
    </row>
    <row r="12" spans="2:20" ht="28.8" x14ac:dyDescent="0.3">
      <c r="B12" s="1" t="s">
        <v>46</v>
      </c>
      <c r="C12">
        <v>2</v>
      </c>
      <c r="D12" s="28" t="s">
        <v>18</v>
      </c>
      <c r="E12" s="29">
        <f>E7*E10*10^-6</f>
        <v>1.645E-3</v>
      </c>
      <c r="F12" s="29">
        <f t="shared" ref="F12:S12" si="4">F7*F10*10^-6</f>
        <v>3.29E-3</v>
      </c>
      <c r="G12" s="29">
        <f t="shared" si="4"/>
        <v>4.9350000000000002E-3</v>
      </c>
      <c r="H12" s="29">
        <f t="shared" si="4"/>
        <v>6.5799999999999999E-3</v>
      </c>
      <c r="I12" s="29">
        <f t="shared" si="4"/>
        <v>8.2249999999999997E-3</v>
      </c>
      <c r="J12" s="29">
        <f t="shared" si="4"/>
        <v>9.8700000000000003E-3</v>
      </c>
      <c r="K12" s="29">
        <f t="shared" si="4"/>
        <v>1.1514999999999999E-2</v>
      </c>
      <c r="L12" s="29">
        <f t="shared" si="4"/>
        <v>1.316E-2</v>
      </c>
      <c r="M12" s="29">
        <f t="shared" si="4"/>
        <v>1.4804999999999999E-2</v>
      </c>
      <c r="N12" s="29">
        <f t="shared" si="4"/>
        <v>1.6449999999999999E-2</v>
      </c>
      <c r="O12" s="29">
        <f t="shared" si="4"/>
        <v>1.8095E-2</v>
      </c>
      <c r="P12" s="29">
        <f t="shared" si="4"/>
        <v>1.9740000000000001E-2</v>
      </c>
      <c r="Q12" s="29">
        <f t="shared" si="4"/>
        <v>2.1384999999999998E-2</v>
      </c>
      <c r="R12" s="29">
        <f t="shared" si="4"/>
        <v>2.3029999999999998E-2</v>
      </c>
      <c r="S12" s="29">
        <f t="shared" si="4"/>
        <v>2.4674999999999999E-2</v>
      </c>
    </row>
    <row r="13" spans="2:20" ht="72" x14ac:dyDescent="0.3">
      <c r="B13" s="1" t="s">
        <v>50</v>
      </c>
      <c r="E13" s="11">
        <f>SUM(E11:E12)</f>
        <v>1.833E-3</v>
      </c>
      <c r="F13" s="11">
        <f t="shared" ref="F13:S13" si="5">SUM(F11:F12)</f>
        <v>3.4779999999999998E-3</v>
      </c>
      <c r="G13" s="11">
        <f t="shared" si="5"/>
        <v>5.3109999999999997E-3</v>
      </c>
      <c r="H13" s="11">
        <f t="shared" si="5"/>
        <v>6.9559999999999995E-3</v>
      </c>
      <c r="I13" s="11">
        <f t="shared" si="5"/>
        <v>8.7889999999999999E-3</v>
      </c>
      <c r="J13" s="11">
        <f t="shared" si="5"/>
        <v>1.0434000000000001E-2</v>
      </c>
      <c r="K13" s="11">
        <f t="shared" si="5"/>
        <v>1.2266999999999998E-2</v>
      </c>
      <c r="L13" s="11">
        <f t="shared" si="5"/>
        <v>1.3911999999999999E-2</v>
      </c>
      <c r="M13" s="11">
        <f t="shared" si="5"/>
        <v>1.5744999999999999E-2</v>
      </c>
      <c r="N13" s="11">
        <f t="shared" si="5"/>
        <v>1.7389999999999999E-2</v>
      </c>
      <c r="O13" s="11">
        <f t="shared" si="5"/>
        <v>1.9223000000000001E-2</v>
      </c>
      <c r="P13" s="11">
        <f t="shared" si="5"/>
        <v>2.0868000000000001E-2</v>
      </c>
      <c r="Q13" s="11">
        <f t="shared" si="5"/>
        <v>2.2700999999999999E-2</v>
      </c>
      <c r="R13" s="11">
        <f t="shared" si="5"/>
        <v>2.4346E-2</v>
      </c>
      <c r="S13" s="11">
        <f t="shared" si="5"/>
        <v>2.6178999999999997E-2</v>
      </c>
    </row>
    <row r="14" spans="2:20" x14ac:dyDescent="0.3">
      <c r="B14" s="1" t="s">
        <v>47</v>
      </c>
    </row>
    <row r="15" spans="2:20" x14ac:dyDescent="0.3">
      <c r="B15" s="17" t="s">
        <v>48</v>
      </c>
      <c r="D15" s="13" t="s">
        <v>19</v>
      </c>
    </row>
    <row r="16" spans="2:20" ht="43.2" x14ac:dyDescent="0.3">
      <c r="B16" s="1" t="s">
        <v>49</v>
      </c>
      <c r="C16" s="15" t="s">
        <v>52</v>
      </c>
      <c r="D16" s="22" t="s">
        <v>65</v>
      </c>
    </row>
    <row r="17" spans="3:19" x14ac:dyDescent="0.3">
      <c r="D17" t="s">
        <v>20</v>
      </c>
      <c r="E17">
        <v>20</v>
      </c>
      <c r="F17">
        <f>E17+20</f>
        <v>40</v>
      </c>
      <c r="G17">
        <f t="shared" ref="G17:S17" si="6">F17+20</f>
        <v>60</v>
      </c>
      <c r="H17">
        <f t="shared" si="6"/>
        <v>80</v>
      </c>
      <c r="I17">
        <f t="shared" si="6"/>
        <v>100</v>
      </c>
      <c r="J17">
        <f t="shared" si="6"/>
        <v>120</v>
      </c>
      <c r="K17">
        <f t="shared" si="6"/>
        <v>140</v>
      </c>
      <c r="L17">
        <f t="shared" si="6"/>
        <v>160</v>
      </c>
      <c r="M17">
        <f t="shared" si="6"/>
        <v>180</v>
      </c>
      <c r="N17">
        <f t="shared" si="6"/>
        <v>200</v>
      </c>
      <c r="O17">
        <f t="shared" si="6"/>
        <v>220</v>
      </c>
      <c r="P17">
        <f t="shared" si="6"/>
        <v>240</v>
      </c>
      <c r="Q17">
        <f t="shared" si="6"/>
        <v>260</v>
      </c>
      <c r="R17">
        <f t="shared" si="6"/>
        <v>280</v>
      </c>
      <c r="S17">
        <f t="shared" si="6"/>
        <v>300</v>
      </c>
    </row>
    <row r="18" spans="3:19" x14ac:dyDescent="0.3">
      <c r="D18" t="s">
        <v>24</v>
      </c>
      <c r="E18" s="2">
        <v>2.6563761477996279</v>
      </c>
      <c r="F18" s="2">
        <v>2.6960235529906673</v>
      </c>
      <c r="G18" s="2">
        <v>2.7362627104979906</v>
      </c>
      <c r="H18" s="2">
        <v>2.7771024524457224</v>
      </c>
      <c r="I18" s="2">
        <v>2.8185517427807332</v>
      </c>
      <c r="J18" s="2">
        <v>2.8606196792401475</v>
      </c>
      <c r="K18" s="2">
        <v>2.9033154953482097</v>
      </c>
      <c r="L18" s="2">
        <v>2.946648562442959</v>
      </c>
      <c r="M18" s="2">
        <v>2.9319886193462286</v>
      </c>
      <c r="N18" s="2">
        <v>2.91740161128978</v>
      </c>
      <c r="O18" s="2">
        <v>2.902887175412717</v>
      </c>
      <c r="P18" s="2">
        <v>2.8884449506594199</v>
      </c>
      <c r="Q18" s="2">
        <v>2.8740745777705676</v>
      </c>
      <c r="R18" s="2">
        <v>2.8597756992741967</v>
      </c>
      <c r="S18" s="2">
        <v>2.8455479594768129</v>
      </c>
    </row>
    <row r="19" spans="3:19" x14ac:dyDescent="0.3">
      <c r="D19" t="s">
        <v>21</v>
      </c>
      <c r="E19">
        <v>160.9</v>
      </c>
      <c r="F19">
        <v>160.9</v>
      </c>
      <c r="G19">
        <v>160.9</v>
      </c>
      <c r="H19">
        <v>160.9</v>
      </c>
      <c r="I19">
        <v>160.9</v>
      </c>
      <c r="J19">
        <v>160.9</v>
      </c>
      <c r="K19">
        <v>160.9</v>
      </c>
      <c r="L19">
        <v>160.9</v>
      </c>
      <c r="M19">
        <v>160.9</v>
      </c>
      <c r="N19">
        <v>160.9</v>
      </c>
      <c r="O19">
        <v>160.9</v>
      </c>
      <c r="P19">
        <v>160.9</v>
      </c>
      <c r="Q19">
        <v>160.9</v>
      </c>
      <c r="R19">
        <v>160.9</v>
      </c>
      <c r="S19">
        <v>160.9</v>
      </c>
    </row>
    <row r="20" spans="3:19" x14ac:dyDescent="0.3">
      <c r="D20" t="s">
        <v>22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3:19" x14ac:dyDescent="0.3">
      <c r="D21" t="s">
        <v>23</v>
      </c>
      <c r="E21">
        <v>0.46</v>
      </c>
      <c r="F21">
        <v>0.46</v>
      </c>
      <c r="G21">
        <v>0.46</v>
      </c>
      <c r="H21">
        <v>0.46</v>
      </c>
      <c r="I21">
        <v>0.46</v>
      </c>
      <c r="J21">
        <v>0.46</v>
      </c>
      <c r="K21">
        <v>0.46</v>
      </c>
      <c r="L21">
        <v>0.46</v>
      </c>
      <c r="M21">
        <v>0.46</v>
      </c>
      <c r="N21">
        <v>0.46</v>
      </c>
      <c r="O21">
        <v>0.46</v>
      </c>
      <c r="P21">
        <v>0.46</v>
      </c>
      <c r="Q21">
        <v>0.46</v>
      </c>
      <c r="R21">
        <v>0.46</v>
      </c>
      <c r="S21">
        <v>0.46</v>
      </c>
    </row>
    <row r="22" spans="3:19" x14ac:dyDescent="0.3">
      <c r="D22" s="18" t="s">
        <v>25</v>
      </c>
      <c r="E22" s="7">
        <v>0.95</v>
      </c>
      <c r="F22" s="7">
        <v>0.95</v>
      </c>
      <c r="G22" s="7">
        <v>0.95</v>
      </c>
      <c r="H22" s="7">
        <v>0.95</v>
      </c>
      <c r="I22" s="7">
        <v>0.95</v>
      </c>
      <c r="J22" s="7">
        <v>0.95</v>
      </c>
      <c r="K22" s="7">
        <v>0.95</v>
      </c>
      <c r="L22" s="7">
        <v>0.95</v>
      </c>
      <c r="M22" s="7">
        <v>0.95</v>
      </c>
      <c r="N22" s="7">
        <v>0.95</v>
      </c>
      <c r="O22" s="7">
        <v>0.95</v>
      </c>
      <c r="P22" s="7">
        <v>0.95</v>
      </c>
      <c r="Q22" s="7">
        <v>0.95</v>
      </c>
      <c r="R22" s="7">
        <v>0.95</v>
      </c>
      <c r="S22" s="7">
        <v>0.95</v>
      </c>
    </row>
    <row r="23" spans="3:19" x14ac:dyDescent="0.3">
      <c r="D23" s="18" t="s">
        <v>51</v>
      </c>
      <c r="E23" s="7">
        <f>E22*0.7</f>
        <v>0.66499999999999992</v>
      </c>
      <c r="F23" s="7">
        <f t="shared" ref="F23:S23" si="7">F22*0.7</f>
        <v>0.66499999999999992</v>
      </c>
      <c r="G23" s="7">
        <f t="shared" si="7"/>
        <v>0.66499999999999992</v>
      </c>
      <c r="H23" s="7">
        <f t="shared" si="7"/>
        <v>0.66499999999999992</v>
      </c>
      <c r="I23" s="7">
        <f t="shared" si="7"/>
        <v>0.66499999999999992</v>
      </c>
      <c r="J23" s="7">
        <f t="shared" si="7"/>
        <v>0.66499999999999992</v>
      </c>
      <c r="K23" s="7">
        <f t="shared" si="7"/>
        <v>0.66499999999999992</v>
      </c>
      <c r="L23" s="7">
        <f t="shared" si="7"/>
        <v>0.66499999999999992</v>
      </c>
      <c r="M23" s="7">
        <f t="shared" si="7"/>
        <v>0.66499999999999992</v>
      </c>
      <c r="N23" s="7">
        <f t="shared" si="7"/>
        <v>0.66499999999999992</v>
      </c>
      <c r="O23" s="7">
        <f t="shared" si="7"/>
        <v>0.66499999999999992</v>
      </c>
      <c r="P23" s="7">
        <f t="shared" si="7"/>
        <v>0.66499999999999992</v>
      </c>
      <c r="Q23" s="7">
        <f t="shared" si="7"/>
        <v>0.66499999999999992</v>
      </c>
      <c r="R23" s="7">
        <f t="shared" si="7"/>
        <v>0.66499999999999992</v>
      </c>
      <c r="S23" s="7">
        <f t="shared" si="7"/>
        <v>0.66499999999999992</v>
      </c>
    </row>
    <row r="24" spans="3:19" x14ac:dyDescent="0.3">
      <c r="D24" t="s">
        <v>27</v>
      </c>
      <c r="E24" s="7">
        <f>E19*E20*E22</f>
        <v>152.85499999999999</v>
      </c>
      <c r="F24" s="7">
        <f t="shared" ref="F24:R24" si="8">F19*F20*F22</f>
        <v>152.85499999999999</v>
      </c>
      <c r="G24" s="7">
        <f t="shared" si="8"/>
        <v>152.85499999999999</v>
      </c>
      <c r="H24" s="7">
        <f t="shared" si="8"/>
        <v>152.85499999999999</v>
      </c>
      <c r="I24" s="7">
        <f t="shared" si="8"/>
        <v>152.85499999999999</v>
      </c>
      <c r="J24" s="7">
        <f t="shared" si="8"/>
        <v>152.85499999999999</v>
      </c>
      <c r="K24" s="7">
        <f t="shared" si="8"/>
        <v>152.85499999999999</v>
      </c>
      <c r="L24" s="7">
        <f t="shared" si="8"/>
        <v>152.85499999999999</v>
      </c>
      <c r="M24" s="7">
        <f t="shared" si="8"/>
        <v>152.85499999999999</v>
      </c>
      <c r="N24" s="7">
        <f t="shared" si="8"/>
        <v>152.85499999999999</v>
      </c>
      <c r="O24" s="7">
        <f t="shared" si="8"/>
        <v>152.85499999999999</v>
      </c>
      <c r="P24" s="7">
        <f t="shared" si="8"/>
        <v>152.85499999999999</v>
      </c>
      <c r="Q24" s="7">
        <f t="shared" si="8"/>
        <v>152.85499999999999</v>
      </c>
      <c r="R24" s="7">
        <f t="shared" si="8"/>
        <v>152.85499999999999</v>
      </c>
      <c r="S24" s="7">
        <f>S19*S20*S22</f>
        <v>152.85499999999999</v>
      </c>
    </row>
    <row r="25" spans="3:19" x14ac:dyDescent="0.3">
      <c r="D25" t="s">
        <v>26</v>
      </c>
      <c r="E25" s="7">
        <f>E19*E21*E23</f>
        <v>49.21931</v>
      </c>
      <c r="F25" s="7">
        <f t="shared" ref="F25:S25" si="9">F19*F21*F23</f>
        <v>49.21931</v>
      </c>
      <c r="G25" s="7">
        <f t="shared" si="9"/>
        <v>49.21931</v>
      </c>
      <c r="H25" s="7">
        <f t="shared" si="9"/>
        <v>49.21931</v>
      </c>
      <c r="I25" s="7">
        <f t="shared" si="9"/>
        <v>49.21931</v>
      </c>
      <c r="J25" s="7">
        <f t="shared" si="9"/>
        <v>49.21931</v>
      </c>
      <c r="K25" s="7">
        <f t="shared" si="9"/>
        <v>49.21931</v>
      </c>
      <c r="L25" s="7">
        <f t="shared" si="9"/>
        <v>49.21931</v>
      </c>
      <c r="M25" s="7">
        <f t="shared" si="9"/>
        <v>49.21931</v>
      </c>
      <c r="N25" s="7">
        <f t="shared" si="9"/>
        <v>49.21931</v>
      </c>
      <c r="O25" s="7">
        <f t="shared" si="9"/>
        <v>49.21931</v>
      </c>
      <c r="P25" s="7">
        <f t="shared" si="9"/>
        <v>49.21931</v>
      </c>
      <c r="Q25" s="7">
        <f t="shared" si="9"/>
        <v>49.21931</v>
      </c>
      <c r="R25" s="7">
        <f t="shared" si="9"/>
        <v>49.21931</v>
      </c>
      <c r="S25" s="7">
        <f t="shared" si="9"/>
        <v>49.21931</v>
      </c>
    </row>
    <row r="26" spans="3:19" x14ac:dyDescent="0.3">
      <c r="C26">
        <v>3</v>
      </c>
      <c r="D26" s="18" t="s">
        <v>28</v>
      </c>
      <c r="E26" s="30">
        <f>E17*E18*(E24-E25)*10^-6</f>
        <v>5.5059074995351277E-3</v>
      </c>
      <c r="F26" s="30">
        <f t="shared" ref="E26:S26" si="10">F17*F18*(F24-F25)*10^-6</f>
        <v>1.1176170446817572E-2</v>
      </c>
      <c r="G26" s="30">
        <f t="shared" si="10"/>
        <v>1.7014468441423767E-2</v>
      </c>
      <c r="H26" s="30">
        <f t="shared" si="10"/>
        <v>2.3024554308792369E-2</v>
      </c>
      <c r="I26" s="30">
        <f t="shared" si="10"/>
        <v>2.9210255466378374E-2</v>
      </c>
      <c r="J26" s="30">
        <f t="shared" si="10"/>
        <v>3.557547531427576E-2</v>
      </c>
      <c r="K26" s="30">
        <f t="shared" si="10"/>
        <v>4.2124194650734484E-2</v>
      </c>
      <c r="L26" s="30">
        <f t="shared" si="10"/>
        <v>4.8860473113005454E-2</v>
      </c>
      <c r="M26" s="30">
        <f t="shared" si="10"/>
        <v>5.4694559454856857E-2</v>
      </c>
      <c r="N26" s="30">
        <f t="shared" si="10"/>
        <v>6.0469385798625618E-2</v>
      </c>
      <c r="O26" s="30">
        <f t="shared" si="10"/>
        <v>6.6185397391530537E-2</v>
      </c>
      <c r="P26" s="30">
        <f t="shared" si="10"/>
        <v>7.184303651726516E-2</v>
      </c>
      <c r="Q26" s="30">
        <f t="shared" si="10"/>
        <v>7.7442742514464952E-2</v>
      </c>
      <c r="R26" s="30">
        <f t="shared" si="10"/>
        <v>8.2984951795063863E-2</v>
      </c>
      <c r="S26" s="30">
        <f t="shared" si="10"/>
        <v>8.8470097862541439E-2</v>
      </c>
    </row>
    <row r="27" spans="3:19" x14ac:dyDescent="0.3"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3:19" ht="28.8" x14ac:dyDescent="0.3">
      <c r="C28" s="15" t="s">
        <v>53</v>
      </c>
      <c r="D28" s="22" t="s">
        <v>64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3:19" x14ac:dyDescent="0.3">
      <c r="D29" t="s">
        <v>54</v>
      </c>
      <c r="E29" s="19">
        <f>'[1]Data Sawah'!$C$9</f>
        <v>2814</v>
      </c>
      <c r="F29" s="19">
        <f>'[1]Data Sawah'!$C$9</f>
        <v>2814</v>
      </c>
      <c r="G29" s="19">
        <f>'[1]Data Sawah'!$C$9</f>
        <v>2814</v>
      </c>
      <c r="H29" s="19">
        <f>'[1]Data Sawah'!$C$9</f>
        <v>2814</v>
      </c>
      <c r="I29" s="19">
        <f>'[1]Data Sawah'!$C$9</f>
        <v>2814</v>
      </c>
      <c r="J29" s="19">
        <f>'[1]Data Sawah'!$C$9</f>
        <v>2814</v>
      </c>
      <c r="K29" s="19">
        <f>'[1]Data Sawah'!$C$9</f>
        <v>2814</v>
      </c>
      <c r="L29" s="19">
        <f>'[1]Data Sawah'!$C$9</f>
        <v>2814</v>
      </c>
      <c r="M29" s="19">
        <f>'[1]Data Sawah'!$C$9</f>
        <v>2814</v>
      </c>
      <c r="N29" s="19">
        <f>'[1]Data Sawah'!$C$9</f>
        <v>2814</v>
      </c>
      <c r="O29" s="19">
        <f>'[1]Data Sawah'!$C$9</f>
        <v>2814</v>
      </c>
      <c r="P29" s="19">
        <f>'[1]Data Sawah'!$C$9</f>
        <v>2814</v>
      </c>
      <c r="Q29" s="19">
        <f>'[1]Data Sawah'!$C$9</f>
        <v>2814</v>
      </c>
      <c r="R29" s="19">
        <f>'[1]Data Sawah'!$C$9</f>
        <v>2814</v>
      </c>
      <c r="S29" s="19">
        <f>'[1]Data Sawah'!$C$9</f>
        <v>2814</v>
      </c>
    </row>
    <row r="30" spans="3:19" x14ac:dyDescent="0.3">
      <c r="D30" t="s">
        <v>55</v>
      </c>
      <c r="E30" s="20">
        <v>5</v>
      </c>
      <c r="F30" s="20">
        <f>E30+5</f>
        <v>10</v>
      </c>
      <c r="G30" s="20">
        <f t="shared" ref="G30:S30" si="11">F30+5</f>
        <v>15</v>
      </c>
      <c r="H30" s="20">
        <f t="shared" si="11"/>
        <v>20</v>
      </c>
      <c r="I30" s="20">
        <f t="shared" si="11"/>
        <v>25</v>
      </c>
      <c r="J30" s="20">
        <f t="shared" si="11"/>
        <v>30</v>
      </c>
      <c r="K30" s="20">
        <f t="shared" si="11"/>
        <v>35</v>
      </c>
      <c r="L30" s="20">
        <f t="shared" si="11"/>
        <v>40</v>
      </c>
      <c r="M30" s="20">
        <f t="shared" si="11"/>
        <v>45</v>
      </c>
      <c r="N30" s="20">
        <f t="shared" si="11"/>
        <v>50</v>
      </c>
      <c r="O30" s="20">
        <f t="shared" si="11"/>
        <v>55</v>
      </c>
      <c r="P30" s="20">
        <f t="shared" si="11"/>
        <v>60</v>
      </c>
      <c r="Q30" s="20">
        <f t="shared" si="11"/>
        <v>65</v>
      </c>
      <c r="R30" s="20">
        <f t="shared" si="11"/>
        <v>70</v>
      </c>
      <c r="S30" s="20">
        <f t="shared" si="11"/>
        <v>75</v>
      </c>
    </row>
    <row r="31" spans="3:19" x14ac:dyDescent="0.3">
      <c r="D31" t="s">
        <v>24</v>
      </c>
      <c r="E31" s="20">
        <f>E18</f>
        <v>2.6563761477996279</v>
      </c>
      <c r="F31" s="20">
        <f t="shared" ref="F31:S31" si="12">F18</f>
        <v>2.6960235529906673</v>
      </c>
      <c r="G31" s="20">
        <f t="shared" si="12"/>
        <v>2.7362627104979906</v>
      </c>
      <c r="H31" s="20">
        <f t="shared" si="12"/>
        <v>2.7771024524457224</v>
      </c>
      <c r="I31" s="20">
        <f t="shared" si="12"/>
        <v>2.8185517427807332</v>
      </c>
      <c r="J31" s="20">
        <f t="shared" si="12"/>
        <v>2.8606196792401475</v>
      </c>
      <c r="K31" s="20">
        <f t="shared" si="12"/>
        <v>2.9033154953482097</v>
      </c>
      <c r="L31" s="20">
        <f t="shared" si="12"/>
        <v>2.946648562442959</v>
      </c>
      <c r="M31" s="20">
        <f t="shared" si="12"/>
        <v>2.9319886193462286</v>
      </c>
      <c r="N31" s="20">
        <f t="shared" si="12"/>
        <v>2.91740161128978</v>
      </c>
      <c r="O31" s="20">
        <f t="shared" si="12"/>
        <v>2.902887175412717</v>
      </c>
      <c r="P31" s="20">
        <f t="shared" si="12"/>
        <v>2.8884449506594199</v>
      </c>
      <c r="Q31" s="20">
        <f t="shared" si="12"/>
        <v>2.8740745777705676</v>
      </c>
      <c r="R31" s="20">
        <f t="shared" si="12"/>
        <v>2.8597756992741967</v>
      </c>
      <c r="S31" s="20">
        <f t="shared" si="12"/>
        <v>2.8455479594768129</v>
      </c>
    </row>
    <row r="32" spans="3:19" x14ac:dyDescent="0.3">
      <c r="D32" t="s">
        <v>21</v>
      </c>
      <c r="E32" s="20">
        <f>E19</f>
        <v>160.9</v>
      </c>
      <c r="F32" s="20">
        <f t="shared" ref="F32:S32" si="13">F19</f>
        <v>160.9</v>
      </c>
      <c r="G32" s="20">
        <f t="shared" si="13"/>
        <v>160.9</v>
      </c>
      <c r="H32" s="20">
        <f t="shared" si="13"/>
        <v>160.9</v>
      </c>
      <c r="I32" s="20">
        <f t="shared" si="13"/>
        <v>160.9</v>
      </c>
      <c r="J32" s="20">
        <f t="shared" si="13"/>
        <v>160.9</v>
      </c>
      <c r="K32" s="20">
        <f t="shared" si="13"/>
        <v>160.9</v>
      </c>
      <c r="L32" s="20">
        <f t="shared" si="13"/>
        <v>160.9</v>
      </c>
      <c r="M32" s="20">
        <f t="shared" si="13"/>
        <v>160.9</v>
      </c>
      <c r="N32" s="20">
        <f t="shared" si="13"/>
        <v>160.9</v>
      </c>
      <c r="O32" s="20">
        <f t="shared" si="13"/>
        <v>160.9</v>
      </c>
      <c r="P32" s="20">
        <f t="shared" si="13"/>
        <v>160.9</v>
      </c>
      <c r="Q32" s="20">
        <f t="shared" si="13"/>
        <v>160.9</v>
      </c>
      <c r="R32" s="20">
        <f t="shared" si="13"/>
        <v>160.9</v>
      </c>
      <c r="S32" s="20">
        <f t="shared" si="13"/>
        <v>160.9</v>
      </c>
    </row>
    <row r="33" spans="3:19" x14ac:dyDescent="0.3">
      <c r="D33" t="s">
        <v>56</v>
      </c>
      <c r="E33" s="20">
        <v>0.49</v>
      </c>
      <c r="F33" s="20">
        <v>0.49</v>
      </c>
      <c r="G33" s="20">
        <v>0.49</v>
      </c>
      <c r="H33" s="20">
        <v>0.49</v>
      </c>
      <c r="I33" s="20">
        <v>0.49</v>
      </c>
      <c r="J33" s="20">
        <v>0.49</v>
      </c>
      <c r="K33" s="20">
        <v>0.49</v>
      </c>
      <c r="L33" s="20">
        <v>0.49</v>
      </c>
      <c r="M33" s="20">
        <v>0.49</v>
      </c>
      <c r="N33" s="20">
        <v>0.49</v>
      </c>
      <c r="O33" s="20">
        <v>0.49</v>
      </c>
      <c r="P33" s="20">
        <v>0.49</v>
      </c>
      <c r="Q33" s="20">
        <v>0.49</v>
      </c>
      <c r="R33" s="20">
        <v>0.49</v>
      </c>
      <c r="S33" s="20">
        <v>0.49</v>
      </c>
    </row>
    <row r="34" spans="3:19" x14ac:dyDescent="0.3">
      <c r="D34" t="s">
        <v>23</v>
      </c>
      <c r="E34" s="20">
        <v>0.46</v>
      </c>
      <c r="F34" s="20">
        <v>0.46</v>
      </c>
      <c r="G34" s="20">
        <v>0.46</v>
      </c>
      <c r="H34" s="20">
        <v>0.46</v>
      </c>
      <c r="I34" s="20">
        <v>0.46</v>
      </c>
      <c r="J34" s="20">
        <v>0.46</v>
      </c>
      <c r="K34" s="20">
        <v>0.46</v>
      </c>
      <c r="L34" s="20">
        <v>0.46</v>
      </c>
      <c r="M34" s="20">
        <v>0.46</v>
      </c>
      <c r="N34" s="20">
        <v>0.46</v>
      </c>
      <c r="O34" s="20">
        <v>0.46</v>
      </c>
      <c r="P34" s="20">
        <v>0.46</v>
      </c>
      <c r="Q34" s="20">
        <v>0.46</v>
      </c>
      <c r="R34" s="20">
        <v>0.46</v>
      </c>
      <c r="S34" s="20">
        <v>0.46</v>
      </c>
    </row>
    <row r="35" spans="3:19" x14ac:dyDescent="0.3">
      <c r="D35" s="18" t="s">
        <v>25</v>
      </c>
      <c r="E35" s="20">
        <f>E22</f>
        <v>0.95</v>
      </c>
      <c r="F35" s="20">
        <f t="shared" ref="F35:S35" si="14">F22</f>
        <v>0.95</v>
      </c>
      <c r="G35" s="20">
        <f t="shared" si="14"/>
        <v>0.95</v>
      </c>
      <c r="H35" s="20">
        <f t="shared" si="14"/>
        <v>0.95</v>
      </c>
      <c r="I35" s="20">
        <f t="shared" si="14"/>
        <v>0.95</v>
      </c>
      <c r="J35" s="20">
        <f t="shared" si="14"/>
        <v>0.95</v>
      </c>
      <c r="K35" s="20">
        <f t="shared" si="14"/>
        <v>0.95</v>
      </c>
      <c r="L35" s="20">
        <f t="shared" si="14"/>
        <v>0.95</v>
      </c>
      <c r="M35" s="20">
        <f t="shared" si="14"/>
        <v>0.95</v>
      </c>
      <c r="N35" s="20">
        <f t="shared" si="14"/>
        <v>0.95</v>
      </c>
      <c r="O35" s="20">
        <f t="shared" si="14"/>
        <v>0.95</v>
      </c>
      <c r="P35" s="20">
        <f t="shared" si="14"/>
        <v>0.95</v>
      </c>
      <c r="Q35" s="20">
        <f t="shared" si="14"/>
        <v>0.95</v>
      </c>
      <c r="R35" s="20">
        <f t="shared" si="14"/>
        <v>0.95</v>
      </c>
      <c r="S35" s="20">
        <f t="shared" si="14"/>
        <v>0.95</v>
      </c>
    </row>
    <row r="36" spans="3:19" x14ac:dyDescent="0.3">
      <c r="D36" s="18" t="s">
        <v>51</v>
      </c>
      <c r="E36" s="20">
        <f>E23</f>
        <v>0.66499999999999992</v>
      </c>
      <c r="F36" s="20">
        <f t="shared" ref="F36:S36" si="15">F23</f>
        <v>0.66499999999999992</v>
      </c>
      <c r="G36" s="20">
        <f t="shared" si="15"/>
        <v>0.66499999999999992</v>
      </c>
      <c r="H36" s="20">
        <f t="shared" si="15"/>
        <v>0.66499999999999992</v>
      </c>
      <c r="I36" s="20">
        <f t="shared" si="15"/>
        <v>0.66499999999999992</v>
      </c>
      <c r="J36" s="20">
        <f t="shared" si="15"/>
        <v>0.66499999999999992</v>
      </c>
      <c r="K36" s="20">
        <f t="shared" si="15"/>
        <v>0.66499999999999992</v>
      </c>
      <c r="L36" s="20">
        <f t="shared" si="15"/>
        <v>0.66499999999999992</v>
      </c>
      <c r="M36" s="20">
        <f t="shared" si="15"/>
        <v>0.66499999999999992</v>
      </c>
      <c r="N36" s="20">
        <f t="shared" si="15"/>
        <v>0.66499999999999992</v>
      </c>
      <c r="O36" s="20">
        <f t="shared" si="15"/>
        <v>0.66499999999999992</v>
      </c>
      <c r="P36" s="20">
        <f t="shared" si="15"/>
        <v>0.66499999999999992</v>
      </c>
      <c r="Q36" s="20">
        <f t="shared" si="15"/>
        <v>0.66499999999999992</v>
      </c>
      <c r="R36" s="20">
        <f t="shared" si="15"/>
        <v>0.66499999999999992</v>
      </c>
      <c r="S36" s="20">
        <f t="shared" si="15"/>
        <v>0.66499999999999992</v>
      </c>
    </row>
    <row r="37" spans="3:19" x14ac:dyDescent="0.3">
      <c r="D37" t="s">
        <v>27</v>
      </c>
      <c r="E37" s="20">
        <f>E32*E33*E35</f>
        <v>74.898949999999999</v>
      </c>
      <c r="F37" s="20">
        <f t="shared" ref="F37:S37" si="16">F32*F33*F35</f>
        <v>74.898949999999999</v>
      </c>
      <c r="G37" s="20">
        <f t="shared" si="16"/>
        <v>74.898949999999999</v>
      </c>
      <c r="H37" s="20">
        <f t="shared" si="16"/>
        <v>74.898949999999999</v>
      </c>
      <c r="I37" s="20">
        <f t="shared" si="16"/>
        <v>74.898949999999999</v>
      </c>
      <c r="J37" s="20">
        <f t="shared" si="16"/>
        <v>74.898949999999999</v>
      </c>
      <c r="K37" s="20">
        <f t="shared" si="16"/>
        <v>74.898949999999999</v>
      </c>
      <c r="L37" s="20">
        <f t="shared" si="16"/>
        <v>74.898949999999999</v>
      </c>
      <c r="M37" s="20">
        <f t="shared" si="16"/>
        <v>74.898949999999999</v>
      </c>
      <c r="N37" s="20">
        <f t="shared" si="16"/>
        <v>74.898949999999999</v>
      </c>
      <c r="O37" s="20">
        <f t="shared" si="16"/>
        <v>74.898949999999999</v>
      </c>
      <c r="P37" s="20">
        <f t="shared" si="16"/>
        <v>74.898949999999999</v>
      </c>
      <c r="Q37" s="20">
        <f t="shared" si="16"/>
        <v>74.898949999999999</v>
      </c>
      <c r="R37" s="20">
        <f t="shared" si="16"/>
        <v>74.898949999999999</v>
      </c>
      <c r="S37" s="20">
        <f t="shared" si="16"/>
        <v>74.898949999999999</v>
      </c>
    </row>
    <row r="38" spans="3:19" x14ac:dyDescent="0.3">
      <c r="D38" t="s">
        <v>26</v>
      </c>
      <c r="E38" s="20">
        <f>E32*E34*E36</f>
        <v>49.21931</v>
      </c>
      <c r="F38" s="20">
        <f t="shared" ref="F38:S38" si="17">F32*F34*F36</f>
        <v>49.21931</v>
      </c>
      <c r="G38" s="20">
        <f t="shared" si="17"/>
        <v>49.21931</v>
      </c>
      <c r="H38" s="20">
        <f t="shared" si="17"/>
        <v>49.21931</v>
      </c>
      <c r="I38" s="20">
        <f t="shared" si="17"/>
        <v>49.21931</v>
      </c>
      <c r="J38" s="20">
        <f t="shared" si="17"/>
        <v>49.21931</v>
      </c>
      <c r="K38" s="20">
        <f t="shared" si="17"/>
        <v>49.21931</v>
      </c>
      <c r="L38" s="20">
        <f t="shared" si="17"/>
        <v>49.21931</v>
      </c>
      <c r="M38" s="20">
        <f t="shared" si="17"/>
        <v>49.21931</v>
      </c>
      <c r="N38" s="20">
        <f t="shared" si="17"/>
        <v>49.21931</v>
      </c>
      <c r="O38" s="20">
        <f t="shared" si="17"/>
        <v>49.21931</v>
      </c>
      <c r="P38" s="20">
        <f t="shared" si="17"/>
        <v>49.21931</v>
      </c>
      <c r="Q38" s="20">
        <f t="shared" si="17"/>
        <v>49.21931</v>
      </c>
      <c r="R38" s="20">
        <f t="shared" si="17"/>
        <v>49.21931</v>
      </c>
      <c r="S38" s="20">
        <f t="shared" si="17"/>
        <v>49.21931</v>
      </c>
    </row>
    <row r="39" spans="3:19" x14ac:dyDescent="0.3">
      <c r="C39">
        <v>4</v>
      </c>
      <c r="D39" t="s">
        <v>28</v>
      </c>
      <c r="E39" s="14">
        <f>E29*E30/100*E31*(E37-E38)*10^-6</f>
        <v>9.5978199934374283E-3</v>
      </c>
      <c r="F39" s="14">
        <f t="shared" ref="F39:S39" si="18">F29*F30/100*F31*(F37-F38)*10^-6</f>
        <v>1.9482142076231199E-2</v>
      </c>
      <c r="G39" s="14">
        <f t="shared" si="18"/>
        <v>2.965938047426243E-2</v>
      </c>
      <c r="H39" s="14">
        <f t="shared" si="18"/>
        <v>4.0136077059698412E-2</v>
      </c>
      <c r="I39" s="14">
        <f t="shared" si="18"/>
        <v>5.0918903732453211E-2</v>
      </c>
      <c r="J39" s="14">
        <f t="shared" si="18"/>
        <v>6.201466484430123E-2</v>
      </c>
      <c r="K39" s="14">
        <f t="shared" si="18"/>
        <v>7.3430299666386548E-2</v>
      </c>
      <c r="L39" s="14">
        <f t="shared" si="18"/>
        <v>8.5172884900883317E-2</v>
      </c>
      <c r="M39" s="14">
        <f t="shared" si="18"/>
        <v>9.5342781605466428E-2</v>
      </c>
      <c r="N39" s="14">
        <f t="shared" si="18"/>
        <v>0.10540937712047146</v>
      </c>
      <c r="O39" s="14">
        <f t="shared" si="18"/>
        <v>0.1153734475945459</v>
      </c>
      <c r="P39" s="14">
        <f t="shared" si="18"/>
        <v>0.12523576401036191</v>
      </c>
      <c r="Q39" s="14">
        <f t="shared" si="18"/>
        <v>0.13499709221680803</v>
      </c>
      <c r="R39" s="14">
        <f t="shared" si="18"/>
        <v>0.14465819296098834</v>
      </c>
      <c r="S39" s="14">
        <f t="shared" si="18"/>
        <v>0.15421982192003023</v>
      </c>
    </row>
    <row r="40" spans="3:19" x14ac:dyDescent="0.3"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3:19" x14ac:dyDescent="0.3">
      <c r="C41" s="15" t="s">
        <v>57</v>
      </c>
      <c r="D41" s="15" t="s">
        <v>63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3:19" x14ac:dyDescent="0.3">
      <c r="D42" t="s">
        <v>58</v>
      </c>
      <c r="E42" s="19">
        <v>66409.772400000002</v>
      </c>
      <c r="F42" s="19">
        <v>67737.967848</v>
      </c>
      <c r="G42" s="19">
        <v>69092.72720496</v>
      </c>
      <c r="H42" s="19">
        <v>70474.581749059202</v>
      </c>
      <c r="I42" s="19">
        <v>71884.073384040385</v>
      </c>
      <c r="J42" s="19">
        <v>73321.754851721198</v>
      </c>
      <c r="K42" s="19">
        <v>74788.189948755622</v>
      </c>
      <c r="L42" s="19">
        <v>76283.953747730731</v>
      </c>
      <c r="M42" s="19">
        <v>76283.953747730731</v>
      </c>
      <c r="N42" s="19">
        <v>76283.953747730731</v>
      </c>
      <c r="O42" s="19">
        <v>76283.953747730731</v>
      </c>
      <c r="P42" s="19">
        <v>76283.953747730731</v>
      </c>
      <c r="Q42" s="19">
        <v>76283.953747730731</v>
      </c>
      <c r="R42" s="19">
        <v>76283.953747730731</v>
      </c>
      <c r="S42" s="19">
        <v>76283.953747730731</v>
      </c>
    </row>
    <row r="43" spans="3:19" x14ac:dyDescent="0.3">
      <c r="D43" t="s">
        <v>61</v>
      </c>
      <c r="E43" s="20">
        <v>2</v>
      </c>
      <c r="F43" s="20">
        <f>E43+2</f>
        <v>4</v>
      </c>
      <c r="G43" s="20">
        <f>F43+2</f>
        <v>6</v>
      </c>
      <c r="H43" s="20">
        <f>G43+2</f>
        <v>8</v>
      </c>
      <c r="I43" s="20">
        <f t="shared" ref="I43:K43" si="19">H43+3</f>
        <v>11</v>
      </c>
      <c r="J43" s="20">
        <f t="shared" si="19"/>
        <v>14</v>
      </c>
      <c r="K43" s="20">
        <f t="shared" si="19"/>
        <v>17</v>
      </c>
      <c r="L43" s="20">
        <v>20</v>
      </c>
      <c r="M43" s="20">
        <f>L43+2</f>
        <v>22</v>
      </c>
      <c r="N43" s="20">
        <f t="shared" ref="N43:Q43" si="20">M43+2</f>
        <v>24</v>
      </c>
      <c r="O43" s="20">
        <f t="shared" si="20"/>
        <v>26</v>
      </c>
      <c r="P43" s="20">
        <f t="shared" si="20"/>
        <v>28</v>
      </c>
      <c r="Q43" s="20">
        <f t="shared" si="20"/>
        <v>30</v>
      </c>
      <c r="R43" s="20">
        <v>30</v>
      </c>
      <c r="S43" s="20">
        <v>30</v>
      </c>
    </row>
    <row r="44" spans="3:19" x14ac:dyDescent="0.3">
      <c r="D44" t="s">
        <v>60</v>
      </c>
      <c r="E44" s="21">
        <f>(E42*E43/100)</f>
        <v>1328.1954479999999</v>
      </c>
      <c r="F44" s="21">
        <f>(F42*F43/100)</f>
        <v>2709.5187139200002</v>
      </c>
      <c r="G44" s="21">
        <f t="shared" ref="G44:S44" si="21">(G42*G43/100)</f>
        <v>4145.5636322975997</v>
      </c>
      <c r="H44" s="21">
        <f t="shared" si="21"/>
        <v>5637.966539924736</v>
      </c>
      <c r="I44" s="21">
        <f t="shared" si="21"/>
        <v>7907.2480722444425</v>
      </c>
      <c r="J44" s="21">
        <f t="shared" si="21"/>
        <v>10265.045679240968</v>
      </c>
      <c r="K44" s="21">
        <f t="shared" si="21"/>
        <v>12713.992291288456</v>
      </c>
      <c r="L44" s="21">
        <f t="shared" si="21"/>
        <v>15256.790749546146</v>
      </c>
      <c r="M44" s="21">
        <f t="shared" si="21"/>
        <v>16782.46982450076</v>
      </c>
      <c r="N44" s="21">
        <f t="shared" si="21"/>
        <v>18308.148899455377</v>
      </c>
      <c r="O44" s="21">
        <f t="shared" si="21"/>
        <v>19833.827974409989</v>
      </c>
      <c r="P44" s="21">
        <f t="shared" si="21"/>
        <v>21359.507049364605</v>
      </c>
      <c r="Q44" s="21">
        <f t="shared" si="21"/>
        <v>22885.186124319222</v>
      </c>
      <c r="R44" s="21">
        <f t="shared" si="21"/>
        <v>22885.186124319222</v>
      </c>
      <c r="S44" s="21">
        <f t="shared" si="21"/>
        <v>22885.186124319222</v>
      </c>
    </row>
    <row r="45" spans="3:19" x14ac:dyDescent="0.3">
      <c r="D45" t="s">
        <v>59</v>
      </c>
      <c r="E45" s="19">
        <f t="shared" ref="E45:S45" si="22">(E17*E18)+(E29*E30/100*E31)</f>
        <v>426.87964695140016</v>
      </c>
      <c r="F45" s="19">
        <f t="shared" si="22"/>
        <v>866.50196993120039</v>
      </c>
      <c r="G45" s="19">
        <f t="shared" si="22"/>
        <v>1319.1522527310815</v>
      </c>
      <c r="H45" s="19">
        <f t="shared" si="22"/>
        <v>1785.1214564321103</v>
      </c>
      <c r="I45" s="19">
        <f t="shared" si="22"/>
        <v>2264.7063253243191</v>
      </c>
      <c r="J45" s="19">
        <f t="shared" si="22"/>
        <v>2758.20949472335</v>
      </c>
      <c r="K45" s="19">
        <f t="shared" si="22"/>
        <v>3265.9396007172008</v>
      </c>
      <c r="L45" s="19">
        <f t="shared" si="22"/>
        <v>3788.2113918766681</v>
      </c>
      <c r="M45" s="19">
        <f t="shared" si="22"/>
        <v>4240.5351401604503</v>
      </c>
      <c r="N45" s="19">
        <f t="shared" si="22"/>
        <v>4688.2643893426766</v>
      </c>
      <c r="O45" s="19">
        <f t="shared" si="22"/>
        <v>5131.4336599770595</v>
      </c>
      <c r="P45" s="19">
        <f t="shared" si="22"/>
        <v>5570.0772428516257</v>
      </c>
      <c r="Q45" s="19">
        <f t="shared" si="22"/>
        <v>6004.2292004204919</v>
      </c>
      <c r="R45" s="19">
        <f t="shared" si="22"/>
        <v>6433.9233682270878</v>
      </c>
      <c r="S45" s="19">
        <f t="shared" si="22"/>
        <v>6859.1933563188577</v>
      </c>
    </row>
    <row r="46" spans="3:19" x14ac:dyDescent="0.3">
      <c r="D46" t="s">
        <v>62</v>
      </c>
      <c r="E46" s="19">
        <f>E44-E45</f>
        <v>901.31580104859972</v>
      </c>
      <c r="F46" s="19">
        <f t="shared" ref="F46:S46" si="23">F44-F45</f>
        <v>1843.0167439887998</v>
      </c>
      <c r="G46" s="19">
        <f t="shared" si="23"/>
        <v>2826.411379566518</v>
      </c>
      <c r="H46" s="19">
        <f t="shared" si="23"/>
        <v>3852.8450834926257</v>
      </c>
      <c r="I46" s="19">
        <f t="shared" si="23"/>
        <v>5642.5417469201238</v>
      </c>
      <c r="J46" s="19">
        <f t="shared" si="23"/>
        <v>7506.8361845176178</v>
      </c>
      <c r="K46" s="19">
        <f t="shared" si="23"/>
        <v>9448.0526905712541</v>
      </c>
      <c r="L46" s="19">
        <f t="shared" si="23"/>
        <v>11468.579357669478</v>
      </c>
      <c r="M46" s="19">
        <f t="shared" si="23"/>
        <v>12541.934684340311</v>
      </c>
      <c r="N46" s="19">
        <f t="shared" si="23"/>
        <v>13619.884510112701</v>
      </c>
      <c r="O46" s="19">
        <f t="shared" si="23"/>
        <v>14702.39431443293</v>
      </c>
      <c r="P46" s="19">
        <f t="shared" si="23"/>
        <v>15789.429806512981</v>
      </c>
      <c r="Q46" s="19">
        <f t="shared" si="23"/>
        <v>16880.956923898731</v>
      </c>
      <c r="R46" s="19">
        <f t="shared" si="23"/>
        <v>16451.262756092132</v>
      </c>
      <c r="S46" s="19">
        <f t="shared" si="23"/>
        <v>16025.992768000364</v>
      </c>
    </row>
    <row r="47" spans="3:19" x14ac:dyDescent="0.3">
      <c r="D47" t="s">
        <v>21</v>
      </c>
      <c r="E47" s="20">
        <f>E32</f>
        <v>160.9</v>
      </c>
      <c r="F47" s="20">
        <f t="shared" ref="F47:S47" si="24">F32</f>
        <v>160.9</v>
      </c>
      <c r="G47" s="20">
        <f t="shared" si="24"/>
        <v>160.9</v>
      </c>
      <c r="H47" s="20">
        <f t="shared" si="24"/>
        <v>160.9</v>
      </c>
      <c r="I47" s="20">
        <f t="shared" si="24"/>
        <v>160.9</v>
      </c>
      <c r="J47" s="20">
        <f t="shared" si="24"/>
        <v>160.9</v>
      </c>
      <c r="K47" s="20">
        <f t="shared" si="24"/>
        <v>160.9</v>
      </c>
      <c r="L47" s="20">
        <f t="shared" si="24"/>
        <v>160.9</v>
      </c>
      <c r="M47" s="20">
        <f t="shared" si="24"/>
        <v>160.9</v>
      </c>
      <c r="N47" s="20">
        <f t="shared" si="24"/>
        <v>160.9</v>
      </c>
      <c r="O47" s="20">
        <f t="shared" si="24"/>
        <v>160.9</v>
      </c>
      <c r="P47" s="20">
        <f t="shared" si="24"/>
        <v>160.9</v>
      </c>
      <c r="Q47" s="20">
        <f t="shared" si="24"/>
        <v>160.9</v>
      </c>
      <c r="R47" s="20">
        <f t="shared" si="24"/>
        <v>160.9</v>
      </c>
      <c r="S47" s="20">
        <f t="shared" si="24"/>
        <v>160.9</v>
      </c>
    </row>
    <row r="48" spans="3:19" x14ac:dyDescent="0.3">
      <c r="D48" s="18" t="s">
        <v>25</v>
      </c>
      <c r="E48" s="20">
        <f>E35</f>
        <v>0.95</v>
      </c>
      <c r="F48" s="20">
        <f t="shared" ref="F48:S48" si="25">F35</f>
        <v>0.95</v>
      </c>
      <c r="G48" s="20">
        <f t="shared" si="25"/>
        <v>0.95</v>
      </c>
      <c r="H48" s="20">
        <f t="shared" si="25"/>
        <v>0.95</v>
      </c>
      <c r="I48" s="20">
        <f t="shared" si="25"/>
        <v>0.95</v>
      </c>
      <c r="J48" s="20">
        <f t="shared" si="25"/>
        <v>0.95</v>
      </c>
      <c r="K48" s="20">
        <f t="shared" si="25"/>
        <v>0.95</v>
      </c>
      <c r="L48" s="20">
        <f t="shared" si="25"/>
        <v>0.95</v>
      </c>
      <c r="M48" s="20">
        <f t="shared" si="25"/>
        <v>0.95</v>
      </c>
      <c r="N48" s="20">
        <f t="shared" si="25"/>
        <v>0.95</v>
      </c>
      <c r="O48" s="20">
        <f t="shared" si="25"/>
        <v>0.95</v>
      </c>
      <c r="P48" s="20">
        <f t="shared" si="25"/>
        <v>0.95</v>
      </c>
      <c r="Q48" s="20">
        <f t="shared" si="25"/>
        <v>0.95</v>
      </c>
      <c r="R48" s="20">
        <f t="shared" si="25"/>
        <v>0.95</v>
      </c>
      <c r="S48" s="20">
        <f t="shared" si="25"/>
        <v>0.95</v>
      </c>
    </row>
    <row r="49" spans="4:21" x14ac:dyDescent="0.3">
      <c r="D49" s="18" t="s">
        <v>51</v>
      </c>
      <c r="E49" s="20">
        <f>E36</f>
        <v>0.66499999999999992</v>
      </c>
      <c r="F49" s="20">
        <f t="shared" ref="F49:S49" si="26">F36</f>
        <v>0.66499999999999992</v>
      </c>
      <c r="G49" s="20">
        <f t="shared" si="26"/>
        <v>0.66499999999999992</v>
      </c>
      <c r="H49" s="20">
        <f t="shared" si="26"/>
        <v>0.66499999999999992</v>
      </c>
      <c r="I49" s="20">
        <f t="shared" si="26"/>
        <v>0.66499999999999992</v>
      </c>
      <c r="J49" s="20">
        <f t="shared" si="26"/>
        <v>0.66499999999999992</v>
      </c>
      <c r="K49" s="20">
        <f t="shared" si="26"/>
        <v>0.66499999999999992</v>
      </c>
      <c r="L49" s="20">
        <f t="shared" si="26"/>
        <v>0.66499999999999992</v>
      </c>
      <c r="M49" s="20">
        <f t="shared" si="26"/>
        <v>0.66499999999999992</v>
      </c>
      <c r="N49" s="20">
        <f t="shared" si="26"/>
        <v>0.66499999999999992</v>
      </c>
      <c r="O49" s="20">
        <f t="shared" si="26"/>
        <v>0.66499999999999992</v>
      </c>
      <c r="P49" s="20">
        <f t="shared" si="26"/>
        <v>0.66499999999999992</v>
      </c>
      <c r="Q49" s="20">
        <f t="shared" si="26"/>
        <v>0.66499999999999992</v>
      </c>
      <c r="R49" s="20">
        <f t="shared" si="26"/>
        <v>0.66499999999999992</v>
      </c>
      <c r="S49" s="20">
        <f t="shared" si="26"/>
        <v>0.66499999999999992</v>
      </c>
    </row>
    <row r="50" spans="4:21" x14ac:dyDescent="0.3">
      <c r="D50" t="s">
        <v>66</v>
      </c>
      <c r="E50" s="19">
        <v>75</v>
      </c>
      <c r="F50" s="19">
        <v>75</v>
      </c>
      <c r="G50" s="19">
        <v>75</v>
      </c>
      <c r="H50" s="19">
        <v>75</v>
      </c>
      <c r="I50" s="19">
        <v>75</v>
      </c>
      <c r="J50" s="19">
        <v>75</v>
      </c>
      <c r="K50" s="19">
        <v>75</v>
      </c>
      <c r="L50" s="19">
        <v>75</v>
      </c>
      <c r="M50" s="19">
        <v>75</v>
      </c>
      <c r="N50" s="19">
        <v>75</v>
      </c>
      <c r="O50" s="19">
        <v>75</v>
      </c>
      <c r="P50" s="19">
        <v>75</v>
      </c>
      <c r="Q50" s="19">
        <v>75</v>
      </c>
      <c r="R50" s="19">
        <v>75</v>
      </c>
      <c r="S50" s="19">
        <v>75</v>
      </c>
    </row>
    <row r="51" spans="4:21" x14ac:dyDescent="0.3">
      <c r="D51" t="s">
        <v>67</v>
      </c>
      <c r="E51" s="19">
        <v>25</v>
      </c>
      <c r="F51" s="19">
        <v>25</v>
      </c>
      <c r="G51" s="19">
        <v>25</v>
      </c>
      <c r="H51" s="19">
        <v>25</v>
      </c>
      <c r="I51" s="19">
        <v>25</v>
      </c>
      <c r="J51" s="19">
        <v>25</v>
      </c>
      <c r="K51" s="19">
        <v>25</v>
      </c>
      <c r="L51" s="19">
        <v>25</v>
      </c>
      <c r="M51" s="19">
        <v>25</v>
      </c>
      <c r="N51" s="19">
        <v>25</v>
      </c>
      <c r="O51" s="19">
        <v>25</v>
      </c>
      <c r="P51" s="19">
        <v>25</v>
      </c>
      <c r="Q51" s="19">
        <v>25</v>
      </c>
      <c r="R51" s="19">
        <v>25</v>
      </c>
      <c r="S51" s="19">
        <v>25</v>
      </c>
    </row>
    <row r="52" spans="4:21" x14ac:dyDescent="0.3">
      <c r="D52" t="s">
        <v>27</v>
      </c>
      <c r="E52" s="20">
        <f>E47*E48</f>
        <v>152.85499999999999</v>
      </c>
      <c r="F52" s="20">
        <f t="shared" ref="F52:S52" si="27">F47*F48</f>
        <v>152.85499999999999</v>
      </c>
      <c r="G52" s="20">
        <f t="shared" si="27"/>
        <v>152.85499999999999</v>
      </c>
      <c r="H52" s="20">
        <f t="shared" si="27"/>
        <v>152.85499999999999</v>
      </c>
      <c r="I52" s="20">
        <f t="shared" si="27"/>
        <v>152.85499999999999</v>
      </c>
      <c r="J52" s="20">
        <f t="shared" si="27"/>
        <v>152.85499999999999</v>
      </c>
      <c r="K52" s="20">
        <f t="shared" si="27"/>
        <v>152.85499999999999</v>
      </c>
      <c r="L52" s="20">
        <f t="shared" si="27"/>
        <v>152.85499999999999</v>
      </c>
      <c r="M52" s="20">
        <f t="shared" si="27"/>
        <v>152.85499999999999</v>
      </c>
      <c r="N52" s="20">
        <f t="shared" si="27"/>
        <v>152.85499999999999</v>
      </c>
      <c r="O52" s="20">
        <f t="shared" si="27"/>
        <v>152.85499999999999</v>
      </c>
      <c r="P52" s="20">
        <f t="shared" si="27"/>
        <v>152.85499999999999</v>
      </c>
      <c r="Q52" s="20">
        <f t="shared" si="27"/>
        <v>152.85499999999999</v>
      </c>
      <c r="R52" s="20">
        <f t="shared" si="27"/>
        <v>152.85499999999999</v>
      </c>
      <c r="S52" s="20">
        <f t="shared" si="27"/>
        <v>152.85499999999999</v>
      </c>
    </row>
    <row r="53" spans="4:21" x14ac:dyDescent="0.3">
      <c r="D53" t="s">
        <v>26</v>
      </c>
      <c r="E53" s="20">
        <f>E47*E49</f>
        <v>106.99849999999999</v>
      </c>
      <c r="F53" s="20">
        <f t="shared" ref="F53:S53" si="28">F47*F49</f>
        <v>106.99849999999999</v>
      </c>
      <c r="G53" s="20">
        <f t="shared" si="28"/>
        <v>106.99849999999999</v>
      </c>
      <c r="H53" s="20">
        <f t="shared" si="28"/>
        <v>106.99849999999999</v>
      </c>
      <c r="I53" s="20">
        <f t="shared" si="28"/>
        <v>106.99849999999999</v>
      </c>
      <c r="J53" s="20">
        <f t="shared" si="28"/>
        <v>106.99849999999999</v>
      </c>
      <c r="K53" s="20">
        <f t="shared" si="28"/>
        <v>106.99849999999999</v>
      </c>
      <c r="L53" s="20">
        <f t="shared" si="28"/>
        <v>106.99849999999999</v>
      </c>
      <c r="M53" s="20">
        <f t="shared" si="28"/>
        <v>106.99849999999999</v>
      </c>
      <c r="N53" s="20">
        <f t="shared" si="28"/>
        <v>106.99849999999999</v>
      </c>
      <c r="O53" s="20">
        <f t="shared" si="28"/>
        <v>106.99849999999999</v>
      </c>
      <c r="P53" s="20">
        <f t="shared" si="28"/>
        <v>106.99849999999999</v>
      </c>
      <c r="Q53" s="20">
        <f t="shared" si="28"/>
        <v>106.99849999999999</v>
      </c>
      <c r="R53" s="20">
        <f t="shared" si="28"/>
        <v>106.99849999999999</v>
      </c>
      <c r="S53" s="20">
        <f t="shared" si="28"/>
        <v>106.99849999999999</v>
      </c>
    </row>
    <row r="54" spans="4:21" x14ac:dyDescent="0.3">
      <c r="D54" t="s">
        <v>68</v>
      </c>
      <c r="E54" s="20">
        <f>(E52-E53)*E46*E50/100*10^-6</f>
        <v>3.099839102308883E-2</v>
      </c>
      <c r="F54" s="20">
        <f t="shared" ref="F54:S54" si="29">(F52-F53)*F46*F50/100*10^-6</f>
        <v>6.3385722990541807E-2</v>
      </c>
      <c r="G54" s="20">
        <f t="shared" si="29"/>
        <v>9.720700007031903E-2</v>
      </c>
      <c r="H54" s="20">
        <f t="shared" si="29"/>
        <v>0.13250849292838468</v>
      </c>
      <c r="I54" s="20">
        <f t="shared" si="29"/>
        <v>0.19406041171323199</v>
      </c>
      <c r="J54" s="20">
        <f t="shared" si="29"/>
        <v>0.25817792512149906</v>
      </c>
      <c r="K54" s="20">
        <f t="shared" si="29"/>
        <v>0.32494097115388554</v>
      </c>
      <c r="L54" s="20">
        <f t="shared" si="29"/>
        <v>0.3944316819862278</v>
      </c>
      <c r="M54" s="20">
        <f t="shared" si="29"/>
        <v>0.43134692088933851</v>
      </c>
      <c r="N54" s="20">
        <f t="shared" si="29"/>
        <v>0.46842017552848725</v>
      </c>
      <c r="O54" s="20">
        <f t="shared" si="29"/>
        <v>0.50565025865984514</v>
      </c>
      <c r="P54" s="20">
        <f t="shared" si="29"/>
        <v>0.5430359909417718</v>
      </c>
      <c r="Q54" s="20">
        <f t="shared" si="29"/>
        <v>0.5805762008855716</v>
      </c>
      <c r="R54" s="20">
        <f t="shared" si="29"/>
        <v>0.56579799793105412</v>
      </c>
      <c r="S54" s="20">
        <f t="shared" si="29"/>
        <v>0.55117195302435651</v>
      </c>
    </row>
    <row r="55" spans="4:21" x14ac:dyDescent="0.3">
      <c r="D55" t="s">
        <v>69</v>
      </c>
      <c r="E55" s="20">
        <f>(E52-E53)*E46*E51/100*10^-6</f>
        <v>1.0332797007696277E-2</v>
      </c>
      <c r="F55" s="20">
        <f t="shared" ref="F55:S55" si="30">(F52-F53)*F46*F51/100*10^-6</f>
        <v>2.1128574330180599E-2</v>
      </c>
      <c r="G55" s="20">
        <f t="shared" si="30"/>
        <v>3.2402333356773005E-2</v>
      </c>
      <c r="H55" s="20">
        <f t="shared" si="30"/>
        <v>4.4169497642794889E-2</v>
      </c>
      <c r="I55" s="20">
        <f t="shared" si="30"/>
        <v>6.4686803904410659E-2</v>
      </c>
      <c r="J55" s="20">
        <f t="shared" si="30"/>
        <v>8.6059308373833021E-2</v>
      </c>
      <c r="K55" s="20">
        <f t="shared" si="30"/>
        <v>0.10831365705129517</v>
      </c>
      <c r="L55" s="20">
        <f t="shared" si="30"/>
        <v>0.13147722732874259</v>
      </c>
      <c r="M55" s="20">
        <f t="shared" si="30"/>
        <v>0.14378230696311284</v>
      </c>
      <c r="N55" s="20">
        <f t="shared" si="30"/>
        <v>0.15614005850949575</v>
      </c>
      <c r="O55" s="20">
        <f t="shared" si="30"/>
        <v>0.16855008621994835</v>
      </c>
      <c r="P55" s="20">
        <f t="shared" si="30"/>
        <v>0.18101199698059059</v>
      </c>
      <c r="Q55" s="20">
        <f t="shared" si="30"/>
        <v>0.19352540029519053</v>
      </c>
      <c r="R55" s="20">
        <f t="shared" si="30"/>
        <v>0.1885993326436847</v>
      </c>
      <c r="S55" s="20">
        <f t="shared" si="30"/>
        <v>0.18372398434145215</v>
      </c>
    </row>
    <row r="56" spans="4:21" x14ac:dyDescent="0.3">
      <c r="D56" t="s">
        <v>28</v>
      </c>
      <c r="E56" s="14">
        <f>E54+E55</f>
        <v>4.1331188030785108E-2</v>
      </c>
      <c r="F56" s="14">
        <f t="shared" ref="F56:S56" si="31">F54+F55</f>
        <v>8.4514297320722409E-2</v>
      </c>
      <c r="G56" s="14">
        <f t="shared" si="31"/>
        <v>0.12960933342709202</v>
      </c>
      <c r="H56" s="14">
        <f t="shared" si="31"/>
        <v>0.17667799057117956</v>
      </c>
      <c r="I56" s="14">
        <f t="shared" si="31"/>
        <v>0.25874721561764263</v>
      </c>
      <c r="J56" s="14">
        <f t="shared" si="31"/>
        <v>0.34423723349533208</v>
      </c>
      <c r="K56" s="14">
        <f t="shared" si="31"/>
        <v>0.43325462820518068</v>
      </c>
      <c r="L56" s="14">
        <f t="shared" si="31"/>
        <v>0.52590890931497036</v>
      </c>
      <c r="M56" s="14">
        <f t="shared" si="31"/>
        <v>0.57512922785245135</v>
      </c>
      <c r="N56" s="14">
        <f t="shared" si="31"/>
        <v>0.624560234037983</v>
      </c>
      <c r="O56" s="14">
        <f t="shared" si="31"/>
        <v>0.67420034487979352</v>
      </c>
      <c r="P56" s="14">
        <f t="shared" si="31"/>
        <v>0.72404798792236236</v>
      </c>
      <c r="Q56" s="14">
        <f t="shared" si="31"/>
        <v>0.7741016011807621</v>
      </c>
      <c r="R56" s="14">
        <f t="shared" si="31"/>
        <v>0.75439733057473879</v>
      </c>
      <c r="S56" s="14">
        <f t="shared" si="31"/>
        <v>0.7348959373658086</v>
      </c>
      <c r="U56" s="27">
        <f>S56*21*1000</f>
        <v>15432.814684681982</v>
      </c>
    </row>
    <row r="57" spans="4:21" x14ac:dyDescent="0.3">
      <c r="E57" s="14">
        <f>E56+E39+E26</f>
        <v>5.6434915523757664E-2</v>
      </c>
      <c r="F57" s="14">
        <f t="shared" ref="F57:S57" si="32">F56+F39+F26</f>
        <v>0.11517260984377117</v>
      </c>
      <c r="G57" s="14">
        <f t="shared" si="32"/>
        <v>0.17628318234277821</v>
      </c>
      <c r="H57" s="14">
        <f t="shared" si="32"/>
        <v>0.23983862193967032</v>
      </c>
      <c r="I57" s="14">
        <f t="shared" si="32"/>
        <v>0.33887637481647426</v>
      </c>
      <c r="J57" s="14">
        <f t="shared" si="32"/>
        <v>0.44182737365390906</v>
      </c>
      <c r="K57" s="14">
        <f t="shared" si="32"/>
        <v>0.54880912252230174</v>
      </c>
      <c r="L57" s="14">
        <f t="shared" si="32"/>
        <v>0.65994226732885919</v>
      </c>
      <c r="M57" s="14">
        <f t="shared" si="32"/>
        <v>0.72516656891277465</v>
      </c>
      <c r="N57" s="14">
        <f t="shared" si="32"/>
        <v>0.79043899695708009</v>
      </c>
      <c r="O57" s="14">
        <f t="shared" si="32"/>
        <v>0.85575918986586996</v>
      </c>
      <c r="P57" s="14">
        <f t="shared" si="32"/>
        <v>0.92112678844998952</v>
      </c>
      <c r="Q57" s="14">
        <f t="shared" si="32"/>
        <v>0.98654143591203503</v>
      </c>
      <c r="R57" s="14">
        <f t="shared" si="32"/>
        <v>0.98204047533079097</v>
      </c>
      <c r="S57" s="14">
        <f t="shared" si="32"/>
        <v>0.97758585714838031</v>
      </c>
      <c r="U57" s="27">
        <f>S57*21*1000</f>
        <v>20529.303000115986</v>
      </c>
    </row>
    <row r="58" spans="4:21" x14ac:dyDescent="0.3">
      <c r="D58" s="13" t="s">
        <v>29</v>
      </c>
    </row>
    <row r="59" spans="4:21" x14ac:dyDescent="0.3">
      <c r="D59" t="s">
        <v>31</v>
      </c>
      <c r="E59" s="3">
        <f t="shared" ref="E59:S59" si="33">E7</f>
        <v>35</v>
      </c>
      <c r="F59" s="3">
        <f t="shared" si="33"/>
        <v>70</v>
      </c>
      <c r="G59" s="3">
        <f t="shared" si="33"/>
        <v>105</v>
      </c>
      <c r="H59" s="3">
        <f t="shared" si="33"/>
        <v>140</v>
      </c>
      <c r="I59" s="3">
        <f t="shared" si="33"/>
        <v>175</v>
      </c>
      <c r="J59" s="3">
        <f t="shared" si="33"/>
        <v>210</v>
      </c>
      <c r="K59" s="3">
        <f t="shared" si="33"/>
        <v>245</v>
      </c>
      <c r="L59" s="3">
        <f t="shared" si="33"/>
        <v>280</v>
      </c>
      <c r="M59" s="3">
        <f t="shared" si="33"/>
        <v>315</v>
      </c>
      <c r="N59" s="3">
        <f t="shared" si="33"/>
        <v>350</v>
      </c>
      <c r="O59" s="3">
        <f t="shared" si="33"/>
        <v>385</v>
      </c>
      <c r="P59" s="3">
        <f t="shared" si="33"/>
        <v>420</v>
      </c>
      <c r="Q59" s="3">
        <f t="shared" si="33"/>
        <v>455</v>
      </c>
      <c r="R59" s="3">
        <f t="shared" si="33"/>
        <v>490</v>
      </c>
      <c r="S59" s="3">
        <f t="shared" si="33"/>
        <v>525</v>
      </c>
    </row>
    <row r="60" spans="4:21" x14ac:dyDescent="0.3">
      <c r="D60" t="s">
        <v>32</v>
      </c>
      <c r="E60">
        <v>22.5</v>
      </c>
      <c r="F60">
        <v>22.5</v>
      </c>
      <c r="G60">
        <v>22.5</v>
      </c>
      <c r="H60">
        <v>22.5</v>
      </c>
      <c r="I60">
        <v>22.5</v>
      </c>
      <c r="J60">
        <v>22.5</v>
      </c>
      <c r="K60">
        <v>22.5</v>
      </c>
      <c r="L60">
        <v>22.5</v>
      </c>
      <c r="M60">
        <v>22.5</v>
      </c>
      <c r="N60">
        <v>22.5</v>
      </c>
      <c r="O60">
        <v>22.5</v>
      </c>
      <c r="P60">
        <v>22.5</v>
      </c>
      <c r="Q60">
        <v>22.5</v>
      </c>
      <c r="R60">
        <v>22.5</v>
      </c>
      <c r="S60">
        <v>22.5</v>
      </c>
    </row>
    <row r="61" spans="4:21" x14ac:dyDescent="0.3">
      <c r="D61" t="s">
        <v>33</v>
      </c>
      <c r="E61" s="8">
        <f>E59*E60*365*10^-6</f>
        <v>0.28743750000000001</v>
      </c>
      <c r="F61" s="8">
        <f t="shared" ref="F61:S61" si="34">F59*F60*365*10^-6</f>
        <v>0.57487500000000002</v>
      </c>
      <c r="G61" s="8">
        <f t="shared" si="34"/>
        <v>0.86231249999999993</v>
      </c>
      <c r="H61" s="8">
        <f t="shared" si="34"/>
        <v>1.14975</v>
      </c>
      <c r="I61" s="8">
        <f t="shared" si="34"/>
        <v>1.4371874999999998</v>
      </c>
      <c r="J61" s="8">
        <f t="shared" si="34"/>
        <v>1.7246249999999999</v>
      </c>
      <c r="K61" s="8">
        <f t="shared" si="34"/>
        <v>2.0120624999999999</v>
      </c>
      <c r="L61" s="8">
        <f t="shared" si="34"/>
        <v>2.2995000000000001</v>
      </c>
      <c r="M61" s="8">
        <f t="shared" si="34"/>
        <v>2.5869374999999999</v>
      </c>
      <c r="N61" s="8">
        <f t="shared" si="34"/>
        <v>2.8743749999999997</v>
      </c>
      <c r="O61" s="8">
        <f t="shared" si="34"/>
        <v>3.1618124999999999</v>
      </c>
      <c r="P61" s="8">
        <f t="shared" si="34"/>
        <v>3.4492499999999997</v>
      </c>
      <c r="Q61" s="8">
        <f t="shared" si="34"/>
        <v>3.7366874999999999</v>
      </c>
      <c r="R61" s="8">
        <f t="shared" si="34"/>
        <v>4.0241249999999997</v>
      </c>
      <c r="S61" s="8">
        <f t="shared" si="34"/>
        <v>4.3115625</v>
      </c>
    </row>
    <row r="62" spans="4:21" x14ac:dyDescent="0.3">
      <c r="D62" t="s">
        <v>30</v>
      </c>
      <c r="E62" s="7">
        <f>(1-0.7)*E61</f>
        <v>8.6231250000000023E-2</v>
      </c>
      <c r="F62" s="7">
        <f t="shared" ref="F62:S62" si="35">(1-0.7)*F61</f>
        <v>0.17246250000000005</v>
      </c>
      <c r="G62" s="7">
        <f t="shared" si="35"/>
        <v>0.25869375</v>
      </c>
      <c r="H62" s="7">
        <f t="shared" si="35"/>
        <v>0.34492500000000009</v>
      </c>
      <c r="I62" s="7">
        <f t="shared" si="35"/>
        <v>0.43115625000000002</v>
      </c>
      <c r="J62" s="7">
        <f t="shared" si="35"/>
        <v>0.5173875</v>
      </c>
      <c r="K62" s="7">
        <f t="shared" si="35"/>
        <v>0.60361875000000009</v>
      </c>
      <c r="L62" s="7">
        <f t="shared" si="35"/>
        <v>0.68985000000000019</v>
      </c>
      <c r="M62" s="7">
        <f t="shared" si="35"/>
        <v>0.77608125000000006</v>
      </c>
      <c r="N62" s="7">
        <f t="shared" si="35"/>
        <v>0.86231250000000004</v>
      </c>
      <c r="O62" s="7">
        <f t="shared" si="35"/>
        <v>0.94854375000000013</v>
      </c>
      <c r="P62" s="7">
        <f t="shared" si="35"/>
        <v>1.034775</v>
      </c>
      <c r="Q62" s="7">
        <f t="shared" si="35"/>
        <v>1.1210062500000002</v>
      </c>
      <c r="R62" s="7">
        <f t="shared" si="35"/>
        <v>1.2072375000000002</v>
      </c>
      <c r="S62" s="7">
        <f t="shared" si="35"/>
        <v>1.2934687500000002</v>
      </c>
    </row>
    <row r="63" spans="4:21" x14ac:dyDescent="0.3">
      <c r="D63" t="s">
        <v>34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Q63">
        <v>5</v>
      </c>
      <c r="R63">
        <v>5</v>
      </c>
      <c r="S63">
        <v>5</v>
      </c>
    </row>
    <row r="64" spans="4:21" x14ac:dyDescent="0.3">
      <c r="D64" t="s">
        <v>35</v>
      </c>
      <c r="E64">
        <v>46</v>
      </c>
      <c r="F64">
        <v>46</v>
      </c>
      <c r="G64">
        <v>46</v>
      </c>
      <c r="H64">
        <v>46</v>
      </c>
      <c r="I64">
        <v>46</v>
      </c>
      <c r="J64">
        <v>46</v>
      </c>
      <c r="K64">
        <v>46</v>
      </c>
      <c r="L64">
        <v>46</v>
      </c>
      <c r="M64">
        <v>46</v>
      </c>
      <c r="N64">
        <v>46</v>
      </c>
      <c r="O64">
        <v>46</v>
      </c>
      <c r="P64">
        <v>46</v>
      </c>
      <c r="Q64">
        <v>46</v>
      </c>
      <c r="R64">
        <v>46</v>
      </c>
      <c r="S64">
        <v>46</v>
      </c>
    </row>
    <row r="65" spans="3:19" ht="28.8" x14ac:dyDescent="0.3">
      <c r="D65" s="1" t="s">
        <v>36</v>
      </c>
      <c r="E65" s="7">
        <f>E63/E64*E62*80%</f>
        <v>7.4983695652173932E-3</v>
      </c>
      <c r="F65" s="7">
        <f t="shared" ref="F65:S65" si="36">F63/F64*F62*80%</f>
        <v>1.4996739130434786E-2</v>
      </c>
      <c r="G65" s="7">
        <f t="shared" si="36"/>
        <v>2.2495108695652175E-2</v>
      </c>
      <c r="H65" s="7">
        <f t="shared" si="36"/>
        <v>2.9993478260869573E-2</v>
      </c>
      <c r="I65" s="7">
        <f t="shared" si="36"/>
        <v>3.7491847826086958E-2</v>
      </c>
      <c r="J65" s="7">
        <f t="shared" si="36"/>
        <v>4.4990217391304349E-2</v>
      </c>
      <c r="K65" s="7">
        <f t="shared" si="36"/>
        <v>5.2488586956521747E-2</v>
      </c>
      <c r="L65" s="7">
        <f t="shared" si="36"/>
        <v>5.9986956521739146E-2</v>
      </c>
      <c r="M65" s="7">
        <f t="shared" si="36"/>
        <v>6.7485326086956524E-2</v>
      </c>
      <c r="N65" s="7">
        <f t="shared" si="36"/>
        <v>7.4983695652173915E-2</v>
      </c>
      <c r="O65" s="7">
        <f t="shared" si="36"/>
        <v>8.248206521739132E-2</v>
      </c>
      <c r="P65" s="7">
        <f t="shared" si="36"/>
        <v>8.9980434782608698E-2</v>
      </c>
      <c r="Q65" s="7">
        <f t="shared" si="36"/>
        <v>9.7478804347826103E-2</v>
      </c>
      <c r="R65" s="7">
        <f t="shared" si="36"/>
        <v>0.10497717391304349</v>
      </c>
      <c r="S65" s="7">
        <f t="shared" si="36"/>
        <v>0.11247554347826089</v>
      </c>
    </row>
    <row r="66" spans="3:19" x14ac:dyDescent="0.3">
      <c r="C66">
        <v>5</v>
      </c>
      <c r="D66" t="s">
        <v>37</v>
      </c>
      <c r="E66" s="14">
        <f>E65*0.2*44/12</f>
        <v>5.4988043478260877E-3</v>
      </c>
      <c r="F66" s="14">
        <f t="shared" ref="F66:S66" si="37">F65*0.2*44/12</f>
        <v>1.0997608695652175E-2</v>
      </c>
      <c r="G66" s="14">
        <f t="shared" si="37"/>
        <v>1.6496413043478264E-2</v>
      </c>
      <c r="H66" s="14">
        <f t="shared" si="37"/>
        <v>2.1995217391304351E-2</v>
      </c>
      <c r="I66" s="14">
        <f t="shared" si="37"/>
        <v>2.7494021739130434E-2</v>
      </c>
      <c r="J66" s="14">
        <f t="shared" si="37"/>
        <v>3.2992826086956528E-2</v>
      </c>
      <c r="K66" s="14">
        <f t="shared" si="37"/>
        <v>3.8491630434782619E-2</v>
      </c>
      <c r="L66" s="14">
        <f t="shared" si="37"/>
        <v>4.3990434782608702E-2</v>
      </c>
      <c r="M66" s="14">
        <f t="shared" si="37"/>
        <v>4.9489239130434785E-2</v>
      </c>
      <c r="N66" s="14">
        <f t="shared" si="37"/>
        <v>5.4988043478260869E-2</v>
      </c>
      <c r="O66" s="14">
        <f t="shared" si="37"/>
        <v>6.0486847826086966E-2</v>
      </c>
      <c r="P66" s="14">
        <f t="shared" si="37"/>
        <v>6.5985652173913056E-2</v>
      </c>
      <c r="Q66" s="14">
        <f t="shared" si="37"/>
        <v>7.1484456521739154E-2</v>
      </c>
      <c r="R66" s="14">
        <f t="shared" si="37"/>
        <v>7.6983260869565237E-2</v>
      </c>
      <c r="S66" s="14">
        <f t="shared" si="37"/>
        <v>8.248206521739132E-2</v>
      </c>
    </row>
    <row r="68" spans="3:19" x14ac:dyDescent="0.3">
      <c r="D68" s="4" t="s">
        <v>38</v>
      </c>
      <c r="E68" s="14">
        <f>(E13+E26+E39+E56)*21+E66</f>
        <v>1.2291250303467371</v>
      </c>
      <c r="F68" s="14">
        <f t="shared" ref="F68:S68" si="38">(F13+F26+F39+F56)*21+F66</f>
        <v>2.5026604154148471</v>
      </c>
      <c r="G68" s="14">
        <f t="shared" si="38"/>
        <v>3.8299742422418208</v>
      </c>
      <c r="H68" s="14">
        <f t="shared" si="38"/>
        <v>5.2046822781243813</v>
      </c>
      <c r="I68" s="14">
        <f t="shared" si="38"/>
        <v>7.3284668928850882</v>
      </c>
      <c r="J68" s="14">
        <f t="shared" si="38"/>
        <v>9.5304816728190467</v>
      </c>
      <c r="K68" s="14">
        <f t="shared" si="38"/>
        <v>11.82109020340312</v>
      </c>
      <c r="L68" s="14">
        <f t="shared" si="38"/>
        <v>14.194930048688651</v>
      </c>
      <c r="M68" s="14">
        <f t="shared" si="38"/>
        <v>15.608632186298701</v>
      </c>
      <c r="N68" s="14">
        <f t="shared" si="38"/>
        <v>17.019396979576943</v>
      </c>
      <c r="O68" s="14">
        <f t="shared" si="38"/>
        <v>18.435112835009356</v>
      </c>
      <c r="P68" s="14">
        <f t="shared" si="38"/>
        <v>19.847876209623692</v>
      </c>
      <c r="Q68" s="14">
        <f t="shared" si="38"/>
        <v>21.265575610674475</v>
      </c>
      <c r="R68" s="14">
        <f t="shared" si="38"/>
        <v>21.211099242816175</v>
      </c>
      <c r="S68" s="14">
        <f t="shared" si="38"/>
        <v>21.161544065333374</v>
      </c>
    </row>
    <row r="69" spans="3:19" x14ac:dyDescent="0.3">
      <c r="D69" s="15" t="s">
        <v>39</v>
      </c>
      <c r="E69" s="16">
        <f>E68*1000</f>
        <v>1229.125030346737</v>
      </c>
      <c r="F69" s="16">
        <f t="shared" ref="F69:S69" si="39">F68*1000</f>
        <v>2502.6604154148472</v>
      </c>
      <c r="G69" s="16">
        <f t="shared" si="39"/>
        <v>3829.9742422418208</v>
      </c>
      <c r="H69" s="16">
        <f t="shared" si="39"/>
        <v>5204.6822781243809</v>
      </c>
      <c r="I69" s="16">
        <f t="shared" si="39"/>
        <v>7328.4668928850879</v>
      </c>
      <c r="J69" s="16">
        <f t="shared" si="39"/>
        <v>9530.4816728190472</v>
      </c>
      <c r="K69" s="16">
        <f t="shared" si="39"/>
        <v>11821.090203403121</v>
      </c>
      <c r="L69" s="16">
        <f t="shared" si="39"/>
        <v>14194.930048688651</v>
      </c>
      <c r="M69" s="16">
        <f t="shared" si="39"/>
        <v>15608.632186298701</v>
      </c>
      <c r="N69" s="16">
        <f t="shared" si="39"/>
        <v>17019.396979576944</v>
      </c>
      <c r="O69" s="16">
        <f t="shared" si="39"/>
        <v>18435.112835009357</v>
      </c>
      <c r="P69" s="16">
        <f t="shared" si="39"/>
        <v>19847.876209623693</v>
      </c>
      <c r="Q69" s="16">
        <f t="shared" si="39"/>
        <v>21265.575610674474</v>
      </c>
      <c r="R69" s="16">
        <f t="shared" si="39"/>
        <v>21211.099242816174</v>
      </c>
      <c r="S69" s="16">
        <f t="shared" si="39"/>
        <v>21161.544065333372</v>
      </c>
    </row>
    <row r="72" spans="3:19" x14ac:dyDescent="0.3">
      <c r="D72" t="s">
        <v>70</v>
      </c>
    </row>
    <row r="73" spans="3:19" x14ac:dyDescent="0.3">
      <c r="D73" t="s">
        <v>71</v>
      </c>
    </row>
    <row r="74" spans="3:19" x14ac:dyDescent="0.3">
      <c r="D74" s="23" t="s">
        <v>72</v>
      </c>
      <c r="E74" s="7">
        <f>E29*E30*E31/100</f>
        <v>373.75212399540766</v>
      </c>
      <c r="F74" s="7">
        <f t="shared" ref="F74:S74" si="40">F29*F30*F31/100</f>
        <v>758.66102781157372</v>
      </c>
      <c r="G74" s="7">
        <f t="shared" si="40"/>
        <v>1154.9764901012018</v>
      </c>
      <c r="H74" s="7">
        <f t="shared" si="40"/>
        <v>1562.9532602364527</v>
      </c>
      <c r="I74" s="7">
        <f t="shared" si="40"/>
        <v>1982.8511510462456</v>
      </c>
      <c r="J74" s="7">
        <f t="shared" si="40"/>
        <v>2414.9351332145325</v>
      </c>
      <c r="K74" s="7">
        <f t="shared" si="40"/>
        <v>2859.4754313684516</v>
      </c>
      <c r="L74" s="7">
        <f t="shared" si="40"/>
        <v>3316.7476218857946</v>
      </c>
      <c r="M74" s="7">
        <f t="shared" si="40"/>
        <v>3712.7771886781293</v>
      </c>
      <c r="N74" s="7">
        <f t="shared" si="40"/>
        <v>4104.7840670847208</v>
      </c>
      <c r="O74" s="7">
        <f t="shared" si="40"/>
        <v>4492.7984813862622</v>
      </c>
      <c r="P74" s="7">
        <f t="shared" si="40"/>
        <v>4876.8504546933646</v>
      </c>
      <c r="Q74" s="7">
        <f t="shared" si="40"/>
        <v>5256.9698102001448</v>
      </c>
      <c r="R74" s="7">
        <f t="shared" si="40"/>
        <v>5633.1861724303126</v>
      </c>
      <c r="S74" s="7">
        <f t="shared" si="40"/>
        <v>6005.5289684758136</v>
      </c>
    </row>
    <row r="75" spans="3:19" x14ac:dyDescent="0.3">
      <c r="D75" s="23" t="s">
        <v>73</v>
      </c>
      <c r="E75" s="2">
        <f>E17*E18</f>
        <v>53.127522955992561</v>
      </c>
      <c r="F75" s="2">
        <f t="shared" ref="F75:S75" si="41">F17*F18</f>
        <v>107.84094211962669</v>
      </c>
      <c r="G75" s="2">
        <f t="shared" si="41"/>
        <v>164.17576262987944</v>
      </c>
      <c r="H75" s="2">
        <f t="shared" si="41"/>
        <v>222.1681961956578</v>
      </c>
      <c r="I75" s="2">
        <f t="shared" si="41"/>
        <v>281.85517427807332</v>
      </c>
      <c r="J75" s="2">
        <f t="shared" si="41"/>
        <v>343.27436150881772</v>
      </c>
      <c r="K75" s="2">
        <f t="shared" si="41"/>
        <v>406.46416934874935</v>
      </c>
      <c r="L75" s="2">
        <f t="shared" si="41"/>
        <v>471.46376999087346</v>
      </c>
      <c r="M75" s="2">
        <f t="shared" si="41"/>
        <v>527.75795148232112</v>
      </c>
      <c r="N75" s="2">
        <f t="shared" si="41"/>
        <v>583.480322257956</v>
      </c>
      <c r="O75" s="2">
        <f t="shared" si="41"/>
        <v>638.63517859079775</v>
      </c>
      <c r="P75" s="2">
        <f t="shared" si="41"/>
        <v>693.22678815826077</v>
      </c>
      <c r="Q75" s="2">
        <f t="shared" si="41"/>
        <v>747.25939022034754</v>
      </c>
      <c r="R75" s="2">
        <f t="shared" si="41"/>
        <v>800.73719579677504</v>
      </c>
      <c r="S75" s="2">
        <f t="shared" si="41"/>
        <v>853.66438784304387</v>
      </c>
    </row>
    <row r="76" spans="3:19" x14ac:dyDescent="0.3">
      <c r="D76" s="26" t="s">
        <v>74</v>
      </c>
      <c r="E76" s="7">
        <f>E46</f>
        <v>901.31580104859972</v>
      </c>
      <c r="F76" s="7">
        <f t="shared" ref="F76:S76" si="42">F46</f>
        <v>1843.0167439887998</v>
      </c>
      <c r="G76" s="7">
        <f t="shared" si="42"/>
        <v>2826.411379566518</v>
      </c>
      <c r="H76" s="7">
        <f t="shared" si="42"/>
        <v>3852.8450834926257</v>
      </c>
      <c r="I76" s="7">
        <f t="shared" si="42"/>
        <v>5642.5417469201238</v>
      </c>
      <c r="J76" s="7">
        <f t="shared" si="42"/>
        <v>7506.8361845176178</v>
      </c>
      <c r="K76" s="7">
        <f t="shared" si="42"/>
        <v>9448.0526905712541</v>
      </c>
      <c r="L76" s="7">
        <f t="shared" si="42"/>
        <v>11468.579357669478</v>
      </c>
      <c r="M76" s="7">
        <f t="shared" si="42"/>
        <v>12541.934684340311</v>
      </c>
      <c r="N76" s="7">
        <f t="shared" si="42"/>
        <v>13619.884510112701</v>
      </c>
      <c r="O76" s="7">
        <f t="shared" si="42"/>
        <v>14702.39431443293</v>
      </c>
      <c r="P76" s="7">
        <f t="shared" si="42"/>
        <v>15789.429806512981</v>
      </c>
      <c r="Q76" s="7">
        <f t="shared" si="42"/>
        <v>16880.956923898731</v>
      </c>
      <c r="R76" s="7">
        <f t="shared" si="42"/>
        <v>16451.262756092132</v>
      </c>
      <c r="S76" s="7">
        <f t="shared" si="42"/>
        <v>16025.992768000364</v>
      </c>
    </row>
    <row r="78" spans="3:19" x14ac:dyDescent="0.3">
      <c r="D78" t="s">
        <v>75</v>
      </c>
      <c r="E78" s="7">
        <f>((E74*0.49)+(E75*1))/(E74+E75)</f>
        <v>0.5534723086496578</v>
      </c>
      <c r="F78" s="7">
        <f>((F74*0.49)+(F75*1))/(F74+F75)</f>
        <v>0.55347230864965768</v>
      </c>
      <c r="G78" s="7">
        <f t="shared" ref="G78:S78" si="43">((G74*0.49)+(G75*1))/(G74+G75)</f>
        <v>0.55347230864965768</v>
      </c>
      <c r="H78" s="7">
        <f t="shared" si="43"/>
        <v>0.5534723086496578</v>
      </c>
      <c r="I78" s="7">
        <f>((I74*0.49)+(I75*1))/(I74+I75)</f>
        <v>0.55347230864965768</v>
      </c>
      <c r="J78" s="7">
        <f t="shared" si="43"/>
        <v>0.5534723086496578</v>
      </c>
      <c r="K78" s="7">
        <f t="shared" si="43"/>
        <v>0.5534723086496578</v>
      </c>
      <c r="L78" s="7">
        <f t="shared" si="43"/>
        <v>0.55347230864965768</v>
      </c>
      <c r="M78" s="7">
        <f t="shared" si="43"/>
        <v>0.55347230864965768</v>
      </c>
      <c r="N78" s="7">
        <f t="shared" si="43"/>
        <v>0.5534723086496578</v>
      </c>
      <c r="O78" s="7">
        <f t="shared" si="43"/>
        <v>0.5534723086496578</v>
      </c>
      <c r="P78" s="7">
        <f t="shared" si="43"/>
        <v>0.55347230864965768</v>
      </c>
      <c r="Q78" s="7">
        <f t="shared" si="43"/>
        <v>0.5534723086496578</v>
      </c>
      <c r="R78" s="7">
        <f t="shared" si="43"/>
        <v>0.5534723086496578</v>
      </c>
      <c r="S78" s="7">
        <f t="shared" si="43"/>
        <v>0.55347230864965768</v>
      </c>
    </row>
    <row r="79" spans="3:19" x14ac:dyDescent="0.3">
      <c r="D79" t="s">
        <v>76</v>
      </c>
      <c r="E79" s="7">
        <f>((E74*0.46)+(E75*0.46))/(E74+E75)</f>
        <v>0.46</v>
      </c>
      <c r="F79" s="7">
        <f t="shared" ref="F79:S79" si="44">((F74*0.46)+(F75*0.46))/(F74+F75)</f>
        <v>0.46</v>
      </c>
      <c r="G79" s="7">
        <f t="shared" si="44"/>
        <v>0.45999999999999991</v>
      </c>
      <c r="H79" s="7">
        <f t="shared" si="44"/>
        <v>0.45999999999999996</v>
      </c>
      <c r="I79" s="7">
        <f t="shared" si="44"/>
        <v>0.46</v>
      </c>
      <c r="J79" s="7">
        <f t="shared" si="44"/>
        <v>0.46</v>
      </c>
      <c r="K79" s="7">
        <f t="shared" si="44"/>
        <v>0.46</v>
      </c>
      <c r="L79" s="7">
        <f t="shared" si="44"/>
        <v>0.46</v>
      </c>
      <c r="M79" s="7">
        <f t="shared" si="44"/>
        <v>0.46000000000000008</v>
      </c>
      <c r="N79" s="7">
        <f t="shared" si="44"/>
        <v>0.46000000000000008</v>
      </c>
      <c r="O79" s="7">
        <f t="shared" si="44"/>
        <v>0.46000000000000008</v>
      </c>
      <c r="P79" s="7">
        <f t="shared" si="44"/>
        <v>0.45999999999999996</v>
      </c>
      <c r="Q79" s="7">
        <f t="shared" si="44"/>
        <v>0.46</v>
      </c>
      <c r="R79" s="7">
        <f t="shared" si="44"/>
        <v>0.46000000000000008</v>
      </c>
      <c r="S79" s="7">
        <f t="shared" si="44"/>
        <v>0.45999999999999996</v>
      </c>
    </row>
    <row r="81" spans="4:21" x14ac:dyDescent="0.3">
      <c r="D81" t="s">
        <v>77</v>
      </c>
      <c r="E81" s="7">
        <f>E48</f>
        <v>0.95</v>
      </c>
      <c r="F81" s="7">
        <f t="shared" ref="F81:S81" si="45">F48</f>
        <v>0.95</v>
      </c>
      <c r="G81" s="7">
        <f t="shared" si="45"/>
        <v>0.95</v>
      </c>
      <c r="H81" s="7">
        <f t="shared" si="45"/>
        <v>0.95</v>
      </c>
      <c r="I81" s="7">
        <f t="shared" si="45"/>
        <v>0.95</v>
      </c>
      <c r="J81" s="7">
        <f t="shared" si="45"/>
        <v>0.95</v>
      </c>
      <c r="K81" s="7">
        <f t="shared" si="45"/>
        <v>0.95</v>
      </c>
      <c r="L81" s="7">
        <f t="shared" si="45"/>
        <v>0.95</v>
      </c>
      <c r="M81" s="7">
        <f t="shared" si="45"/>
        <v>0.95</v>
      </c>
      <c r="N81" s="7">
        <f t="shared" si="45"/>
        <v>0.95</v>
      </c>
      <c r="O81" s="7">
        <f t="shared" si="45"/>
        <v>0.95</v>
      </c>
      <c r="P81" s="7">
        <f t="shared" si="45"/>
        <v>0.95</v>
      </c>
      <c r="Q81" s="7">
        <f t="shared" si="45"/>
        <v>0.95</v>
      </c>
      <c r="R81" s="7">
        <f t="shared" si="45"/>
        <v>0.95</v>
      </c>
      <c r="S81" s="7">
        <f t="shared" si="45"/>
        <v>0.95</v>
      </c>
    </row>
    <row r="82" spans="4:21" x14ac:dyDescent="0.3">
      <c r="D82" t="s">
        <v>78</v>
      </c>
      <c r="E82" s="7">
        <f>E49</f>
        <v>0.66499999999999992</v>
      </c>
      <c r="F82" s="7">
        <f t="shared" ref="F82:S82" si="46">F49</f>
        <v>0.66499999999999992</v>
      </c>
      <c r="G82" s="7">
        <f t="shared" si="46"/>
        <v>0.66499999999999992</v>
      </c>
      <c r="H82" s="7">
        <f t="shared" si="46"/>
        <v>0.66499999999999992</v>
      </c>
      <c r="I82" s="7">
        <f t="shared" si="46"/>
        <v>0.66499999999999992</v>
      </c>
      <c r="J82" s="7">
        <f t="shared" si="46"/>
        <v>0.66499999999999992</v>
      </c>
      <c r="K82" s="7">
        <f t="shared" si="46"/>
        <v>0.66499999999999992</v>
      </c>
      <c r="L82" s="7">
        <f t="shared" si="46"/>
        <v>0.66499999999999992</v>
      </c>
      <c r="M82" s="7">
        <f t="shared" si="46"/>
        <v>0.66499999999999992</v>
      </c>
      <c r="N82" s="7">
        <f t="shared" si="46"/>
        <v>0.66499999999999992</v>
      </c>
      <c r="O82" s="7">
        <f t="shared" si="46"/>
        <v>0.66499999999999992</v>
      </c>
      <c r="P82" s="7">
        <f t="shared" si="46"/>
        <v>0.66499999999999992</v>
      </c>
      <c r="Q82" s="7">
        <f t="shared" si="46"/>
        <v>0.66499999999999992</v>
      </c>
      <c r="R82" s="7">
        <f t="shared" si="46"/>
        <v>0.66499999999999992</v>
      </c>
      <c r="S82" s="7">
        <f t="shared" si="46"/>
        <v>0.66499999999999992</v>
      </c>
    </row>
    <row r="84" spans="4:21" x14ac:dyDescent="0.3">
      <c r="D84" t="s">
        <v>79</v>
      </c>
    </row>
    <row r="85" spans="4:21" x14ac:dyDescent="0.3">
      <c r="D85" t="str">
        <f>D74</f>
        <v>- Penerapan Intermitten di Sawah Tadah Hujan (Scen 1)</v>
      </c>
      <c r="E85" s="7">
        <f>(E39/(((E33-E34)/E33)+((E35-E36)/E35)))*((E33-E34)/E33)</f>
        <v>1.6267491514300712E-3</v>
      </c>
      <c r="F85" s="7">
        <f t="shared" ref="F85:S85" si="47">(F39/(((F33-F34)/F33)+((F35-F36)/F35)))*((F33-F34)/F33)</f>
        <v>3.3020579790222341E-3</v>
      </c>
      <c r="G85" s="7">
        <f t="shared" si="47"/>
        <v>5.027013639705492E-3</v>
      </c>
      <c r="H85" s="7">
        <f t="shared" si="47"/>
        <v>6.8027249253726054E-3</v>
      </c>
      <c r="I85" s="7">
        <f t="shared" si="47"/>
        <v>8.6303226665174846E-3</v>
      </c>
      <c r="J85" s="7">
        <f t="shared" si="47"/>
        <v>1.0510960143101895E-2</v>
      </c>
      <c r="K85" s="7">
        <f t="shared" si="47"/>
        <v>1.244581350277737E-2</v>
      </c>
      <c r="L85" s="7">
        <f t="shared" si="47"/>
        <v>1.4436082186590378E-2</v>
      </c>
      <c r="M85" s="7">
        <f t="shared" si="47"/>
        <v>1.6159793492451922E-2</v>
      </c>
      <c r="N85" s="7">
        <f t="shared" si="47"/>
        <v>1.786599612211379E-2</v>
      </c>
      <c r="O85" s="7">
        <f t="shared" si="47"/>
        <v>1.9554821626194201E-2</v>
      </c>
      <c r="P85" s="7">
        <f t="shared" si="47"/>
        <v>2.1226400679722337E-2</v>
      </c>
      <c r="Q85" s="7">
        <f t="shared" si="47"/>
        <v>2.2880863087594561E-2</v>
      </c>
      <c r="R85" s="7">
        <f t="shared" si="47"/>
        <v>2.4518337789997999E-2</v>
      </c>
      <c r="S85" s="7">
        <f t="shared" si="47"/>
        <v>2.6138952867801709E-2</v>
      </c>
    </row>
    <row r="86" spans="4:21" x14ac:dyDescent="0.3">
      <c r="D86" t="str">
        <f t="shared" ref="D86:D87" si="48">D75</f>
        <v>- Penerapan Intermitten di Sawah Irigasi Teknis (Scen 2)</v>
      </c>
      <c r="E86" s="2">
        <f>(E26/(((E20-E21)/E20)+((E22-E23))/E22))*((E20-E21)/E20)</f>
        <v>3.5395119639868677E-3</v>
      </c>
      <c r="F86" s="2">
        <f t="shared" ref="F86:S86" si="49">(F26/(((F20-F21)/F20)+((F22-F23))/F22))*((F20-F21)/F20)</f>
        <v>7.1846810015255818E-3</v>
      </c>
      <c r="G86" s="2">
        <f t="shared" si="49"/>
        <v>1.0937872569486706E-2</v>
      </c>
      <c r="H86" s="2">
        <f t="shared" si="49"/>
        <v>1.480149919850938E-2</v>
      </c>
      <c r="I86" s="2">
        <f t="shared" si="49"/>
        <v>1.877802137124324E-2</v>
      </c>
      <c r="J86" s="2">
        <f t="shared" si="49"/>
        <v>2.2869948416320132E-2</v>
      </c>
      <c r="K86" s="2">
        <f t="shared" si="49"/>
        <v>2.7079839418329314E-2</v>
      </c>
      <c r="L86" s="2">
        <f t="shared" si="49"/>
        <v>3.1410304144074933E-2</v>
      </c>
      <c r="M86" s="2">
        <f t="shared" si="49"/>
        <v>3.5160788220979414E-2</v>
      </c>
      <c r="N86" s="2">
        <f t="shared" si="49"/>
        <v>3.8873176584830749E-2</v>
      </c>
      <c r="O86" s="2">
        <f t="shared" si="49"/>
        <v>4.2547755465983918E-2</v>
      </c>
      <c r="P86" s="2">
        <f t="shared" si="49"/>
        <v>4.618480918967046E-2</v>
      </c>
      <c r="Q86" s="2">
        <f t="shared" si="49"/>
        <v>4.9784620187870318E-2</v>
      </c>
      <c r="R86" s="2">
        <f t="shared" si="49"/>
        <v>5.3347469011112481E-2</v>
      </c>
      <c r="S86" s="2">
        <f t="shared" si="49"/>
        <v>5.6873634340205211E-2</v>
      </c>
    </row>
    <row r="87" spans="4:21" x14ac:dyDescent="0.3">
      <c r="D87" t="str">
        <f t="shared" si="48"/>
        <v>- Penurunan hanya dari perubahan Varitas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4:21" x14ac:dyDescent="0.3">
      <c r="D88" s="24" t="s">
        <v>81</v>
      </c>
      <c r="E88" s="7">
        <f>SUM(E85:E87)</f>
        <v>5.1662611154169391E-3</v>
      </c>
      <c r="F88" s="7">
        <f t="shared" ref="F88:S88" si="50">SUM(F85:F87)</f>
        <v>1.0486738980547815E-2</v>
      </c>
      <c r="G88" s="7">
        <f t="shared" si="50"/>
        <v>1.5964886209192196E-2</v>
      </c>
      <c r="H88" s="7">
        <f t="shared" si="50"/>
        <v>2.1604224123881986E-2</v>
      </c>
      <c r="I88" s="7">
        <f t="shared" si="50"/>
        <v>2.7408344037760726E-2</v>
      </c>
      <c r="J88" s="7">
        <f t="shared" si="50"/>
        <v>3.3380908559422023E-2</v>
      </c>
      <c r="K88" s="7">
        <f t="shared" si="50"/>
        <v>3.9525652921106685E-2</v>
      </c>
      <c r="L88" s="7">
        <f t="shared" si="50"/>
        <v>4.584638633066531E-2</v>
      </c>
      <c r="M88" s="7">
        <f t="shared" si="50"/>
        <v>5.1320581713431332E-2</v>
      </c>
      <c r="N88" s="7">
        <f t="shared" si="50"/>
        <v>5.6739172706944535E-2</v>
      </c>
      <c r="O88" s="7">
        <f t="shared" si="50"/>
        <v>6.2102577092178118E-2</v>
      </c>
      <c r="P88" s="7">
        <f t="shared" si="50"/>
        <v>6.7411209869392794E-2</v>
      </c>
      <c r="Q88" s="7">
        <f t="shared" si="50"/>
        <v>7.2665483275464876E-2</v>
      </c>
      <c r="R88" s="7">
        <f t="shared" si="50"/>
        <v>7.7865806801110479E-2</v>
      </c>
      <c r="S88" s="7">
        <f t="shared" si="50"/>
        <v>8.3012587208006916E-2</v>
      </c>
      <c r="U88" s="27">
        <f>S88*21*1000</f>
        <v>1743.2643313681453</v>
      </c>
    </row>
    <row r="89" spans="4:21" x14ac:dyDescent="0.3">
      <c r="D89" t="s">
        <v>80</v>
      </c>
    </row>
    <row r="90" spans="4:21" x14ac:dyDescent="0.3">
      <c r="D90" t="str">
        <f>D74</f>
        <v>- Penerapan Intermitten di Sawah Tadah Hujan (Scen 1)</v>
      </c>
      <c r="E90" s="7">
        <f>(E39/(((E33-E34)/E33)+((E35-E36)/E35)))*((E35-E36)/E35)</f>
        <v>7.9710708420073564E-3</v>
      </c>
      <c r="F90" s="7">
        <f t="shared" ref="F90:S90" si="51">(F39/(((F33-F34)/F33)+((F35-F36)/F35)))*((F35-F36)/F35)</f>
        <v>1.6180084097208964E-2</v>
      </c>
      <c r="G90" s="7">
        <f t="shared" si="51"/>
        <v>2.4632366834556937E-2</v>
      </c>
      <c r="H90" s="7">
        <f t="shared" si="51"/>
        <v>3.3333352134325804E-2</v>
      </c>
      <c r="I90" s="7">
        <f t="shared" si="51"/>
        <v>4.2288581065935728E-2</v>
      </c>
      <c r="J90" s="7">
        <f t="shared" si="51"/>
        <v>5.1503704701199339E-2</v>
      </c>
      <c r="K90" s="7">
        <f t="shared" si="51"/>
        <v>6.0984486163609179E-2</v>
      </c>
      <c r="L90" s="7">
        <f t="shared" si="51"/>
        <v>7.0736802714292932E-2</v>
      </c>
      <c r="M90" s="7">
        <f t="shared" si="51"/>
        <v>7.918298811301451E-2</v>
      </c>
      <c r="N90" s="7">
        <f t="shared" si="51"/>
        <v>8.7543380998357664E-2</v>
      </c>
      <c r="O90" s="7">
        <f t="shared" si="51"/>
        <v>9.5818625968351695E-2</v>
      </c>
      <c r="P90" s="7">
        <f t="shared" si="51"/>
        <v>0.10400936333063956</v>
      </c>
      <c r="Q90" s="7">
        <f t="shared" si="51"/>
        <v>0.11211622912921347</v>
      </c>
      <c r="R90" s="7">
        <f t="shared" si="51"/>
        <v>0.12013985517099032</v>
      </c>
      <c r="S90" s="7">
        <f t="shared" si="51"/>
        <v>0.12808086905222851</v>
      </c>
      <c r="T90" s="7"/>
    </row>
    <row r="91" spans="4:21" x14ac:dyDescent="0.3">
      <c r="D91" t="str">
        <f t="shared" ref="D91:D92" si="52">D75</f>
        <v>- Penerapan Intermitten di Sawah Irigasi Teknis (Scen 2)</v>
      </c>
      <c r="E91" s="7">
        <f>(E26/(((E20-E21)/E20)+((E22-E23)/E22)))*((E22-E23)/E22)</f>
        <v>1.9663955355482599E-3</v>
      </c>
      <c r="F91" s="7">
        <f t="shared" ref="F91:S91" si="53">(F26/(((F20-F21)/F20)+((F22-F23)/F22)))*((F22-F23)/F22)</f>
        <v>3.9914894452919899E-3</v>
      </c>
      <c r="G91" s="7">
        <f t="shared" si="53"/>
        <v>6.0765958719370596E-3</v>
      </c>
      <c r="H91" s="7">
        <f t="shared" si="53"/>
        <v>8.2230551102829893E-3</v>
      </c>
      <c r="I91" s="7">
        <f t="shared" si="53"/>
        <v>1.0432234095135133E-2</v>
      </c>
      <c r="J91" s="7">
        <f t="shared" si="53"/>
        <v>1.270552689795563E-2</v>
      </c>
      <c r="K91" s="7">
        <f t="shared" si="53"/>
        <v>1.5044355232405174E-2</v>
      </c>
      <c r="L91" s="7">
        <f t="shared" si="53"/>
        <v>1.7450168968930521E-2</v>
      </c>
      <c r="M91" s="7">
        <f t="shared" si="53"/>
        <v>1.9533771233877451E-2</v>
      </c>
      <c r="N91" s="7">
        <f t="shared" si="53"/>
        <v>2.1596209213794865E-2</v>
      </c>
      <c r="O91" s="7">
        <f t="shared" si="53"/>
        <v>2.3637641925546623E-2</v>
      </c>
      <c r="P91" s="7">
        <f t="shared" si="53"/>
        <v>2.5658227327594704E-2</v>
      </c>
      <c r="Q91" s="7">
        <f t="shared" si="53"/>
        <v>2.7658122326594627E-2</v>
      </c>
      <c r="R91" s="7">
        <f t="shared" si="53"/>
        <v>2.9637482783951379E-2</v>
      </c>
      <c r="S91" s="7">
        <f t="shared" si="53"/>
        <v>3.1596463522336228E-2</v>
      </c>
    </row>
    <row r="92" spans="4:21" x14ac:dyDescent="0.3">
      <c r="D92" t="str">
        <f t="shared" si="52"/>
        <v>- Penurunan hanya dari perubahan Varitas</v>
      </c>
      <c r="E92" s="2">
        <f>(E81-E82)*(E76)*E32*10^-6</f>
        <v>4.1331188030785122E-2</v>
      </c>
      <c r="F92" s="2">
        <f t="shared" ref="F92:S92" si="54">(F81-F82)*(F76)*F32*10^-6</f>
        <v>8.4514297320722409E-2</v>
      </c>
      <c r="G92" s="2">
        <f t="shared" si="54"/>
        <v>0.12960933342709205</v>
      </c>
      <c r="H92" s="2">
        <f t="shared" si="54"/>
        <v>0.17667799057117958</v>
      </c>
      <c r="I92" s="2">
        <f t="shared" si="54"/>
        <v>0.25874721561764269</v>
      </c>
      <c r="J92" s="2">
        <f t="shared" si="54"/>
        <v>0.3442372334953322</v>
      </c>
      <c r="K92" s="2">
        <f t="shared" si="54"/>
        <v>0.43325462820518079</v>
      </c>
      <c r="L92" s="2">
        <f t="shared" si="54"/>
        <v>0.52590890931497047</v>
      </c>
      <c r="M92" s="2">
        <f t="shared" si="54"/>
        <v>0.57512922785245146</v>
      </c>
      <c r="N92" s="2">
        <f t="shared" si="54"/>
        <v>0.62456023403798311</v>
      </c>
      <c r="O92" s="2">
        <f t="shared" si="54"/>
        <v>0.67420034487979374</v>
      </c>
      <c r="P92" s="2">
        <f t="shared" si="54"/>
        <v>0.72404798792236258</v>
      </c>
      <c r="Q92" s="2">
        <f t="shared" si="54"/>
        <v>0.77410160118076221</v>
      </c>
      <c r="R92" s="2">
        <f t="shared" si="54"/>
        <v>0.75439733057473901</v>
      </c>
      <c r="S92" s="2">
        <f t="shared" si="54"/>
        <v>0.73489593736580872</v>
      </c>
    </row>
    <row r="93" spans="4:21" x14ac:dyDescent="0.3">
      <c r="D93" s="24" t="s">
        <v>81</v>
      </c>
      <c r="E93" s="7">
        <f>SUM(E90:E92)</f>
        <v>5.126865440834074E-2</v>
      </c>
      <c r="F93" s="7">
        <f t="shared" ref="F93:S93" si="55">SUM(F90:F92)</f>
        <v>0.10468587086322337</v>
      </c>
      <c r="G93" s="7">
        <f t="shared" si="55"/>
        <v>0.16031829613358606</v>
      </c>
      <c r="H93" s="7">
        <f t="shared" si="55"/>
        <v>0.21823439781578838</v>
      </c>
      <c r="I93" s="7">
        <f t="shared" si="55"/>
        <v>0.31146803077871354</v>
      </c>
      <c r="J93" s="7">
        <f t="shared" si="55"/>
        <v>0.40844646509448718</v>
      </c>
      <c r="K93" s="7">
        <f t="shared" si="55"/>
        <v>0.50928346960119519</v>
      </c>
      <c r="L93" s="7">
        <f t="shared" si="55"/>
        <v>0.6140958809981939</v>
      </c>
      <c r="M93" s="7">
        <f t="shared" si="55"/>
        <v>0.67384598719934341</v>
      </c>
      <c r="N93" s="7">
        <f t="shared" si="55"/>
        <v>0.73369982425013558</v>
      </c>
      <c r="O93" s="7">
        <f t="shared" si="55"/>
        <v>0.79365661277369204</v>
      </c>
      <c r="P93" s="7">
        <f t="shared" si="55"/>
        <v>0.85371557858059688</v>
      </c>
      <c r="Q93" s="7">
        <f t="shared" si="55"/>
        <v>0.91387595263657029</v>
      </c>
      <c r="R93" s="7">
        <f t="shared" si="55"/>
        <v>0.90417466852968076</v>
      </c>
      <c r="S93" s="7">
        <f t="shared" si="55"/>
        <v>0.89457326994037345</v>
      </c>
      <c r="U93" s="27">
        <f>S93*21*1000</f>
        <v>18786.038668747842</v>
      </c>
    </row>
    <row r="94" spans="4:21" x14ac:dyDescent="0.3">
      <c r="D94" s="25" t="s">
        <v>82</v>
      </c>
      <c r="E94" s="7">
        <f>E88+E93</f>
        <v>5.6434915523757678E-2</v>
      </c>
      <c r="F94" s="7">
        <f t="shared" ref="F94:S94" si="56">F88+F93</f>
        <v>0.11517260984377119</v>
      </c>
      <c r="G94" s="7">
        <f t="shared" si="56"/>
        <v>0.17628318234277826</v>
      </c>
      <c r="H94" s="7">
        <f t="shared" si="56"/>
        <v>0.23983862193967037</v>
      </c>
      <c r="I94" s="7">
        <f t="shared" si="56"/>
        <v>0.33887637481647426</v>
      </c>
      <c r="J94" s="7">
        <f t="shared" si="56"/>
        <v>0.44182737365390923</v>
      </c>
      <c r="K94" s="7">
        <f t="shared" si="56"/>
        <v>0.54880912252230185</v>
      </c>
      <c r="L94" s="7">
        <f t="shared" si="56"/>
        <v>0.65994226732885919</v>
      </c>
      <c r="M94" s="7">
        <f t="shared" si="56"/>
        <v>0.72516656891277476</v>
      </c>
      <c r="N94" s="7">
        <f t="shared" si="56"/>
        <v>0.79043899695708009</v>
      </c>
      <c r="O94" s="7">
        <f t="shared" si="56"/>
        <v>0.85575918986587018</v>
      </c>
      <c r="P94" s="7">
        <f t="shared" si="56"/>
        <v>0.92112678844998963</v>
      </c>
      <c r="Q94" s="7">
        <f t="shared" si="56"/>
        <v>0.98654143591203514</v>
      </c>
      <c r="R94" s="7">
        <f t="shared" si="56"/>
        <v>0.9820404753307912</v>
      </c>
      <c r="S94" s="7">
        <f t="shared" si="56"/>
        <v>0.97758585714838042</v>
      </c>
      <c r="U94" s="27">
        <f>S94*21*1000</f>
        <v>20529.303000115986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1"/>
  <sheetViews>
    <sheetView zoomScale="80" zoomScaleNormal="80" workbookViewId="0">
      <selection activeCell="C4" sqref="C4:C8"/>
    </sheetView>
  </sheetViews>
  <sheetFormatPr defaultRowHeight="14.4" x14ac:dyDescent="0.3"/>
  <cols>
    <col min="3" max="3" width="43.88671875" bestFit="1" customWidth="1"/>
    <col min="4" max="7" width="10.5546875" bestFit="1" customWidth="1"/>
    <col min="8" max="18" width="13.5546875" bestFit="1" customWidth="1"/>
    <col min="19" max="19" width="12.33203125" bestFit="1" customWidth="1"/>
  </cols>
  <sheetData>
    <row r="2" spans="2:18" x14ac:dyDescent="0.3">
      <c r="C2" s="8">
        <v>1000</v>
      </c>
    </row>
    <row r="3" spans="2:18" x14ac:dyDescent="0.3">
      <c r="C3" t="s">
        <v>40</v>
      </c>
    </row>
    <row r="4" spans="2:18" x14ac:dyDescent="0.3">
      <c r="C4" t="s">
        <v>17</v>
      </c>
      <c r="D4">
        <v>1.8799999999999999E-4</v>
      </c>
      <c r="E4">
        <v>1.8799999999999999E-4</v>
      </c>
      <c r="F4">
        <v>3.7599999999999998E-4</v>
      </c>
      <c r="G4">
        <v>3.7599999999999998E-4</v>
      </c>
      <c r="H4">
        <v>5.6399999999999994E-4</v>
      </c>
      <c r="I4">
        <v>5.6399999999999994E-4</v>
      </c>
      <c r="J4">
        <v>7.5199999999999996E-4</v>
      </c>
      <c r="K4">
        <v>7.5199999999999996E-4</v>
      </c>
      <c r="L4">
        <v>9.3999999999999997E-4</v>
      </c>
      <c r="M4">
        <v>9.3999999999999997E-4</v>
      </c>
      <c r="N4">
        <v>1.1279999999999999E-3</v>
      </c>
      <c r="O4">
        <v>1.1279999999999999E-3</v>
      </c>
      <c r="P4">
        <v>1.3159999999999999E-3</v>
      </c>
      <c r="Q4">
        <v>1.3159999999999999E-3</v>
      </c>
      <c r="R4">
        <v>1.5039999999999999E-3</v>
      </c>
    </row>
    <row r="5" spans="2:18" x14ac:dyDescent="0.3">
      <c r="C5" t="s">
        <v>18</v>
      </c>
      <c r="D5">
        <v>1.645E-3</v>
      </c>
      <c r="E5">
        <v>3.29E-3</v>
      </c>
      <c r="F5">
        <v>4.9350000000000002E-3</v>
      </c>
      <c r="G5">
        <v>6.5799999999999999E-3</v>
      </c>
      <c r="H5">
        <v>8.2249999999999997E-3</v>
      </c>
      <c r="I5">
        <v>9.8700000000000003E-3</v>
      </c>
      <c r="J5">
        <v>1.1514999999999999E-2</v>
      </c>
      <c r="K5">
        <v>1.316E-2</v>
      </c>
      <c r="L5">
        <v>1.4804999999999999E-2</v>
      </c>
      <c r="M5">
        <v>1.6449999999999999E-2</v>
      </c>
      <c r="N5">
        <v>1.8095E-2</v>
      </c>
      <c r="O5">
        <v>1.9740000000000001E-2</v>
      </c>
      <c r="P5">
        <v>2.1384999999999998E-2</v>
      </c>
      <c r="Q5">
        <v>2.3029999999999998E-2</v>
      </c>
      <c r="R5">
        <v>2.4674999999999999E-2</v>
      </c>
    </row>
    <row r="6" spans="2:18" x14ac:dyDescent="0.3">
      <c r="C6" t="s">
        <v>83</v>
      </c>
      <c r="D6">
        <v>5.1662611154169391E-3</v>
      </c>
      <c r="E6">
        <v>1.0486738980547815E-2</v>
      </c>
      <c r="F6">
        <v>1.5964886209192196E-2</v>
      </c>
      <c r="G6">
        <v>2.1604224123881986E-2</v>
      </c>
      <c r="H6">
        <v>2.7408344037760726E-2</v>
      </c>
      <c r="I6">
        <v>3.3380908559422023E-2</v>
      </c>
      <c r="J6">
        <v>3.9525652921106685E-2</v>
      </c>
      <c r="K6">
        <v>4.584638633066531E-2</v>
      </c>
      <c r="L6">
        <v>5.1320581713431332E-2</v>
      </c>
      <c r="M6">
        <v>5.6739172706944535E-2</v>
      </c>
      <c r="N6">
        <v>6.2102577092178118E-2</v>
      </c>
      <c r="O6">
        <v>6.7411209869392794E-2</v>
      </c>
      <c r="P6">
        <v>7.2665483275464876E-2</v>
      </c>
      <c r="Q6">
        <v>7.7865806801110479E-2</v>
      </c>
      <c r="R6">
        <v>8.3012587208006916E-2</v>
      </c>
    </row>
    <row r="7" spans="2:18" x14ac:dyDescent="0.3">
      <c r="C7" t="s">
        <v>84</v>
      </c>
      <c r="D7" s="14">
        <v>5.126865440834074E-2</v>
      </c>
      <c r="E7" s="14">
        <v>0.10468587086322337</v>
      </c>
      <c r="F7" s="14">
        <v>0.16031829613358606</v>
      </c>
      <c r="G7" s="14">
        <v>0.21823439781578838</v>
      </c>
      <c r="H7" s="14">
        <v>0.31146803077871354</v>
      </c>
      <c r="I7" s="14">
        <v>0.40844646509448718</v>
      </c>
      <c r="J7" s="14">
        <v>0.50928346960119519</v>
      </c>
      <c r="K7" s="14">
        <v>0.6140958809981939</v>
      </c>
      <c r="L7" s="14">
        <v>0.67384598719934341</v>
      </c>
      <c r="M7" s="14">
        <v>0.73369982425013558</v>
      </c>
      <c r="N7" s="14">
        <v>0.79365661277369204</v>
      </c>
      <c r="O7" s="14">
        <v>0.85371557858059688</v>
      </c>
      <c r="P7" s="14">
        <v>0.91387595263657029</v>
      </c>
      <c r="Q7" s="14">
        <v>0.90417466852968076</v>
      </c>
      <c r="R7" s="14">
        <v>0.89457326994037345</v>
      </c>
    </row>
    <row r="8" spans="2:18" x14ac:dyDescent="0.3">
      <c r="C8" t="s">
        <v>37</v>
      </c>
      <c r="D8">
        <v>5.4988043478260877E-3</v>
      </c>
      <c r="E8">
        <v>1.0997608695652175E-2</v>
      </c>
      <c r="F8">
        <v>1.6496413043478264E-2</v>
      </c>
      <c r="G8">
        <v>2.1995217391304351E-2</v>
      </c>
      <c r="H8">
        <v>2.7494021739130434E-2</v>
      </c>
      <c r="I8">
        <v>3.2992826086956528E-2</v>
      </c>
      <c r="J8">
        <v>3.8491630434782619E-2</v>
      </c>
      <c r="K8">
        <v>4.3990434782608702E-2</v>
      </c>
      <c r="L8">
        <v>4.9489239130434785E-2</v>
      </c>
      <c r="M8">
        <v>5.4988043478260869E-2</v>
      </c>
      <c r="N8">
        <v>6.0486847826086966E-2</v>
      </c>
      <c r="O8">
        <v>6.5985652173913056E-2</v>
      </c>
      <c r="P8">
        <v>7.1484456521739154E-2</v>
      </c>
      <c r="Q8">
        <v>7.6983260869565237E-2</v>
      </c>
      <c r="R8">
        <v>8.248206521739132E-2</v>
      </c>
    </row>
    <row r="11" spans="2:18" x14ac:dyDescent="0.3">
      <c r="C11" t="s">
        <v>40</v>
      </c>
    </row>
    <row r="12" spans="2:18" x14ac:dyDescent="0.3">
      <c r="B12" s="5">
        <v>1</v>
      </c>
      <c r="C12" t="s">
        <v>17</v>
      </c>
      <c r="D12" s="31">
        <f t="shared" ref="D12:R12" si="0">D4*21*1000</f>
        <v>3.948</v>
      </c>
      <c r="E12" s="31">
        <f t="shared" si="0"/>
        <v>3.948</v>
      </c>
      <c r="F12" s="31">
        <f t="shared" si="0"/>
        <v>7.8959999999999999</v>
      </c>
      <c r="G12" s="31">
        <f t="shared" si="0"/>
        <v>7.8959999999999999</v>
      </c>
      <c r="H12" s="31">
        <f t="shared" si="0"/>
        <v>11.843999999999999</v>
      </c>
      <c r="I12" s="31">
        <f t="shared" si="0"/>
        <v>11.843999999999999</v>
      </c>
      <c r="J12" s="31">
        <f t="shared" si="0"/>
        <v>15.792</v>
      </c>
      <c r="K12" s="31">
        <f t="shared" si="0"/>
        <v>15.792</v>
      </c>
      <c r="L12" s="31">
        <f t="shared" si="0"/>
        <v>19.740000000000002</v>
      </c>
      <c r="M12" s="31">
        <f t="shared" si="0"/>
        <v>19.740000000000002</v>
      </c>
      <c r="N12" s="31">
        <f t="shared" si="0"/>
        <v>23.687999999999999</v>
      </c>
      <c r="O12" s="31">
        <f t="shared" si="0"/>
        <v>23.687999999999999</v>
      </c>
      <c r="P12" s="31">
        <f t="shared" si="0"/>
        <v>27.635999999999996</v>
      </c>
      <c r="Q12" s="31">
        <f t="shared" si="0"/>
        <v>27.635999999999996</v>
      </c>
      <c r="R12" s="31">
        <f t="shared" si="0"/>
        <v>31.584</v>
      </c>
    </row>
    <row r="13" spans="2:18" x14ac:dyDescent="0.3">
      <c r="B13" s="5">
        <v>2</v>
      </c>
      <c r="C13" t="s">
        <v>18</v>
      </c>
      <c r="D13" s="31">
        <f>D5*21*1000</f>
        <v>34.545000000000002</v>
      </c>
      <c r="E13" s="31">
        <f t="shared" ref="E13:R13" si="1">E5*21*1000</f>
        <v>69.09</v>
      </c>
      <c r="F13" s="31">
        <f t="shared" si="1"/>
        <v>103.63500000000001</v>
      </c>
      <c r="G13" s="31">
        <f t="shared" si="1"/>
        <v>138.18</v>
      </c>
      <c r="H13" s="31">
        <f t="shared" si="1"/>
        <v>172.72499999999999</v>
      </c>
      <c r="I13" s="31">
        <f t="shared" si="1"/>
        <v>207.27</v>
      </c>
      <c r="J13" s="31">
        <f t="shared" si="1"/>
        <v>241.81499999999997</v>
      </c>
      <c r="K13" s="31">
        <f t="shared" si="1"/>
        <v>276.36</v>
      </c>
      <c r="L13" s="31">
        <f t="shared" si="1"/>
        <v>310.90499999999997</v>
      </c>
      <c r="M13" s="31">
        <f t="shared" si="1"/>
        <v>345.45</v>
      </c>
      <c r="N13" s="31">
        <f t="shared" si="1"/>
        <v>379.99499999999995</v>
      </c>
      <c r="O13" s="31">
        <f t="shared" si="1"/>
        <v>414.54</v>
      </c>
      <c r="P13" s="31">
        <f t="shared" si="1"/>
        <v>449.08499999999998</v>
      </c>
      <c r="Q13" s="31">
        <f t="shared" si="1"/>
        <v>483.62999999999994</v>
      </c>
      <c r="R13" s="31">
        <f t="shared" si="1"/>
        <v>518.17499999999995</v>
      </c>
    </row>
    <row r="14" spans="2:18" x14ac:dyDescent="0.3">
      <c r="B14" s="5">
        <v>3</v>
      </c>
      <c r="C14" t="s">
        <v>28</v>
      </c>
      <c r="D14" s="31">
        <f>D6*21*1000</f>
        <v>108.49148342375572</v>
      </c>
      <c r="E14" s="31">
        <f t="shared" ref="E14:R14" si="2">E6*21*1000</f>
        <v>220.22151859150412</v>
      </c>
      <c r="F14" s="31">
        <f t="shared" si="2"/>
        <v>335.26261039303614</v>
      </c>
      <c r="G14" s="31">
        <f t="shared" si="2"/>
        <v>453.68870660152174</v>
      </c>
      <c r="H14" s="31">
        <f t="shared" si="2"/>
        <v>575.57522479297529</v>
      </c>
      <c r="I14" s="31">
        <f t="shared" si="2"/>
        <v>700.99907974786242</v>
      </c>
      <c r="J14" s="31">
        <f t="shared" si="2"/>
        <v>830.03871134324038</v>
      </c>
      <c r="K14" s="31">
        <f t="shared" si="2"/>
        <v>962.77411294397155</v>
      </c>
      <c r="L14" s="31">
        <f t="shared" si="2"/>
        <v>1077.7322159820578</v>
      </c>
      <c r="M14" s="31">
        <f t="shared" si="2"/>
        <v>1191.5226268458352</v>
      </c>
      <c r="N14" s="31">
        <f t="shared" si="2"/>
        <v>1304.1541189357404</v>
      </c>
      <c r="O14" s="31">
        <f t="shared" si="2"/>
        <v>1415.6354072572485</v>
      </c>
      <c r="P14" s="31">
        <f t="shared" si="2"/>
        <v>1525.9751487847623</v>
      </c>
      <c r="Q14" s="31">
        <f t="shared" si="2"/>
        <v>1635.18194282332</v>
      </c>
      <c r="R14" s="31">
        <f t="shared" si="2"/>
        <v>1743.2643313681453</v>
      </c>
    </row>
    <row r="15" spans="2:18" x14ac:dyDescent="0.3">
      <c r="B15" s="5">
        <v>4</v>
      </c>
      <c r="C15" t="s">
        <v>28</v>
      </c>
      <c r="D15" s="31">
        <f>D7*21*1000</f>
        <v>1076.6417425751556</v>
      </c>
      <c r="E15" s="31">
        <f t="shared" ref="E15:R15" si="3">E7*21*1000</f>
        <v>2198.4032881276908</v>
      </c>
      <c r="F15" s="31">
        <f t="shared" si="3"/>
        <v>3366.6842188053074</v>
      </c>
      <c r="G15" s="31">
        <f t="shared" si="3"/>
        <v>4582.9223541315559</v>
      </c>
      <c r="H15" s="31">
        <f t="shared" si="3"/>
        <v>6540.8286463529848</v>
      </c>
      <c r="I15" s="31">
        <f t="shared" si="3"/>
        <v>8577.3757669842307</v>
      </c>
      <c r="J15" s="31">
        <f t="shared" si="3"/>
        <v>10694.952861625099</v>
      </c>
      <c r="K15" s="31">
        <f t="shared" si="3"/>
        <v>12896.013500962072</v>
      </c>
      <c r="L15" s="31">
        <f t="shared" si="3"/>
        <v>14150.765731186211</v>
      </c>
      <c r="M15" s="31">
        <f t="shared" si="3"/>
        <v>15407.696309252848</v>
      </c>
      <c r="N15" s="31">
        <f t="shared" si="3"/>
        <v>16666.788868247531</v>
      </c>
      <c r="O15" s="31">
        <f t="shared" si="3"/>
        <v>17928.027150192534</v>
      </c>
      <c r="P15" s="31">
        <f t="shared" si="3"/>
        <v>19191.395005367976</v>
      </c>
      <c r="Q15" s="31">
        <f t="shared" si="3"/>
        <v>18987.668039123295</v>
      </c>
      <c r="R15" s="31">
        <f t="shared" si="3"/>
        <v>18786.038668747842</v>
      </c>
    </row>
    <row r="16" spans="2:18" x14ac:dyDescent="0.3">
      <c r="B16" s="5">
        <v>5</v>
      </c>
      <c r="C16" t="s">
        <v>37</v>
      </c>
      <c r="D16" s="31">
        <f>D8*1000</f>
        <v>5.4988043478260877</v>
      </c>
      <c r="E16" s="31">
        <f t="shared" ref="E16:R16" si="4">E8*1000</f>
        <v>10.997608695652175</v>
      </c>
      <c r="F16" s="31">
        <f t="shared" si="4"/>
        <v>16.496413043478263</v>
      </c>
      <c r="G16" s="31">
        <f t="shared" si="4"/>
        <v>21.995217391304351</v>
      </c>
      <c r="H16" s="31">
        <f t="shared" si="4"/>
        <v>27.494021739130435</v>
      </c>
      <c r="I16" s="31">
        <f t="shared" si="4"/>
        <v>32.992826086956526</v>
      </c>
      <c r="J16" s="31">
        <f t="shared" si="4"/>
        <v>38.491630434782621</v>
      </c>
      <c r="K16" s="31">
        <f t="shared" si="4"/>
        <v>43.990434782608702</v>
      </c>
      <c r="L16" s="31">
        <f t="shared" si="4"/>
        <v>49.489239130434783</v>
      </c>
      <c r="M16" s="31">
        <f t="shared" si="4"/>
        <v>54.98804347826087</v>
      </c>
      <c r="N16" s="31">
        <f t="shared" si="4"/>
        <v>60.486847826086965</v>
      </c>
      <c r="O16" s="31">
        <f t="shared" si="4"/>
        <v>65.985652173913053</v>
      </c>
      <c r="P16" s="31">
        <f t="shared" si="4"/>
        <v>71.484456521739148</v>
      </c>
      <c r="Q16" s="31">
        <f t="shared" si="4"/>
        <v>76.983260869565243</v>
      </c>
      <c r="R16" s="31">
        <f t="shared" si="4"/>
        <v>82.482065217391323</v>
      </c>
    </row>
    <row r="17" spans="3:19" x14ac:dyDescent="0.3">
      <c r="D17" s="8">
        <f t="shared" ref="D17:R17" si="5">SUM(D12:D16)</f>
        <v>1229.1250303467375</v>
      </c>
      <c r="E17" s="8">
        <f t="shared" si="5"/>
        <v>2502.6604154148472</v>
      </c>
      <c r="F17" s="8">
        <f t="shared" si="5"/>
        <v>3829.9742422418217</v>
      </c>
      <c r="G17" s="8">
        <f t="shared" si="5"/>
        <v>5204.6822781243818</v>
      </c>
      <c r="H17" s="8">
        <f t="shared" si="5"/>
        <v>7328.4668928850906</v>
      </c>
      <c r="I17" s="8">
        <f t="shared" si="5"/>
        <v>9530.481672819049</v>
      </c>
      <c r="J17" s="8">
        <f t="shared" si="5"/>
        <v>11821.090203403122</v>
      </c>
      <c r="K17" s="8">
        <f t="shared" si="5"/>
        <v>14194.930048688651</v>
      </c>
      <c r="L17" s="8">
        <f t="shared" si="5"/>
        <v>15608.632186298704</v>
      </c>
      <c r="M17" s="8">
        <f t="shared" si="5"/>
        <v>17019.396979576944</v>
      </c>
      <c r="N17" s="8">
        <f t="shared" si="5"/>
        <v>18435.11283500936</v>
      </c>
      <c r="O17" s="8">
        <f t="shared" si="5"/>
        <v>19847.876209623697</v>
      </c>
      <c r="P17" s="8">
        <f t="shared" si="5"/>
        <v>21265.575610674478</v>
      </c>
      <c r="Q17" s="8">
        <f t="shared" si="5"/>
        <v>21211.099242816181</v>
      </c>
      <c r="R17" s="8">
        <f t="shared" si="5"/>
        <v>21161.544065333379</v>
      </c>
      <c r="S17" s="8">
        <f>SUM(D17:R17)</f>
        <v>190190.64791325646</v>
      </c>
    </row>
    <row r="19" spans="3:19" x14ac:dyDescent="0.3">
      <c r="C19" t="s">
        <v>86</v>
      </c>
      <c r="D19">
        <v>260805.41984666258</v>
      </c>
      <c r="E19">
        <v>261737.27497691204</v>
      </c>
      <c r="F19">
        <v>282860.32805107062</v>
      </c>
      <c r="G19">
        <v>283815.1309628255</v>
      </c>
      <c r="H19">
        <v>284796.31166397955</v>
      </c>
      <c r="I19">
        <v>285805.45407543762</v>
      </c>
      <c r="J19">
        <v>320899.0740470048</v>
      </c>
      <c r="K19">
        <v>320864.82693753077</v>
      </c>
      <c r="L19">
        <v>320825.55899838358</v>
      </c>
      <c r="M19">
        <v>320782.0801221311</v>
      </c>
      <c r="N19">
        <v>320735.19040832698</v>
      </c>
      <c r="O19">
        <v>320685.68109130231</v>
      </c>
      <c r="P19">
        <v>320634.33546778664</v>
      </c>
      <c r="Q19">
        <v>320581.92982559826</v>
      </c>
      <c r="R19">
        <v>320529.23437466176</v>
      </c>
    </row>
    <row r="21" spans="3:19" x14ac:dyDescent="0.3">
      <c r="C21" t="s">
        <v>85</v>
      </c>
      <c r="D21">
        <v>2016</v>
      </c>
      <c r="E21">
        <v>2017</v>
      </c>
      <c r="F21">
        <v>2018</v>
      </c>
      <c r="G21">
        <v>2019</v>
      </c>
      <c r="H21">
        <v>2020</v>
      </c>
      <c r="I21">
        <v>2021</v>
      </c>
      <c r="J21">
        <v>2022</v>
      </c>
      <c r="K21">
        <v>2023</v>
      </c>
      <c r="L21">
        <v>2024</v>
      </c>
      <c r="M21">
        <v>2025</v>
      </c>
      <c r="N21">
        <v>2026</v>
      </c>
      <c r="O21">
        <v>2027</v>
      </c>
      <c r="P21">
        <v>2028</v>
      </c>
      <c r="Q21">
        <v>2029</v>
      </c>
      <c r="R21">
        <v>2030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5" ma:contentTypeDescription="Create a new document." ma:contentTypeScope="" ma:versionID="8ec79cf3ce22ff73ef3865a1057bc1ec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429f9dc335f5b97bfb768cc8e80cb3bf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EA308D-3E42-478D-BAAF-315CC32D8EA9}">
  <ds:schemaRefs>
    <ds:schemaRef ds:uri="http://schemas.microsoft.com/office/2006/metadata/properties"/>
    <ds:schemaRef ds:uri="http://schemas.microsoft.com/office/infopath/2007/PartnerControls"/>
    <ds:schemaRef ds:uri="06ee0bfa-d96b-42f0-a0ae-ade441056b35"/>
    <ds:schemaRef ds:uri="2bab6046-cf29-4de6-95c2-0ed88767753d"/>
  </ds:schemaRefs>
</ds:datastoreItem>
</file>

<file path=customXml/itemProps2.xml><?xml version="1.0" encoding="utf-8"?>
<ds:datastoreItem xmlns:ds="http://schemas.openxmlformats.org/officeDocument/2006/customXml" ds:itemID="{7E83AAFA-C348-4F4F-8BFF-BF3F9DFE9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897CD5-8CDF-4490-8FFF-A5CCE27842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RANGKUMAN</vt:lpstr>
      <vt:lpstr>Scenario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</dc:creator>
  <cp:lastModifiedBy>Karimah, Yumna   (ICRAF)</cp:lastModifiedBy>
  <cp:lastPrinted>2012-09-08T20:51:12Z</cp:lastPrinted>
  <dcterms:created xsi:type="dcterms:W3CDTF">2012-08-01T00:54:49Z</dcterms:created>
  <dcterms:modified xsi:type="dcterms:W3CDTF">2024-01-23T12:15:57Z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