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15" windowHeight="11655" activeTab="2"/>
  </bookViews>
  <sheets>
    <sheet name="Data" sheetId="1" r:id="rId1"/>
    <sheet name="Building loads" sheetId="4" r:id="rId2"/>
    <sheet name="Ground loads" sheetId="3" r:id="rId3"/>
  </sheets>
  <calcPr calcId="144525"/>
</workbook>
</file>

<file path=xl/comments1.xml><?xml version="1.0" encoding="utf-8"?>
<comments xmlns="http://schemas.openxmlformats.org/spreadsheetml/2006/main">
  <authors>
    <author>Iago Cupeiro</author>
  </authors>
  <commentList>
    <comment ref="D2" authorId="0">
      <text>
        <r>
          <rPr>
            <b/>
            <sz val="9"/>
            <rFont val="Times New Roman"/>
            <charset val="0"/>
          </rPr>
          <t>Iago Cupeiro:</t>
        </r>
        <r>
          <rPr>
            <sz val="9"/>
            <rFont val="Times New Roman"/>
            <charset val="0"/>
          </rPr>
          <t xml:space="preserve">
Be careful with the ground losses</t>
        </r>
      </text>
    </comment>
    <comment ref="H2" authorId="0">
      <text>
        <r>
          <rPr>
            <b/>
            <sz val="9"/>
            <rFont val="Times New Roman"/>
            <charset val="0"/>
          </rPr>
          <t>Iago Cupeiro:</t>
        </r>
        <r>
          <rPr>
            <sz val="9"/>
            <rFont val="Times New Roman"/>
            <charset val="0"/>
          </rPr>
          <t xml:space="preserve">
Note that here we do not consider the ground (as it is colder than the environment), which would be losses instead of gains. The minimum gains are 0 </t>
        </r>
      </text>
    </comment>
  </commentList>
</comments>
</file>

<file path=xl/sharedStrings.xml><?xml version="1.0" encoding="utf-8"?>
<sst xmlns="http://schemas.openxmlformats.org/spreadsheetml/2006/main" count="188" uniqueCount="110">
  <si>
    <t>Weather data</t>
  </si>
  <si>
    <t>No. days</t>
  </si>
  <si>
    <t>Cumulative seconds</t>
  </si>
  <si>
    <t>Average outdoor temperature (°C)</t>
  </si>
  <si>
    <t>Maximum outdoor temperature (°C)</t>
  </si>
  <si>
    <t>Minimum outdoor temperature (°C)</t>
  </si>
  <si>
    <t>Max 6h average radiation (south) [W]</t>
  </si>
  <si>
    <t>Average monthly radiation (south) [W]</t>
  </si>
  <si>
    <t>Max 6h average radiation (north) [W]</t>
  </si>
  <si>
    <t>Average monthly radiation (north) [W]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</si>
  <si>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</si>
  <si>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</si>
  <si>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</si>
  <si>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</si>
  <si>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</si>
  <si>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</si>
  <si>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</si>
  <si>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</si>
  <si>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</si>
  <si>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</si>
  <si>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</si>
  <si>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</si>
  <si>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Air properties</t>
  </si>
  <si>
    <t>Density</t>
  </si>
  <si>
    <t>kg/m3</t>
  </si>
  <si>
    <t>Heat capacity</t>
  </si>
  <si>
    <t>J/kg/K</t>
  </si>
  <si>
    <t>Building data</t>
  </si>
  <si>
    <t>Area zone north</t>
  </si>
  <si>
    <t>m²</t>
  </si>
  <si>
    <t>Area zone south</t>
  </si>
  <si>
    <t>Building lenght</t>
  </si>
  <si>
    <t>m</t>
  </si>
  <si>
    <t>Building width</t>
  </si>
  <si>
    <t>Building height</t>
  </si>
  <si>
    <t>Window-to-wall ratio</t>
  </si>
  <si>
    <t>A_roof</t>
  </si>
  <si>
    <t>A_floor</t>
  </si>
  <si>
    <t>A_envelope</t>
  </si>
  <si>
    <t>A_wall_north</t>
  </si>
  <si>
    <t>A_wall_east</t>
  </si>
  <si>
    <t>A_wall_south</t>
  </si>
  <si>
    <t>A_wall_west</t>
  </si>
  <si>
    <t>A_windows_north</t>
  </si>
  <si>
    <t>A_windows_south</t>
  </si>
  <si>
    <t>Occupants</t>
  </si>
  <si>
    <t>p</t>
  </si>
  <si>
    <t>Set-points</t>
  </si>
  <si>
    <t>TdesHea</t>
  </si>
  <si>
    <t>°C</t>
  </si>
  <si>
    <t>TdesCoo</t>
  </si>
  <si>
    <t>Building 1</t>
  </si>
  <si>
    <t>Building 2</t>
  </si>
  <si>
    <t>U_roof</t>
  </si>
  <si>
    <t>W/(m²K)</t>
  </si>
  <si>
    <t>U_walls</t>
  </si>
  <si>
    <t>U_floor</t>
  </si>
  <si>
    <t>U_windows</t>
  </si>
  <si>
    <t>g_windows</t>
  </si>
  <si>
    <t>-</t>
  </si>
  <si>
    <t>n50</t>
  </si>
  <si>
    <t>1/h</t>
  </si>
  <si>
    <t>Building evaluated</t>
  </si>
  <si>
    <t>Evaluated</t>
  </si>
  <si>
    <t>UA_floor</t>
  </si>
  <si>
    <t>UA_roof</t>
  </si>
  <si>
    <t>UA_wall_noth</t>
  </si>
  <si>
    <t>UA_wall_east</t>
  </si>
  <si>
    <t>UA_wall_south</t>
  </si>
  <si>
    <t>UA_wall_west</t>
  </si>
  <si>
    <t>UA_windows_north</t>
  </si>
  <si>
    <t>UA_windows_south</t>
  </si>
  <si>
    <t>gA_windows_north</t>
  </si>
  <si>
    <t>gA_windows_south</t>
  </si>
  <si>
    <t>Auxiliary parameters</t>
  </si>
  <si>
    <t>Average yearly temperature</t>
  </si>
  <si>
    <t>Total building UA (without floor)</t>
  </si>
  <si>
    <t>Gain per occupant</t>
  </si>
  <si>
    <t>W</t>
  </si>
  <si>
    <t>PEAK LOADS</t>
  </si>
  <si>
    <t>Heating loads</t>
  </si>
  <si>
    <t>Cooling loads</t>
  </si>
  <si>
    <t>Hea?</t>
  </si>
  <si>
    <t>Coo?</t>
  </si>
  <si>
    <t>Transmission losses (W)</t>
  </si>
  <si>
    <t>Infiltration losses (W)</t>
  </si>
  <si>
    <t>Total heating (W)</t>
  </si>
  <si>
    <t>Heating per m² (W)</t>
  </si>
  <si>
    <t>Transmission gains (W)</t>
  </si>
  <si>
    <t>Radiation gains (W)</t>
  </si>
  <si>
    <t>Internal gains (W)</t>
  </si>
  <si>
    <t>Total cooling (W)</t>
  </si>
  <si>
    <t>Cooling per m² (W)</t>
  </si>
  <si>
    <t>MAX</t>
  </si>
  <si>
    <t>MONTHLY LOADS</t>
  </si>
  <si>
    <t>COP =</t>
  </si>
  <si>
    <t>GROUND MONTHLY LOADS</t>
  </si>
  <si>
    <t>GROUND YEARLY LOAD</t>
  </si>
  <si>
    <t>GROUND PEAK LOADS</t>
  </si>
  <si>
    <t>Heating (W)</t>
  </si>
  <si>
    <t>Cooling (W)</t>
  </si>
  <si>
    <t>No.days</t>
  </si>
  <si>
    <t>Heating energy (W.day)</t>
  </si>
  <si>
    <t>Cooling energy (W.day)</t>
  </si>
  <si>
    <t>Heating</t>
  </si>
  <si>
    <t>Cooling</t>
  </si>
  <si>
    <t>SUM</t>
  </si>
  <si>
    <t>MAX HEA</t>
  </si>
  <si>
    <t>MAX COO</t>
  </si>
  <si>
    <t>UNBALANCE</t>
  </si>
</sst>
</file>

<file path=xl/styles.xml><?xml version="1.0" encoding="utf-8"?>
<styleSheet xmlns="http://schemas.openxmlformats.org/spreadsheetml/2006/main">
  <numFmts count="7">
    <numFmt numFmtId="176" formatCode="0_ "/>
    <numFmt numFmtId="177" formatCode="0.0_ "/>
    <numFmt numFmtId="43" formatCode="_-* #,##0.00_-;\-* #,##0.00_-;_-* &quot;-&quot;??_-;_-@_-"/>
    <numFmt numFmtId="178" formatCode="0.00_ 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4" fillId="3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9" fillId="8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24" borderId="25" applyNumberFormat="0" applyFont="0" applyAlignment="0" applyProtection="0">
      <alignment vertical="center"/>
    </xf>
    <xf numFmtId="0" fontId="18" fillId="13" borderId="2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24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33" borderId="26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178" fontId="0" fillId="3" borderId="6" xfId="0" applyNumberFormat="1" applyFill="1" applyBorder="1" applyAlignment="1">
      <alignment vertical="center"/>
    </xf>
    <xf numFmtId="178" fontId="0" fillId="4" borderId="7" xfId="0" applyNumberForma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178" fontId="0" fillId="5" borderId="8" xfId="0" applyNumberFormat="1" applyFill="1" applyBorder="1" applyAlignment="1">
      <alignment vertical="center"/>
    </xf>
    <xf numFmtId="178" fontId="0" fillId="6" borderId="8" xfId="0" applyNumberForma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177" fontId="0" fillId="3" borderId="6" xfId="0" applyNumberFormat="1" applyFill="1" applyBorder="1" applyAlignment="1">
      <alignment vertical="center"/>
    </xf>
    <xf numFmtId="177" fontId="0" fillId="4" borderId="7" xfId="0" applyNumberFormat="1" applyFill="1" applyBorder="1" applyAlignment="1">
      <alignment vertical="center"/>
    </xf>
    <xf numFmtId="178" fontId="0" fillId="3" borderId="4" xfId="0" applyNumberFormat="1" applyFill="1" applyBorder="1" applyAlignment="1">
      <alignment vertical="center"/>
    </xf>
    <xf numFmtId="178" fontId="0" fillId="4" borderId="9" xfId="0" applyNumberFormat="1" applyFill="1" applyBorder="1" applyAlignment="1">
      <alignment vertical="center"/>
    </xf>
    <xf numFmtId="0" fontId="1" fillId="5" borderId="8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178" fontId="0" fillId="2" borderId="3" xfId="0" applyNumberFormat="1" applyFill="1" applyBorder="1" applyAlignment="1">
      <alignment vertical="center"/>
    </xf>
    <xf numFmtId="178" fontId="0" fillId="5" borderId="10" xfId="0" applyNumberFormat="1" applyFill="1" applyBorder="1" applyAlignment="1">
      <alignment vertical="center"/>
    </xf>
    <xf numFmtId="178" fontId="0" fillId="6" borderId="11" xfId="0" applyNumberFormat="1" applyFill="1" applyBorder="1" applyAlignment="1">
      <alignment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vertical="center"/>
    </xf>
    <xf numFmtId="178" fontId="0" fillId="0" borderId="4" xfId="0" applyNumberForma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2" fillId="6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178" fontId="0" fillId="0" borderId="0" xfId="0" applyNumberFormat="1" applyFill="1" applyAlignment="1">
      <alignment vertical="center"/>
    </xf>
    <xf numFmtId="178" fontId="0" fillId="3" borderId="0" xfId="0" applyNumberFormat="1" applyFill="1" applyAlignment="1">
      <alignment vertical="center"/>
    </xf>
    <xf numFmtId="178" fontId="4" fillId="3" borderId="9" xfId="0" applyNumberFormat="1" applyFont="1" applyFill="1" applyBorder="1" applyAlignment="1">
      <alignment vertical="center"/>
    </xf>
    <xf numFmtId="178" fontId="0" fillId="3" borderId="15" xfId="0" applyNumberFormat="1" applyFill="1" applyBorder="1" applyAlignment="1">
      <alignment vertical="center"/>
    </xf>
    <xf numFmtId="178" fontId="1" fillId="5" borderId="4" xfId="0" applyNumberFormat="1" applyFont="1" applyFill="1" applyBorder="1" applyAlignment="1">
      <alignment vertical="center"/>
    </xf>
    <xf numFmtId="178" fontId="0" fillId="5" borderId="9" xfId="0" applyNumberForma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178" fontId="0" fillId="5" borderId="11" xfId="0" applyNumberFormat="1" applyFill="1" applyBorder="1" applyAlignment="1">
      <alignment vertical="center"/>
    </xf>
    <xf numFmtId="0" fontId="5" fillId="4" borderId="14" xfId="0" applyFont="1" applyFill="1" applyBorder="1" applyAlignment="1">
      <alignment horizontal="center" vertical="center" wrapText="1"/>
    </xf>
    <xf numFmtId="178" fontId="0" fillId="4" borderId="0" xfId="0" applyNumberFormat="1" applyFill="1" applyAlignment="1">
      <alignment vertical="center"/>
    </xf>
    <xf numFmtId="0" fontId="1" fillId="6" borderId="1" xfId="0" applyFont="1" applyFill="1" applyBorder="1" applyAlignment="1">
      <alignment vertical="center"/>
    </xf>
    <xf numFmtId="178" fontId="0" fillId="4" borderId="15" xfId="0" applyNumberFormat="1" applyFill="1" applyBorder="1" applyAlignment="1">
      <alignment vertical="center"/>
    </xf>
    <xf numFmtId="0" fontId="1" fillId="6" borderId="10" xfId="0" applyFont="1" applyFill="1" applyBorder="1" applyAlignment="1">
      <alignment vertical="center"/>
    </xf>
    <xf numFmtId="0" fontId="2" fillId="6" borderId="1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178" fontId="0" fillId="6" borderId="2" xfId="0" applyNumberForma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vertical="center"/>
    </xf>
    <xf numFmtId="176" fontId="0" fillId="0" borderId="0" xfId="0" applyNumberFormat="1" applyFill="1" applyAlignment="1">
      <alignment vertical="center"/>
    </xf>
    <xf numFmtId="177" fontId="0" fillId="0" borderId="0" xfId="0" applyNumberFormat="1" applyFill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176" fontId="0" fillId="0" borderId="15" xfId="0" applyNumberFormat="1" applyFill="1" applyBorder="1" applyAlignment="1">
      <alignment vertical="center"/>
    </xf>
    <xf numFmtId="177" fontId="0" fillId="0" borderId="15" xfId="0" applyNumberFormat="1" applyFill="1" applyBorder="1" applyAlignment="1">
      <alignment vertical="center"/>
    </xf>
    <xf numFmtId="178" fontId="0" fillId="0" borderId="9" xfId="0" applyNumberFormat="1" applyFill="1" applyBorder="1" applyAlignment="1">
      <alignment vertical="center"/>
    </xf>
    <xf numFmtId="9" fontId="0" fillId="0" borderId="9" xfId="0" applyNumberFormat="1" applyFill="1" applyBorder="1" applyAlignment="1">
      <alignment vertical="center"/>
    </xf>
    <xf numFmtId="9" fontId="0" fillId="0" borderId="0" xfId="0" applyNumberFormat="1" applyFill="1" applyAlignment="1">
      <alignment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177" fontId="0" fillId="0" borderId="9" xfId="0" applyNumberFormat="1" applyFill="1" applyBorder="1" applyAlignment="1">
      <alignment vertical="center"/>
    </xf>
    <xf numFmtId="177" fontId="0" fillId="0" borderId="11" xfId="0" applyNumberForma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77" fontId="0" fillId="0" borderId="7" xfId="0" applyNumberFormat="1" applyBorder="1">
      <alignment vertical="center"/>
    </xf>
    <xf numFmtId="0" fontId="0" fillId="0" borderId="4" xfId="0" applyBorder="1" applyAlignment="1">
      <alignment horizontal="center" vertical="center" wrapText="1"/>
    </xf>
    <xf numFmtId="178" fontId="0" fillId="0" borderId="9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"/>
  <sheetViews>
    <sheetView workbookViewId="0">
      <selection activeCell="D53" sqref="D53"/>
    </sheetView>
  </sheetViews>
  <sheetFormatPr defaultColWidth="9" defaultRowHeight="14.25"/>
  <cols>
    <col min="1" max="1" width="18.625" customWidth="1"/>
    <col min="2" max="2" width="10.25" customWidth="1"/>
    <col min="3" max="3" width="12.625" customWidth="1"/>
    <col min="4" max="4" width="11.25" customWidth="1"/>
    <col min="5" max="5" width="12.5" customWidth="1"/>
    <col min="6" max="6" width="13.125" customWidth="1"/>
    <col min="7" max="7" width="11.125" customWidth="1"/>
    <col min="8" max="8" width="10.5" customWidth="1"/>
    <col min="9" max="9" width="10.625" customWidth="1"/>
    <col min="10" max="10" width="11.25" customWidth="1"/>
  </cols>
  <sheetData>
    <row r="1" ht="15" spans="1:10">
      <c r="A1" s="4" t="s">
        <v>0</v>
      </c>
      <c r="B1" s="5"/>
      <c r="C1" s="5"/>
      <c r="D1" s="5"/>
      <c r="E1" s="5"/>
      <c r="F1" s="5"/>
      <c r="G1" s="5"/>
      <c r="H1" s="5"/>
      <c r="I1" s="5"/>
      <c r="J1" s="17"/>
    </row>
    <row r="2" ht="57.75" spans="1:10">
      <c r="A2" s="62"/>
      <c r="B2" s="63" t="s">
        <v>1</v>
      </c>
      <c r="C2" s="63" t="s">
        <v>2</v>
      </c>
      <c r="D2" s="63" t="s">
        <v>3</v>
      </c>
      <c r="E2" s="63" t="s">
        <v>4</v>
      </c>
      <c r="F2" s="63" t="s">
        <v>5</v>
      </c>
      <c r="G2" s="63" t="s">
        <v>6</v>
      </c>
      <c r="H2" s="63" t="s">
        <v>7</v>
      </c>
      <c r="I2" s="63" t="s">
        <v>8</v>
      </c>
      <c r="J2" s="80" t="s">
        <v>9</v>
      </c>
    </row>
    <row r="3" spans="1:10">
      <c r="A3" s="64" t="s">
        <v>10</v>
      </c>
      <c r="B3" s="65">
        <v>31</v>
      </c>
      <c r="C3" s="65">
        <f>B3*60*60*24</f>
        <v>2678400</v>
      </c>
      <c r="D3" s="66">
        <v>3.6</v>
      </c>
      <c r="E3" s="66">
        <v>14.3</v>
      </c>
      <c r="F3" s="66">
        <v>-7.6</v>
      </c>
      <c r="G3" s="66">
        <v>718.39</v>
      </c>
      <c r="H3" s="66">
        <v>41.31</v>
      </c>
      <c r="I3" s="66">
        <v>66.64</v>
      </c>
      <c r="J3" s="81">
        <v>7.76</v>
      </c>
    </row>
    <row r="4" spans="1:10">
      <c r="A4" s="67" t="s">
        <v>11</v>
      </c>
      <c r="B4" s="65">
        <v>28</v>
      </c>
      <c r="C4" s="65">
        <f t="shared" ref="C4:C14" si="0">B4*60*60*24+C3</f>
        <v>5097600</v>
      </c>
      <c r="D4" s="66">
        <v>4.5</v>
      </c>
      <c r="E4" s="66">
        <v>14.7</v>
      </c>
      <c r="F4" s="66">
        <v>-5.5</v>
      </c>
      <c r="G4" s="66">
        <v>734</v>
      </c>
      <c r="H4" s="66">
        <v>69.09</v>
      </c>
      <c r="I4" s="66">
        <v>101.6</v>
      </c>
      <c r="J4" s="81">
        <v>13.85</v>
      </c>
    </row>
    <row r="5" spans="1:10">
      <c r="A5" s="67" t="s">
        <v>12</v>
      </c>
      <c r="B5" s="65">
        <v>31</v>
      </c>
      <c r="C5" s="65">
        <f t="shared" si="0"/>
        <v>7776000</v>
      </c>
      <c r="D5" s="66">
        <v>7.3</v>
      </c>
      <c r="E5" s="66">
        <v>17.9</v>
      </c>
      <c r="F5" s="66">
        <v>-2.1</v>
      </c>
      <c r="G5" s="66">
        <v>729.7</v>
      </c>
      <c r="H5" s="66">
        <v>80.69</v>
      </c>
      <c r="I5" s="66">
        <v>140.1</v>
      </c>
      <c r="J5" s="81">
        <v>23.61</v>
      </c>
    </row>
    <row r="6" spans="1:10">
      <c r="A6" s="67" t="s">
        <v>13</v>
      </c>
      <c r="B6" s="65">
        <v>30</v>
      </c>
      <c r="C6" s="65">
        <f t="shared" si="0"/>
        <v>10368000</v>
      </c>
      <c r="D6" s="66">
        <v>9.8</v>
      </c>
      <c r="E6" s="66">
        <v>19.9</v>
      </c>
      <c r="F6" s="66">
        <v>-0.7</v>
      </c>
      <c r="G6" s="66">
        <v>636.6</v>
      </c>
      <c r="H6" s="66">
        <v>92.05</v>
      </c>
      <c r="I6" s="66">
        <v>169.8</v>
      </c>
      <c r="J6" s="81">
        <v>38.42</v>
      </c>
    </row>
    <row r="7" spans="1:10">
      <c r="A7" s="67" t="s">
        <v>14</v>
      </c>
      <c r="B7" s="65">
        <v>31</v>
      </c>
      <c r="C7" s="65">
        <f t="shared" si="0"/>
        <v>13046400</v>
      </c>
      <c r="D7" s="66">
        <v>13.9</v>
      </c>
      <c r="E7" s="66">
        <v>26.3</v>
      </c>
      <c r="F7" s="66">
        <v>3.6</v>
      </c>
      <c r="G7" s="66">
        <v>574.964</v>
      </c>
      <c r="H7" s="66">
        <v>87.5</v>
      </c>
      <c r="I7" s="66">
        <v>234.62073</v>
      </c>
      <c r="J7" s="81">
        <v>58.14</v>
      </c>
    </row>
    <row r="8" spans="1:10">
      <c r="A8" s="67" t="s">
        <v>15</v>
      </c>
      <c r="B8" s="65">
        <v>30</v>
      </c>
      <c r="C8" s="65">
        <f t="shared" si="0"/>
        <v>15638400</v>
      </c>
      <c r="D8" s="66">
        <v>16.6</v>
      </c>
      <c r="E8" s="66">
        <v>27.5</v>
      </c>
      <c r="F8" s="66">
        <v>7.4</v>
      </c>
      <c r="G8" s="66">
        <v>534.0189</v>
      </c>
      <c r="H8" s="66">
        <v>82.42</v>
      </c>
      <c r="I8" s="66">
        <v>242.50539</v>
      </c>
      <c r="J8" s="81">
        <v>57.57</v>
      </c>
    </row>
    <row r="9" spans="1:10">
      <c r="A9" s="67" t="s">
        <v>16</v>
      </c>
      <c r="B9" s="65">
        <v>31</v>
      </c>
      <c r="C9" s="65">
        <f t="shared" si="0"/>
        <v>18316800</v>
      </c>
      <c r="D9" s="66">
        <v>18.1</v>
      </c>
      <c r="E9" s="66">
        <v>29.4</v>
      </c>
      <c r="F9" s="66">
        <v>10.2</v>
      </c>
      <c r="G9" s="66">
        <v>555.03265</v>
      </c>
      <c r="H9" s="66">
        <v>83.65</v>
      </c>
      <c r="I9" s="66">
        <v>257.5101</v>
      </c>
      <c r="J9" s="81">
        <v>58.42</v>
      </c>
    </row>
    <row r="10" spans="1:10">
      <c r="A10" s="67" t="s">
        <v>17</v>
      </c>
      <c r="B10" s="65">
        <v>31</v>
      </c>
      <c r="C10" s="65">
        <f t="shared" si="0"/>
        <v>20995200</v>
      </c>
      <c r="D10" s="66">
        <v>18.7</v>
      </c>
      <c r="E10" s="66">
        <v>29.3</v>
      </c>
      <c r="F10" s="66">
        <v>11</v>
      </c>
      <c r="G10" s="66">
        <v>602.1357</v>
      </c>
      <c r="H10" s="66">
        <v>98.07</v>
      </c>
      <c r="I10" s="66">
        <v>177.70412</v>
      </c>
      <c r="J10" s="81">
        <v>54.24</v>
      </c>
    </row>
    <row r="11" spans="1:10">
      <c r="A11" s="67" t="s">
        <v>18</v>
      </c>
      <c r="B11" s="65">
        <v>30</v>
      </c>
      <c r="C11" s="65">
        <f t="shared" si="0"/>
        <v>23587200</v>
      </c>
      <c r="D11" s="66">
        <v>15.2</v>
      </c>
      <c r="E11" s="66">
        <v>29.1</v>
      </c>
      <c r="F11" s="66">
        <v>6.9</v>
      </c>
      <c r="G11" s="66">
        <v>777.9027</v>
      </c>
      <c r="H11" s="66">
        <v>94.15</v>
      </c>
      <c r="I11" s="66">
        <v>160.0384</v>
      </c>
      <c r="J11" s="81">
        <v>27.75</v>
      </c>
    </row>
    <row r="12" spans="1:10">
      <c r="A12" s="67" t="s">
        <v>19</v>
      </c>
      <c r="B12" s="65">
        <v>31</v>
      </c>
      <c r="C12" s="65">
        <f t="shared" si="0"/>
        <v>26265600</v>
      </c>
      <c r="D12" s="66">
        <v>11.4</v>
      </c>
      <c r="E12" s="66">
        <v>21.1</v>
      </c>
      <c r="F12" s="66">
        <v>3.9</v>
      </c>
      <c r="G12" s="66">
        <v>768.97</v>
      </c>
      <c r="H12" s="66">
        <v>87.71</v>
      </c>
      <c r="I12" s="66">
        <v>107.85939</v>
      </c>
      <c r="J12" s="81">
        <v>22.58</v>
      </c>
    </row>
    <row r="13" spans="1:10">
      <c r="A13" s="67" t="s">
        <v>20</v>
      </c>
      <c r="B13" s="65">
        <v>30</v>
      </c>
      <c r="C13" s="65">
        <f t="shared" si="0"/>
        <v>28857600</v>
      </c>
      <c r="D13" s="66">
        <v>6.7</v>
      </c>
      <c r="E13" s="66">
        <v>15.8</v>
      </c>
      <c r="F13" s="66">
        <v>-1.5</v>
      </c>
      <c r="G13" s="66">
        <v>662.3044</v>
      </c>
      <c r="H13" s="66">
        <v>55.34</v>
      </c>
      <c r="I13" s="66">
        <v>70.46417</v>
      </c>
      <c r="J13" s="81">
        <v>8.98</v>
      </c>
    </row>
    <row r="14" ht="15" spans="1:10">
      <c r="A14" s="68" t="s">
        <v>21</v>
      </c>
      <c r="B14" s="69">
        <v>31</v>
      </c>
      <c r="C14" s="69">
        <f t="shared" si="0"/>
        <v>31536000</v>
      </c>
      <c r="D14" s="70">
        <v>4</v>
      </c>
      <c r="E14" s="70">
        <v>13.4</v>
      </c>
      <c r="F14" s="70">
        <v>-4.8</v>
      </c>
      <c r="G14" s="70">
        <v>519.41144</v>
      </c>
      <c r="H14" s="70">
        <v>30.9</v>
      </c>
      <c r="I14" s="70">
        <v>47.163136</v>
      </c>
      <c r="J14" s="82">
        <v>6.27</v>
      </c>
    </row>
    <row r="15" ht="15"/>
    <row r="16" ht="15" spans="1:3">
      <c r="A16" s="4" t="s">
        <v>22</v>
      </c>
      <c r="B16" s="5"/>
      <c r="C16" s="17"/>
    </row>
    <row r="17" spans="1:3">
      <c r="A17" s="64" t="s">
        <v>23</v>
      </c>
      <c r="B17" s="3">
        <v>1.225</v>
      </c>
      <c r="C17" s="37" t="s">
        <v>24</v>
      </c>
    </row>
    <row r="18" ht="15" spans="1:3">
      <c r="A18" s="68" t="s">
        <v>25</v>
      </c>
      <c r="B18" s="40">
        <v>1005</v>
      </c>
      <c r="C18" s="41" t="s">
        <v>26</v>
      </c>
    </row>
    <row r="20" ht="15"/>
    <row r="21" ht="15" spans="1:3">
      <c r="A21" s="4" t="s">
        <v>27</v>
      </c>
      <c r="B21" s="17"/>
      <c r="C21" s="3"/>
    </row>
    <row r="22" spans="1:3">
      <c r="A22" s="64" t="s">
        <v>28</v>
      </c>
      <c r="B22" s="37">
        <v>500</v>
      </c>
      <c r="C22" s="3" t="s">
        <v>29</v>
      </c>
    </row>
    <row r="23" spans="1:3">
      <c r="A23" s="67" t="s">
        <v>30</v>
      </c>
      <c r="B23" s="37">
        <v>500</v>
      </c>
      <c r="C23" s="3" t="s">
        <v>29</v>
      </c>
    </row>
    <row r="24" spans="1:3">
      <c r="A24" s="67" t="s">
        <v>31</v>
      </c>
      <c r="B24" s="71">
        <f>2*SQRT(B22)</f>
        <v>44.7213595499958</v>
      </c>
      <c r="C24" s="3" t="s">
        <v>32</v>
      </c>
    </row>
    <row r="25" spans="1:3">
      <c r="A25" s="67" t="s">
        <v>33</v>
      </c>
      <c r="B25" s="71">
        <f>SQRT(B22)</f>
        <v>22.3606797749979</v>
      </c>
      <c r="C25" s="3" t="s">
        <v>32</v>
      </c>
    </row>
    <row r="26" spans="1:3">
      <c r="A26" s="67" t="s">
        <v>34</v>
      </c>
      <c r="B26" s="37">
        <v>2.7</v>
      </c>
      <c r="C26" s="3" t="s">
        <v>32</v>
      </c>
    </row>
    <row r="27" spans="1:3">
      <c r="A27" s="67" t="s">
        <v>35</v>
      </c>
      <c r="B27" s="72">
        <v>0.4</v>
      </c>
      <c r="C27" s="3"/>
    </row>
    <row r="28" spans="1:3">
      <c r="A28" s="67" t="s">
        <v>36</v>
      </c>
      <c r="B28" s="37">
        <f>B24*B25</f>
        <v>1000</v>
      </c>
      <c r="C28" s="3" t="s">
        <v>29</v>
      </c>
    </row>
    <row r="29" spans="1:3">
      <c r="A29" s="67" t="s">
        <v>37</v>
      </c>
      <c r="B29" s="37">
        <f>B24*B25</f>
        <v>1000</v>
      </c>
      <c r="C29" s="3" t="s">
        <v>29</v>
      </c>
    </row>
    <row r="30" spans="1:3">
      <c r="A30" s="67" t="s">
        <v>38</v>
      </c>
      <c r="B30" s="71">
        <f>2*B25*B26+2*B24*B26</f>
        <v>362.243012354966</v>
      </c>
      <c r="C30" s="3" t="s">
        <v>29</v>
      </c>
    </row>
    <row r="31" spans="1:3">
      <c r="A31" s="67" t="s">
        <v>39</v>
      </c>
      <c r="B31" s="71">
        <f>B24*B26*(1-B27)</f>
        <v>72.4486024709932</v>
      </c>
      <c r="C31" s="3" t="s">
        <v>29</v>
      </c>
    </row>
    <row r="32" spans="1:3">
      <c r="A32" s="67" t="s">
        <v>40</v>
      </c>
      <c r="B32" s="71">
        <f>B25*B26</f>
        <v>60.3738353924943</v>
      </c>
      <c r="C32" s="3" t="s">
        <v>29</v>
      </c>
    </row>
    <row r="33" spans="1:3">
      <c r="A33" s="67" t="s">
        <v>41</v>
      </c>
      <c r="B33" s="71">
        <f>B24*B26*(1-B27)</f>
        <v>72.4486024709932</v>
      </c>
      <c r="C33" s="3" t="s">
        <v>29</v>
      </c>
    </row>
    <row r="34" spans="1:3">
      <c r="A34" s="67" t="s">
        <v>42</v>
      </c>
      <c r="B34" s="71">
        <f>B25*B26</f>
        <v>60.3738353924943</v>
      </c>
      <c r="C34" s="3" t="s">
        <v>29</v>
      </c>
    </row>
    <row r="35" spans="1:3">
      <c r="A35" s="67" t="s">
        <v>43</v>
      </c>
      <c r="B35" s="71">
        <f>B24*B26*B27</f>
        <v>48.2990683139955</v>
      </c>
      <c r="C35" s="3" t="s">
        <v>29</v>
      </c>
    </row>
    <row r="36" spans="1:3">
      <c r="A36" s="67" t="s">
        <v>44</v>
      </c>
      <c r="B36" s="71">
        <f>B24*B26*B27</f>
        <v>48.2990683139955</v>
      </c>
      <c r="C36" s="3" t="s">
        <v>29</v>
      </c>
    </row>
    <row r="37" ht="15" spans="1:3">
      <c r="A37" s="68" t="s">
        <v>45</v>
      </c>
      <c r="B37" s="41">
        <v>60</v>
      </c>
      <c r="C37" s="3" t="s">
        <v>46</v>
      </c>
    </row>
    <row r="38" ht="15" spans="1:3">
      <c r="A38" s="3"/>
      <c r="B38" s="73"/>
      <c r="C38" s="3"/>
    </row>
    <row r="39" ht="15" spans="1:3">
      <c r="A39" s="4" t="s">
        <v>47</v>
      </c>
      <c r="B39" s="17"/>
      <c r="C39" s="3"/>
    </row>
    <row r="40" spans="1:3">
      <c r="A40" s="64" t="s">
        <v>48</v>
      </c>
      <c r="B40" s="37">
        <v>21</v>
      </c>
      <c r="C40" s="3" t="s">
        <v>49</v>
      </c>
    </row>
    <row r="41" ht="15" spans="1:3">
      <c r="A41" s="68" t="s">
        <v>50</v>
      </c>
      <c r="B41" s="41">
        <v>24.5</v>
      </c>
      <c r="C41" s="3" t="s">
        <v>49</v>
      </c>
    </row>
    <row r="42" spans="1:3">
      <c r="A42" s="3"/>
      <c r="B42" s="3"/>
      <c r="C42" s="3"/>
    </row>
    <row r="43" ht="15"/>
    <row r="44" ht="15" spans="1:3">
      <c r="A44" s="3"/>
      <c r="B44" s="74" t="s">
        <v>51</v>
      </c>
      <c r="C44" s="74" t="s">
        <v>52</v>
      </c>
    </row>
    <row r="45" spans="1:4">
      <c r="A45" s="64" t="s">
        <v>53</v>
      </c>
      <c r="B45" s="64">
        <v>0.16</v>
      </c>
      <c r="C45" s="75">
        <v>0.32</v>
      </c>
      <c r="D45" t="s">
        <v>54</v>
      </c>
    </row>
    <row r="46" spans="1:4">
      <c r="A46" s="67" t="s">
        <v>55</v>
      </c>
      <c r="B46" s="67">
        <v>0.2</v>
      </c>
      <c r="C46" s="37">
        <v>0.51</v>
      </c>
      <c r="D46" t="s">
        <v>54</v>
      </c>
    </row>
    <row r="47" spans="1:4">
      <c r="A47" s="67" t="s">
        <v>56</v>
      </c>
      <c r="B47" s="67">
        <v>0.16</v>
      </c>
      <c r="C47" s="37">
        <v>0.32</v>
      </c>
      <c r="D47" t="s">
        <v>54</v>
      </c>
    </row>
    <row r="48" spans="1:4">
      <c r="A48" s="67" t="s">
        <v>57</v>
      </c>
      <c r="B48" s="67">
        <v>1.1</v>
      </c>
      <c r="C48" s="37">
        <v>5.95</v>
      </c>
      <c r="D48" t="s">
        <v>54</v>
      </c>
    </row>
    <row r="49" spans="1:4">
      <c r="A49" s="67" t="s">
        <v>58</v>
      </c>
      <c r="B49" s="67">
        <v>0.42</v>
      </c>
      <c r="C49" s="37">
        <v>1</v>
      </c>
      <c r="D49" t="s">
        <v>59</v>
      </c>
    </row>
    <row r="50" ht="15" spans="1:4">
      <c r="A50" s="68" t="s">
        <v>60</v>
      </c>
      <c r="B50" s="68">
        <v>1.3</v>
      </c>
      <c r="C50" s="41">
        <v>8.2</v>
      </c>
      <c r="D50" t="s">
        <v>61</v>
      </c>
    </row>
    <row r="51" ht="15"/>
    <row r="52" ht="15" spans="1:4">
      <c r="A52" s="3"/>
      <c r="B52" s="76" t="s">
        <v>62</v>
      </c>
      <c r="C52" s="77"/>
      <c r="D52" s="77">
        <v>1</v>
      </c>
    </row>
    <row r="53" ht="15" spans="1:4">
      <c r="A53" s="78"/>
      <c r="B53" s="5" t="s">
        <v>51</v>
      </c>
      <c r="C53" s="5" t="s">
        <v>52</v>
      </c>
      <c r="D53" s="17" t="s">
        <v>63</v>
      </c>
    </row>
    <row r="54" spans="1:4">
      <c r="A54" s="64" t="s">
        <v>64</v>
      </c>
      <c r="B54" s="79">
        <f>B45*$B$29</f>
        <v>160</v>
      </c>
      <c r="C54" s="79">
        <f>C45*$B$29</f>
        <v>320</v>
      </c>
      <c r="D54" s="75">
        <f>IF($D$52=1,B54,IF($D$52=2,C54,"SELECT 1 OR 2"))</f>
        <v>160</v>
      </c>
    </row>
    <row r="55" spans="1:4">
      <c r="A55" s="67" t="s">
        <v>65</v>
      </c>
      <c r="B55" s="3">
        <f>B47*$B$28</f>
        <v>160</v>
      </c>
      <c r="C55" s="3">
        <f>C47*$B$28</f>
        <v>320</v>
      </c>
      <c r="D55" s="37">
        <f t="shared" ref="D55:D65" si="1">IF($D$52=1,B55,IF($D$52=2,C55,"SELECT 1 OR 2"))</f>
        <v>160</v>
      </c>
    </row>
    <row r="56" spans="1:4">
      <c r="A56" s="67" t="s">
        <v>66</v>
      </c>
      <c r="B56" s="46">
        <f>B46*$B$31</f>
        <v>14.4897204941986</v>
      </c>
      <c r="C56" s="46">
        <f>C46*$B$31</f>
        <v>36.9487872602065</v>
      </c>
      <c r="D56" s="71">
        <f t="shared" si="1"/>
        <v>14.4897204941986</v>
      </c>
    </row>
    <row r="57" spans="1:4">
      <c r="A57" s="67" t="s">
        <v>67</v>
      </c>
      <c r="B57" s="46">
        <f>B46*$B$32</f>
        <v>12.0747670784989</v>
      </c>
      <c r="C57" s="46">
        <f>C46*$B$32</f>
        <v>30.7906560501721</v>
      </c>
      <c r="D57" s="71">
        <f t="shared" si="1"/>
        <v>12.0747670784989</v>
      </c>
    </row>
    <row r="58" spans="1:4">
      <c r="A58" s="67" t="s">
        <v>68</v>
      </c>
      <c r="B58" s="46">
        <f>B46*$B$33</f>
        <v>14.4897204941986</v>
      </c>
      <c r="C58" s="46">
        <f>C46*$B$33</f>
        <v>36.9487872602065</v>
      </c>
      <c r="D58" s="71">
        <f t="shared" si="1"/>
        <v>14.4897204941986</v>
      </c>
    </row>
    <row r="59" spans="1:4">
      <c r="A59" s="67" t="s">
        <v>69</v>
      </c>
      <c r="B59" s="46">
        <f>B46*$B$34</f>
        <v>12.0747670784989</v>
      </c>
      <c r="C59" s="46">
        <f>C46*$B$34</f>
        <v>30.7906560501721</v>
      </c>
      <c r="D59" s="71">
        <f t="shared" si="1"/>
        <v>12.0747670784989</v>
      </c>
    </row>
    <row r="60" spans="1:4">
      <c r="A60" s="67" t="s">
        <v>70</v>
      </c>
      <c r="B60" s="46">
        <f>B48*$B$35</f>
        <v>53.128975145395</v>
      </c>
      <c r="C60" s="46">
        <f>C48*$B$35</f>
        <v>287.379456468273</v>
      </c>
      <c r="D60" s="71">
        <f t="shared" si="1"/>
        <v>53.128975145395</v>
      </c>
    </row>
    <row r="61" spans="1:4">
      <c r="A61" s="67" t="s">
        <v>71</v>
      </c>
      <c r="B61" s="46">
        <f>B48*$B$36</f>
        <v>53.128975145395</v>
      </c>
      <c r="C61" s="46">
        <f>C48*$B$36</f>
        <v>287.379456468273</v>
      </c>
      <c r="D61" s="71">
        <f t="shared" si="1"/>
        <v>53.128975145395</v>
      </c>
    </row>
    <row r="62" spans="1:4">
      <c r="A62" s="67" t="s">
        <v>72</v>
      </c>
      <c r="B62" s="46">
        <f>B49*$B$35</f>
        <v>20.2856086918781</v>
      </c>
      <c r="C62" s="46">
        <f>C49*$B$35</f>
        <v>48.2990683139955</v>
      </c>
      <c r="D62" s="71">
        <f t="shared" si="1"/>
        <v>20.2856086918781</v>
      </c>
    </row>
    <row r="63" spans="1:4">
      <c r="A63" s="67" t="s">
        <v>73</v>
      </c>
      <c r="B63" s="46">
        <f>B49*$B$36</f>
        <v>20.2856086918781</v>
      </c>
      <c r="C63" s="46">
        <f>C49*$B$36</f>
        <v>48.2990683139955</v>
      </c>
      <c r="D63" s="71">
        <f t="shared" si="1"/>
        <v>20.2856086918781</v>
      </c>
    </row>
    <row r="64" spans="1:4">
      <c r="A64" s="67" t="s">
        <v>60</v>
      </c>
      <c r="B64" s="3">
        <v>1.3</v>
      </c>
      <c r="C64" s="3">
        <v>8.2</v>
      </c>
      <c r="D64" s="37">
        <f t="shared" si="1"/>
        <v>1.3</v>
      </c>
    </row>
    <row r="65" ht="15" spans="1:4">
      <c r="A65" s="68" t="s">
        <v>45</v>
      </c>
      <c r="B65" s="40">
        <v>60</v>
      </c>
      <c r="C65" s="40">
        <v>60</v>
      </c>
      <c r="D65" s="41">
        <f t="shared" si="1"/>
        <v>60</v>
      </c>
    </row>
    <row r="67" ht="15" spans="1:2">
      <c r="A67" s="83" t="s">
        <v>74</v>
      </c>
      <c r="B67" s="84"/>
    </row>
    <row r="68" ht="28" customHeight="1" spans="1:3">
      <c r="A68" s="85" t="s">
        <v>75</v>
      </c>
      <c r="B68" s="86">
        <f>AVERAGE(D3:D14)</f>
        <v>10.8166666666667</v>
      </c>
      <c r="C68" t="s">
        <v>49</v>
      </c>
    </row>
    <row r="69" ht="30" customHeight="1" spans="1:3">
      <c r="A69" s="87" t="s">
        <v>76</v>
      </c>
      <c r="B69" s="88">
        <f>SUM(D55:D61)</f>
        <v>319.386925436185</v>
      </c>
      <c r="C69" t="s">
        <v>54</v>
      </c>
    </row>
    <row r="70" ht="15" spans="1:3">
      <c r="A70" s="89" t="s">
        <v>77</v>
      </c>
      <c r="B70" s="90">
        <v>73</v>
      </c>
      <c r="C70" t="s">
        <v>78</v>
      </c>
    </row>
  </sheetData>
  <mergeCells count="6">
    <mergeCell ref="A1:J1"/>
    <mergeCell ref="A16:C16"/>
    <mergeCell ref="A21:B21"/>
    <mergeCell ref="A39:B39"/>
    <mergeCell ref="B52:C52"/>
    <mergeCell ref="A67:B6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opLeftCell="C1" workbookViewId="0">
      <selection activeCell="E21" sqref="E21"/>
    </sheetView>
  </sheetViews>
  <sheetFormatPr defaultColWidth="9" defaultRowHeight="14.25"/>
  <cols>
    <col min="1" max="1" width="10.25" customWidth="1"/>
    <col min="4" max="4" width="15.125" customWidth="1"/>
    <col min="5" max="5" width="13.625" customWidth="1"/>
    <col min="6" max="6" width="11" customWidth="1"/>
    <col min="7" max="7" width="10.75" customWidth="1"/>
    <col min="8" max="8" width="13.5" customWidth="1"/>
    <col min="9" max="9" width="11.5" customWidth="1"/>
    <col min="10" max="10" width="12.375" customWidth="1"/>
    <col min="11" max="11" width="11.75" customWidth="1"/>
    <col min="12" max="12" width="12" customWidth="1"/>
    <col min="13" max="13" width="11.875" customWidth="1"/>
  </cols>
  <sheetData>
    <row r="1" ht="15" spans="1:13">
      <c r="A1" s="31" t="s">
        <v>79</v>
      </c>
      <c r="B1" s="32"/>
      <c r="C1" s="32"/>
      <c r="D1" s="33" t="s">
        <v>80</v>
      </c>
      <c r="E1" s="33"/>
      <c r="F1" s="33"/>
      <c r="G1" s="33"/>
      <c r="H1" s="42" t="s">
        <v>81</v>
      </c>
      <c r="I1" s="42"/>
      <c r="J1" s="42"/>
      <c r="K1" s="42"/>
      <c r="L1" s="42"/>
      <c r="M1" s="59"/>
    </row>
    <row r="2" ht="28.5" spans="1:13">
      <c r="A2" s="34"/>
      <c r="B2" s="35" t="s">
        <v>82</v>
      </c>
      <c r="C2" s="19" t="s">
        <v>83</v>
      </c>
      <c r="D2" s="36" t="s">
        <v>84</v>
      </c>
      <c r="E2" s="43" t="s">
        <v>85</v>
      </c>
      <c r="F2" s="44" t="s">
        <v>86</v>
      </c>
      <c r="G2" s="45" t="s">
        <v>87</v>
      </c>
      <c r="H2" s="36" t="s">
        <v>88</v>
      </c>
      <c r="I2" s="43" t="s">
        <v>89</v>
      </c>
      <c r="J2" s="43" t="s">
        <v>85</v>
      </c>
      <c r="K2" s="43" t="s">
        <v>90</v>
      </c>
      <c r="L2" s="54" t="s">
        <v>91</v>
      </c>
      <c r="M2" s="60" t="s">
        <v>92</v>
      </c>
    </row>
    <row r="3" spans="1:13">
      <c r="A3" s="10" t="s">
        <v>10</v>
      </c>
      <c r="B3" s="3" t="b">
        <v>1</v>
      </c>
      <c r="C3" s="37" t="b">
        <v>0</v>
      </c>
      <c r="D3" s="38">
        <f>(Data!$B$40-Data!F3)*Data!$B$69+(Data!$B$40-Data!$B$68)*Data!$D$54</f>
        <v>10763.7994008082</v>
      </c>
      <c r="E3" s="46">
        <f>Data!$B$17*Data!$B$18*Data!$B$24*Data!$B$25*Data!$B$26*Data!$D$64/20/3600*(Data!$B$40-Data!F3)</f>
        <v>1716.49603125</v>
      </c>
      <c r="F3" s="47">
        <f t="shared" ref="F3:F14" si="0">(D3+E3)*B3</f>
        <v>12480.2954320582</v>
      </c>
      <c r="G3" s="48">
        <f>F3/Data!$B$29</f>
        <v>12.4802954320582</v>
      </c>
      <c r="H3" s="38">
        <f>MAX(0,(Data!E3-Data!$B$41)*Data!$B$69)</f>
        <v>0</v>
      </c>
      <c r="I3" s="46">
        <f>Data!G3*Data!$D$63+Data!I3*Data!$D$62</f>
        <v>15924.8113913851</v>
      </c>
      <c r="J3" s="46">
        <f>MAX(0,Data!$B$17*Data!$B$18*Data!$B$24*Data!$B$25*Data!$B$26*Data!$D$64/20/3600*(Data!E3-Data!$B$41))</f>
        <v>0</v>
      </c>
      <c r="K3" s="3">
        <f>Data!$D$65*Data!$B$70</f>
        <v>4380</v>
      </c>
      <c r="L3" s="55">
        <f t="shared" ref="L3:L14" si="1">(H3+I3+J3+K3)*C3</f>
        <v>0</v>
      </c>
      <c r="M3" s="25">
        <f>L3/Data!$B$29</f>
        <v>0</v>
      </c>
    </row>
    <row r="4" spans="1:13">
      <c r="A4" s="10" t="s">
        <v>11</v>
      </c>
      <c r="B4" s="3" t="b">
        <v>1</v>
      </c>
      <c r="C4" s="37" t="b">
        <v>0</v>
      </c>
      <c r="D4" s="38">
        <f>(Data!$B$40-Data!F4)*Data!$B$69+(Data!$B$40-Data!$B$68)*Data!$D$54</f>
        <v>10093.0868573922</v>
      </c>
      <c r="E4" s="46">
        <f>Data!$B$17*Data!$B$18*Data!$B$24*Data!$B$25*Data!$B$26*Data!$D$64/20/3600*(Data!$B$40-Data!F4)</f>
        <v>1590.459609375</v>
      </c>
      <c r="F4" s="47">
        <f t="shared" si="0"/>
        <v>11683.5464667672</v>
      </c>
      <c r="G4" s="48">
        <f>F4/Data!$B$29</f>
        <v>11.6835464667672</v>
      </c>
      <c r="H4" s="38">
        <f>MAX(0,(Data!E4-Data!$B$41)*Data!$B$69)</f>
        <v>0</v>
      </c>
      <c r="I4" s="46">
        <f>Data!G4*Data!$D$63+Data!I4*Data!$D$62</f>
        <v>16950.6546229333</v>
      </c>
      <c r="J4" s="46">
        <f>MAX(0,Data!$B$17*Data!$B$18*Data!$B$24*Data!$B$25*Data!$B$26*Data!$D$64/20/3600*(Data!E4-Data!$B$41))</f>
        <v>0</v>
      </c>
      <c r="K4" s="3">
        <f>Data!$D$65*Data!$B$70</f>
        <v>4380</v>
      </c>
      <c r="L4" s="55">
        <f t="shared" si="1"/>
        <v>0</v>
      </c>
      <c r="M4" s="25">
        <f>L4/Data!$B$29</f>
        <v>0</v>
      </c>
    </row>
    <row r="5" spans="1:13">
      <c r="A5" s="10" t="s">
        <v>12</v>
      </c>
      <c r="B5" s="3" t="b">
        <v>1</v>
      </c>
      <c r="C5" s="37" t="b">
        <v>0</v>
      </c>
      <c r="D5" s="38">
        <f>(Data!$B$40-Data!F5)*Data!$B$69+(Data!$B$40-Data!$B$68)*Data!$D$54</f>
        <v>9007.17131090921</v>
      </c>
      <c r="E5" s="46">
        <f>Data!$B$17*Data!$B$18*Data!$B$24*Data!$B$25*Data!$B$26*Data!$D$64/20/3600*(Data!$B$40-Data!F5)</f>
        <v>1386.400640625</v>
      </c>
      <c r="F5" s="47">
        <f t="shared" si="0"/>
        <v>10393.5719515342</v>
      </c>
      <c r="G5" s="48">
        <f>F5/Data!$B$29</f>
        <v>10.3935719515342</v>
      </c>
      <c r="H5" s="38">
        <f>MAX(0,(Data!E5-Data!$B$41)*Data!$B$69)</f>
        <v>0</v>
      </c>
      <c r="I5" s="46">
        <f>Data!G5*Data!$D$63+Data!I5*Data!$D$62</f>
        <v>17644.4224401956</v>
      </c>
      <c r="J5" s="46">
        <f>MAX(0,Data!$B$17*Data!$B$18*Data!$B$24*Data!$B$25*Data!$B$26*Data!$D$64/20/3600*(Data!E5-Data!$B$41))</f>
        <v>0</v>
      </c>
      <c r="K5" s="3">
        <f>Data!$D$65*Data!$B$70</f>
        <v>4380</v>
      </c>
      <c r="L5" s="55">
        <f t="shared" si="1"/>
        <v>0</v>
      </c>
      <c r="M5" s="25">
        <f>L5/Data!$B$29</f>
        <v>0</v>
      </c>
    </row>
    <row r="6" spans="1:13">
      <c r="A6" s="10" t="s">
        <v>13</v>
      </c>
      <c r="B6" s="3" t="b">
        <v>1</v>
      </c>
      <c r="C6" s="37" t="b">
        <v>1</v>
      </c>
      <c r="D6" s="38">
        <f>(Data!$B$40-Data!F6)*Data!$B$69+(Data!$B$40-Data!$B$68)*Data!$D$54</f>
        <v>8560.02961529855</v>
      </c>
      <c r="E6" s="46">
        <f>Data!$B$17*Data!$B$18*Data!$B$24*Data!$B$25*Data!$B$26*Data!$D$64/20/3600*(Data!$B$40-Data!F6)</f>
        <v>1302.376359375</v>
      </c>
      <c r="F6" s="47">
        <f t="shared" si="0"/>
        <v>9862.40597467355</v>
      </c>
      <c r="G6" s="48">
        <f>F6/Data!$B$29</f>
        <v>9.86240597467355</v>
      </c>
      <c r="H6" s="38">
        <f>MAX(0,(Data!E6-Data!$B$41)*Data!$B$69)</f>
        <v>0</v>
      </c>
      <c r="I6" s="46">
        <f>Data!G6*Data!$D$63+Data!I6*Data!$D$62</f>
        <v>16358.3148491305</v>
      </c>
      <c r="J6" s="46">
        <f>MAX(0,Data!$B$17*Data!$B$18*Data!$B$24*Data!$B$25*Data!$B$26*Data!$D$64/20/3600*(Data!E6-Data!$B$41))</f>
        <v>0</v>
      </c>
      <c r="K6" s="3">
        <f>Data!$D$65*Data!$B$70</f>
        <v>4380</v>
      </c>
      <c r="L6" s="55">
        <f t="shared" si="1"/>
        <v>20738.3148491305</v>
      </c>
      <c r="M6" s="25">
        <f>L6/Data!$B$29</f>
        <v>20.7383148491305</v>
      </c>
    </row>
    <row r="7" spans="1:13">
      <c r="A7" s="10" t="s">
        <v>14</v>
      </c>
      <c r="B7" s="3" t="b">
        <v>0</v>
      </c>
      <c r="C7" s="37" t="b">
        <v>1</v>
      </c>
      <c r="D7" s="38">
        <f>(Data!$B$40-Data!F7)*Data!$B$69+(Data!$B$40-Data!$B$68)*Data!$D$54</f>
        <v>7186.66583592295</v>
      </c>
      <c r="E7" s="46">
        <f>Data!$B$17*Data!$B$18*Data!$B$24*Data!$B$25*Data!$B$26*Data!$D$64/20/3600*(Data!$B$40-Data!F7)</f>
        <v>1044.30178125</v>
      </c>
      <c r="F7" s="47">
        <f t="shared" si="0"/>
        <v>0</v>
      </c>
      <c r="G7" s="48">
        <f>F7/Data!$B$29</f>
        <v>0</v>
      </c>
      <c r="H7" s="38">
        <f>MAX(0,(Data!E7-Data!$B$41)*Data!$B$69)</f>
        <v>574.896465785133</v>
      </c>
      <c r="I7" s="46">
        <f>Data!G7*Data!$D$63+Data!I7*Data!$D$62</f>
        <v>16422.9190356998</v>
      </c>
      <c r="J7" s="46">
        <f>MAX(0,Data!$B$17*Data!$B$18*Data!$B$24*Data!$B$25*Data!$B$26*Data!$D$64/20/3600*(Data!E7-Data!$B$41))</f>
        <v>108.03121875</v>
      </c>
      <c r="K7" s="3">
        <f>Data!$D$65*Data!$B$70</f>
        <v>4380</v>
      </c>
      <c r="L7" s="55">
        <f t="shared" si="1"/>
        <v>21485.8467202349</v>
      </c>
      <c r="M7" s="25">
        <f>L7/Data!$B$29</f>
        <v>21.4858467202349</v>
      </c>
    </row>
    <row r="8" spans="1:13">
      <c r="A8" s="10" t="s">
        <v>15</v>
      </c>
      <c r="B8" s="3" t="b">
        <v>0</v>
      </c>
      <c r="C8" s="37" t="b">
        <v>1</v>
      </c>
      <c r="D8" s="38">
        <f>(Data!$B$40-Data!F8)*Data!$B$69+(Data!$B$40-Data!$B$68)*Data!$D$54</f>
        <v>5972.99551926545</v>
      </c>
      <c r="E8" s="46">
        <f>Data!$B$17*Data!$B$18*Data!$B$24*Data!$B$25*Data!$B$26*Data!$D$64/20/3600*(Data!$B$40-Data!F8)</f>
        <v>816.235875</v>
      </c>
      <c r="F8" s="47">
        <f t="shared" si="0"/>
        <v>0</v>
      </c>
      <c r="G8" s="48">
        <f>F8/Data!$B$29</f>
        <v>0</v>
      </c>
      <c r="H8" s="38">
        <f>MAX(0,(Data!E8-Data!$B$41)*Data!$B$69)</f>
        <v>958.160776308555</v>
      </c>
      <c r="I8" s="46">
        <f>Data!G8*Data!$D$63+Data!I8*Data!$D$62</f>
        <v>15752.2678866785</v>
      </c>
      <c r="J8" s="46">
        <f>MAX(0,Data!$B$17*Data!$B$18*Data!$B$24*Data!$B$25*Data!$B$26*Data!$D$64/20/3600*(Data!E8-Data!$B$41))</f>
        <v>180.05203125</v>
      </c>
      <c r="K8" s="3">
        <f>Data!$D$65*Data!$B$70</f>
        <v>4380</v>
      </c>
      <c r="L8" s="55">
        <f t="shared" si="1"/>
        <v>21270.480694237</v>
      </c>
      <c r="M8" s="25">
        <f>L8/Data!$B$29</f>
        <v>21.270480694237</v>
      </c>
    </row>
    <row r="9" spans="1:13">
      <c r="A9" s="10" t="s">
        <v>16</v>
      </c>
      <c r="B9" s="3" t="b">
        <v>0</v>
      </c>
      <c r="C9" s="37" t="b">
        <v>1</v>
      </c>
      <c r="D9" s="38">
        <f>(Data!$B$40-Data!F9)*Data!$B$69+(Data!$B$40-Data!$B$68)*Data!$D$54</f>
        <v>5078.71212804413</v>
      </c>
      <c r="E9" s="46">
        <f>Data!$B$17*Data!$B$18*Data!$B$24*Data!$B$25*Data!$B$26*Data!$D$64/20/3600*(Data!$B$40-Data!F9)</f>
        <v>648.1873125</v>
      </c>
      <c r="F9" s="47">
        <f t="shared" si="0"/>
        <v>0</v>
      </c>
      <c r="G9" s="48">
        <f>F9/Data!$B$29</f>
        <v>0</v>
      </c>
      <c r="H9" s="38">
        <f>MAX(0,(Data!E9-Data!$B$41)*Data!$B$69)</f>
        <v>1564.99593463731</v>
      </c>
      <c r="I9" s="46">
        <f>Data!G9*Data!$D$63+Data!I9*Data!$D$62</f>
        <v>16482.9242719225</v>
      </c>
      <c r="J9" s="46">
        <f>MAX(0,Data!$B$17*Data!$B$18*Data!$B$24*Data!$B$25*Data!$B$26*Data!$D$64/20/3600*(Data!E9-Data!$B$41))</f>
        <v>294.084984375</v>
      </c>
      <c r="K9" s="3">
        <f>Data!$D$65*Data!$B$70</f>
        <v>4380</v>
      </c>
      <c r="L9" s="55">
        <f t="shared" si="1"/>
        <v>22722.0051909348</v>
      </c>
      <c r="M9" s="25">
        <f>L9/Data!$B$29</f>
        <v>22.7220051909348</v>
      </c>
    </row>
    <row r="10" spans="1:13">
      <c r="A10" s="10" t="s">
        <v>17</v>
      </c>
      <c r="B10" s="3" t="b">
        <v>0</v>
      </c>
      <c r="C10" s="37" t="b">
        <v>1</v>
      </c>
      <c r="D10" s="38">
        <f>(Data!$B$40-Data!F10)*Data!$B$69+(Data!$B$40-Data!$B$68)*Data!$D$54</f>
        <v>4823.20258769518</v>
      </c>
      <c r="E10" s="46">
        <f>Data!$B$17*Data!$B$18*Data!$B$24*Data!$B$25*Data!$B$26*Data!$D$64/20/3600*(Data!$B$40-Data!F10)</f>
        <v>600.1734375</v>
      </c>
      <c r="F10" s="47">
        <f t="shared" si="0"/>
        <v>0</v>
      </c>
      <c r="G10" s="48">
        <f>F10/Data!$B$29</f>
        <v>0</v>
      </c>
      <c r="H10" s="38">
        <f>MAX(0,(Data!E10-Data!$B$41)*Data!$B$69)</f>
        <v>1533.05724209369</v>
      </c>
      <c r="I10" s="46">
        <f>Data!G10*Data!$D$63+Data!I10*Data!$D$62</f>
        <v>15819.5254308646</v>
      </c>
      <c r="J10" s="46">
        <f>MAX(0,Data!$B$17*Data!$B$18*Data!$B$24*Data!$B$25*Data!$B$26*Data!$D$64/20/3600*(Data!E10-Data!$B$41))</f>
        <v>288.08325</v>
      </c>
      <c r="K10" s="3">
        <f>Data!$D$65*Data!$B$70</f>
        <v>4380</v>
      </c>
      <c r="L10" s="55">
        <f t="shared" si="1"/>
        <v>22020.6659229583</v>
      </c>
      <c r="M10" s="25">
        <f>L10/Data!$B$29</f>
        <v>22.0206659229583</v>
      </c>
    </row>
    <row r="11" spans="1:13">
      <c r="A11" s="10" t="s">
        <v>18</v>
      </c>
      <c r="B11" s="3" t="b">
        <v>0</v>
      </c>
      <c r="C11" s="37" t="b">
        <v>1</v>
      </c>
      <c r="D11" s="38">
        <f>(Data!$B$40-Data!F11)*Data!$B$69+(Data!$B$40-Data!$B$68)*Data!$D$54</f>
        <v>6132.68898198354</v>
      </c>
      <c r="E11" s="46">
        <f>Data!$B$17*Data!$B$18*Data!$B$24*Data!$B$25*Data!$B$26*Data!$D$64/20/3600*(Data!$B$40-Data!F11)</f>
        <v>846.244546875</v>
      </c>
      <c r="F11" s="47">
        <f t="shared" si="0"/>
        <v>0</v>
      </c>
      <c r="G11" s="48">
        <f>F11/Data!$B$29</f>
        <v>0</v>
      </c>
      <c r="H11" s="38">
        <f>MAX(0,(Data!E11-Data!$B$41)*Data!$B$69)</f>
        <v>1469.17985700645</v>
      </c>
      <c r="I11" s="46">
        <f>Data!G11*Data!$D$63+Data!I11*Data!$D$62</f>
        <v>19026.7061306297</v>
      </c>
      <c r="J11" s="46">
        <f>MAX(0,Data!$B$17*Data!$B$18*Data!$B$24*Data!$B$25*Data!$B$26*Data!$D$64/20/3600*(Data!E11-Data!$B$41))</f>
        <v>276.07978125</v>
      </c>
      <c r="K11" s="3">
        <f>Data!$D$65*Data!$B$70</f>
        <v>4380</v>
      </c>
      <c r="L11" s="55">
        <f t="shared" si="1"/>
        <v>25151.9657688862</v>
      </c>
      <c r="M11" s="25">
        <f>L11/Data!$B$29</f>
        <v>25.1519657688861</v>
      </c>
    </row>
    <row r="12" spans="1:13">
      <c r="A12" s="10" t="s">
        <v>19</v>
      </c>
      <c r="B12" s="3" t="b">
        <v>1</v>
      </c>
      <c r="C12" s="37" t="b">
        <v>1</v>
      </c>
      <c r="D12" s="38">
        <f>(Data!$B$40-Data!F12)*Data!$B$69+(Data!$B$40-Data!$B$68)*Data!$D$54</f>
        <v>7090.8497582921</v>
      </c>
      <c r="E12" s="46">
        <f>Data!$B$17*Data!$B$18*Data!$B$24*Data!$B$25*Data!$B$26*Data!$D$64/20/3600*(Data!$B$40-Data!F12)</f>
        <v>1026.296578125</v>
      </c>
      <c r="F12" s="47">
        <f t="shared" si="0"/>
        <v>8117.1463364171</v>
      </c>
      <c r="G12" s="48">
        <f>F12/Data!$B$29</f>
        <v>8.1171463364171</v>
      </c>
      <c r="H12" s="38">
        <f>MAX(0,(Data!E12-Data!$B$41)*Data!$B$69)</f>
        <v>0</v>
      </c>
      <c r="I12" s="46">
        <f>Data!G12*Data!$D$63+Data!I12*Data!$D$62</f>
        <v>17787.0178950782</v>
      </c>
      <c r="J12" s="46">
        <f>MAX(0,Data!$B$17*Data!$B$18*Data!$B$24*Data!$B$25*Data!$B$26*Data!$D$64/20/3600*(Data!E12-Data!$B$41))</f>
        <v>0</v>
      </c>
      <c r="K12" s="3">
        <f>Data!$D$65*Data!$B$70</f>
        <v>4380</v>
      </c>
      <c r="L12" s="55">
        <f t="shared" si="1"/>
        <v>22167.0178950782</v>
      </c>
      <c r="M12" s="25">
        <f>L12/Data!$B$29</f>
        <v>22.1670178950782</v>
      </c>
    </row>
    <row r="13" spans="1:13">
      <c r="A13" s="10" t="s">
        <v>20</v>
      </c>
      <c r="B13" s="3" t="b">
        <v>1</v>
      </c>
      <c r="C13" s="37" t="b">
        <v>0</v>
      </c>
      <c r="D13" s="38">
        <f>(Data!$B$40-Data!F13)*Data!$B$69+(Data!$B$40-Data!$B$68)*Data!$D$54</f>
        <v>8815.5391556475</v>
      </c>
      <c r="E13" s="46">
        <f>Data!$B$17*Data!$B$18*Data!$B$24*Data!$B$25*Data!$B$26*Data!$D$64/20/3600*(Data!$B$40-Data!F13)</f>
        <v>1350.390234375</v>
      </c>
      <c r="F13" s="47">
        <f t="shared" si="0"/>
        <v>10165.9293900225</v>
      </c>
      <c r="G13" s="48">
        <f>F13/Data!$B$29</f>
        <v>10.1659293900225</v>
      </c>
      <c r="H13" s="38">
        <f>MAX(0,(Data!E13-Data!$B$41)*Data!$B$69)</f>
        <v>0</v>
      </c>
      <c r="I13" s="46">
        <f>Data!G13*Data!$D$63+Data!I13*Data!$D$62</f>
        <v>14864.6564727271</v>
      </c>
      <c r="J13" s="46">
        <f>MAX(0,Data!$B$17*Data!$B$18*Data!$B$24*Data!$B$25*Data!$B$26*Data!$D$64/20/3600*(Data!E13-Data!$B$41))</f>
        <v>0</v>
      </c>
      <c r="K13" s="3">
        <f>Data!$D$65*Data!$B$70</f>
        <v>4380</v>
      </c>
      <c r="L13" s="55">
        <f t="shared" si="1"/>
        <v>0</v>
      </c>
      <c r="M13" s="25">
        <f>L13/Data!$B$29</f>
        <v>0</v>
      </c>
    </row>
    <row r="14" ht="15" spans="1:13">
      <c r="A14" s="39" t="s">
        <v>21</v>
      </c>
      <c r="B14" s="40" t="b">
        <v>1</v>
      </c>
      <c r="C14" s="41" t="b">
        <v>0</v>
      </c>
      <c r="D14" s="38">
        <f>(Data!$B$40-Data!F14)*Data!$B$69+(Data!$B$40-Data!$B$68)*Data!$D$54</f>
        <v>9869.51600958691</v>
      </c>
      <c r="E14" s="46">
        <f>Data!$B$17*Data!$B$18*Data!$B$24*Data!$B$25*Data!$B$26*Data!$D$64/20/3600*(Data!$B$40-Data!F14)</f>
        <v>1548.44746875</v>
      </c>
      <c r="F14" s="49">
        <f t="shared" si="0"/>
        <v>11417.9634783369</v>
      </c>
      <c r="G14" s="48">
        <f>F14/Data!$B$29</f>
        <v>11.4179634783369</v>
      </c>
      <c r="H14" s="38">
        <f>MAX(0,(Data!E14-Data!$B$41)*Data!$B$69)</f>
        <v>0</v>
      </c>
      <c r="I14" s="46">
        <f>Data!G14*Data!$D$63+Data!I14*Data!$D$62</f>
        <v>11493.3101435027</v>
      </c>
      <c r="J14" s="46">
        <f>MAX(0,Data!$B$17*Data!$B$18*Data!$B$24*Data!$B$25*Data!$B$26*Data!$D$64/20/3600*(Data!E14-Data!$B$41))</f>
        <v>0</v>
      </c>
      <c r="K14" s="3">
        <f>Data!$D$65*Data!$B$70</f>
        <v>4380</v>
      </c>
      <c r="L14" s="55">
        <f t="shared" si="1"/>
        <v>0</v>
      </c>
      <c r="M14" s="25">
        <f>L14/Data!$B$29</f>
        <v>0</v>
      </c>
    </row>
    <row r="15" ht="15" spans="1:13">
      <c r="A15" s="3"/>
      <c r="B15" s="3"/>
      <c r="C15" s="3"/>
      <c r="D15" s="3"/>
      <c r="E15" s="3"/>
      <c r="F15" s="50" t="s">
        <v>93</v>
      </c>
      <c r="G15" s="51">
        <f>MAX(F3:F14)</f>
        <v>12480.2954320582</v>
      </c>
      <c r="H15" s="39"/>
      <c r="I15" s="40"/>
      <c r="J15" s="40"/>
      <c r="K15" s="40"/>
      <c r="L15" s="56" t="s">
        <v>93</v>
      </c>
      <c r="M15" s="61">
        <f>MAX(L3:L14)</f>
        <v>25151.9657688862</v>
      </c>
    </row>
    <row r="16" spans="1:13">
      <c r="A16" s="31" t="s">
        <v>94</v>
      </c>
      <c r="B16" s="32"/>
      <c r="C16" s="32"/>
      <c r="D16" s="33" t="s">
        <v>80</v>
      </c>
      <c r="E16" s="33"/>
      <c r="F16" s="33"/>
      <c r="G16" s="33"/>
      <c r="H16" s="42" t="s">
        <v>81</v>
      </c>
      <c r="I16" s="42"/>
      <c r="J16" s="42"/>
      <c r="K16" s="42"/>
      <c r="L16" s="42"/>
      <c r="M16" s="59"/>
    </row>
    <row r="17" ht="28.5" spans="1:13">
      <c r="A17" s="34"/>
      <c r="B17" s="35" t="s">
        <v>82</v>
      </c>
      <c r="C17" s="19" t="s">
        <v>83</v>
      </c>
      <c r="D17" s="36" t="s">
        <v>84</v>
      </c>
      <c r="E17" s="43" t="s">
        <v>85</v>
      </c>
      <c r="F17" s="44" t="s">
        <v>86</v>
      </c>
      <c r="G17" s="45" t="s">
        <v>87</v>
      </c>
      <c r="H17" s="36" t="s">
        <v>88</v>
      </c>
      <c r="I17" s="43" t="s">
        <v>89</v>
      </c>
      <c r="J17" s="43" t="s">
        <v>85</v>
      </c>
      <c r="K17" s="43" t="s">
        <v>90</v>
      </c>
      <c r="L17" s="54" t="s">
        <v>91</v>
      </c>
      <c r="M17" s="60" t="s">
        <v>92</v>
      </c>
    </row>
    <row r="18" spans="1:13">
      <c r="A18" s="10" t="s">
        <v>10</v>
      </c>
      <c r="B18" s="3" t="b">
        <v>1</v>
      </c>
      <c r="C18" s="37" t="b">
        <v>0</v>
      </c>
      <c r="D18" s="38">
        <f>(Data!$B$40-Data!D3)*Data!$B$69+(Data!$B$40-Data!$B$68)*Data!$D$54</f>
        <v>7186.66583592295</v>
      </c>
      <c r="E18" s="46">
        <f>Data!$B$17*Data!$B$18*Data!$B$24*Data!$B$25*Data!$B$26*Data!$D$64/20/3600*(Data!$B$40-Data!D3)</f>
        <v>1044.30178125</v>
      </c>
      <c r="F18" s="47">
        <f t="shared" ref="F18:F29" si="2">(D18+E18)*B18</f>
        <v>8230.96761717295</v>
      </c>
      <c r="G18" s="48">
        <f>F18/Data!$B$29</f>
        <v>8.23096761717295</v>
      </c>
      <c r="H18" s="38">
        <f>MAX(0,(Data!D3-Data!$B$41)*Data!$B$69)</f>
        <v>0</v>
      </c>
      <c r="I18" s="46">
        <f>Data!H3*Data!$D$63+Data!J3*Data!$D$62</f>
        <v>995.414818510458</v>
      </c>
      <c r="J18" s="46">
        <f>MAX(0,Data!$B$17*Data!$B$18*Data!$B$24*Data!$B$25*Data!$B$26*Data!$D$64/20/3600*(Data!D3-Data!$B$41))</f>
        <v>0</v>
      </c>
      <c r="K18" s="46">
        <f>Data!$D$65*Data!$B$70</f>
        <v>4380</v>
      </c>
      <c r="L18" s="55">
        <f t="shared" ref="L18:L29" si="3">(H18+I18+J18+K18)*C18</f>
        <v>0</v>
      </c>
      <c r="M18" s="25">
        <f>L18/Data!$B$29</f>
        <v>0</v>
      </c>
    </row>
    <row r="19" spans="1:13">
      <c r="A19" s="10" t="s">
        <v>11</v>
      </c>
      <c r="B19" s="3" t="b">
        <v>1</v>
      </c>
      <c r="C19" s="37" t="b">
        <v>0</v>
      </c>
      <c r="D19" s="38">
        <f>(Data!$B$40-Data!D4)*Data!$B$69+(Data!$B$40-Data!$B$68)*Data!$D$54</f>
        <v>6899.21760303039</v>
      </c>
      <c r="E19" s="46">
        <f>Data!$B$17*Data!$B$18*Data!$B$24*Data!$B$25*Data!$B$26*Data!$D$64/20/3600*(Data!$B$40-Data!D4)</f>
        <v>990.286171875</v>
      </c>
      <c r="F19" s="47">
        <f t="shared" si="2"/>
        <v>7889.50377490539</v>
      </c>
      <c r="G19" s="48">
        <f>F19/Data!$B$29</f>
        <v>7.88950377490539</v>
      </c>
      <c r="H19" s="38">
        <f>MAX(0,(Data!D4-Data!$B$41)*Data!$B$69)</f>
        <v>0</v>
      </c>
      <c r="I19" s="46">
        <f>Data!H4*Data!$D$63+Data!J4*Data!$D$62</f>
        <v>1682.48838490437</v>
      </c>
      <c r="J19" s="46">
        <f>MAX(0,Data!$B$17*Data!$B$18*Data!$B$24*Data!$B$25*Data!$B$26*Data!$D$64/20/3600*(Data!D4-Data!$B$41))</f>
        <v>0</v>
      </c>
      <c r="K19" s="46">
        <f>Data!$D$65*Data!$B$70</f>
        <v>4380</v>
      </c>
      <c r="L19" s="55">
        <f t="shared" si="3"/>
        <v>0</v>
      </c>
      <c r="M19" s="25">
        <f>L19/Data!$B$29</f>
        <v>0</v>
      </c>
    </row>
    <row r="20" spans="1:13">
      <c r="A20" s="10" t="s">
        <v>12</v>
      </c>
      <c r="B20" s="3" t="b">
        <v>1</v>
      </c>
      <c r="C20" s="37" t="b">
        <v>0</v>
      </c>
      <c r="D20" s="38">
        <f>(Data!$B$40-Data!D5)*Data!$B$69+(Data!$B$40-Data!$B$68)*Data!$D$54</f>
        <v>6004.93421180907</v>
      </c>
      <c r="E20" s="46">
        <f>Data!$B$17*Data!$B$18*Data!$B$24*Data!$B$25*Data!$B$26*Data!$D$64/20/3600*(Data!$B$40-Data!D5)</f>
        <v>822.237609375</v>
      </c>
      <c r="F20" s="47">
        <f t="shared" si="2"/>
        <v>6827.17182118407</v>
      </c>
      <c r="G20" s="48">
        <f>F20/Data!$B$29</f>
        <v>6.82717182118407</v>
      </c>
      <c r="H20" s="38">
        <f>MAX(0,(Data!D5-Data!$B$41)*Data!$B$69)</f>
        <v>0</v>
      </c>
      <c r="I20" s="46">
        <f>Data!H5*Data!$D$63+Data!J5*Data!$D$62</f>
        <v>2115.78898656288</v>
      </c>
      <c r="J20" s="46">
        <f>MAX(0,Data!$B$17*Data!$B$18*Data!$B$24*Data!$B$25*Data!$B$26*Data!$D$64/20/3600*(Data!D5-Data!$B$41))</f>
        <v>0</v>
      </c>
      <c r="K20" s="46">
        <f>Data!$D$65*Data!$B$70</f>
        <v>4380</v>
      </c>
      <c r="L20" s="55">
        <f t="shared" si="3"/>
        <v>0</v>
      </c>
      <c r="M20" s="25">
        <f>L20/Data!$B$29</f>
        <v>0</v>
      </c>
    </row>
    <row r="21" spans="1:13">
      <c r="A21" s="10" t="s">
        <v>13</v>
      </c>
      <c r="B21" s="3" t="b">
        <v>1</v>
      </c>
      <c r="C21" s="37" t="b">
        <v>1</v>
      </c>
      <c r="D21" s="38">
        <f>(Data!$B$40-Data!D6)*Data!$B$69+(Data!$B$40-Data!$B$68)*Data!$D$54</f>
        <v>5206.46689821861</v>
      </c>
      <c r="E21" s="46">
        <f>Data!$B$17*Data!$B$18*Data!$B$24*Data!$B$25*Data!$B$26*Data!$D$64/20/3600*(Data!$B$40-Data!D6)</f>
        <v>672.19425</v>
      </c>
      <c r="F21" s="47">
        <f t="shared" si="2"/>
        <v>5878.66114821861</v>
      </c>
      <c r="G21" s="48">
        <f>F21/Data!$B$29</f>
        <v>5.87866114821861</v>
      </c>
      <c r="H21" s="38">
        <f>MAX(0,(Data!D6-Data!$B$41)*Data!$B$69)</f>
        <v>0</v>
      </c>
      <c r="I21" s="46">
        <f>Data!H6*Data!$D$63+Data!J6*Data!$D$62</f>
        <v>2646.66336602933</v>
      </c>
      <c r="J21" s="46">
        <f>MAX(0,Data!$B$17*Data!$B$18*Data!$B$24*Data!$B$25*Data!$B$26*Data!$D$64/20/3600*(Data!D6-Data!$B$41))</f>
        <v>0</v>
      </c>
      <c r="K21" s="46">
        <f>Data!$D$65*Data!$B$70</f>
        <v>4380</v>
      </c>
      <c r="L21" s="55">
        <f t="shared" si="3"/>
        <v>7026.66336602933</v>
      </c>
      <c r="M21" s="25">
        <f>L21/Data!$B$29</f>
        <v>7.02666336602933</v>
      </c>
    </row>
    <row r="22" spans="1:13">
      <c r="A22" s="10" t="s">
        <v>14</v>
      </c>
      <c r="B22" s="3" t="b">
        <v>0</v>
      </c>
      <c r="C22" s="37" t="b">
        <v>1</v>
      </c>
      <c r="D22" s="38">
        <f>(Data!$B$40-Data!D7)*Data!$B$69+(Data!$B$40-Data!$B$68)*Data!$D$54</f>
        <v>3896.98050393025</v>
      </c>
      <c r="E22" s="46">
        <f>Data!$B$17*Data!$B$18*Data!$B$24*Data!$B$25*Data!$B$26*Data!$D$64/20/3600*(Data!$B$40-Data!D7)</f>
        <v>426.123140625</v>
      </c>
      <c r="F22" s="47">
        <f t="shared" si="2"/>
        <v>0</v>
      </c>
      <c r="G22" s="48">
        <f>F22/Data!$B$29</f>
        <v>0</v>
      </c>
      <c r="H22" s="38">
        <f>MAX(0,(Data!D7-Data!$B$41)*Data!$B$69)</f>
        <v>0</v>
      </c>
      <c r="I22" s="46">
        <f>Data!H7*Data!$D$63+Data!J7*Data!$D$62</f>
        <v>2954.39604988513</v>
      </c>
      <c r="J22" s="46">
        <f>MAX(0,Data!$B$17*Data!$B$18*Data!$B$24*Data!$B$25*Data!$B$26*Data!$D$64/20/3600*(Data!D7-Data!$B$41))</f>
        <v>0</v>
      </c>
      <c r="K22" s="46">
        <f>Data!$D$65*Data!$B$70</f>
        <v>4380</v>
      </c>
      <c r="L22" s="55">
        <f t="shared" si="3"/>
        <v>7334.39604988512</v>
      </c>
      <c r="M22" s="25">
        <f>L22/Data!$B$29</f>
        <v>7.33439604988512</v>
      </c>
    </row>
    <row r="23" spans="1:13">
      <c r="A23" s="10" t="s">
        <v>15</v>
      </c>
      <c r="B23" s="3" t="b">
        <v>0</v>
      </c>
      <c r="C23" s="37" t="b">
        <v>1</v>
      </c>
      <c r="D23" s="38">
        <f>(Data!$B$40-Data!D8)*Data!$B$69+(Data!$B$40-Data!$B$68)*Data!$D$54</f>
        <v>3034.63580525255</v>
      </c>
      <c r="E23" s="46">
        <f>Data!$B$17*Data!$B$18*Data!$B$24*Data!$B$25*Data!$B$26*Data!$D$64/20/3600*(Data!$B$40-Data!D8)</f>
        <v>264.0763125</v>
      </c>
      <c r="F23" s="47">
        <f t="shared" si="2"/>
        <v>0</v>
      </c>
      <c r="G23" s="48">
        <f>F23/Data!$B$29</f>
        <v>0</v>
      </c>
      <c r="H23" s="38">
        <f>MAX(0,(Data!D8-Data!$B$41)*Data!$B$69)</f>
        <v>0</v>
      </c>
      <c r="I23" s="46">
        <f>Data!H8*Data!$D$63+Data!J8*Data!$D$62</f>
        <v>2839.78236077601</v>
      </c>
      <c r="J23" s="46">
        <f>MAX(0,Data!$B$17*Data!$B$18*Data!$B$24*Data!$B$25*Data!$B$26*Data!$D$64/20/3600*(Data!D8-Data!$B$41))</f>
        <v>0</v>
      </c>
      <c r="K23" s="46">
        <f>Data!$D$65*Data!$B$70</f>
        <v>4380</v>
      </c>
      <c r="L23" s="55">
        <f t="shared" si="3"/>
        <v>7219.78236077601</v>
      </c>
      <c r="M23" s="25">
        <f>L23/Data!$B$29</f>
        <v>7.21978236077601</v>
      </c>
    </row>
    <row r="24" spans="1:13">
      <c r="A24" s="10" t="s">
        <v>16</v>
      </c>
      <c r="B24" s="3" t="b">
        <v>0</v>
      </c>
      <c r="C24" s="37" t="b">
        <v>1</v>
      </c>
      <c r="D24" s="38">
        <f>(Data!$B$40-Data!D9)*Data!$B$69+(Data!$B$40-Data!$B$68)*Data!$D$54</f>
        <v>2555.55541709827</v>
      </c>
      <c r="E24" s="46">
        <f>Data!$B$17*Data!$B$18*Data!$B$24*Data!$B$25*Data!$B$26*Data!$D$64/20/3600*(Data!$B$40-Data!D9)</f>
        <v>174.050296875</v>
      </c>
      <c r="F24" s="47">
        <f t="shared" si="2"/>
        <v>0</v>
      </c>
      <c r="G24" s="48">
        <f>F24/Data!$B$29</f>
        <v>0</v>
      </c>
      <c r="H24" s="38">
        <f>MAX(0,(Data!D9-Data!$B$41)*Data!$B$69)</f>
        <v>0</v>
      </c>
      <c r="I24" s="46">
        <f>Data!H9*Data!$D$63+Data!J9*Data!$D$62</f>
        <v>2881.97642685512</v>
      </c>
      <c r="J24" s="46">
        <f>MAX(0,Data!$B$17*Data!$B$18*Data!$B$24*Data!$B$25*Data!$B$26*Data!$D$64/20/3600*(Data!D9-Data!$B$41))</f>
        <v>0</v>
      </c>
      <c r="K24" s="46">
        <f>Data!$D$65*Data!$B$70</f>
        <v>4380</v>
      </c>
      <c r="L24" s="55">
        <f t="shared" si="3"/>
        <v>7261.97642685512</v>
      </c>
      <c r="M24" s="25">
        <f>L24/Data!$B$29</f>
        <v>7.26197642685512</v>
      </c>
    </row>
    <row r="25" spans="1:13">
      <c r="A25" s="10" t="s">
        <v>17</v>
      </c>
      <c r="B25" s="3" t="b">
        <v>0</v>
      </c>
      <c r="C25" s="37" t="b">
        <v>1</v>
      </c>
      <c r="D25" s="38">
        <f>(Data!$B$40-Data!D10)*Data!$B$69+(Data!$B$40-Data!$B$68)*Data!$D$54</f>
        <v>2363.92326183656</v>
      </c>
      <c r="E25" s="46">
        <f>Data!$B$17*Data!$B$18*Data!$B$24*Data!$B$25*Data!$B$26*Data!$D$64/20/3600*(Data!$B$40-Data!D10)</f>
        <v>138.039890625</v>
      </c>
      <c r="F25" s="47">
        <f t="shared" si="2"/>
        <v>0</v>
      </c>
      <c r="G25" s="48">
        <f>F25/Data!$B$29</f>
        <v>0</v>
      </c>
      <c r="H25" s="38">
        <f>MAX(0,(Data!D10-Data!$B$41)*Data!$B$69)</f>
        <v>0</v>
      </c>
      <c r="I25" s="46">
        <f>Data!H10*Data!$D$63+Data!J10*Data!$D$62</f>
        <v>3089.70105985995</v>
      </c>
      <c r="J25" s="46">
        <f>MAX(0,Data!$B$17*Data!$B$18*Data!$B$24*Data!$B$25*Data!$B$26*Data!$D$64/20/3600*(Data!D10-Data!$B$41))</f>
        <v>0</v>
      </c>
      <c r="K25" s="46">
        <f>Data!$D$65*Data!$B$70</f>
        <v>4380</v>
      </c>
      <c r="L25" s="55">
        <f t="shared" si="3"/>
        <v>7469.70105985995</v>
      </c>
      <c r="M25" s="25">
        <f>L25/Data!$B$29</f>
        <v>7.46970105985995</v>
      </c>
    </row>
    <row r="26" spans="1:13">
      <c r="A26" s="10" t="s">
        <v>18</v>
      </c>
      <c r="B26" s="3" t="b">
        <v>0</v>
      </c>
      <c r="C26" s="37" t="b">
        <v>1</v>
      </c>
      <c r="D26" s="38">
        <f>(Data!$B$40-Data!D11)*Data!$B$69+(Data!$B$40-Data!$B$68)*Data!$D$54</f>
        <v>3481.77750086321</v>
      </c>
      <c r="E26" s="46">
        <f>Data!$B$17*Data!$B$18*Data!$B$24*Data!$B$25*Data!$B$26*Data!$D$64/20/3600*(Data!$B$40-Data!D11)</f>
        <v>348.10059375</v>
      </c>
      <c r="F26" s="47">
        <f t="shared" si="2"/>
        <v>0</v>
      </c>
      <c r="G26" s="48">
        <f>F26/Data!$B$29</f>
        <v>0</v>
      </c>
      <c r="H26" s="38">
        <f>MAX(0,(Data!D11-Data!$B$41)*Data!$B$69)</f>
        <v>0</v>
      </c>
      <c r="I26" s="46">
        <f>Data!H11*Data!$D$63+Data!J11*Data!$D$62</f>
        <v>2472.81569953994</v>
      </c>
      <c r="J26" s="46">
        <f>MAX(0,Data!$B$17*Data!$B$18*Data!$B$24*Data!$B$25*Data!$B$26*Data!$D$64/20/3600*(Data!D11-Data!$B$41))</f>
        <v>0</v>
      </c>
      <c r="K26" s="46">
        <f>Data!$D$65*Data!$B$70</f>
        <v>4380</v>
      </c>
      <c r="L26" s="55">
        <f t="shared" si="3"/>
        <v>6852.81569953994</v>
      </c>
      <c r="M26" s="25">
        <f>L26/Data!$B$29</f>
        <v>6.85281569953994</v>
      </c>
    </row>
    <row r="27" spans="1:13">
      <c r="A27" s="10" t="s">
        <v>19</v>
      </c>
      <c r="B27" s="3" t="b">
        <v>1</v>
      </c>
      <c r="C27" s="37" t="b">
        <v>1</v>
      </c>
      <c r="D27" s="38">
        <f>(Data!$B$40-Data!D12)*Data!$B$69+(Data!$B$40-Data!$B$68)*Data!$D$54</f>
        <v>4695.44781752071</v>
      </c>
      <c r="E27" s="46">
        <f>Data!$B$17*Data!$B$18*Data!$B$24*Data!$B$25*Data!$B$26*Data!$D$64/20/3600*(Data!$B$40-Data!D12)</f>
        <v>576.1665</v>
      </c>
      <c r="F27" s="47">
        <f t="shared" si="2"/>
        <v>5271.61431752071</v>
      </c>
      <c r="G27" s="48">
        <f>F27/Data!$B$29</f>
        <v>5.27161431752071</v>
      </c>
      <c r="H27" s="38">
        <f>MAX(0,(Data!D12-Data!$B$41)*Data!$B$69)</f>
        <v>0</v>
      </c>
      <c r="I27" s="46">
        <f>Data!H12*Data!$D$63+Data!J12*Data!$D$62</f>
        <v>2237.29978262723</v>
      </c>
      <c r="J27" s="46">
        <f>MAX(0,Data!$B$17*Data!$B$18*Data!$B$24*Data!$B$25*Data!$B$26*Data!$D$64/20/3600*(Data!D12-Data!$B$41))</f>
        <v>0</v>
      </c>
      <c r="K27" s="46">
        <f>Data!$D$65*Data!$B$70</f>
        <v>4380</v>
      </c>
      <c r="L27" s="55">
        <f t="shared" si="3"/>
        <v>6617.29978262723</v>
      </c>
      <c r="M27" s="25">
        <f>L27/Data!$B$29</f>
        <v>6.61729978262723</v>
      </c>
    </row>
    <row r="28" spans="1:13">
      <c r="A28" s="10" t="s">
        <v>20</v>
      </c>
      <c r="B28" s="3" t="b">
        <v>1</v>
      </c>
      <c r="C28" s="37" t="b">
        <v>0</v>
      </c>
      <c r="D28" s="38">
        <f>(Data!$B$40-Data!D13)*Data!$B$69+(Data!$B$40-Data!$B$68)*Data!$D$54</f>
        <v>6196.56636707078</v>
      </c>
      <c r="E28" s="46">
        <f>Data!$B$17*Data!$B$18*Data!$B$24*Data!$B$25*Data!$B$26*Data!$D$64/20/3600*(Data!$B$40-Data!D13)</f>
        <v>858.248015625</v>
      </c>
      <c r="F28" s="47">
        <f t="shared" si="2"/>
        <v>7054.81438269578</v>
      </c>
      <c r="G28" s="48">
        <f>F28/Data!$B$29</f>
        <v>7.05481438269578</v>
      </c>
      <c r="H28" s="38">
        <f>MAX(0,(Data!D13-Data!$B$41)*Data!$B$69)</f>
        <v>0</v>
      </c>
      <c r="I28" s="46">
        <f>Data!H13*Data!$D$63+Data!J13*Data!$D$62</f>
        <v>1304.7703510616</v>
      </c>
      <c r="J28" s="46">
        <f>MAX(0,Data!$B$17*Data!$B$18*Data!$B$24*Data!$B$25*Data!$B$26*Data!$D$64/20/3600*(Data!D13-Data!$B$41))</f>
        <v>0</v>
      </c>
      <c r="K28" s="46">
        <f>Data!$D$65*Data!$B$70</f>
        <v>4380</v>
      </c>
      <c r="L28" s="55">
        <f t="shared" si="3"/>
        <v>0</v>
      </c>
      <c r="M28" s="25">
        <f>L28/Data!$B$29</f>
        <v>0</v>
      </c>
    </row>
    <row r="29" ht="15" spans="1:13">
      <c r="A29" s="39" t="s">
        <v>21</v>
      </c>
      <c r="B29" s="40" t="b">
        <v>1</v>
      </c>
      <c r="C29" s="41" t="b">
        <v>0</v>
      </c>
      <c r="D29" s="38">
        <f>(Data!$B$40-Data!D14)*Data!$B$69+(Data!$B$40-Data!$B$68)*Data!$D$54</f>
        <v>7058.91106574848</v>
      </c>
      <c r="E29" s="46">
        <f>Data!$B$17*Data!$B$18*Data!$B$24*Data!$B$25*Data!$B$26*Data!$D$64/20/3600*(Data!$B$40-Data!D14)</f>
        <v>1020.29484375</v>
      </c>
      <c r="F29" s="49">
        <f t="shared" si="2"/>
        <v>8079.20590949848</v>
      </c>
      <c r="G29" s="48">
        <f>F29/Data!$B$29</f>
        <v>8.07920590949848</v>
      </c>
      <c r="H29" s="38">
        <f>MAX(0,(Data!D14-Data!$B$41)*Data!$B$69)</f>
        <v>0</v>
      </c>
      <c r="I29" s="46">
        <f>Data!H14*Data!$D$63+Data!J14*Data!$D$62</f>
        <v>754.016075077109</v>
      </c>
      <c r="J29" s="46">
        <f>MAX(0,Data!$B$17*Data!$B$18*Data!$B$24*Data!$B$25*Data!$B$26*Data!$D$64/20/3600*(Data!D14-Data!$B$41))</f>
        <v>0</v>
      </c>
      <c r="K29" s="46">
        <f>Data!$D$65*Data!$B$70</f>
        <v>4380</v>
      </c>
      <c r="L29" s="57">
        <f t="shared" si="3"/>
        <v>0</v>
      </c>
      <c r="M29" s="25">
        <f>L29/Data!$B$29</f>
        <v>0</v>
      </c>
    </row>
    <row r="30" ht="15" spans="1:13">
      <c r="A30" s="3"/>
      <c r="B30" s="3"/>
      <c r="C30" s="3"/>
      <c r="D30" s="3"/>
      <c r="E30" s="3"/>
      <c r="F30" s="52" t="s">
        <v>93</v>
      </c>
      <c r="G30" s="53">
        <f>MAX(F18:F29)</f>
        <v>8230.96761717295</v>
      </c>
      <c r="H30" s="3"/>
      <c r="I30" s="3"/>
      <c r="J30" s="3"/>
      <c r="K30" s="3"/>
      <c r="L30" s="58" t="s">
        <v>93</v>
      </c>
      <c r="M30" s="30">
        <f>MAX(L18:L29)</f>
        <v>7469.70105985995</v>
      </c>
    </row>
  </sheetData>
  <mergeCells count="6">
    <mergeCell ref="A1:C1"/>
    <mergeCell ref="D1:G1"/>
    <mergeCell ref="H1:M1"/>
    <mergeCell ref="A16:C16"/>
    <mergeCell ref="D16:G16"/>
    <mergeCell ref="H16:M16"/>
  </mergeCell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workbookViewId="0">
      <selection activeCell="E21" sqref="E21"/>
    </sheetView>
  </sheetViews>
  <sheetFormatPr defaultColWidth="9" defaultRowHeight="14.25" outlineLevelCol="7"/>
  <cols>
    <col min="1" max="1" width="13.25" customWidth="1"/>
    <col min="2" max="3" width="13.75"/>
    <col min="4" max="4" width="13.75" customWidth="1"/>
    <col min="5" max="5" width="11.125" customWidth="1"/>
    <col min="6" max="6" width="12" customWidth="1"/>
    <col min="7" max="7" width="10.875" customWidth="1"/>
    <col min="8" max="8" width="11.75" customWidth="1"/>
  </cols>
  <sheetData>
    <row r="1" ht="15" spans="1:8">
      <c r="A1" s="1" t="s">
        <v>95</v>
      </c>
      <c r="B1" s="2">
        <v>4.9</v>
      </c>
      <c r="C1" s="3"/>
      <c r="D1" s="3"/>
      <c r="E1" s="3"/>
      <c r="F1" s="3"/>
      <c r="G1" s="3"/>
      <c r="H1" s="3"/>
    </row>
    <row r="2" ht="15" spans="1:8">
      <c r="A2" s="4" t="s">
        <v>96</v>
      </c>
      <c r="B2" s="5"/>
      <c r="C2" s="5"/>
      <c r="D2" s="5"/>
      <c r="E2" s="4" t="s">
        <v>97</v>
      </c>
      <c r="F2" s="17"/>
      <c r="G2" s="18" t="s">
        <v>98</v>
      </c>
      <c r="H2" s="19"/>
    </row>
    <row r="3" ht="43.5" spans="1:8">
      <c r="A3" s="6"/>
      <c r="B3" s="7" t="s">
        <v>99</v>
      </c>
      <c r="C3" s="8" t="s">
        <v>100</v>
      </c>
      <c r="D3" s="9" t="s">
        <v>101</v>
      </c>
      <c r="E3" s="7" t="s">
        <v>102</v>
      </c>
      <c r="F3" s="8" t="s">
        <v>103</v>
      </c>
      <c r="G3" s="20" t="s">
        <v>104</v>
      </c>
      <c r="H3" s="21" t="s">
        <v>105</v>
      </c>
    </row>
    <row r="4" ht="15" spans="1:8">
      <c r="A4" s="10" t="s">
        <v>10</v>
      </c>
      <c r="B4" s="11">
        <f>'Building loads'!F18*($B$1-1)/$B$1</f>
        <v>6551.17830754582</v>
      </c>
      <c r="C4" s="12">
        <f>'Building loads'!L18</f>
        <v>0</v>
      </c>
      <c r="D4" s="3">
        <v>31</v>
      </c>
      <c r="E4" s="22">
        <f>B4*D4</f>
        <v>203086.52753392</v>
      </c>
      <c r="F4" s="23">
        <f>C4*D4</f>
        <v>0</v>
      </c>
      <c r="G4" s="24">
        <f>'Building loads'!F3*($B$1-1)/$B$1</f>
        <v>9933.29636429124</v>
      </c>
      <c r="H4" s="25">
        <f>'Building loads'!L3</f>
        <v>0</v>
      </c>
    </row>
    <row r="5" ht="15" spans="1:8">
      <c r="A5" s="10" t="s">
        <v>11</v>
      </c>
      <c r="B5" s="11">
        <f>'Building loads'!F19*($B$1-1)/$B$1</f>
        <v>6279.40096370021</v>
      </c>
      <c r="C5" s="12">
        <f>'Building loads'!L19</f>
        <v>0</v>
      </c>
      <c r="D5" s="3">
        <v>28</v>
      </c>
      <c r="E5" s="22">
        <f t="shared" ref="E5:E15" si="0">B5*D5</f>
        <v>175823.226983606</v>
      </c>
      <c r="F5" s="23">
        <f t="shared" ref="F5:F15" si="1">C5*D5</f>
        <v>0</v>
      </c>
      <c r="G5" s="24">
        <f>'Building loads'!F4*($B$1-1)/$B$1</f>
        <v>9299.14922865148</v>
      </c>
      <c r="H5" s="25">
        <f>'Building loads'!L4</f>
        <v>0</v>
      </c>
    </row>
    <row r="6" ht="15" spans="1:8">
      <c r="A6" s="10" t="s">
        <v>12</v>
      </c>
      <c r="B6" s="11">
        <f>'Building loads'!F20*($B$1-1)/$B$1</f>
        <v>5433.87144951385</v>
      </c>
      <c r="C6" s="12">
        <f>'Building loads'!L20</f>
        <v>0</v>
      </c>
      <c r="D6" s="3">
        <v>31</v>
      </c>
      <c r="E6" s="22">
        <f>B6*D6</f>
        <v>168450.014934929</v>
      </c>
      <c r="F6" s="23">
        <f t="shared" si="1"/>
        <v>0</v>
      </c>
      <c r="G6" s="24">
        <f>'Building loads'!F5*($B$1-1)/$B$1</f>
        <v>8272.43481856804</v>
      </c>
      <c r="H6" s="25">
        <f>'Building loads'!L5</f>
        <v>0</v>
      </c>
    </row>
    <row r="7" ht="15" spans="1:8">
      <c r="A7" s="10" t="s">
        <v>13</v>
      </c>
      <c r="B7" s="11">
        <f>'Building loads'!F21*($B$1-1)/$B$1</f>
        <v>4678.93438327603</v>
      </c>
      <c r="C7" s="12">
        <f>'Building loads'!L21</f>
        <v>7026.66336602933</v>
      </c>
      <c r="D7" s="3">
        <v>30</v>
      </c>
      <c r="E7" s="22">
        <f t="shared" si="0"/>
        <v>140368.031498281</v>
      </c>
      <c r="F7" s="23">
        <f t="shared" si="1"/>
        <v>210799.90098088</v>
      </c>
      <c r="G7" s="24">
        <f>'Building loads'!F6*($B$1-1)/$B$1</f>
        <v>7849.67006147487</v>
      </c>
      <c r="H7" s="25">
        <f>'Building loads'!L6</f>
        <v>20738.3148491305</v>
      </c>
    </row>
    <row r="8" ht="15" spans="1:8">
      <c r="A8" s="10" t="s">
        <v>14</v>
      </c>
      <c r="B8" s="11">
        <f>'Building loads'!F22*($B$1-1)/$B$1</f>
        <v>0</v>
      </c>
      <c r="C8" s="12">
        <f>'Building loads'!L22</f>
        <v>7334.39604988512</v>
      </c>
      <c r="D8" s="3">
        <v>31</v>
      </c>
      <c r="E8" s="22">
        <f t="shared" si="0"/>
        <v>0</v>
      </c>
      <c r="F8" s="23">
        <f t="shared" si="1"/>
        <v>227366.277546439</v>
      </c>
      <c r="G8" s="24">
        <f>'Building loads'!F7*($B$1-1)/$B$1</f>
        <v>0</v>
      </c>
      <c r="H8" s="25">
        <f>'Building loads'!L7</f>
        <v>21485.8467202349</v>
      </c>
    </row>
    <row r="9" ht="15" spans="1:8">
      <c r="A9" s="10" t="s">
        <v>15</v>
      </c>
      <c r="B9" s="11">
        <f>'Building loads'!F23*($B$1-1)/$B$1</f>
        <v>0</v>
      </c>
      <c r="C9" s="12">
        <f>'Building loads'!L23</f>
        <v>7219.78236077601</v>
      </c>
      <c r="D9" s="3">
        <v>30</v>
      </c>
      <c r="E9" s="22">
        <f t="shared" si="0"/>
        <v>0</v>
      </c>
      <c r="F9" s="23">
        <f t="shared" si="1"/>
        <v>216593.47082328</v>
      </c>
      <c r="G9" s="24">
        <f>'Building loads'!F8*($B$1-1)/$B$1</f>
        <v>0</v>
      </c>
      <c r="H9" s="25">
        <f>'Building loads'!L8</f>
        <v>21270.480694237</v>
      </c>
    </row>
    <row r="10" ht="15" spans="1:8">
      <c r="A10" s="10" t="s">
        <v>16</v>
      </c>
      <c r="B10" s="11">
        <f>'Building loads'!F24*($B$1-1)/$B$1</f>
        <v>0</v>
      </c>
      <c r="C10" s="12">
        <f>'Building loads'!L24</f>
        <v>7261.97642685512</v>
      </c>
      <c r="D10" s="3">
        <v>31</v>
      </c>
      <c r="E10" s="22">
        <f t="shared" si="0"/>
        <v>0</v>
      </c>
      <c r="F10" s="23">
        <f t="shared" si="1"/>
        <v>225121.269232509</v>
      </c>
      <c r="G10" s="24">
        <f>'Building loads'!F9*($B$1-1)/$B$1</f>
        <v>0</v>
      </c>
      <c r="H10" s="25">
        <f>'Building loads'!L9</f>
        <v>22722.0051909348</v>
      </c>
    </row>
    <row r="11" ht="15" spans="1:8">
      <c r="A11" s="10" t="s">
        <v>17</v>
      </c>
      <c r="B11" s="11">
        <f>'Building loads'!F25*($B$1-1)/$B$1</f>
        <v>0</v>
      </c>
      <c r="C11" s="12">
        <f>'Building loads'!L25</f>
        <v>7469.70105985995</v>
      </c>
      <c r="D11" s="3">
        <v>31</v>
      </c>
      <c r="E11" s="22">
        <f t="shared" si="0"/>
        <v>0</v>
      </c>
      <c r="F11" s="23">
        <f t="shared" si="1"/>
        <v>231560.732855659</v>
      </c>
      <c r="G11" s="24">
        <f>'Building loads'!F10*($B$1-1)/$B$1</f>
        <v>0</v>
      </c>
      <c r="H11" s="25">
        <f>'Building loads'!L10</f>
        <v>22020.6659229583</v>
      </c>
    </row>
    <row r="12" ht="15" spans="1:8">
      <c r="A12" s="10" t="s">
        <v>18</v>
      </c>
      <c r="B12" s="11">
        <f>'Building loads'!F26*($B$1-1)/$B$1</f>
        <v>0</v>
      </c>
      <c r="C12" s="12">
        <f>'Building loads'!L26</f>
        <v>6852.81569953994</v>
      </c>
      <c r="D12" s="3">
        <v>30</v>
      </c>
      <c r="E12" s="22">
        <f t="shared" si="0"/>
        <v>0</v>
      </c>
      <c r="F12" s="23">
        <f t="shared" si="1"/>
        <v>205584.470986198</v>
      </c>
      <c r="G12" s="24">
        <f>'Building loads'!F11*($B$1-1)/$B$1</f>
        <v>0</v>
      </c>
      <c r="H12" s="25">
        <f>'Building loads'!L11</f>
        <v>25151.9657688862</v>
      </c>
    </row>
    <row r="13" ht="15" spans="1:8">
      <c r="A13" s="10" t="s">
        <v>19</v>
      </c>
      <c r="B13" s="11">
        <f>'Building loads'!F27*($B$1-1)/$B$1</f>
        <v>4195.77466088383</v>
      </c>
      <c r="C13" s="12">
        <f>'Building loads'!L27</f>
        <v>6617.29978262723</v>
      </c>
      <c r="D13" s="3">
        <v>31</v>
      </c>
      <c r="E13" s="22">
        <f t="shared" si="0"/>
        <v>130069.014487399</v>
      </c>
      <c r="F13" s="23">
        <f t="shared" si="1"/>
        <v>205136.293261444</v>
      </c>
      <c r="G13" s="24">
        <f>'Building loads'!F12*($B$1-1)/$B$1</f>
        <v>6460.58585959728</v>
      </c>
      <c r="H13" s="25">
        <f>'Building loads'!L12</f>
        <v>22167.0178950782</v>
      </c>
    </row>
    <row r="14" ht="15" spans="1:8">
      <c r="A14" s="10" t="s">
        <v>20</v>
      </c>
      <c r="B14" s="11">
        <f>'Building loads'!F28*($B$1-1)/$B$1</f>
        <v>5615.05634541093</v>
      </c>
      <c r="C14" s="12">
        <f>'Building loads'!L28</f>
        <v>0</v>
      </c>
      <c r="D14" s="3">
        <v>30</v>
      </c>
      <c r="E14" s="22">
        <f t="shared" si="0"/>
        <v>168451.690362328</v>
      </c>
      <c r="F14" s="23">
        <f t="shared" si="1"/>
        <v>0</v>
      </c>
      <c r="G14" s="24">
        <f>'Building loads'!F13*($B$1-1)/$B$1</f>
        <v>8091.24992267097</v>
      </c>
      <c r="H14" s="25">
        <f>'Building loads'!L13</f>
        <v>0</v>
      </c>
    </row>
    <row r="15" ht="15" spans="1:8">
      <c r="A15" s="10" t="s">
        <v>21</v>
      </c>
      <c r="B15" s="11">
        <f>'Building loads'!F29*($B$1-1)/$B$1</f>
        <v>6430.38837694777</v>
      </c>
      <c r="C15" s="12">
        <f>'Building loads'!L29</f>
        <v>0</v>
      </c>
      <c r="D15" s="3">
        <v>31</v>
      </c>
      <c r="E15" s="22">
        <f t="shared" si="0"/>
        <v>199342.039685381</v>
      </c>
      <c r="F15" s="23">
        <f t="shared" si="1"/>
        <v>0</v>
      </c>
      <c r="G15" s="24">
        <f>'Building loads'!F14*($B$1-1)/$B$1</f>
        <v>9087.76685010489</v>
      </c>
      <c r="H15" s="25">
        <f>'Building loads'!L14</f>
        <v>0</v>
      </c>
    </row>
    <row r="16" ht="15" spans="1:8">
      <c r="A16" s="13" t="s">
        <v>93</v>
      </c>
      <c r="B16" s="14">
        <f>MAX(B4:B15)</f>
        <v>6551.17830754582</v>
      </c>
      <c r="C16" s="15">
        <f>MAX(C4:C15)</f>
        <v>7469.70105985995</v>
      </c>
      <c r="D16" s="13" t="s">
        <v>106</v>
      </c>
      <c r="E16" s="14">
        <f>SUM(E4:E15)</f>
        <v>1185590.54548584</v>
      </c>
      <c r="F16" s="15">
        <f>SUM(F4:F15)</f>
        <v>1522162.41568641</v>
      </c>
      <c r="G16" s="26" t="s">
        <v>107</v>
      </c>
      <c r="H16" s="27" t="s">
        <v>108</v>
      </c>
    </row>
    <row r="17" ht="15" spans="1:8">
      <c r="A17" s="16"/>
      <c r="B17" s="3"/>
      <c r="C17" s="3"/>
      <c r="D17" s="1" t="s">
        <v>109</v>
      </c>
      <c r="E17" s="28">
        <f>(F16-E16)/365</f>
        <v>922.11471287826</v>
      </c>
      <c r="F17" s="2" t="s">
        <v>78</v>
      </c>
      <c r="G17" s="29">
        <f>MAX(G4:G15)</f>
        <v>9933.29636429124</v>
      </c>
      <c r="H17" s="30">
        <f>MAX(H4:H15)</f>
        <v>25151.9657688862</v>
      </c>
    </row>
    <row r="18" spans="4:8">
      <c r="D18" s="3"/>
      <c r="E18" s="3"/>
      <c r="F18" s="3"/>
      <c r="G18" s="3"/>
      <c r="H18" s="3"/>
    </row>
  </sheetData>
  <mergeCells count="3">
    <mergeCell ref="A2:D2"/>
    <mergeCell ref="E2:F2"/>
    <mergeCell ref="G2:H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Building loads</vt:lpstr>
      <vt:lpstr>Ground loads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Cupeiro</dc:creator>
  <cp:lastModifiedBy>Iago Cupeiro</cp:lastModifiedBy>
  <dcterms:created xsi:type="dcterms:W3CDTF">2020-03-27T22:09:00Z</dcterms:created>
  <dcterms:modified xsi:type="dcterms:W3CDTF">2020-04-05T16:21:02Z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