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daang/Documents/GitHub/FEniCS/Phase_Field_Fracture/Figures/"/>
    </mc:Choice>
  </mc:AlternateContent>
  <xr:revisionPtr revIDLastSave="0" documentId="13_ncr:1_{B58C97C8-A8C8-D543-91E7-CF2C64434AD0}" xr6:coauthVersionLast="47" xr6:coauthVersionMax="47" xr10:uidLastSave="{00000000-0000-0000-0000-000000000000}"/>
  <bookViews>
    <workbookView xWindow="0" yWindow="500" windowWidth="24940" windowHeight="11920" tabRatio="500" activeTab="6" xr2:uid="{00000000-000D-0000-FFFF-FFFF00000000}"/>
  </bookViews>
  <sheets>
    <sheet name="ExpLoad" sheetId="1" r:id="rId1"/>
    <sheet name="Task2_Summary" sheetId="2" r:id="rId2"/>
    <sheet name="Task2_Prelim" sheetId="3" r:id="rId3"/>
    <sheet name="Task2" sheetId="4" r:id="rId4"/>
    <sheet name="Task3" sheetId="5" r:id="rId5"/>
    <sheet name="Task4-3D" sheetId="6" r:id="rId6"/>
    <sheet name="Sheet7" sheetId="7" r:id="rId7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R20" i="7" l="1"/>
  <c r="O20" i="7"/>
  <c r="N20" i="7"/>
  <c r="C20" i="7" s="1"/>
  <c r="L20" i="7"/>
  <c r="K20" i="7"/>
  <c r="R18" i="7"/>
  <c r="O18" i="7"/>
  <c r="N18" i="7"/>
  <c r="C18" i="7" s="1"/>
  <c r="L18" i="7"/>
  <c r="K18" i="7"/>
  <c r="S17" i="7"/>
  <c r="R17" i="7"/>
  <c r="O17" i="7"/>
  <c r="N17" i="7"/>
  <c r="C17" i="7" s="1"/>
  <c r="L17" i="7"/>
  <c r="K17" i="7"/>
  <c r="H13" i="7"/>
  <c r="G13" i="7"/>
  <c r="H11" i="7"/>
  <c r="G11" i="7"/>
  <c r="AB10" i="7"/>
  <c r="AA10" i="7"/>
  <c r="Z10" i="7"/>
  <c r="X10" i="7"/>
  <c r="Y10" i="7" s="1"/>
  <c r="G10" i="7"/>
  <c r="H10" i="7" s="1"/>
  <c r="R6" i="7"/>
  <c r="O6" i="7"/>
  <c r="N6" i="7"/>
  <c r="C6" i="7" s="1"/>
  <c r="L6" i="7"/>
  <c r="K6" i="7"/>
  <c r="R5" i="7"/>
  <c r="O5" i="7"/>
  <c r="N5" i="7"/>
  <c r="L5" i="7"/>
  <c r="K5" i="7"/>
  <c r="C5" i="7"/>
  <c r="R4" i="7"/>
  <c r="O4" i="7"/>
  <c r="N4" i="7"/>
  <c r="S4" i="7" s="1"/>
  <c r="L4" i="7"/>
  <c r="K4" i="7"/>
  <c r="F64" i="6"/>
  <c r="G64" i="6" s="1"/>
  <c r="H64" i="6" s="1"/>
  <c r="G63" i="6"/>
  <c r="H63" i="6" s="1"/>
  <c r="F63" i="6"/>
  <c r="F62" i="6"/>
  <c r="G62" i="6" s="1"/>
  <c r="H62" i="6" s="1"/>
  <c r="F61" i="6"/>
  <c r="G61" i="6" s="1"/>
  <c r="H61" i="6" s="1"/>
  <c r="F60" i="6"/>
  <c r="G60" i="6" s="1"/>
  <c r="H60" i="6" s="1"/>
  <c r="O59" i="6"/>
  <c r="P59" i="6" s="1"/>
  <c r="F59" i="6"/>
  <c r="G59" i="6" s="1"/>
  <c r="H59" i="6" s="1"/>
  <c r="O54" i="6"/>
  <c r="M54" i="6"/>
  <c r="N54" i="6" s="1"/>
  <c r="L54" i="6"/>
  <c r="P54" i="6" s="1"/>
  <c r="J54" i="6"/>
  <c r="K54" i="6" s="1"/>
  <c r="D54" i="6"/>
  <c r="E54" i="6" s="1"/>
  <c r="O50" i="6"/>
  <c r="M50" i="6"/>
  <c r="N50" i="6" s="1"/>
  <c r="L50" i="6"/>
  <c r="P50" i="6" s="1"/>
  <c r="J50" i="6"/>
  <c r="K50" i="6" s="1"/>
  <c r="E50" i="6"/>
  <c r="D50" i="6"/>
  <c r="O48" i="6"/>
  <c r="N48" i="6"/>
  <c r="M48" i="6"/>
  <c r="L48" i="6"/>
  <c r="P48" i="6" s="1"/>
  <c r="J48" i="6"/>
  <c r="K48" i="6" s="1"/>
  <c r="D48" i="6"/>
  <c r="E48" i="6" s="1"/>
  <c r="O44" i="6"/>
  <c r="M44" i="6"/>
  <c r="N44" i="6" s="1"/>
  <c r="L44" i="6"/>
  <c r="P44" i="6" s="1"/>
  <c r="K44" i="6"/>
  <c r="J44" i="6"/>
  <c r="D44" i="6"/>
  <c r="E44" i="6" s="1"/>
  <c r="O43" i="6"/>
  <c r="M43" i="6"/>
  <c r="N43" i="6" s="1"/>
  <c r="L43" i="6"/>
  <c r="P43" i="6" s="1"/>
  <c r="J43" i="6"/>
  <c r="K43" i="6" s="1"/>
  <c r="D43" i="6"/>
  <c r="E43" i="6" s="1"/>
  <c r="O41" i="6"/>
  <c r="M41" i="6"/>
  <c r="N41" i="6" s="1"/>
  <c r="L41" i="6"/>
  <c r="P41" i="6" s="1"/>
  <c r="J41" i="6"/>
  <c r="K41" i="6" s="1"/>
  <c r="E41" i="6"/>
  <c r="D41" i="6"/>
  <c r="O40" i="6"/>
  <c r="N40" i="6"/>
  <c r="M40" i="6"/>
  <c r="L40" i="6"/>
  <c r="P40" i="6" s="1"/>
  <c r="J40" i="6"/>
  <c r="K40" i="6" s="1"/>
  <c r="D40" i="6"/>
  <c r="E40" i="6" s="1"/>
  <c r="O34" i="6"/>
  <c r="M34" i="6"/>
  <c r="N34" i="6" s="1"/>
  <c r="L34" i="6"/>
  <c r="P34" i="6" s="1"/>
  <c r="K34" i="6"/>
  <c r="J34" i="6"/>
  <c r="D34" i="6"/>
  <c r="E34" i="6" s="1"/>
  <c r="O24" i="6"/>
  <c r="M24" i="6"/>
  <c r="N24" i="6" s="1"/>
  <c r="L24" i="6"/>
  <c r="P24" i="6" s="1"/>
  <c r="K24" i="6"/>
  <c r="J24" i="6"/>
  <c r="D24" i="6"/>
  <c r="E24" i="6" s="1"/>
  <c r="O21" i="6"/>
  <c r="M21" i="6"/>
  <c r="N21" i="6" s="1"/>
  <c r="L21" i="6"/>
  <c r="P21" i="6" s="1"/>
  <c r="J21" i="6"/>
  <c r="K21" i="6" s="1"/>
  <c r="E21" i="6"/>
  <c r="D21" i="6"/>
  <c r="O20" i="6"/>
  <c r="N20" i="6"/>
  <c r="M20" i="6"/>
  <c r="L20" i="6"/>
  <c r="P20" i="6" s="1"/>
  <c r="J20" i="6"/>
  <c r="K20" i="6" s="1"/>
  <c r="G20" i="6"/>
  <c r="D20" i="6"/>
  <c r="E20" i="6" s="1"/>
  <c r="O18" i="6"/>
  <c r="M18" i="6"/>
  <c r="N18" i="6" s="1"/>
  <c r="L18" i="6"/>
  <c r="P18" i="6" s="1"/>
  <c r="K18" i="6"/>
  <c r="J18" i="6"/>
  <c r="G18" i="6"/>
  <c r="E18" i="6"/>
  <c r="D18" i="6"/>
  <c r="O16" i="6"/>
  <c r="N16" i="6"/>
  <c r="M16" i="6"/>
  <c r="L16" i="6"/>
  <c r="P16" i="6" s="1"/>
  <c r="J16" i="6"/>
  <c r="K16" i="6" s="1"/>
  <c r="G16" i="6"/>
  <c r="D16" i="6"/>
  <c r="E16" i="6" s="1"/>
  <c r="O14" i="6"/>
  <c r="M14" i="6"/>
  <c r="N14" i="6" s="1"/>
  <c r="L14" i="6"/>
  <c r="P14" i="6" s="1"/>
  <c r="K14" i="6"/>
  <c r="J14" i="6"/>
  <c r="G14" i="6"/>
  <c r="E14" i="6"/>
  <c r="D14" i="6"/>
  <c r="O9" i="6"/>
  <c r="N9" i="6"/>
  <c r="M9" i="6"/>
  <c r="L9" i="6"/>
  <c r="P9" i="6" s="1"/>
  <c r="J9" i="6"/>
  <c r="K9" i="6" s="1"/>
  <c r="G9" i="6"/>
  <c r="O4" i="6"/>
  <c r="N4" i="6"/>
  <c r="M4" i="6"/>
  <c r="L4" i="6"/>
  <c r="P4" i="6" s="1"/>
  <c r="J4" i="6"/>
  <c r="K4" i="6" s="1"/>
  <c r="G4" i="6"/>
  <c r="O2" i="6"/>
  <c r="N2" i="6"/>
  <c r="M2" i="6"/>
  <c r="L2" i="6"/>
  <c r="P2" i="6" s="1"/>
  <c r="J2" i="6"/>
  <c r="K2" i="6" s="1"/>
  <c r="G2" i="6"/>
  <c r="E27" i="5"/>
  <c r="F27" i="5" s="1"/>
  <c r="F26" i="5"/>
  <c r="E26" i="5"/>
  <c r="E25" i="5"/>
  <c r="F25" i="5" s="1"/>
  <c r="F24" i="5"/>
  <c r="E24" i="5"/>
  <c r="D23" i="5"/>
  <c r="E23" i="5" s="1"/>
  <c r="F23" i="5" s="1"/>
  <c r="P18" i="5"/>
  <c r="O18" i="5"/>
  <c r="N18" i="5"/>
  <c r="M18" i="5"/>
  <c r="L18" i="5"/>
  <c r="P15" i="5"/>
  <c r="O15" i="5"/>
  <c r="N15" i="5"/>
  <c r="L15" i="5"/>
  <c r="M15" i="5" s="1"/>
  <c r="P8" i="5"/>
  <c r="O8" i="5"/>
  <c r="L8" i="5"/>
  <c r="N8" i="5" s="1"/>
  <c r="P6" i="5"/>
  <c r="O6" i="5"/>
  <c r="L6" i="5"/>
  <c r="M6" i="5" s="1"/>
  <c r="P5" i="5"/>
  <c r="O5" i="5"/>
  <c r="N5" i="5"/>
  <c r="M5" i="5"/>
  <c r="L5" i="5"/>
  <c r="P2" i="5"/>
  <c r="O2" i="5"/>
  <c r="N2" i="5"/>
  <c r="L2" i="5"/>
  <c r="M2" i="5" s="1"/>
  <c r="H35" i="4"/>
  <c r="AC26" i="4"/>
  <c r="AB26" i="4"/>
  <c r="O26" i="4"/>
  <c r="N26" i="4"/>
  <c r="C26" i="4" s="1"/>
  <c r="L26" i="4"/>
  <c r="K26" i="4"/>
  <c r="AC25" i="4"/>
  <c r="AB25" i="4"/>
  <c r="O25" i="4"/>
  <c r="N25" i="4"/>
  <c r="C25" i="4" s="1"/>
  <c r="L25" i="4"/>
  <c r="K25" i="4"/>
  <c r="AC21" i="4"/>
  <c r="AB21" i="4"/>
  <c r="Y21" i="4"/>
  <c r="O21" i="4"/>
  <c r="N21" i="4"/>
  <c r="C21" i="4" s="1"/>
  <c r="L21" i="4"/>
  <c r="K21" i="4"/>
  <c r="Y20" i="4"/>
  <c r="P20" i="4"/>
  <c r="S20" i="4" s="1"/>
  <c r="O20" i="4"/>
  <c r="N20" i="4"/>
  <c r="L20" i="4"/>
  <c r="K20" i="4"/>
  <c r="C20" i="4"/>
  <c r="Q20" i="4" s="1"/>
  <c r="T20" i="4" s="1"/>
  <c r="Y18" i="4"/>
  <c r="AC18" i="4" s="1"/>
  <c r="O18" i="4"/>
  <c r="N18" i="4"/>
  <c r="L18" i="4"/>
  <c r="K18" i="4"/>
  <c r="C18" i="4"/>
  <c r="Y17" i="4"/>
  <c r="AC17" i="4" s="1"/>
  <c r="O17" i="4"/>
  <c r="N17" i="4"/>
  <c r="L17" i="4"/>
  <c r="K17" i="4"/>
  <c r="C17" i="4"/>
  <c r="O16" i="4"/>
  <c r="Y13" i="4"/>
  <c r="AB13" i="4" s="1"/>
  <c r="P13" i="4"/>
  <c r="O13" i="4"/>
  <c r="N13" i="4"/>
  <c r="C13" i="4" s="1"/>
  <c r="L13" i="4"/>
  <c r="D13" i="4"/>
  <c r="AC11" i="4"/>
  <c r="AB11" i="4"/>
  <c r="Y11" i="4"/>
  <c r="P11" i="4"/>
  <c r="O11" i="4"/>
  <c r="N11" i="4"/>
  <c r="C11" i="4" s="1"/>
  <c r="L11" i="4"/>
  <c r="K11" i="4"/>
  <c r="Z10" i="4"/>
  <c r="Y10" i="4"/>
  <c r="AC9" i="4"/>
  <c r="AB9" i="4"/>
  <c r="Z9" i="4"/>
  <c r="Y9" i="4"/>
  <c r="S9" i="4"/>
  <c r="P9" i="4"/>
  <c r="O9" i="4"/>
  <c r="N9" i="4"/>
  <c r="C9" i="4" s="1"/>
  <c r="Q9" i="4" s="1"/>
  <c r="T9" i="4" s="1"/>
  <c r="L9" i="4"/>
  <c r="G35" i="4" s="1"/>
  <c r="K9" i="4"/>
  <c r="AC8" i="4"/>
  <c r="AB8" i="4"/>
  <c r="Y8" i="4"/>
  <c r="O8" i="4"/>
  <c r="N8" i="4"/>
  <c r="C8" i="4" s="1"/>
  <c r="L8" i="4"/>
  <c r="K8" i="4"/>
  <c r="AC7" i="4"/>
  <c r="AB7" i="4"/>
  <c r="Y7" i="4"/>
  <c r="O7" i="4"/>
  <c r="N7" i="4"/>
  <c r="C7" i="4" s="1"/>
  <c r="L7" i="4"/>
  <c r="K7" i="4"/>
  <c r="AC6" i="4"/>
  <c r="AB6" i="4"/>
  <c r="Y6" i="4"/>
  <c r="O6" i="4"/>
  <c r="N6" i="4"/>
  <c r="C6" i="4" s="1"/>
  <c r="L6" i="4"/>
  <c r="K6" i="4"/>
  <c r="AC5" i="4"/>
  <c r="AB5" i="4"/>
  <c r="Y5" i="4"/>
  <c r="O5" i="4"/>
  <c r="N5" i="4"/>
  <c r="C5" i="4" s="1"/>
  <c r="L5" i="4"/>
  <c r="K5" i="4"/>
  <c r="AC4" i="4"/>
  <c r="AB4" i="4"/>
  <c r="Y4" i="4"/>
  <c r="O4" i="4"/>
  <c r="N4" i="4"/>
  <c r="C4" i="4" s="1"/>
  <c r="L4" i="4"/>
  <c r="K4" i="4"/>
  <c r="AC3" i="4"/>
  <c r="AB3" i="4"/>
  <c r="Y3" i="4"/>
  <c r="O3" i="4"/>
  <c r="N3" i="4"/>
  <c r="C3" i="4" s="1"/>
  <c r="L3" i="4"/>
  <c r="K3" i="4"/>
  <c r="AC2" i="4"/>
  <c r="AB2" i="4"/>
  <c r="Y2" i="4"/>
  <c r="O2" i="4"/>
  <c r="N2" i="4"/>
  <c r="C2" i="4" s="1"/>
  <c r="L2" i="4"/>
  <c r="K2" i="4"/>
  <c r="Q19" i="3"/>
  <c r="M19" i="3"/>
  <c r="N19" i="3" s="1"/>
  <c r="R19" i="3" s="1"/>
  <c r="L19" i="3"/>
  <c r="G19" i="3"/>
  <c r="D19" i="3"/>
  <c r="Q18" i="3"/>
  <c r="N18" i="3"/>
  <c r="R18" i="3" s="1"/>
  <c r="M18" i="3"/>
  <c r="L18" i="3"/>
  <c r="D18" i="3"/>
  <c r="G18" i="3" s="1"/>
  <c r="Q17" i="3"/>
  <c r="M17" i="3"/>
  <c r="N17" i="3" s="1"/>
  <c r="R17" i="3" s="1"/>
  <c r="L17" i="3"/>
  <c r="D17" i="3"/>
  <c r="G17" i="3" s="1"/>
  <c r="N16" i="3"/>
  <c r="M16" i="3"/>
  <c r="L16" i="3"/>
  <c r="D16" i="3"/>
  <c r="G16" i="3" s="1"/>
  <c r="Q15" i="3"/>
  <c r="M15" i="3"/>
  <c r="N15" i="3" s="1"/>
  <c r="R15" i="3" s="1"/>
  <c r="L15" i="3"/>
  <c r="D15" i="3"/>
  <c r="G15" i="3" s="1"/>
  <c r="N14" i="3"/>
  <c r="M14" i="3"/>
  <c r="L14" i="3"/>
  <c r="D14" i="3"/>
  <c r="G14" i="3" s="1"/>
  <c r="Q13" i="3"/>
  <c r="M13" i="3"/>
  <c r="N13" i="3" s="1"/>
  <c r="R13" i="3" s="1"/>
  <c r="L13" i="3"/>
  <c r="D13" i="3"/>
  <c r="G13" i="3" s="1"/>
  <c r="N12" i="3"/>
  <c r="M12" i="3"/>
  <c r="L12" i="3"/>
  <c r="D12" i="3"/>
  <c r="G12" i="3" s="1"/>
  <c r="Q9" i="3"/>
  <c r="M9" i="3"/>
  <c r="N9" i="3" s="1"/>
  <c r="R9" i="3" s="1"/>
  <c r="L9" i="3"/>
  <c r="D9" i="3"/>
  <c r="G9" i="3" s="1"/>
  <c r="Q8" i="3"/>
  <c r="M8" i="3"/>
  <c r="N8" i="3" s="1"/>
  <c r="R8" i="3" s="1"/>
  <c r="L8" i="3"/>
  <c r="D8" i="3"/>
  <c r="G8" i="3" s="1"/>
  <c r="Q7" i="3"/>
  <c r="M7" i="3"/>
  <c r="N7" i="3" s="1"/>
  <c r="R7" i="3" s="1"/>
  <c r="L7" i="3"/>
  <c r="G7" i="3"/>
  <c r="D7" i="3"/>
  <c r="Q6" i="3"/>
  <c r="N6" i="3"/>
  <c r="R6" i="3" s="1"/>
  <c r="M6" i="3"/>
  <c r="L6" i="3"/>
  <c r="D6" i="3"/>
  <c r="G6" i="3" s="1"/>
  <c r="Q5" i="3"/>
  <c r="M5" i="3"/>
  <c r="N5" i="3" s="1"/>
  <c r="R5" i="3" s="1"/>
  <c r="L5" i="3"/>
  <c r="D5" i="3"/>
  <c r="G5" i="3" s="1"/>
  <c r="Q4" i="3"/>
  <c r="M4" i="3"/>
  <c r="N4" i="3" s="1"/>
  <c r="R4" i="3" s="1"/>
  <c r="L4" i="3"/>
  <c r="D4" i="3"/>
  <c r="G4" i="3" s="1"/>
  <c r="Q3" i="3"/>
  <c r="M3" i="3"/>
  <c r="N3" i="3" s="1"/>
  <c r="R3" i="3" s="1"/>
  <c r="L3" i="3"/>
  <c r="G3" i="3"/>
  <c r="D3" i="3"/>
  <c r="Q2" i="3"/>
  <c r="N2" i="3"/>
  <c r="R2" i="3" s="1"/>
  <c r="M2" i="3"/>
  <c r="L2" i="3"/>
  <c r="D2" i="3"/>
  <c r="G2" i="3" s="1"/>
  <c r="O7" i="2"/>
  <c r="H7" i="2"/>
  <c r="G7" i="2"/>
  <c r="C7" i="2"/>
  <c r="O6" i="2"/>
  <c r="L6" i="2"/>
  <c r="J6" i="2"/>
  <c r="H6" i="2"/>
  <c r="G6" i="2"/>
  <c r="C6" i="2"/>
  <c r="K6" i="2" s="1"/>
  <c r="M6" i="2" s="1"/>
  <c r="K3" i="2"/>
  <c r="M3" i="2" s="1"/>
  <c r="J3" i="2"/>
  <c r="L3" i="2" s="1"/>
  <c r="AC13" i="4" l="1"/>
  <c r="AB17" i="4"/>
  <c r="AB18" i="4"/>
  <c r="N6" i="5"/>
  <c r="M8" i="5"/>
  <c r="C4" i="7"/>
</calcChain>
</file>

<file path=xl/sharedStrings.xml><?xml version="1.0" encoding="utf-8"?>
<sst xmlns="http://schemas.openxmlformats.org/spreadsheetml/2006/main" count="571" uniqueCount="152">
  <si>
    <t>Delta</t>
  </si>
  <si>
    <t>Steps</t>
  </si>
  <si>
    <t>a</t>
  </si>
  <si>
    <t>b</t>
  </si>
  <si>
    <t>c</t>
  </si>
  <si>
    <t>d</t>
  </si>
  <si>
    <t>mu</t>
  </si>
  <si>
    <t>Gc</t>
  </si>
  <si>
    <t>Gc_e</t>
  </si>
  <si>
    <t>Delta_p (Gc)</t>
  </si>
  <si>
    <t>Delta_p (Gc_e)</t>
  </si>
  <si>
    <t>Num Delta</t>
  </si>
  <si>
    <t>Delta %E (Gc)</t>
  </si>
  <si>
    <t>Delta %E (Gc_e)</t>
  </si>
  <si>
    <t>Num GcLH</t>
  </si>
  <si>
    <t>GcLH</t>
  </si>
  <si>
    <t>Gc_eLH</t>
  </si>
  <si>
    <t>% error (Gc)</t>
  </si>
  <si>
    <t>% error (Gc_e)</t>
  </si>
  <si>
    <t>hsize</t>
  </si>
  <si>
    <t>ell</t>
  </si>
  <si>
    <t>Diffused Trials</t>
  </si>
  <si>
    <t xml:space="preserve">Discrete Trials </t>
  </si>
  <si>
    <t>L</t>
  </si>
  <si>
    <t>h</t>
  </si>
  <si>
    <t>kappa</t>
  </si>
  <si>
    <t>Pred Delta (Gc)</t>
  </si>
  <si>
    <t>Pred Delta (Gc_e)</t>
  </si>
  <si>
    <t>N</t>
  </si>
  <si>
    <t>lambda_a</t>
  </si>
  <si>
    <t>J_a</t>
  </si>
  <si>
    <t>E(+)</t>
  </si>
  <si>
    <t>E(-)</t>
  </si>
  <si>
    <t>J_num</t>
  </si>
  <si>
    <t>Error</t>
  </si>
  <si>
    <t>Gc_effective</t>
  </si>
  <si>
    <t>H</t>
  </si>
  <si>
    <t>PF Width</t>
  </si>
  <si>
    <t>Sim</t>
  </si>
  <si>
    <t>S vs NS</t>
  </si>
  <si>
    <t>Mod</t>
  </si>
  <si>
    <t>Even vs. Ref</t>
  </si>
  <si>
    <t>ms_r</t>
  </si>
  <si>
    <t>ms</t>
  </si>
  <si>
    <t>pf</t>
  </si>
  <si>
    <t>Nx</t>
  </si>
  <si>
    <t>Ny</t>
  </si>
  <si>
    <t>Saved/Deleted</t>
  </si>
  <si>
    <t>Name</t>
  </si>
  <si>
    <t>Divergence Info</t>
  </si>
  <si>
    <t>NS</t>
  </si>
  <si>
    <t>ln(J)</t>
  </si>
  <si>
    <t>Even</t>
  </si>
  <si>
    <t>Deleted</t>
  </si>
  <si>
    <t>Alt</t>
  </si>
  <si>
    <t>S</t>
  </si>
  <si>
    <t>(J-1)</t>
  </si>
  <si>
    <t>Ref</t>
  </si>
  <si>
    <t>Saved</t>
  </si>
  <si>
    <t>Step 145: AM Iteration: 2681,  alpha_error:     0.28819523  *** Warning: PETSc SNES solver diverged in 1 iterations with divergence reason DIVERGED_FUNCTION_COUNT.</t>
  </si>
  <si>
    <t>Discrete Trials: Placed Phase Field around Crack</t>
  </si>
  <si>
    <t xml:space="preserve">Discrete Trials: No initialization </t>
  </si>
  <si>
    <t>N/A</t>
  </si>
  <si>
    <t>Using same setup as below, just extended the number of steps</t>
  </si>
  <si>
    <t xml:space="preserve">Plane Strain </t>
  </si>
  <si>
    <t>Delta Error (Gc)</t>
  </si>
  <si>
    <t>Delta Error (Gc_e)</t>
  </si>
  <si>
    <t>Size</t>
  </si>
  <si>
    <t>Predicted</t>
  </si>
  <si>
    <t>Phase-Field</t>
  </si>
  <si>
    <t xml:space="preserve">Discrete </t>
  </si>
  <si>
    <t>% Error</t>
  </si>
  <si>
    <t>x_d</t>
  </si>
  <si>
    <t>x_m</t>
  </si>
  <si>
    <t>c_d</t>
  </si>
  <si>
    <t>y_d</t>
  </si>
  <si>
    <t>y_m</t>
  </si>
  <si>
    <t>r_d</t>
  </si>
  <si>
    <t>y_r</t>
  </si>
  <si>
    <t>Circle Point</t>
  </si>
  <si>
    <t>MidPoint</t>
  </si>
  <si>
    <t>Nx (inner)</t>
  </si>
  <si>
    <t>Ny (Inner)</t>
  </si>
  <si>
    <t>Loading</t>
  </si>
  <si>
    <t>Even/Exp</t>
  </si>
  <si>
    <t>Propagated</t>
  </si>
  <si>
    <t>C/D</t>
  </si>
  <si>
    <t>Status</t>
  </si>
  <si>
    <t>Error Message</t>
  </si>
  <si>
    <t>C</t>
  </si>
  <si>
    <t>Exp</t>
  </si>
  <si>
    <t>Did not reach</t>
  </si>
  <si>
    <t>D</t>
  </si>
  <si>
    <t xml:space="preserve">--- Starting of Time step 85: t = 2.575758 ------ Starting of Time step 85: t = 2.575758 --- AM Iteration: 1744,  alpha_error:     0.47661513     solver_alpha.solve(DamageProblem(), alpha.vector(), alpha_lb.vector(), alpha_ub.vector()) RuntimeError: </t>
  </si>
  <si>
    <t xml:space="preserve">--- Starting of Time step 153: t = 2.570247 ---AM Iteration: 2500,  alpha_error:     0.37323315 Traceback (most recent call last):   File "2D-planestress-stabilized.py", line 430, in &lt;module&gt;     solver_alpha.solve(DamageProblem(), alpha.vector(), alpha_lb.vector(), alpha_ub.vector()) RuntimeError:  </t>
  </si>
  <si>
    <t>--- Starting of Time step 196: t = 2.569505 ---</t>
  </si>
  <si>
    <t xml:space="preserve">Step 92 AM Iteration: 2122,  alpha_error:     0.32328037 Traceback (most recent call last):    File "2D-planestress-stabilized.py", line 430, in &lt;module&gt;  RuntimeError:   solver_alpha.solve(DamageProblem(), alpha.vector(), alpha_lb.vector(), alpha_ub.vector()) </t>
  </si>
  <si>
    <t xml:space="preserve">Delta </t>
  </si>
  <si>
    <t xml:space="preserve">Total Steps </t>
  </si>
  <si>
    <t>Cur Step</t>
  </si>
  <si>
    <t>Cur Disp</t>
  </si>
  <si>
    <t>length_f</t>
  </si>
  <si>
    <t xml:space="preserve"> </t>
  </si>
  <si>
    <t xml:space="preserve">       </t>
  </si>
  <si>
    <t>nu</t>
  </si>
  <si>
    <t>E</t>
  </si>
  <si>
    <t>hr (hsize)</t>
  </si>
  <si>
    <t>W</t>
  </si>
  <si>
    <t>T (Thickness is 2*T)</t>
  </si>
  <si>
    <t>H0</t>
  </si>
  <si>
    <t>H1</t>
  </si>
  <si>
    <t>W0</t>
  </si>
  <si>
    <t>Ny (limit)</t>
  </si>
  <si>
    <t>Load Steps</t>
  </si>
  <si>
    <t>Con/Div</t>
  </si>
  <si>
    <t>Int</t>
  </si>
  <si>
    <t>Con</t>
  </si>
  <si>
    <t xml:space="preserve">Con </t>
  </si>
  <si>
    <t>Div</t>
  </si>
  <si>
    <t xml:space="preserve">--- Starting of Time step 102: t = 3.428571 --- AM Iteration:  80,  alpha_error:     0.22715067  200 SNES Function norm 4.467690058813e-06   *** Warning: PETSc SNES solver diverged in 200 iterations with divergence      solver_u.solve()  File "3D-Taylor-Hood-Hybrid.py", line 419, in &lt;module&gt; Traceback (most recent call last): reason DIVERGED_MAX_IT. RuntimeError:  </t>
  </si>
  <si>
    <t>Exp loading</t>
  </si>
  <si>
    <t xml:space="preserve">Starting of Time step 133: t = 3.420390 AM Iteration: 159,  alpha_error:     0.29323622 200 SNES Function norm 6.829629513345e-06    *** Warning: PETSc SNES solver diverged in 200 iterations with divergence reason DIVERGED_MAX_IT. Traceback (most recent call last):   File "3D-Taylor-Hood-Hybrid.py", line 426, in &lt;module&gt;     iteration = 1           # Initialization of iteration loop RuntimeError:  </t>
  </si>
  <si>
    <t xml:space="preserve">--- Starting of Time step 68: t = 3.434343 --- AM Iteration:  68,  alpha_error:     0.47892917  200 SNES Function norm 1.009597724139e-04   *** Warning: PETSc SNES solver diverged in 200 iterations with divergence reason DIVERGED_MAX_IT.  </t>
  </si>
  <si>
    <t xml:space="preserve">Deleted </t>
  </si>
  <si>
    <t>--- Starting of Time step 21: t = 0.422111 ---</t>
  </si>
  <si>
    <t>--- Starting of Time step 34: t = 0.397993 ---</t>
  </si>
  <si>
    <t xml:space="preserve">Damage initiating around the edges </t>
  </si>
  <si>
    <t xml:space="preserve">Interrupted </t>
  </si>
  <si>
    <t xml:space="preserve">Broke near boundary </t>
  </si>
  <si>
    <t xml:space="preserve">Bound in y and z and roller in x </t>
  </si>
  <si>
    <t xml:space="preserve">Bound in x and y and roller in z </t>
  </si>
  <si>
    <t>4 Pins</t>
  </si>
  <si>
    <t>1 Pin</t>
  </si>
  <si>
    <t>Unphysical result</t>
  </si>
  <si>
    <t>2 Pins</t>
  </si>
  <si>
    <t>Div before crack</t>
  </si>
  <si>
    <t xml:space="preserve">Almost straight ahead chrack </t>
  </si>
  <si>
    <t>Normal formulation for comparison</t>
  </si>
  <si>
    <t>Normal + Stabilized formulation for comparison</t>
  </si>
  <si>
    <t>Bound in x and y and roller in z, 1 pin</t>
  </si>
  <si>
    <t xml:space="preserve">Didn’t crack </t>
  </si>
  <si>
    <t xml:space="preserve">Div </t>
  </si>
  <si>
    <t>Strain</t>
  </si>
  <si>
    <t>Notes</t>
  </si>
  <si>
    <t>Stabilization</t>
  </si>
  <si>
    <t>Old Stabilization (1 term)</t>
  </si>
  <si>
    <t>Diffuse</t>
  </si>
  <si>
    <t>New Stabilization (3 terms)</t>
  </si>
  <si>
    <t>T</t>
  </si>
  <si>
    <t>Thickness = 2T</t>
  </si>
  <si>
    <t>Divergence</t>
  </si>
  <si>
    <t>New Stabilization (1 term)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</si>
</sst>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DAE3F3"/>
        <bgColor rgb="FFBCE4E5"/>
      </patternFill>
    </fill>
    <fill>
      <patternFill patternType="solid">
        <fgColor rgb="FFFCD3C1"/>
        <bgColor rgb="FFFFE5CA"/>
      </patternFill>
    </fill>
    <fill>
      <patternFill patternType="solid">
        <fgColor rgb="FFFFF200"/>
        <bgColor rgb="FFFFFF00"/>
      </patternFill>
    </fill>
    <fill>
      <patternFill patternType="solid">
        <fgColor rgb="FFDFCCE4"/>
        <bgColor rgb="FFDAE3F3"/>
      </patternFill>
    </fill>
    <fill>
      <patternFill patternType="solid">
        <fgColor rgb="FFED7D31"/>
        <bgColor rgb="FFFF8080"/>
      </patternFill>
    </fill>
    <fill>
      <patternFill patternType="solid">
        <fgColor rgb="FFB4C7E7"/>
        <bgColor rgb="FF99CCFF"/>
      </patternFill>
    </fill>
    <fill>
      <patternFill patternType="solid">
        <fgColor rgb="FFFFE5CA"/>
        <bgColor rgb="FFFCD3C1"/>
      </patternFill>
    </fill>
    <fill>
      <patternFill patternType="solid">
        <fgColor rgb="FFBCE4E5"/>
        <bgColor rgb="FFDAE3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/>
    </xf>
    <xf numFmtId="0" fontId="0" fillId="2" borderId="0" xfId="0" applyFill="1"/>
    <xf numFmtId="0" fontId="0" fillId="3" borderId="0" xfId="0" applyFill="1"/>
    <xf numFmtId="0" fontId="0" fillId="0" borderId="0" xfId="0"/>
    <xf numFmtId="11" fontId="0" fillId="0" borderId="0" xfId="0" applyNumberFormat="1"/>
    <xf numFmtId="11" fontId="0" fillId="0" borderId="0" xfId="0" applyNumberFormat="1"/>
    <xf numFmtId="0" fontId="0" fillId="0" borderId="0" xfId="0" applyFont="1" applyBorder="1" applyAlignment="1">
      <alignment vertical="center"/>
    </xf>
    <xf numFmtId="0" fontId="0" fillId="4" borderId="0" xfId="0" applyFont="1" applyFill="1"/>
    <xf numFmtId="0" fontId="0" fillId="0" borderId="0" xfId="0" applyFont="1"/>
    <xf numFmtId="11" fontId="0" fillId="0" borderId="0" xfId="0" applyNumberFormat="1" applyFont="1"/>
    <xf numFmtId="11" fontId="0" fillId="5" borderId="0" xfId="0" applyNumberFormat="1" applyFill="1"/>
    <xf numFmtId="0" fontId="0" fillId="5" borderId="0" xfId="0" applyFill="1"/>
    <xf numFmtId="0" fontId="0" fillId="6" borderId="0" xfId="0" applyFill="1"/>
    <xf numFmtId="0" fontId="0" fillId="7" borderId="0" xfId="0" applyFill="1"/>
    <xf numFmtId="11" fontId="0" fillId="7" borderId="0" xfId="0" applyNumberFormat="1" applyFill="1"/>
    <xf numFmtId="0" fontId="0" fillId="7" borderId="0" xfId="0" applyFont="1" applyFill="1"/>
    <xf numFmtId="0" fontId="0" fillId="0" borderId="0" xfId="0" applyFont="1" applyBorder="1" applyAlignment="1">
      <alignment horizontal="center" vertical="center"/>
    </xf>
    <xf numFmtId="0" fontId="0" fillId="8" borderId="0" xfId="0" applyFill="1"/>
    <xf numFmtId="11" fontId="0" fillId="6" borderId="0" xfId="0" applyNumberFormat="1" applyFill="1"/>
    <xf numFmtId="0" fontId="0" fillId="0" borderId="0" xfId="0" applyFont="1"/>
    <xf numFmtId="0" fontId="0" fillId="9" borderId="0" xfId="0" applyFill="1"/>
    <xf numFmtId="11" fontId="0" fillId="9" borderId="0" xfId="0" applyNumberFormat="1" applyFill="1"/>
    <xf numFmtId="0" fontId="0" fillId="9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FE5CA"/>
      <rgbColor rgb="FFDAE3F3"/>
      <rgbColor rgb="FF660066"/>
      <rgbColor rgb="FFFF8080"/>
      <rgbColor rgb="FF0066CC"/>
      <rgbColor rgb="FFDFCCE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CE4E5"/>
      <rgbColor rgb="FFFFFF99"/>
      <rgbColor rgb="FF99CCFF"/>
      <rgbColor rgb="FFFF99CC"/>
      <rgbColor rgb="FFCC99FF"/>
      <rgbColor rgb="FFFCD3C1"/>
      <rgbColor rgb="FF3366FF"/>
      <rgbColor rgb="FF33CCCC"/>
      <rgbColor rgb="FF99CC00"/>
      <rgbColor rgb="FFFFCC00"/>
      <rgbColor rgb="FFFF9900"/>
      <rgbColor rgb="FFED7D3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7</xdr:col>
      <xdr:colOff>181440</xdr:colOff>
      <xdr:row>20</xdr:row>
      <xdr:rowOff>21960</xdr:rowOff>
    </xdr:from>
    <xdr:to>
      <xdr:col>13</xdr:col>
      <xdr:colOff>284760</xdr:colOff>
      <xdr:row>41</xdr:row>
      <xdr:rowOff>122760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3790440" y="4165920"/>
          <a:ext cx="2548800" cy="35676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18</xdr:col>
      <xdr:colOff>179280</xdr:colOff>
      <xdr:row>61</xdr:row>
      <xdr:rowOff>87120</xdr:rowOff>
    </xdr:from>
    <xdr:to>
      <xdr:col>20</xdr:col>
      <xdr:colOff>169200</xdr:colOff>
      <xdr:row>79</xdr:row>
      <xdr:rowOff>122400</xdr:rowOff>
    </xdr:to>
    <xdr:pic>
      <xdr:nvPicPr>
        <xdr:cNvPr id="2" name="Image 2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9210240" y="10155600"/>
          <a:ext cx="1612800" cy="300708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"/>
  <sheetViews>
    <sheetView zoomScaleNormal="100" workbookViewId="0">
      <selection activeCell="E12" sqref="E12"/>
    </sheetView>
  </sheetViews>
  <sheetFormatPr baseColWidth="10" defaultColWidth="8.83203125" defaultRowHeight="13" x14ac:dyDescent="0.15"/>
  <cols>
    <col min="1" max="1025" width="11.5"/>
  </cols>
  <sheetData>
    <row r="1" spans="1:6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15">
      <c r="A2">
        <v>0.55000000000000004</v>
      </c>
      <c r="B2">
        <v>150</v>
      </c>
      <c r="C2">
        <v>0.1389</v>
      </c>
      <c r="D2">
        <v>9.1730000000000006E-3</v>
      </c>
      <c r="E2">
        <v>-0.1389</v>
      </c>
      <c r="F2">
        <v>-6.8879999999999997E-2</v>
      </c>
    </row>
    <row r="3" spans="1:6" x14ac:dyDescent="0.15">
      <c r="A3">
        <v>0.55000000000000004</v>
      </c>
      <c r="B3">
        <v>150</v>
      </c>
      <c r="C3">
        <v>0.5292</v>
      </c>
      <c r="D3">
        <v>6.5149999999999995E-4</v>
      </c>
      <c r="E3">
        <v>-0.5292</v>
      </c>
      <c r="F3">
        <v>-1.8380000000000001E-2</v>
      </c>
    </row>
    <row r="4" spans="1:6" x14ac:dyDescent="0.15">
      <c r="A4">
        <v>0.55000000000000004</v>
      </c>
      <c r="B4">
        <v>200</v>
      </c>
      <c r="C4">
        <v>0.46879999999999999</v>
      </c>
      <c r="D4">
        <v>8.6709999999999999E-4</v>
      </c>
      <c r="E4">
        <v>-0.46879999999999999</v>
      </c>
      <c r="F4">
        <v>-2.0670000000000001E-2</v>
      </c>
    </row>
    <row r="5" spans="1:6" x14ac:dyDescent="0.15">
      <c r="A5" s="5">
        <v>0.55000000000000004</v>
      </c>
      <c r="B5" s="5">
        <v>300</v>
      </c>
      <c r="C5" s="5">
        <v>0.31850000000000001</v>
      </c>
      <c r="D5" s="5">
        <v>1.8209999999999999E-3</v>
      </c>
      <c r="E5" s="5">
        <v>-0.31850000000000001</v>
      </c>
      <c r="F5" s="5">
        <v>-0.12609999999999999</v>
      </c>
    </row>
    <row r="6" spans="1:6" x14ac:dyDescent="0.15">
      <c r="A6" s="6">
        <v>0.53</v>
      </c>
      <c r="B6">
        <v>250</v>
      </c>
      <c r="C6">
        <v>0.33040000000000003</v>
      </c>
      <c r="D6">
        <v>1.89E-3</v>
      </c>
      <c r="E6">
        <v>-0.33040000000000003</v>
      </c>
      <c r="F6">
        <v>-0.15049999999999999</v>
      </c>
    </row>
    <row r="7" spans="1:6" x14ac:dyDescent="0.15">
      <c r="A7">
        <v>0.53</v>
      </c>
      <c r="B7" s="6">
        <v>300</v>
      </c>
      <c r="C7" s="6">
        <v>0.30059999999999998</v>
      </c>
      <c r="D7" s="6">
        <v>1.89E-3</v>
      </c>
      <c r="E7" s="6">
        <v>-0.30059999999999998</v>
      </c>
      <c r="F7" s="6">
        <v>-0.12540000000000001</v>
      </c>
    </row>
    <row r="8" spans="1:6" x14ac:dyDescent="0.15">
      <c r="A8">
        <v>3</v>
      </c>
      <c r="B8">
        <v>200</v>
      </c>
      <c r="C8">
        <v>1.5369999999999999</v>
      </c>
      <c r="D8">
        <v>3.3440000000000002E-3</v>
      </c>
      <c r="E8">
        <v>-1.5369999999999999</v>
      </c>
      <c r="F8">
        <v>-6.3700000000000007E-2</v>
      </c>
    </row>
    <row r="9" spans="1:6" x14ac:dyDescent="0.15">
      <c r="A9">
        <v>2.6</v>
      </c>
      <c r="B9">
        <v>200</v>
      </c>
      <c r="C9">
        <v>1.2010000000000001</v>
      </c>
      <c r="D9">
        <v>3.8609999999999998E-3</v>
      </c>
      <c r="E9">
        <v>-1.2010000000000001</v>
      </c>
      <c r="F9">
        <v>-8.2710000000000006E-2</v>
      </c>
    </row>
    <row r="10" spans="1:6" x14ac:dyDescent="0.15">
      <c r="A10">
        <v>3.5</v>
      </c>
      <c r="B10">
        <v>150</v>
      </c>
      <c r="C10">
        <v>2.8239999999999998</v>
      </c>
      <c r="D10">
        <v>1.431E-3</v>
      </c>
      <c r="E10">
        <v>-2.8239999999999998</v>
      </c>
      <c r="F10">
        <v>-0.26200000000000001</v>
      </c>
    </row>
  </sheetData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7"/>
  <sheetViews>
    <sheetView zoomScaleNormal="100" workbookViewId="0">
      <selection activeCell="J15" sqref="J15"/>
    </sheetView>
  </sheetViews>
  <sheetFormatPr baseColWidth="10" defaultColWidth="8.83203125" defaultRowHeight="13" x14ac:dyDescent="0.15"/>
  <cols>
    <col min="1" max="1" width="3.5" customWidth="1"/>
    <col min="2" max="2" width="3.33203125" customWidth="1"/>
    <col min="3" max="3" width="5.33203125" customWidth="1"/>
    <col min="4" max="4" width="10.6640625" customWidth="1"/>
    <col min="5" max="5" width="12.83203125" customWidth="1"/>
    <col min="6" max="6" width="10.6640625" customWidth="1"/>
    <col min="7" max="7" width="14.1640625" customWidth="1"/>
    <col min="8" max="8" width="14" customWidth="1"/>
    <col min="9" max="9" width="9.5" customWidth="1"/>
    <col min="10" max="10" width="5.5" customWidth="1"/>
    <col min="11" max="11" width="7.5" customWidth="1"/>
    <col min="12" max="12" width="10.33203125" customWidth="1"/>
    <col min="13" max="13" width="12.33203125" customWidth="1"/>
    <col min="14" max="15" width="6.1640625" customWidth="1"/>
    <col min="16" max="17" width="10.6640625" customWidth="1"/>
    <col min="18" max="18" width="6.5" style="7" customWidth="1"/>
    <col min="19" max="19" width="7.5" style="7" customWidth="1"/>
    <col min="20" max="21" width="8.83203125" style="7" customWidth="1"/>
    <col min="22" max="1025" width="10.6640625" customWidth="1"/>
  </cols>
  <sheetData>
    <row r="1" spans="1:28" x14ac:dyDescent="0.15">
      <c r="A1" s="7" t="s">
        <v>6</v>
      </c>
      <c r="B1" s="7" t="s">
        <v>7</v>
      </c>
      <c r="C1" s="7" t="s">
        <v>8</v>
      </c>
      <c r="D1" s="7" t="s">
        <v>9</v>
      </c>
      <c r="E1" s="7" t="s">
        <v>10</v>
      </c>
      <c r="F1" s="7" t="s">
        <v>11</v>
      </c>
      <c r="G1" s="7" t="s">
        <v>12</v>
      </c>
      <c r="H1" s="7" t="s">
        <v>13</v>
      </c>
      <c r="I1" s="7" t="s">
        <v>14</v>
      </c>
      <c r="J1" t="s">
        <v>15</v>
      </c>
      <c r="K1" t="s">
        <v>16</v>
      </c>
      <c r="L1" t="s">
        <v>17</v>
      </c>
      <c r="M1" t="s">
        <v>18</v>
      </c>
      <c r="N1" s="7" t="s">
        <v>19</v>
      </c>
      <c r="O1" s="7" t="s">
        <v>20</v>
      </c>
    </row>
    <row r="2" spans="1:28" x14ac:dyDescent="0.15">
      <c r="A2" s="4" t="s">
        <v>21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28" x14ac:dyDescent="0.15">
      <c r="A3" s="7">
        <v>1</v>
      </c>
      <c r="B3" s="7">
        <v>1</v>
      </c>
      <c r="C3" s="7">
        <v>1.3</v>
      </c>
      <c r="D3" s="7">
        <v>0.46589999999999998</v>
      </c>
      <c r="E3" s="7">
        <v>0.5454</v>
      </c>
      <c r="F3" s="8">
        <v>0.52100000000000002</v>
      </c>
      <c r="G3" s="7">
        <v>11.823853400000001</v>
      </c>
      <c r="H3" s="7">
        <v>4.4761032460000001</v>
      </c>
      <c r="I3" s="9">
        <v>3.0171002651380601</v>
      </c>
      <c r="J3" s="7">
        <f>B3*6*0.5</f>
        <v>3</v>
      </c>
      <c r="K3" s="7">
        <f>C3*6*0.5</f>
        <v>3.9000000000000004</v>
      </c>
      <c r="L3" s="8">
        <f>ABS(J3-I3)*100/J3</f>
        <v>0.57000883793533552</v>
      </c>
      <c r="M3" s="8">
        <f>ABS(K3-I3)*100/K3</f>
        <v>22.638454740049749</v>
      </c>
      <c r="N3" s="7">
        <v>5.0000000000000001E-3</v>
      </c>
      <c r="O3" s="7">
        <v>2.5000000000000001E-2</v>
      </c>
    </row>
    <row r="4" spans="1:28" x14ac:dyDescent="0.15">
      <c r="A4" s="7">
        <v>1</v>
      </c>
      <c r="B4" s="7">
        <v>1</v>
      </c>
      <c r="C4" s="7">
        <v>1.3</v>
      </c>
      <c r="D4" s="7">
        <v>0.46589999999999998</v>
      </c>
      <c r="E4" s="7">
        <v>0.5454</v>
      </c>
      <c r="F4" s="8">
        <v>0.52700000000000002</v>
      </c>
      <c r="G4" s="8">
        <v>13.1</v>
      </c>
      <c r="H4" s="8">
        <v>3.38</v>
      </c>
      <c r="I4" s="8"/>
      <c r="J4" s="8"/>
      <c r="K4" s="8"/>
      <c r="L4" s="8"/>
      <c r="M4" s="8"/>
      <c r="N4" s="7">
        <v>2E-3</v>
      </c>
      <c r="O4" s="7">
        <v>0.01</v>
      </c>
    </row>
    <row r="5" spans="1:28" x14ac:dyDescent="0.15">
      <c r="A5" s="3" t="s">
        <v>22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10"/>
      <c r="Q5" s="10"/>
      <c r="V5" s="10"/>
      <c r="W5" s="10"/>
      <c r="X5" s="10"/>
      <c r="Y5" s="10"/>
      <c r="Z5" s="10"/>
      <c r="AA5" s="10"/>
      <c r="AB5" s="10"/>
    </row>
    <row r="6" spans="1:28" x14ac:dyDescent="0.15">
      <c r="A6" s="7">
        <v>1</v>
      </c>
      <c r="B6" s="7">
        <v>1</v>
      </c>
      <c r="C6" s="7">
        <f>B6*(1+(3/2)*N6/O6)</f>
        <v>1.3</v>
      </c>
      <c r="D6" s="7">
        <v>0.46589999999999998</v>
      </c>
      <c r="E6" s="7">
        <v>0.5454</v>
      </c>
      <c r="F6" s="8">
        <v>0.519920705566292</v>
      </c>
      <c r="G6" s="8">
        <f>ABS(D6-F6)/D6*100</f>
        <v>11.594914266214213</v>
      </c>
      <c r="H6" s="8">
        <f>ABS(E6-F6)/E6*100</f>
        <v>4.671671146627796</v>
      </c>
      <c r="I6" s="9">
        <v>3.2128313288535599</v>
      </c>
      <c r="J6" s="7">
        <f>B6*6*0.5</f>
        <v>3</v>
      </c>
      <c r="K6" s="7">
        <f>C6*6*0.5</f>
        <v>3.9000000000000004</v>
      </c>
      <c r="L6" s="8">
        <f>ABS(J6-I6)*100/J6</f>
        <v>7.0943776284519977</v>
      </c>
      <c r="M6" s="8">
        <f>ABS(K6-I6)*100/K6</f>
        <v>17.619709516575394</v>
      </c>
      <c r="N6" s="7">
        <v>5.0000000000000001E-3</v>
      </c>
      <c r="O6" s="7">
        <f>5*N6</f>
        <v>2.5000000000000001E-2</v>
      </c>
    </row>
    <row r="7" spans="1:28" x14ac:dyDescent="0.15">
      <c r="A7" s="7">
        <v>1</v>
      </c>
      <c r="B7" s="7">
        <v>1</v>
      </c>
      <c r="C7" s="7">
        <f>B7*(1+(3/2)*N7/O7)</f>
        <v>1.3</v>
      </c>
      <c r="D7" s="7">
        <v>0.46589999999999998</v>
      </c>
      <c r="E7" s="7">
        <v>0.5454</v>
      </c>
      <c r="F7" s="8">
        <v>0.52395329616749997</v>
      </c>
      <c r="G7" s="7">
        <f>ABS(D7-F7)/D7*100</f>
        <v>12.4604627962009</v>
      </c>
      <c r="H7" s="7">
        <f>ABS(E7-F7)/E7*100</f>
        <v>3.9322889315181562</v>
      </c>
      <c r="I7" s="7"/>
      <c r="J7" s="7"/>
      <c r="K7" s="7"/>
      <c r="L7" s="7"/>
      <c r="M7" s="7"/>
      <c r="N7" s="7">
        <v>2E-3</v>
      </c>
      <c r="O7" s="7">
        <f>5*N7</f>
        <v>0.01</v>
      </c>
    </row>
  </sheetData>
  <mergeCells count="2">
    <mergeCell ref="A2:O2"/>
    <mergeCell ref="A5:O5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19"/>
  <sheetViews>
    <sheetView zoomScaleNormal="100" workbookViewId="0">
      <selection activeCell="H13" sqref="H13"/>
    </sheetView>
  </sheetViews>
  <sheetFormatPr baseColWidth="10" defaultColWidth="8.83203125" defaultRowHeight="13" x14ac:dyDescent="0.15"/>
  <cols>
    <col min="1" max="1" width="5.33203125" customWidth="1"/>
    <col min="2" max="2" width="4.33203125" customWidth="1"/>
    <col min="3" max="3" width="6.33203125" customWidth="1"/>
    <col min="4" max="4" width="7.33203125" customWidth="1"/>
    <col min="5" max="5" width="4.83203125" customWidth="1"/>
    <col min="6" max="6" width="4.33203125" customWidth="1"/>
    <col min="7" max="7" width="6.83203125" customWidth="1"/>
    <col min="8" max="10" width="11.6640625" customWidth="1"/>
    <col min="11" max="11" width="10.1640625" customWidth="1"/>
    <col min="12" max="12" width="5.6640625" customWidth="1"/>
    <col min="13" max="13" width="8.33203125" customWidth="1"/>
    <col min="14" max="1025" width="11.6640625" customWidth="1"/>
  </cols>
  <sheetData>
    <row r="1" spans="1:21" x14ac:dyDescent="0.15">
      <c r="A1" s="11" t="s">
        <v>23</v>
      </c>
      <c r="B1" s="12" t="s">
        <v>24</v>
      </c>
      <c r="C1" s="12" t="s">
        <v>19</v>
      </c>
      <c r="D1" s="12" t="s">
        <v>20</v>
      </c>
      <c r="E1" t="s">
        <v>6</v>
      </c>
      <c r="F1" t="s">
        <v>7</v>
      </c>
      <c r="G1" t="s">
        <v>8</v>
      </c>
      <c r="H1" t="s">
        <v>25</v>
      </c>
      <c r="I1" s="12" t="s">
        <v>26</v>
      </c>
      <c r="J1" t="s">
        <v>27</v>
      </c>
      <c r="K1" s="12" t="s">
        <v>0</v>
      </c>
      <c r="L1" t="s">
        <v>28</v>
      </c>
      <c r="M1" t="s">
        <v>29</v>
      </c>
      <c r="N1" t="s">
        <v>30</v>
      </c>
      <c r="O1" t="s">
        <v>31</v>
      </c>
      <c r="P1" t="s">
        <v>32</v>
      </c>
      <c r="Q1" s="12" t="s">
        <v>33</v>
      </c>
      <c r="R1" t="s">
        <v>34</v>
      </c>
      <c r="U1" s="12"/>
    </row>
    <row r="2" spans="1:21" x14ac:dyDescent="0.15">
      <c r="A2">
        <v>12</v>
      </c>
      <c r="B2">
        <v>0.5</v>
      </c>
      <c r="C2">
        <v>0.02</v>
      </c>
      <c r="D2">
        <f t="shared" ref="D2:D9" si="0">5*C2</f>
        <v>0.1</v>
      </c>
      <c r="E2">
        <v>1</v>
      </c>
      <c r="F2">
        <v>1</v>
      </c>
      <c r="G2">
        <f t="shared" ref="G2:G9" si="1">F2*(1+3/8*C2/D2)</f>
        <v>1.075</v>
      </c>
      <c r="H2" s="9">
        <v>100000</v>
      </c>
      <c r="I2">
        <v>0.46589999999999998</v>
      </c>
      <c r="J2">
        <v>0.48659999999999998</v>
      </c>
      <c r="K2">
        <v>0.46</v>
      </c>
      <c r="L2">
        <f t="shared" ref="L2:L9" si="2">A2/(C2*2)</f>
        <v>300</v>
      </c>
      <c r="M2">
        <f t="shared" ref="M2:M9" si="3">1+K2/B2</f>
        <v>1.92</v>
      </c>
      <c r="N2">
        <f t="shared" ref="N2:N9" si="4">B2*E2*(M2-1/M2)^2</f>
        <v>0.9788336805555552</v>
      </c>
      <c r="O2" s="9">
        <v>5.8624315607501796</v>
      </c>
      <c r="P2" s="9">
        <v>5.9402212551688303</v>
      </c>
      <c r="Q2">
        <f t="shared" ref="Q2:Q9" si="5">-(O2-P2)/(4*C2)</f>
        <v>0.97237118023313363</v>
      </c>
      <c r="R2">
        <f t="shared" ref="R2:R9" si="6">ABS(N2-Q2)/N2*100</f>
        <v>0.66022455610167186</v>
      </c>
    </row>
    <row r="3" spans="1:21" x14ac:dyDescent="0.15">
      <c r="A3">
        <v>10</v>
      </c>
      <c r="B3">
        <v>0.5</v>
      </c>
      <c r="C3">
        <v>0.02</v>
      </c>
      <c r="D3">
        <f t="shared" si="0"/>
        <v>0.1</v>
      </c>
      <c r="E3">
        <v>1</v>
      </c>
      <c r="F3">
        <v>1</v>
      </c>
      <c r="G3">
        <f t="shared" si="1"/>
        <v>1.075</v>
      </c>
      <c r="H3" s="9">
        <v>100000</v>
      </c>
      <c r="I3">
        <v>0.46589999999999998</v>
      </c>
      <c r="J3">
        <v>0.48659999999999998</v>
      </c>
      <c r="K3">
        <v>0.46</v>
      </c>
      <c r="L3">
        <f t="shared" si="2"/>
        <v>250</v>
      </c>
      <c r="M3">
        <f t="shared" si="3"/>
        <v>1.92</v>
      </c>
      <c r="N3">
        <f t="shared" si="4"/>
        <v>0.9788336805555552</v>
      </c>
      <c r="O3" s="9">
        <v>4.88776993694953</v>
      </c>
      <c r="P3" s="9">
        <v>4.9634767245264699</v>
      </c>
      <c r="Q3">
        <f t="shared" si="5"/>
        <v>0.94633484471174922</v>
      </c>
      <c r="R3">
        <f t="shared" si="6"/>
        <v>3.3201591332003058</v>
      </c>
    </row>
    <row r="4" spans="1:21" x14ac:dyDescent="0.15">
      <c r="A4">
        <v>8</v>
      </c>
      <c r="B4">
        <v>0.5</v>
      </c>
      <c r="C4">
        <v>0.02</v>
      </c>
      <c r="D4">
        <f t="shared" si="0"/>
        <v>0.1</v>
      </c>
      <c r="E4">
        <v>1</v>
      </c>
      <c r="F4">
        <v>1</v>
      </c>
      <c r="G4">
        <f t="shared" si="1"/>
        <v>1.075</v>
      </c>
      <c r="H4" s="9">
        <v>100000</v>
      </c>
      <c r="I4">
        <v>0.46589999999999998</v>
      </c>
      <c r="J4">
        <v>0.48659999999999998</v>
      </c>
      <c r="K4">
        <v>0.46</v>
      </c>
      <c r="L4">
        <f t="shared" si="2"/>
        <v>200</v>
      </c>
      <c r="M4">
        <f t="shared" si="3"/>
        <v>1.92</v>
      </c>
      <c r="N4">
        <f t="shared" si="4"/>
        <v>0.9788336805555552</v>
      </c>
      <c r="O4" s="9">
        <v>3.9059454145553598</v>
      </c>
      <c r="P4" s="9">
        <v>3.9836405223276699</v>
      </c>
      <c r="Q4">
        <f t="shared" si="5"/>
        <v>0.97118884715387543</v>
      </c>
      <c r="R4">
        <f t="shared" si="6"/>
        <v>0.78101454348616151</v>
      </c>
    </row>
    <row r="5" spans="1:21" x14ac:dyDescent="0.15">
      <c r="A5">
        <v>6</v>
      </c>
      <c r="B5">
        <v>0.5</v>
      </c>
      <c r="C5">
        <v>0.02</v>
      </c>
      <c r="D5">
        <f t="shared" si="0"/>
        <v>0.1</v>
      </c>
      <c r="E5">
        <v>1</v>
      </c>
      <c r="F5">
        <v>1</v>
      </c>
      <c r="G5">
        <f t="shared" si="1"/>
        <v>1.075</v>
      </c>
      <c r="H5" s="9">
        <v>100000</v>
      </c>
      <c r="I5">
        <v>0.46589999999999998</v>
      </c>
      <c r="J5">
        <v>0.48659999999999998</v>
      </c>
      <c r="K5">
        <v>0.46</v>
      </c>
      <c r="L5">
        <f t="shared" si="2"/>
        <v>150</v>
      </c>
      <c r="M5">
        <f t="shared" si="3"/>
        <v>1.92</v>
      </c>
      <c r="N5">
        <f t="shared" si="4"/>
        <v>0.9788336805555552</v>
      </c>
      <c r="O5" s="13">
        <v>2.92391448189001</v>
      </c>
      <c r="P5" s="13">
        <v>3.0047532925215501</v>
      </c>
      <c r="Q5">
        <f t="shared" si="5"/>
        <v>1.010485132894251</v>
      </c>
      <c r="R5">
        <f t="shared" si="6"/>
        <v>3.2335883988719569</v>
      </c>
    </row>
    <row r="6" spans="1:21" x14ac:dyDescent="0.15">
      <c r="A6">
        <v>5</v>
      </c>
      <c r="B6">
        <v>0.5</v>
      </c>
      <c r="C6">
        <v>0.02</v>
      </c>
      <c r="D6">
        <f t="shared" si="0"/>
        <v>0.1</v>
      </c>
      <c r="E6">
        <v>1</v>
      </c>
      <c r="F6">
        <v>1</v>
      </c>
      <c r="G6">
        <f t="shared" si="1"/>
        <v>1.075</v>
      </c>
      <c r="H6" s="9">
        <v>100000</v>
      </c>
      <c r="I6">
        <v>0.46589999999999998</v>
      </c>
      <c r="J6">
        <v>0.48659999999999998</v>
      </c>
      <c r="K6">
        <v>0.46</v>
      </c>
      <c r="L6">
        <f t="shared" si="2"/>
        <v>125</v>
      </c>
      <c r="M6">
        <f t="shared" si="3"/>
        <v>1.92</v>
      </c>
      <c r="N6">
        <f t="shared" si="4"/>
        <v>0.9788336805555552</v>
      </c>
      <c r="O6" s="9">
        <v>2.43769710914742</v>
      </c>
      <c r="P6" s="9">
        <v>2.51603463622676</v>
      </c>
      <c r="Q6">
        <f t="shared" si="5"/>
        <v>0.97921908849175066</v>
      </c>
      <c r="R6">
        <f t="shared" si="6"/>
        <v>3.9374200525743384E-2</v>
      </c>
    </row>
    <row r="7" spans="1:21" x14ac:dyDescent="0.15">
      <c r="A7">
        <v>4</v>
      </c>
      <c r="B7">
        <v>0.5</v>
      </c>
      <c r="C7">
        <v>0.02</v>
      </c>
      <c r="D7">
        <f t="shared" si="0"/>
        <v>0.1</v>
      </c>
      <c r="E7">
        <v>1</v>
      </c>
      <c r="F7">
        <v>1</v>
      </c>
      <c r="G7">
        <f t="shared" si="1"/>
        <v>1.075</v>
      </c>
      <c r="H7" s="9">
        <v>100000</v>
      </c>
      <c r="I7">
        <v>0.46589999999999998</v>
      </c>
      <c r="J7">
        <v>0.48659999999999998</v>
      </c>
      <c r="K7">
        <v>0.46</v>
      </c>
      <c r="L7">
        <f t="shared" si="2"/>
        <v>100</v>
      </c>
      <c r="M7">
        <f t="shared" si="3"/>
        <v>1.92</v>
      </c>
      <c r="N7">
        <f t="shared" si="4"/>
        <v>0.9788336805555552</v>
      </c>
      <c r="O7" s="9">
        <v>1.9473614339844101</v>
      </c>
      <c r="P7" s="9">
        <v>2.0254333612949398</v>
      </c>
      <c r="Q7">
        <f t="shared" si="5"/>
        <v>0.97589909138162123</v>
      </c>
      <c r="R7">
        <f t="shared" si="6"/>
        <v>0.29980467900005087</v>
      </c>
    </row>
    <row r="8" spans="1:21" x14ac:dyDescent="0.15">
      <c r="A8">
        <v>3</v>
      </c>
      <c r="B8">
        <v>0.5</v>
      </c>
      <c r="C8">
        <v>0.02</v>
      </c>
      <c r="D8">
        <f t="shared" si="0"/>
        <v>0.1</v>
      </c>
      <c r="E8">
        <v>1</v>
      </c>
      <c r="F8">
        <v>1</v>
      </c>
      <c r="G8">
        <f t="shared" si="1"/>
        <v>1.075</v>
      </c>
      <c r="H8" s="9">
        <v>100000</v>
      </c>
      <c r="I8">
        <v>0.46589999999999998</v>
      </c>
      <c r="J8">
        <v>0.48659999999999998</v>
      </c>
      <c r="K8">
        <v>0.46</v>
      </c>
      <c r="L8">
        <f t="shared" si="2"/>
        <v>75</v>
      </c>
      <c r="M8">
        <f t="shared" si="3"/>
        <v>1.92</v>
      </c>
      <c r="N8">
        <f t="shared" si="4"/>
        <v>0.9788336805555552</v>
      </c>
      <c r="O8" s="9">
        <v>1.4631990512321</v>
      </c>
      <c r="P8" s="9">
        <v>1.54182731659395</v>
      </c>
      <c r="Q8">
        <f t="shared" si="5"/>
        <v>0.98285331702312462</v>
      </c>
      <c r="R8">
        <f t="shared" si="6"/>
        <v>0.41065571684129237</v>
      </c>
    </row>
    <row r="9" spans="1:21" x14ac:dyDescent="0.15">
      <c r="A9">
        <v>2</v>
      </c>
      <c r="B9">
        <v>0.5</v>
      </c>
      <c r="C9">
        <v>0.02</v>
      </c>
      <c r="D9">
        <f t="shared" si="0"/>
        <v>0.1</v>
      </c>
      <c r="E9">
        <v>1</v>
      </c>
      <c r="F9">
        <v>1</v>
      </c>
      <c r="G9">
        <f t="shared" si="1"/>
        <v>1.075</v>
      </c>
      <c r="H9" s="9">
        <v>100000</v>
      </c>
      <c r="I9">
        <v>0.46589999999999998</v>
      </c>
      <c r="J9">
        <v>0.48659999999999998</v>
      </c>
      <c r="K9">
        <v>0.46</v>
      </c>
      <c r="L9">
        <f t="shared" si="2"/>
        <v>50</v>
      </c>
      <c r="M9">
        <f t="shared" si="3"/>
        <v>1.92</v>
      </c>
      <c r="N9">
        <f t="shared" si="4"/>
        <v>0.9788336805555552</v>
      </c>
      <c r="O9" s="9">
        <v>0.98534888484989902</v>
      </c>
      <c r="P9" s="9">
        <v>1.0580569903688899</v>
      </c>
      <c r="Q9">
        <f t="shared" si="5"/>
        <v>0.90885131898738591</v>
      </c>
      <c r="R9">
        <f t="shared" si="6"/>
        <v>7.1495661580064862</v>
      </c>
    </row>
    <row r="11" spans="1:21" x14ac:dyDescent="0.15">
      <c r="A11" s="11" t="s">
        <v>23</v>
      </c>
      <c r="B11" s="12" t="s">
        <v>24</v>
      </c>
      <c r="C11" s="12" t="s">
        <v>19</v>
      </c>
      <c r="D11" s="12" t="s">
        <v>20</v>
      </c>
      <c r="E11" t="s">
        <v>6</v>
      </c>
      <c r="F11" t="s">
        <v>7</v>
      </c>
      <c r="G11" t="s">
        <v>8</v>
      </c>
      <c r="H11" t="s">
        <v>25</v>
      </c>
      <c r="I11" s="12" t="s">
        <v>26</v>
      </c>
      <c r="J11" t="s">
        <v>27</v>
      </c>
      <c r="K11" s="12" t="s">
        <v>0</v>
      </c>
      <c r="L11" t="s">
        <v>28</v>
      </c>
      <c r="M11" t="s">
        <v>29</v>
      </c>
      <c r="N11" t="s">
        <v>30</v>
      </c>
      <c r="O11" t="s">
        <v>31</v>
      </c>
      <c r="P11" t="s">
        <v>32</v>
      </c>
      <c r="Q11" s="9" t="s">
        <v>33</v>
      </c>
      <c r="R11" s="9" t="s">
        <v>34</v>
      </c>
    </row>
    <row r="12" spans="1:21" x14ac:dyDescent="0.15">
      <c r="A12">
        <v>12</v>
      </c>
      <c r="B12">
        <v>0.5</v>
      </c>
      <c r="C12">
        <v>0.02</v>
      </c>
      <c r="D12">
        <f t="shared" ref="D12:D19" si="7">5*C12</f>
        <v>0.1</v>
      </c>
      <c r="E12">
        <v>1</v>
      </c>
      <c r="F12">
        <v>1</v>
      </c>
      <c r="G12">
        <f t="shared" ref="G12:G19" si="8">F12*(1+3/8*C12/D12)</f>
        <v>1.075</v>
      </c>
      <c r="H12" s="9">
        <v>100000</v>
      </c>
      <c r="I12">
        <v>0.46589999999999998</v>
      </c>
      <c r="J12">
        <v>0.48659999999999998</v>
      </c>
      <c r="K12">
        <v>0.47</v>
      </c>
      <c r="L12">
        <f t="shared" ref="L12:L19" si="9">A12/(C12*2)</f>
        <v>300</v>
      </c>
      <c r="M12">
        <f t="shared" ref="M12:M19" si="10">1+K12/B12</f>
        <v>1.94</v>
      </c>
      <c r="N12">
        <f t="shared" ref="N12:N19" si="11">B12*E12*(M12-1/M12)^2</f>
        <v>1.0146515251355086</v>
      </c>
      <c r="P12" s="9"/>
      <c r="Q12" s="9"/>
      <c r="R12" s="9"/>
    </row>
    <row r="13" spans="1:21" x14ac:dyDescent="0.15">
      <c r="A13">
        <v>10</v>
      </c>
      <c r="B13">
        <v>0.5</v>
      </c>
      <c r="C13">
        <v>0.02</v>
      </c>
      <c r="D13">
        <f t="shared" si="7"/>
        <v>0.1</v>
      </c>
      <c r="E13">
        <v>1</v>
      </c>
      <c r="F13">
        <v>1</v>
      </c>
      <c r="G13">
        <f t="shared" si="8"/>
        <v>1.075</v>
      </c>
      <c r="H13" s="9">
        <v>100000</v>
      </c>
      <c r="I13">
        <v>0.46589999999999998</v>
      </c>
      <c r="J13">
        <v>0.48659999999999998</v>
      </c>
      <c r="K13">
        <v>0.47</v>
      </c>
      <c r="L13">
        <f t="shared" si="9"/>
        <v>250</v>
      </c>
      <c r="M13">
        <f t="shared" si="10"/>
        <v>1.94</v>
      </c>
      <c r="N13">
        <f t="shared" si="11"/>
        <v>1.0146515251355086</v>
      </c>
      <c r="O13" s="9">
        <v>5.0395538010583403</v>
      </c>
      <c r="P13" s="9">
        <v>5.1146389038175002</v>
      </c>
      <c r="Q13">
        <f>-(O13-P13)/(4*C13)</f>
        <v>0.93856378448949895</v>
      </c>
      <c r="R13">
        <f>ABS(N13-Q13)/N13*100</f>
        <v>7.4989036887169709</v>
      </c>
    </row>
    <row r="14" spans="1:21" x14ac:dyDescent="0.15">
      <c r="A14">
        <v>8</v>
      </c>
      <c r="B14">
        <v>0.5</v>
      </c>
      <c r="C14">
        <v>0.02</v>
      </c>
      <c r="D14">
        <f t="shared" si="7"/>
        <v>0.1</v>
      </c>
      <c r="E14">
        <v>1</v>
      </c>
      <c r="F14">
        <v>1</v>
      </c>
      <c r="G14">
        <f t="shared" si="8"/>
        <v>1.075</v>
      </c>
      <c r="H14" s="9">
        <v>100000</v>
      </c>
      <c r="I14">
        <v>0.46589999999999998</v>
      </c>
      <c r="J14">
        <v>0.48659999999999998</v>
      </c>
      <c r="K14">
        <v>0.47</v>
      </c>
      <c r="L14">
        <f t="shared" si="9"/>
        <v>200</v>
      </c>
      <c r="M14">
        <f t="shared" si="10"/>
        <v>1.94</v>
      </c>
      <c r="N14">
        <f t="shared" si="11"/>
        <v>1.0146515251355086</v>
      </c>
      <c r="S14" s="12"/>
    </row>
    <row r="15" spans="1:21" x14ac:dyDescent="0.15">
      <c r="A15">
        <v>6</v>
      </c>
      <c r="B15">
        <v>0.5</v>
      </c>
      <c r="C15">
        <v>0.02</v>
      </c>
      <c r="D15">
        <f t="shared" si="7"/>
        <v>0.1</v>
      </c>
      <c r="E15">
        <v>1</v>
      </c>
      <c r="F15">
        <v>1</v>
      </c>
      <c r="G15">
        <f t="shared" si="8"/>
        <v>1.075</v>
      </c>
      <c r="H15" s="9">
        <v>100000</v>
      </c>
      <c r="I15">
        <v>0.46589999999999998</v>
      </c>
      <c r="J15">
        <v>0.48659999999999998</v>
      </c>
      <c r="K15">
        <v>0.47</v>
      </c>
      <c r="L15">
        <f t="shared" si="9"/>
        <v>150</v>
      </c>
      <c r="M15">
        <f t="shared" si="10"/>
        <v>1.94</v>
      </c>
      <c r="N15">
        <f t="shared" si="11"/>
        <v>1.0146515251355086</v>
      </c>
      <c r="O15" s="14">
        <v>3.0033641801503301</v>
      </c>
      <c r="P15" s="9">
        <v>3.0911002112499801</v>
      </c>
      <c r="Q15">
        <f>-(O15-P15)/(4*C15)</f>
        <v>1.096700388745625</v>
      </c>
      <c r="R15">
        <f>ABS(N15-Q15)/N15*100</f>
        <v>8.0864081487640451</v>
      </c>
    </row>
    <row r="16" spans="1:21" x14ac:dyDescent="0.15">
      <c r="A16">
        <v>5</v>
      </c>
      <c r="B16">
        <v>0.5</v>
      </c>
      <c r="C16">
        <v>0.02</v>
      </c>
      <c r="D16">
        <f t="shared" si="7"/>
        <v>0.1</v>
      </c>
      <c r="E16">
        <v>1</v>
      </c>
      <c r="F16">
        <v>1</v>
      </c>
      <c r="G16">
        <f t="shared" si="8"/>
        <v>1.075</v>
      </c>
      <c r="H16" s="9">
        <v>100000</v>
      </c>
      <c r="I16">
        <v>0.46589999999999998</v>
      </c>
      <c r="J16">
        <v>0.48659999999999998</v>
      </c>
      <c r="K16">
        <v>0.47</v>
      </c>
      <c r="L16">
        <f t="shared" si="9"/>
        <v>125</v>
      </c>
      <c r="M16">
        <f t="shared" si="10"/>
        <v>1.94</v>
      </c>
      <c r="N16">
        <f t="shared" si="11"/>
        <v>1.0146515251355086</v>
      </c>
      <c r="Q16" s="9"/>
      <c r="R16" s="9"/>
    </row>
    <row r="17" spans="1:18" x14ac:dyDescent="0.15">
      <c r="A17">
        <v>4</v>
      </c>
      <c r="B17">
        <v>0.5</v>
      </c>
      <c r="C17">
        <v>0.02</v>
      </c>
      <c r="D17">
        <f t="shared" si="7"/>
        <v>0.1</v>
      </c>
      <c r="E17">
        <v>1</v>
      </c>
      <c r="F17">
        <v>1</v>
      </c>
      <c r="G17">
        <f t="shared" si="8"/>
        <v>1.075</v>
      </c>
      <c r="H17" s="9">
        <v>100000</v>
      </c>
      <c r="I17">
        <v>0.46589999999999998</v>
      </c>
      <c r="J17">
        <v>0.48659999999999998</v>
      </c>
      <c r="K17">
        <v>0.47</v>
      </c>
      <c r="L17">
        <f t="shared" si="9"/>
        <v>100</v>
      </c>
      <c r="M17">
        <f t="shared" si="10"/>
        <v>1.94</v>
      </c>
      <c r="N17">
        <f t="shared" si="11"/>
        <v>1.0146515251355086</v>
      </c>
      <c r="O17" s="9">
        <v>1.98858865360632</v>
      </c>
      <c r="P17" s="9">
        <v>2.0685887136587202</v>
      </c>
      <c r="Q17">
        <f>-(O17-P17)/(4*C17)</f>
        <v>1.0000007506550028</v>
      </c>
      <c r="R17">
        <f>ABS(N17-Q17)/N17*100</f>
        <v>1.4439217916268485</v>
      </c>
    </row>
    <row r="18" spans="1:18" x14ac:dyDescent="0.15">
      <c r="A18">
        <v>3</v>
      </c>
      <c r="B18">
        <v>0.5</v>
      </c>
      <c r="C18">
        <v>0.02</v>
      </c>
      <c r="D18">
        <f t="shared" si="7"/>
        <v>0.1</v>
      </c>
      <c r="E18">
        <v>1</v>
      </c>
      <c r="F18">
        <v>1</v>
      </c>
      <c r="G18">
        <f t="shared" si="8"/>
        <v>1.075</v>
      </c>
      <c r="H18" s="9">
        <v>100000</v>
      </c>
      <c r="I18">
        <v>0.46589999999999998</v>
      </c>
      <c r="J18">
        <v>0.48659999999999998</v>
      </c>
      <c r="K18">
        <v>0.47</v>
      </c>
      <c r="L18">
        <f t="shared" si="9"/>
        <v>75</v>
      </c>
      <c r="M18">
        <f t="shared" si="10"/>
        <v>1.94</v>
      </c>
      <c r="N18">
        <f t="shared" si="11"/>
        <v>1.0146515251355086</v>
      </c>
      <c r="O18" s="9">
        <v>1.49022978027492</v>
      </c>
      <c r="P18" s="9">
        <v>1.5706246534010599</v>
      </c>
      <c r="Q18">
        <f>-(O18-P18)/(4*C18)</f>
        <v>1.0049359140767489</v>
      </c>
      <c r="R18">
        <f>ABS(N18-Q18)/N18*100</f>
        <v>0.95753180457321985</v>
      </c>
    </row>
    <row r="19" spans="1:18" x14ac:dyDescent="0.15">
      <c r="A19">
        <v>2</v>
      </c>
      <c r="B19">
        <v>0.5</v>
      </c>
      <c r="C19">
        <v>0.02</v>
      </c>
      <c r="D19">
        <f t="shared" si="7"/>
        <v>0.1</v>
      </c>
      <c r="E19">
        <v>1</v>
      </c>
      <c r="F19">
        <v>1</v>
      </c>
      <c r="G19">
        <f t="shared" si="8"/>
        <v>1.075</v>
      </c>
      <c r="H19" s="9">
        <v>100000</v>
      </c>
      <c r="I19">
        <v>0.46589999999999998</v>
      </c>
      <c r="J19">
        <v>0.48659999999999998</v>
      </c>
      <c r="K19">
        <v>0.47</v>
      </c>
      <c r="L19">
        <f t="shared" si="9"/>
        <v>50</v>
      </c>
      <c r="M19">
        <f t="shared" si="10"/>
        <v>1.94</v>
      </c>
      <c r="N19">
        <f t="shared" si="11"/>
        <v>1.0146515251355086</v>
      </c>
      <c r="O19" s="9">
        <v>1.00352781736546</v>
      </c>
      <c r="P19" s="9">
        <v>1.0748017476259</v>
      </c>
      <c r="Q19">
        <f>-(O19-P19)/(4*C19)</f>
        <v>0.89092412825549916</v>
      </c>
      <c r="R19">
        <f>ABS(N19-Q19)/N19*100</f>
        <v>12.194077849879093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O38"/>
  <sheetViews>
    <sheetView zoomScaleNormal="100" workbookViewId="0"/>
  </sheetViews>
  <sheetFormatPr baseColWidth="10" defaultColWidth="8.83203125" defaultRowHeight="13" outlineLevelRow="1" x14ac:dyDescent="0.15"/>
  <cols>
    <col min="1" max="1" width="3.5" customWidth="1"/>
    <col min="2" max="2" width="3.33203125" customWidth="1"/>
    <col min="3" max="3" width="6.6640625" customWidth="1"/>
    <col min="4" max="4" width="8.6640625" customWidth="1"/>
    <col min="5" max="5" width="5" customWidth="1"/>
    <col min="6" max="6" width="7" customWidth="1"/>
    <col min="7" max="7" width="10.83203125" customWidth="1"/>
    <col min="8" max="8" width="12.83203125" customWidth="1"/>
    <col min="9" max="9" width="6.1640625" customWidth="1"/>
    <col min="10" max="11" width="11.5"/>
    <col min="12" max="12" width="13.6640625" customWidth="1"/>
    <col min="13" max="13" width="9.6640625" customWidth="1"/>
    <col min="14" max="14" width="7" customWidth="1"/>
    <col min="15" max="16" width="6.5" customWidth="1"/>
    <col min="17" max="17" width="7.5" customWidth="1"/>
    <col min="18" max="20" width="8.83203125" customWidth="1"/>
    <col min="21" max="21" width="6" customWidth="1"/>
    <col min="22" max="22" width="4.5" customWidth="1"/>
    <col min="23" max="23" width="5.5" customWidth="1"/>
    <col min="24" max="24" width="6.83203125" customWidth="1"/>
    <col min="25" max="25" width="7.33203125" customWidth="1"/>
    <col min="26" max="26" width="6.5" customWidth="1"/>
    <col min="27" max="27" width="5.83203125" customWidth="1"/>
    <col min="28" max="28" width="7.5" customWidth="1"/>
    <col min="29" max="29" width="7.1640625" customWidth="1"/>
    <col min="30" max="30" width="6.83203125" customWidth="1"/>
    <col min="31" max="1025" width="11.5"/>
  </cols>
  <sheetData>
    <row r="1" spans="1:41" x14ac:dyDescent="0.15">
      <c r="A1" t="s">
        <v>6</v>
      </c>
      <c r="B1" t="s">
        <v>7</v>
      </c>
      <c r="C1" t="s">
        <v>35</v>
      </c>
      <c r="D1" t="s">
        <v>25</v>
      </c>
      <c r="E1" s="12" t="s">
        <v>23</v>
      </c>
      <c r="F1" s="12" t="s">
        <v>36</v>
      </c>
      <c r="G1" s="12" t="s">
        <v>9</v>
      </c>
      <c r="H1" t="s">
        <v>10</v>
      </c>
      <c r="I1" s="12" t="s">
        <v>0</v>
      </c>
      <c r="J1" t="s">
        <v>11</v>
      </c>
      <c r="K1" t="s">
        <v>12</v>
      </c>
      <c r="L1" t="s">
        <v>13</v>
      </c>
      <c r="M1" s="12" t="s">
        <v>19</v>
      </c>
      <c r="N1" t="s">
        <v>20</v>
      </c>
      <c r="O1" t="s">
        <v>37</v>
      </c>
      <c r="P1" t="s">
        <v>15</v>
      </c>
      <c r="Q1" t="s">
        <v>16</v>
      </c>
      <c r="R1" t="s">
        <v>38</v>
      </c>
      <c r="S1" t="s">
        <v>17</v>
      </c>
      <c r="T1" t="s">
        <v>18</v>
      </c>
      <c r="U1" t="s">
        <v>39</v>
      </c>
      <c r="V1" t="s">
        <v>40</v>
      </c>
      <c r="W1" t="s">
        <v>41</v>
      </c>
      <c r="X1" t="s">
        <v>1</v>
      </c>
      <c r="Y1" t="s">
        <v>42</v>
      </c>
      <c r="Z1" t="s">
        <v>43</v>
      </c>
      <c r="AA1" t="s">
        <v>44</v>
      </c>
      <c r="AB1" t="s">
        <v>45</v>
      </c>
      <c r="AC1" t="s">
        <v>46</v>
      </c>
      <c r="AD1" t="s">
        <v>47</v>
      </c>
      <c r="AE1" t="s">
        <v>48</v>
      </c>
      <c r="AF1" t="s">
        <v>49</v>
      </c>
    </row>
    <row r="2" spans="1:41" x14ac:dyDescent="0.15">
      <c r="A2">
        <v>1</v>
      </c>
      <c r="B2">
        <v>1</v>
      </c>
      <c r="C2">
        <f t="shared" ref="C2:C9" si="0">B2*(1+(3/2)*M2/N2)</f>
        <v>1.3</v>
      </c>
      <c r="D2" s="9">
        <v>100000</v>
      </c>
      <c r="E2">
        <v>6</v>
      </c>
      <c r="F2">
        <v>0.5</v>
      </c>
      <c r="G2">
        <v>0.46589999999999998</v>
      </c>
      <c r="H2">
        <v>0.5454</v>
      </c>
      <c r="I2">
        <v>0.45</v>
      </c>
      <c r="J2" s="9">
        <v>0.50974405708346304</v>
      </c>
      <c r="K2">
        <f t="shared" ref="K2:K9" si="1">ABS(G2-J2)/G2*100</f>
        <v>9.4106153860191171</v>
      </c>
      <c r="L2">
        <f t="shared" ref="L2:L9" si="2">ABS(H2-J2)/H2*100</f>
        <v>6.5375766256943439</v>
      </c>
      <c r="M2">
        <v>0.02</v>
      </c>
      <c r="N2">
        <f t="shared" ref="N2:N9" si="3">5*M2</f>
        <v>0.1</v>
      </c>
      <c r="O2">
        <f t="shared" ref="O2:O9" si="4">20*M2</f>
        <v>0.4</v>
      </c>
      <c r="U2" t="s">
        <v>50</v>
      </c>
      <c r="V2" t="s">
        <v>51</v>
      </c>
      <c r="W2" t="s">
        <v>52</v>
      </c>
      <c r="Y2">
        <f t="shared" ref="Y2:Y11" si="5">M2</f>
        <v>0.02</v>
      </c>
      <c r="AB2">
        <f t="shared" ref="AB2:AB9" si="6">6/Y2</f>
        <v>300</v>
      </c>
      <c r="AC2">
        <f t="shared" ref="AC2:AC9" si="7">1/Y2</f>
        <v>50</v>
      </c>
      <c r="AD2" t="s">
        <v>53</v>
      </c>
      <c r="AE2" t="s">
        <v>54</v>
      </c>
    </row>
    <row r="3" spans="1:41" x14ac:dyDescent="0.15">
      <c r="A3">
        <v>1</v>
      </c>
      <c r="B3">
        <v>1</v>
      </c>
      <c r="C3">
        <f t="shared" si="0"/>
        <v>1.3</v>
      </c>
      <c r="D3" s="9">
        <v>100000</v>
      </c>
      <c r="E3">
        <v>6</v>
      </c>
      <c r="F3">
        <v>0.5</v>
      </c>
      <c r="G3">
        <v>0.46589999999999998</v>
      </c>
      <c r="H3">
        <v>0.5454</v>
      </c>
      <c r="I3">
        <v>0.45</v>
      </c>
      <c r="J3" s="9">
        <v>0.51029260731161696</v>
      </c>
      <c r="K3">
        <f t="shared" si="1"/>
        <v>9.5283552933283922</v>
      </c>
      <c r="L3">
        <f t="shared" si="2"/>
        <v>6.4369990261061663</v>
      </c>
      <c r="M3">
        <v>1.2E-2</v>
      </c>
      <c r="N3">
        <f t="shared" si="3"/>
        <v>0.06</v>
      </c>
      <c r="O3">
        <f t="shared" si="4"/>
        <v>0.24</v>
      </c>
      <c r="U3" t="s">
        <v>50</v>
      </c>
      <c r="V3" t="s">
        <v>51</v>
      </c>
      <c r="W3" t="s">
        <v>52</v>
      </c>
      <c r="Y3">
        <f t="shared" si="5"/>
        <v>1.2E-2</v>
      </c>
      <c r="AB3">
        <f t="shared" si="6"/>
        <v>500</v>
      </c>
      <c r="AC3">
        <f t="shared" si="7"/>
        <v>83.333333333333329</v>
      </c>
      <c r="AD3" t="s">
        <v>53</v>
      </c>
      <c r="AE3" t="s">
        <v>54</v>
      </c>
    </row>
    <row r="4" spans="1:41" x14ac:dyDescent="0.15">
      <c r="A4">
        <v>1</v>
      </c>
      <c r="B4">
        <v>1</v>
      </c>
      <c r="C4">
        <f t="shared" si="0"/>
        <v>1.3</v>
      </c>
      <c r="D4" s="9">
        <v>100000</v>
      </c>
      <c r="E4">
        <v>6</v>
      </c>
      <c r="F4">
        <v>0.5</v>
      </c>
      <c r="G4">
        <v>0.46589999999999998</v>
      </c>
      <c r="H4">
        <v>0.5454</v>
      </c>
      <c r="I4">
        <v>0.45</v>
      </c>
      <c r="J4" s="9">
        <v>0.52004307948226103</v>
      </c>
      <c r="K4">
        <f t="shared" si="1"/>
        <v>11.621180399712609</v>
      </c>
      <c r="L4">
        <f t="shared" si="2"/>
        <v>4.6492336849539724</v>
      </c>
      <c r="M4">
        <v>1.2E-2</v>
      </c>
      <c r="N4">
        <f t="shared" si="3"/>
        <v>0.06</v>
      </c>
      <c r="O4">
        <f t="shared" si="4"/>
        <v>0.24</v>
      </c>
      <c r="U4" t="s">
        <v>55</v>
      </c>
      <c r="V4" t="s">
        <v>51</v>
      </c>
      <c r="W4" t="s">
        <v>52</v>
      </c>
      <c r="Y4">
        <f t="shared" si="5"/>
        <v>1.2E-2</v>
      </c>
      <c r="AB4">
        <f t="shared" si="6"/>
        <v>500</v>
      </c>
      <c r="AC4">
        <f t="shared" si="7"/>
        <v>83.333333333333329</v>
      </c>
      <c r="AD4" t="s">
        <v>53</v>
      </c>
      <c r="AE4" t="s">
        <v>54</v>
      </c>
    </row>
    <row r="5" spans="1:41" x14ac:dyDescent="0.15">
      <c r="A5">
        <v>1</v>
      </c>
      <c r="B5">
        <v>1</v>
      </c>
      <c r="C5">
        <f t="shared" si="0"/>
        <v>1.3</v>
      </c>
      <c r="D5" s="9">
        <v>100001</v>
      </c>
      <c r="E5">
        <v>6</v>
      </c>
      <c r="F5">
        <v>0.5</v>
      </c>
      <c r="G5">
        <v>0.46589999999999998</v>
      </c>
      <c r="H5">
        <v>0.5454</v>
      </c>
      <c r="I5">
        <v>0.55000000000000004</v>
      </c>
      <c r="J5" s="9">
        <v>0.52023658688789198</v>
      </c>
      <c r="K5">
        <f t="shared" si="1"/>
        <v>11.662714506952566</v>
      </c>
      <c r="L5">
        <f t="shared" si="2"/>
        <v>4.6137537792643961</v>
      </c>
      <c r="M5">
        <v>0.01</v>
      </c>
      <c r="N5">
        <f t="shared" si="3"/>
        <v>0.05</v>
      </c>
      <c r="O5">
        <f t="shared" si="4"/>
        <v>0.2</v>
      </c>
      <c r="U5" t="s">
        <v>55</v>
      </c>
      <c r="V5" t="s">
        <v>51</v>
      </c>
      <c r="W5" t="s">
        <v>52</v>
      </c>
      <c r="Y5">
        <f t="shared" si="5"/>
        <v>0.01</v>
      </c>
      <c r="AB5">
        <f t="shared" si="6"/>
        <v>600</v>
      </c>
      <c r="AC5">
        <f t="shared" si="7"/>
        <v>100</v>
      </c>
      <c r="AD5" t="s">
        <v>53</v>
      </c>
      <c r="AE5" t="s">
        <v>54</v>
      </c>
    </row>
    <row r="6" spans="1:41" x14ac:dyDescent="0.15">
      <c r="A6">
        <v>1</v>
      </c>
      <c r="B6">
        <v>1</v>
      </c>
      <c r="C6">
        <f t="shared" si="0"/>
        <v>1.3</v>
      </c>
      <c r="D6" s="9">
        <v>100001</v>
      </c>
      <c r="E6">
        <v>6</v>
      </c>
      <c r="F6">
        <v>0.5</v>
      </c>
      <c r="G6">
        <v>0.46589999999999998</v>
      </c>
      <c r="H6">
        <v>0.5454</v>
      </c>
      <c r="I6">
        <v>0.55000000000000004</v>
      </c>
      <c r="J6" s="9">
        <v>0.51407035175879401</v>
      </c>
      <c r="K6">
        <f t="shared" si="1"/>
        <v>10.339204069283973</v>
      </c>
      <c r="L6">
        <f t="shared" si="2"/>
        <v>5.7443432785489525</v>
      </c>
      <c r="M6">
        <v>0.01</v>
      </c>
      <c r="N6">
        <f t="shared" si="3"/>
        <v>0.05</v>
      </c>
      <c r="O6">
        <f t="shared" si="4"/>
        <v>0.2</v>
      </c>
      <c r="U6" t="s">
        <v>50</v>
      </c>
      <c r="V6" t="s">
        <v>56</v>
      </c>
      <c r="W6" t="s">
        <v>57</v>
      </c>
      <c r="X6">
        <v>200</v>
      </c>
      <c r="Y6">
        <f t="shared" si="5"/>
        <v>0.01</v>
      </c>
      <c r="Z6">
        <v>0.01</v>
      </c>
      <c r="AA6">
        <v>0.18</v>
      </c>
      <c r="AB6">
        <f t="shared" si="6"/>
        <v>600</v>
      </c>
      <c r="AC6">
        <f t="shared" si="7"/>
        <v>100</v>
      </c>
      <c r="AD6" t="s">
        <v>58</v>
      </c>
    </row>
    <row r="7" spans="1:41" s="15" customFormat="1" x14ac:dyDescent="0.15">
      <c r="A7">
        <v>1</v>
      </c>
      <c r="B7">
        <v>1</v>
      </c>
      <c r="C7">
        <f t="shared" si="0"/>
        <v>1.3</v>
      </c>
      <c r="D7" s="9">
        <v>100001</v>
      </c>
      <c r="E7">
        <v>6</v>
      </c>
      <c r="F7">
        <v>0.5</v>
      </c>
      <c r="G7">
        <v>0.46589999999999998</v>
      </c>
      <c r="H7">
        <v>0.5454</v>
      </c>
      <c r="I7">
        <v>0.55000000000000004</v>
      </c>
      <c r="J7" s="9">
        <v>0.52023658688789198</v>
      </c>
      <c r="K7">
        <f t="shared" si="1"/>
        <v>11.662714506952566</v>
      </c>
      <c r="L7">
        <f t="shared" si="2"/>
        <v>4.6137537792643961</v>
      </c>
      <c r="M7">
        <v>6.0000000000000001E-3</v>
      </c>
      <c r="N7">
        <f t="shared" si="3"/>
        <v>0.03</v>
      </c>
      <c r="O7" s="15">
        <f t="shared" si="4"/>
        <v>0.12</v>
      </c>
      <c r="P7"/>
      <c r="Q7"/>
      <c r="R7"/>
      <c r="S7"/>
      <c r="U7" t="s">
        <v>55</v>
      </c>
      <c r="V7" t="s">
        <v>51</v>
      </c>
      <c r="W7" t="s">
        <v>52</v>
      </c>
      <c r="X7">
        <v>150</v>
      </c>
      <c r="Y7">
        <f t="shared" si="5"/>
        <v>6.0000000000000001E-3</v>
      </c>
      <c r="Z7"/>
      <c r="AA7"/>
      <c r="AB7">
        <f t="shared" si="6"/>
        <v>1000</v>
      </c>
      <c r="AC7">
        <f t="shared" si="7"/>
        <v>166.66666666666666</v>
      </c>
      <c r="AD7" t="s">
        <v>53</v>
      </c>
      <c r="AE7" t="s">
        <v>54</v>
      </c>
      <c r="AF7"/>
      <c r="AG7"/>
      <c r="AH7"/>
      <c r="AI7"/>
      <c r="AJ7"/>
      <c r="AK7"/>
      <c r="AL7"/>
      <c r="AM7"/>
      <c r="AN7"/>
      <c r="AO7"/>
    </row>
    <row r="8" spans="1:41" s="15" customFormat="1" x14ac:dyDescent="0.15">
      <c r="A8">
        <v>1</v>
      </c>
      <c r="B8">
        <v>1</v>
      </c>
      <c r="C8">
        <f t="shared" si="0"/>
        <v>1.3</v>
      </c>
      <c r="D8" s="9">
        <v>100001</v>
      </c>
      <c r="E8">
        <v>6</v>
      </c>
      <c r="F8">
        <v>0.5</v>
      </c>
      <c r="G8">
        <v>0.46589999999999998</v>
      </c>
      <c r="H8">
        <v>0.5454</v>
      </c>
      <c r="I8">
        <v>0.55000000000000004</v>
      </c>
      <c r="J8" s="9">
        <v>0.52023658688789198</v>
      </c>
      <c r="K8">
        <f t="shared" si="1"/>
        <v>11.662714506952566</v>
      </c>
      <c r="L8">
        <f t="shared" si="2"/>
        <v>4.6137537792643961</v>
      </c>
      <c r="M8">
        <v>5.0000000000000001E-3</v>
      </c>
      <c r="N8">
        <f t="shared" si="3"/>
        <v>2.5000000000000001E-2</v>
      </c>
      <c r="O8" s="15">
        <f t="shared" si="4"/>
        <v>0.1</v>
      </c>
      <c r="P8"/>
      <c r="Q8"/>
      <c r="R8"/>
      <c r="S8"/>
      <c r="U8" t="s">
        <v>55</v>
      </c>
      <c r="V8" t="s">
        <v>51</v>
      </c>
      <c r="W8" s="12" t="s">
        <v>52</v>
      </c>
      <c r="X8">
        <v>150</v>
      </c>
      <c r="Y8">
        <f t="shared" si="5"/>
        <v>5.0000000000000001E-3</v>
      </c>
      <c r="Z8"/>
      <c r="AA8"/>
      <c r="AB8">
        <f t="shared" si="6"/>
        <v>1200</v>
      </c>
      <c r="AC8">
        <f t="shared" si="7"/>
        <v>200</v>
      </c>
      <c r="AD8" t="s">
        <v>53</v>
      </c>
      <c r="AE8" t="s">
        <v>54</v>
      </c>
      <c r="AF8" t="s">
        <v>59</v>
      </c>
      <c r="AG8"/>
      <c r="AH8"/>
      <c r="AI8"/>
      <c r="AJ8"/>
      <c r="AK8"/>
      <c r="AL8"/>
      <c r="AM8"/>
      <c r="AN8"/>
      <c r="AO8"/>
    </row>
    <row r="9" spans="1:41" s="15" customFormat="1" x14ac:dyDescent="0.15">
      <c r="A9">
        <v>1</v>
      </c>
      <c r="B9">
        <v>1</v>
      </c>
      <c r="C9">
        <f t="shared" si="0"/>
        <v>1.3</v>
      </c>
      <c r="D9" s="9">
        <v>100001</v>
      </c>
      <c r="E9">
        <v>6</v>
      </c>
      <c r="F9">
        <v>0.5</v>
      </c>
      <c r="G9">
        <v>0.46589999999999998</v>
      </c>
      <c r="H9">
        <v>0.5454</v>
      </c>
      <c r="I9">
        <v>0.53</v>
      </c>
      <c r="J9" s="9">
        <v>0.52098733289366195</v>
      </c>
      <c r="K9" s="9">
        <f t="shared" si="1"/>
        <v>11.823853379193384</v>
      </c>
      <c r="L9" s="16">
        <f t="shared" si="2"/>
        <v>4.4761032464866242</v>
      </c>
      <c r="M9">
        <v>5.0000000000000001E-3</v>
      </c>
      <c r="N9">
        <f t="shared" si="3"/>
        <v>2.5000000000000001E-2</v>
      </c>
      <c r="O9" s="15">
        <f t="shared" si="4"/>
        <v>0.1</v>
      </c>
      <c r="P9" s="15">
        <f>B9*E9*F9</f>
        <v>3</v>
      </c>
      <c r="Q9" s="15">
        <f>C9*E9*F9</f>
        <v>3.9000000000000004</v>
      </c>
      <c r="R9" s="9">
        <v>3.0171002651380601</v>
      </c>
      <c r="S9" s="9">
        <f>(R9-P9)*100/P9</f>
        <v>0.57000883793533552</v>
      </c>
      <c r="T9" s="9">
        <f>ABS(R9-Q9)*100/Q9</f>
        <v>22.638454740049749</v>
      </c>
      <c r="U9" t="s">
        <v>55</v>
      </c>
      <c r="V9" t="s">
        <v>56</v>
      </c>
      <c r="W9" s="12" t="s">
        <v>57</v>
      </c>
      <c r="X9">
        <v>250</v>
      </c>
      <c r="Y9">
        <f t="shared" si="5"/>
        <v>5.0000000000000001E-3</v>
      </c>
      <c r="Z9">
        <f>N9</f>
        <v>2.5000000000000001E-2</v>
      </c>
      <c r="AA9">
        <v>0.08</v>
      </c>
      <c r="AB9">
        <f t="shared" si="6"/>
        <v>1200</v>
      </c>
      <c r="AC9">
        <f t="shared" si="7"/>
        <v>200</v>
      </c>
      <c r="AD9" t="s">
        <v>58</v>
      </c>
      <c r="AE9"/>
      <c r="AF9"/>
      <c r="AG9"/>
      <c r="AH9"/>
      <c r="AI9"/>
      <c r="AJ9"/>
      <c r="AK9"/>
      <c r="AL9"/>
      <c r="AM9"/>
      <c r="AN9"/>
      <c r="AO9"/>
    </row>
    <row r="10" spans="1:41" s="15" customFormat="1" x14ac:dyDescent="0.15">
      <c r="A10"/>
      <c r="B10"/>
      <c r="C10"/>
      <c r="D10" s="9"/>
      <c r="E10"/>
      <c r="F10"/>
      <c r="G10"/>
      <c r="H10"/>
      <c r="I10"/>
      <c r="J10" s="9"/>
      <c r="K10" s="9"/>
      <c r="L10" s="7"/>
      <c r="M10">
        <v>5.0000000000000001E-3</v>
      </c>
      <c r="N10"/>
      <c r="R10" s="9"/>
      <c r="S10" s="9"/>
      <c r="T10" s="9"/>
      <c r="U10"/>
      <c r="V10"/>
      <c r="W10" s="12" t="s">
        <v>57</v>
      </c>
      <c r="X10"/>
      <c r="Y10">
        <f t="shared" si="5"/>
        <v>5.0000000000000001E-3</v>
      </c>
      <c r="Z10">
        <f>N10</f>
        <v>0</v>
      </c>
      <c r="AA10">
        <v>0.08</v>
      </c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</row>
    <row r="11" spans="1:41" s="15" customFormat="1" x14ac:dyDescent="0.15">
      <c r="A11" s="15">
        <v>1</v>
      </c>
      <c r="B11" s="15">
        <v>1</v>
      </c>
      <c r="C11">
        <f>B11*(1+(3/2)*M11/N11)</f>
        <v>1.3</v>
      </c>
      <c r="D11" s="14">
        <v>100001</v>
      </c>
      <c r="E11" s="15">
        <v>6</v>
      </c>
      <c r="F11" s="15">
        <v>0.5</v>
      </c>
      <c r="G11" s="15">
        <v>0.46589999999999998</v>
      </c>
      <c r="H11">
        <v>0.5454</v>
      </c>
      <c r="I11" s="15">
        <v>0.53</v>
      </c>
      <c r="J11" s="14">
        <v>0.52694254198621604</v>
      </c>
      <c r="K11" s="14">
        <f>ABS(G11-J11)/G11*100</f>
        <v>13.102069539861786</v>
      </c>
      <c r="L11" s="14">
        <f>ABS(H11-J11)/H11*100</f>
        <v>3.3842057230993685</v>
      </c>
      <c r="M11" s="15">
        <v>2E-3</v>
      </c>
      <c r="N11" s="15">
        <f>5*M11</f>
        <v>0.01</v>
      </c>
      <c r="O11" s="15">
        <f>20*M11</f>
        <v>0.04</v>
      </c>
      <c r="P11" s="15">
        <f>B11*E11*F11</f>
        <v>3</v>
      </c>
      <c r="U11" s="15" t="s">
        <v>55</v>
      </c>
      <c r="V11" s="15" t="s">
        <v>56</v>
      </c>
      <c r="W11" s="15" t="s">
        <v>57</v>
      </c>
      <c r="X11" s="15">
        <v>300</v>
      </c>
      <c r="Y11" s="15">
        <f t="shared" si="5"/>
        <v>2E-3</v>
      </c>
      <c r="Z11" s="15">
        <v>0.22</v>
      </c>
      <c r="AA11" s="15">
        <v>0.04</v>
      </c>
      <c r="AB11" s="15">
        <f>6/Y11</f>
        <v>3000</v>
      </c>
      <c r="AC11" s="15">
        <f>1/Y11</f>
        <v>500</v>
      </c>
      <c r="AD11" s="15" t="s">
        <v>58</v>
      </c>
      <c r="AE11"/>
      <c r="AF11"/>
      <c r="AG11"/>
      <c r="AH11"/>
      <c r="AI11"/>
      <c r="AJ11"/>
      <c r="AK11"/>
      <c r="AL11"/>
      <c r="AM11"/>
      <c r="AN11"/>
      <c r="AO11"/>
    </row>
    <row r="12" spans="1:41" s="15" customFormat="1" x14ac:dyDescent="0.15">
      <c r="C12"/>
      <c r="D12" s="14"/>
      <c r="H12"/>
      <c r="J12" s="14"/>
      <c r="K12" s="14"/>
      <c r="L12" s="14"/>
      <c r="AE12"/>
      <c r="AF12"/>
      <c r="AG12"/>
      <c r="AH12"/>
      <c r="AI12"/>
      <c r="AJ12"/>
      <c r="AK12"/>
      <c r="AL12"/>
      <c r="AM12"/>
      <c r="AN12"/>
      <c r="AO12"/>
    </row>
    <row r="13" spans="1:41" s="17" customFormat="1" x14ac:dyDescent="0.15">
      <c r="A13" s="17">
        <v>1</v>
      </c>
      <c r="B13" s="17">
        <v>1</v>
      </c>
      <c r="C13" s="17">
        <f>B13*(1+(3/2)*M13/N13)</f>
        <v>1.3</v>
      </c>
      <c r="D13" s="18">
        <f>100000</f>
        <v>100000</v>
      </c>
      <c r="E13" s="17">
        <v>6</v>
      </c>
      <c r="F13" s="17">
        <v>0.5</v>
      </c>
      <c r="G13" s="17">
        <v>0.46589999999999998</v>
      </c>
      <c r="H13" s="17">
        <v>0.5454</v>
      </c>
      <c r="I13" s="17">
        <v>0.53</v>
      </c>
      <c r="J13" s="18"/>
      <c r="L13" s="18">
        <f>ABS(H13-J13)/H13*100</f>
        <v>100</v>
      </c>
      <c r="M13" s="17">
        <v>2E-3</v>
      </c>
      <c r="N13" s="17">
        <f>5*M13</f>
        <v>0.01</v>
      </c>
      <c r="O13" s="17">
        <f>20*M13</f>
        <v>0.04</v>
      </c>
      <c r="P13" s="15">
        <f>B13*E13*F13</f>
        <v>3</v>
      </c>
      <c r="Q13" s="15"/>
      <c r="U13" s="17" t="s">
        <v>55</v>
      </c>
      <c r="V13" s="17" t="s">
        <v>56</v>
      </c>
      <c r="W13" s="19" t="s">
        <v>57</v>
      </c>
      <c r="X13" s="17">
        <v>300</v>
      </c>
      <c r="Y13" s="17">
        <f>M13</f>
        <v>2E-3</v>
      </c>
      <c r="AB13" s="17">
        <f>6/Y13</f>
        <v>3000</v>
      </c>
      <c r="AC13" s="17">
        <f>1/Y13</f>
        <v>500</v>
      </c>
    </row>
    <row r="14" spans="1:41" s="15" customFormat="1" x14ac:dyDescent="0.15">
      <c r="A14"/>
      <c r="B14"/>
      <c r="C14"/>
      <c r="D14" s="9"/>
      <c r="E14"/>
      <c r="F14"/>
      <c r="G14"/>
      <c r="H14"/>
      <c r="I14"/>
      <c r="J14" s="9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</row>
    <row r="15" spans="1:41" x14ac:dyDescent="0.15">
      <c r="A15" t="s">
        <v>6</v>
      </c>
      <c r="B15" t="s">
        <v>7</v>
      </c>
      <c r="C15" t="s">
        <v>35</v>
      </c>
      <c r="D15" t="s">
        <v>25</v>
      </c>
      <c r="E15" s="12" t="s">
        <v>23</v>
      </c>
      <c r="F15" s="12" t="s">
        <v>36</v>
      </c>
      <c r="G15" s="12" t="s">
        <v>9</v>
      </c>
      <c r="H15" t="s">
        <v>10</v>
      </c>
      <c r="I15" s="12" t="s">
        <v>0</v>
      </c>
      <c r="J15" t="s">
        <v>11</v>
      </c>
      <c r="K15" t="s">
        <v>12</v>
      </c>
      <c r="L15" t="s">
        <v>13</v>
      </c>
      <c r="M15" s="12" t="s">
        <v>19</v>
      </c>
      <c r="N15" t="s">
        <v>20</v>
      </c>
      <c r="O15" t="s">
        <v>37</v>
      </c>
      <c r="P15" t="s">
        <v>15</v>
      </c>
      <c r="Q15" t="s">
        <v>16</v>
      </c>
      <c r="R15" t="s">
        <v>38</v>
      </c>
      <c r="S15" t="s">
        <v>17</v>
      </c>
      <c r="T15" t="s">
        <v>18</v>
      </c>
      <c r="U15" t="s">
        <v>39</v>
      </c>
      <c r="V15" t="s">
        <v>40</v>
      </c>
      <c r="W15" t="s">
        <v>41</v>
      </c>
      <c r="X15" t="s">
        <v>1</v>
      </c>
      <c r="Y15" t="s">
        <v>42</v>
      </c>
      <c r="Z15" t="s">
        <v>43</v>
      </c>
      <c r="AA15" t="s">
        <v>44</v>
      </c>
      <c r="AB15" t="s">
        <v>45</v>
      </c>
      <c r="AC15" t="s">
        <v>46</v>
      </c>
      <c r="AD15" t="s">
        <v>47</v>
      </c>
      <c r="AE15" t="s">
        <v>48</v>
      </c>
      <c r="AF15" t="s">
        <v>49</v>
      </c>
    </row>
    <row r="16" spans="1:41" s="15" customFormat="1" x14ac:dyDescent="0.15">
      <c r="A16" s="2" t="s">
        <v>60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>
        <f>20*M16</f>
        <v>0</v>
      </c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0"/>
      <c r="AD16"/>
      <c r="AE16"/>
      <c r="AF16"/>
      <c r="AG16"/>
      <c r="AH16"/>
      <c r="AI16"/>
      <c r="AJ16"/>
      <c r="AK16"/>
      <c r="AL16"/>
      <c r="AM16"/>
      <c r="AN16"/>
      <c r="AO16"/>
    </row>
    <row r="17" spans="1:31" outlineLevel="1" x14ac:dyDescent="0.15">
      <c r="A17">
        <v>1</v>
      </c>
      <c r="B17">
        <v>1</v>
      </c>
      <c r="C17">
        <f>B17*(1+(3/2)*M17/N17)</f>
        <v>1.3</v>
      </c>
      <c r="D17" s="9">
        <v>100001</v>
      </c>
      <c r="E17">
        <v>6</v>
      </c>
      <c r="F17">
        <v>0.5</v>
      </c>
      <c r="G17">
        <v>0.46589999999999998</v>
      </c>
      <c r="H17">
        <v>0.5454</v>
      </c>
      <c r="I17">
        <v>0.53</v>
      </c>
      <c r="J17" s="9">
        <v>0.52197689202699504</v>
      </c>
      <c r="K17">
        <f>ABS(G17-J17)/G17*100</f>
        <v>12.036250703368763</v>
      </c>
      <c r="L17">
        <f>ABS(H17-J17)/H17*100</f>
        <v>4.2946659283104056</v>
      </c>
      <c r="M17">
        <v>5.0000000000000001E-3</v>
      </c>
      <c r="N17">
        <f>5*M17</f>
        <v>2.5000000000000001E-2</v>
      </c>
      <c r="O17">
        <f>20*M17</f>
        <v>0.1</v>
      </c>
      <c r="U17" t="s">
        <v>55</v>
      </c>
      <c r="V17" t="s">
        <v>56</v>
      </c>
      <c r="W17" s="12" t="s">
        <v>57</v>
      </c>
      <c r="X17" s="21">
        <v>250</v>
      </c>
      <c r="Y17">
        <f>M17</f>
        <v>5.0000000000000001E-3</v>
      </c>
      <c r="Z17">
        <v>0.15</v>
      </c>
      <c r="AA17">
        <v>0.15</v>
      </c>
      <c r="AB17">
        <f>6/Y17</f>
        <v>1200</v>
      </c>
      <c r="AC17">
        <f>1/Y17</f>
        <v>200</v>
      </c>
      <c r="AD17" t="s">
        <v>58</v>
      </c>
    </row>
    <row r="18" spans="1:31" s="7" customFormat="1" outlineLevel="1" x14ac:dyDescent="0.15">
      <c r="A18" s="7">
        <v>1</v>
      </c>
      <c r="B18" s="7">
        <v>1</v>
      </c>
      <c r="C18">
        <f>B18*(1+(3/2)*M18/N18)</f>
        <v>1.3</v>
      </c>
      <c r="D18" s="8">
        <v>100001</v>
      </c>
      <c r="E18" s="7">
        <v>6</v>
      </c>
      <c r="F18" s="7">
        <v>0.5</v>
      </c>
      <c r="G18" s="7">
        <v>0.46589999999999998</v>
      </c>
      <c r="H18">
        <v>0.5454</v>
      </c>
      <c r="I18" s="7">
        <v>0.53</v>
      </c>
      <c r="J18" s="8">
        <v>0.52395329616751496</v>
      </c>
      <c r="K18" s="7">
        <f>ABS(G18-J18)/G18*100</f>
        <v>12.460462796204116</v>
      </c>
      <c r="L18" s="7">
        <f>ABS(H18-J18)/H18*100</f>
        <v>3.9322889315154081</v>
      </c>
      <c r="M18" s="7">
        <v>2E-3</v>
      </c>
      <c r="N18" s="7">
        <f>5*M18</f>
        <v>0.01</v>
      </c>
      <c r="O18" s="7">
        <f>20*M18</f>
        <v>0.04</v>
      </c>
      <c r="U18" s="7" t="s">
        <v>55</v>
      </c>
      <c r="V18" s="7" t="s">
        <v>56</v>
      </c>
      <c r="W18" s="7" t="s">
        <v>57</v>
      </c>
      <c r="X18" s="7">
        <v>300</v>
      </c>
      <c r="Y18" s="7">
        <f>M18</f>
        <v>2E-3</v>
      </c>
      <c r="Z18" s="7">
        <v>0.16</v>
      </c>
      <c r="AA18" s="7">
        <v>0.06</v>
      </c>
      <c r="AB18" s="7">
        <f>6/Y18</f>
        <v>3000</v>
      </c>
      <c r="AC18" s="7">
        <f>1/Y18</f>
        <v>500</v>
      </c>
      <c r="AD18" s="7" t="s">
        <v>58</v>
      </c>
    </row>
    <row r="19" spans="1:31" x14ac:dyDescent="0.15">
      <c r="A19" s="2" t="s">
        <v>61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</row>
    <row r="20" spans="1:31" x14ac:dyDescent="0.15">
      <c r="A20">
        <v>1</v>
      </c>
      <c r="B20">
        <v>1</v>
      </c>
      <c r="C20">
        <f>B20*(1+(3/2)*M20/N20)</f>
        <v>1.3</v>
      </c>
      <c r="D20" s="9">
        <v>100001</v>
      </c>
      <c r="E20">
        <v>6</v>
      </c>
      <c r="F20">
        <v>0.5</v>
      </c>
      <c r="G20" s="15">
        <v>0.46589999999999998</v>
      </c>
      <c r="H20">
        <v>0.5454</v>
      </c>
      <c r="I20" s="15">
        <v>0.53</v>
      </c>
      <c r="J20" s="9">
        <v>0.519920705566292</v>
      </c>
      <c r="K20" s="14">
        <f>ABS(G20-J20)/G20*100</f>
        <v>11.594914266214213</v>
      </c>
      <c r="L20" s="22">
        <f>ABS(H20-J20)/H20*100</f>
        <v>4.671671146627796</v>
      </c>
      <c r="M20">
        <v>5.0000000000000001E-3</v>
      </c>
      <c r="N20" s="15">
        <f>5*M20</f>
        <v>2.5000000000000001E-2</v>
      </c>
      <c r="O20" s="7">
        <f>20*M20</f>
        <v>0.1</v>
      </c>
      <c r="P20" s="15">
        <f>B20*E20*F20</f>
        <v>3</v>
      </c>
      <c r="Q20" s="15">
        <f>C20*E20*F20</f>
        <v>3.9000000000000004</v>
      </c>
      <c r="R20" s="9">
        <v>3.2128313288535599</v>
      </c>
      <c r="S20" s="9">
        <f>(R20-P20)*100/P20</f>
        <v>7.0943776284519977</v>
      </c>
      <c r="T20" s="9">
        <f>ABS(R20-Q20)*100/Q20</f>
        <v>17.619709516575394</v>
      </c>
      <c r="X20">
        <v>325</v>
      </c>
      <c r="Y20" s="15">
        <f>M20</f>
        <v>5.0000000000000001E-3</v>
      </c>
      <c r="Z20">
        <v>0.1</v>
      </c>
      <c r="AA20" t="s">
        <v>62</v>
      </c>
      <c r="AE20" t="s">
        <v>63</v>
      </c>
    </row>
    <row r="21" spans="1:31" x14ac:dyDescent="0.15">
      <c r="A21" s="15">
        <v>1</v>
      </c>
      <c r="B21" s="15">
        <v>1</v>
      </c>
      <c r="C21">
        <f>B21*(1+(3/2)*M21/N21)</f>
        <v>1.3</v>
      </c>
      <c r="D21" s="14">
        <v>100001</v>
      </c>
      <c r="E21" s="15">
        <v>6</v>
      </c>
      <c r="F21" s="15">
        <v>0.5</v>
      </c>
      <c r="G21" s="15">
        <v>0.46589999999999998</v>
      </c>
      <c r="H21">
        <v>0.5454</v>
      </c>
      <c r="I21" s="15">
        <v>0.53</v>
      </c>
      <c r="J21" s="14">
        <v>0.52395329616749997</v>
      </c>
      <c r="K21" s="15">
        <f>ABS(G21-J21)/G21*100</f>
        <v>12.4604627962009</v>
      </c>
      <c r="L21" s="15">
        <f>ABS(H21-J21)/H21*100</f>
        <v>3.9322889315181562</v>
      </c>
      <c r="M21" s="15">
        <v>2E-3</v>
      </c>
      <c r="N21" s="15">
        <f>5*M21</f>
        <v>0.01</v>
      </c>
      <c r="O21" s="15">
        <f>20*M21</f>
        <v>0.04</v>
      </c>
      <c r="P21" s="15"/>
      <c r="Q21" s="15"/>
      <c r="R21" s="15"/>
      <c r="S21" s="15"/>
      <c r="T21" s="15"/>
      <c r="U21" s="15" t="s">
        <v>55</v>
      </c>
      <c r="V21" s="15" t="s">
        <v>56</v>
      </c>
      <c r="W21" s="15" t="s">
        <v>57</v>
      </c>
      <c r="X21" s="15">
        <v>300</v>
      </c>
      <c r="Y21" s="15">
        <f>M21</f>
        <v>2E-3</v>
      </c>
      <c r="Z21" s="15">
        <v>0.16</v>
      </c>
      <c r="AA21" s="15" t="s">
        <v>62</v>
      </c>
      <c r="AB21" s="15">
        <f>6/Y21</f>
        <v>3000</v>
      </c>
      <c r="AC21" s="15">
        <f>1/Y21</f>
        <v>500</v>
      </c>
      <c r="AD21" s="15" t="s">
        <v>58</v>
      </c>
    </row>
    <row r="22" spans="1:31" x14ac:dyDescent="0.15">
      <c r="J22" s="9"/>
    </row>
    <row r="23" spans="1:31" x14ac:dyDescent="0.15">
      <c r="A23" s="2" t="s">
        <v>64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 spans="1:31" x14ac:dyDescent="0.15">
      <c r="A24" t="s">
        <v>6</v>
      </c>
      <c r="B24" t="s">
        <v>7</v>
      </c>
      <c r="C24" t="s">
        <v>35</v>
      </c>
      <c r="D24" t="s">
        <v>25</v>
      </c>
      <c r="E24" s="12" t="s">
        <v>23</v>
      </c>
      <c r="F24" s="12" t="s">
        <v>24</v>
      </c>
      <c r="G24" s="12" t="s">
        <v>9</v>
      </c>
      <c r="H24" t="s">
        <v>10</v>
      </c>
      <c r="I24" s="12" t="s">
        <v>0</v>
      </c>
      <c r="J24" t="s">
        <v>11</v>
      </c>
      <c r="K24" t="s">
        <v>65</v>
      </c>
      <c r="L24" t="s">
        <v>66</v>
      </c>
      <c r="M24" s="12" t="s">
        <v>19</v>
      </c>
      <c r="N24" t="s">
        <v>20</v>
      </c>
      <c r="O24" t="s">
        <v>67</v>
      </c>
      <c r="U24" t="s">
        <v>39</v>
      </c>
      <c r="V24" t="s">
        <v>40</v>
      </c>
      <c r="W24" t="s">
        <v>41</v>
      </c>
      <c r="X24" t="s">
        <v>1</v>
      </c>
      <c r="Y24" t="s">
        <v>42</v>
      </c>
      <c r="Z24" t="s">
        <v>43</v>
      </c>
      <c r="AA24" t="s">
        <v>44</v>
      </c>
      <c r="AB24" t="s">
        <v>45</v>
      </c>
      <c r="AC24" t="s">
        <v>46</v>
      </c>
      <c r="AD24" t="s">
        <v>47</v>
      </c>
    </row>
    <row r="25" spans="1:31" x14ac:dyDescent="0.15">
      <c r="A25">
        <v>1</v>
      </c>
      <c r="B25">
        <v>1</v>
      </c>
      <c r="C25">
        <f>B25*(1+(3/2)*M25/N25)</f>
        <v>1.3</v>
      </c>
      <c r="D25" s="9">
        <v>100000</v>
      </c>
      <c r="E25">
        <v>6</v>
      </c>
      <c r="F25">
        <v>0.5</v>
      </c>
      <c r="G25">
        <v>0.46589999999999998</v>
      </c>
      <c r="H25">
        <v>0.48659999999999998</v>
      </c>
      <c r="I25">
        <v>0.53</v>
      </c>
      <c r="J25" s="9"/>
      <c r="K25">
        <f>ABS(G25-J25)/G25*100</f>
        <v>100</v>
      </c>
      <c r="L25">
        <f>ABS(H25-J25)/H25*100</f>
        <v>100</v>
      </c>
      <c r="M25">
        <v>0.02</v>
      </c>
      <c r="N25">
        <f>5*M25</f>
        <v>0.1</v>
      </c>
      <c r="O25">
        <f>M25*20</f>
        <v>0.4</v>
      </c>
      <c r="U25" t="s">
        <v>55</v>
      </c>
      <c r="V25" t="s">
        <v>56</v>
      </c>
      <c r="W25" t="s">
        <v>52</v>
      </c>
      <c r="X25">
        <v>53</v>
      </c>
      <c r="AB25">
        <f>E25/M25</f>
        <v>300</v>
      </c>
      <c r="AC25">
        <f>F25*2/M25</f>
        <v>50</v>
      </c>
    </row>
    <row r="26" spans="1:31" x14ac:dyDescent="0.15">
      <c r="A26">
        <v>1</v>
      </c>
      <c r="B26">
        <v>1</v>
      </c>
      <c r="C26">
        <f>B26*(1+(3/2)*M26/N26)</f>
        <v>1.3</v>
      </c>
      <c r="D26" s="9">
        <v>100000</v>
      </c>
      <c r="E26">
        <v>6</v>
      </c>
      <c r="F26">
        <v>0.5</v>
      </c>
      <c r="G26">
        <v>0.46589999999999998</v>
      </c>
      <c r="H26">
        <v>0.48659999999999998</v>
      </c>
      <c r="I26">
        <v>0.53</v>
      </c>
      <c r="J26" s="9"/>
      <c r="K26">
        <f>ABS(G26-J26)/G26*100</f>
        <v>100</v>
      </c>
      <c r="L26">
        <f>ABS(H26-J26)/H26*100</f>
        <v>100</v>
      </c>
      <c r="M26">
        <v>5.0000000000000001E-3</v>
      </c>
      <c r="N26">
        <f>5*M26</f>
        <v>2.5000000000000001E-2</v>
      </c>
      <c r="O26">
        <f>M26*20</f>
        <v>0.1</v>
      </c>
      <c r="U26" t="s">
        <v>55</v>
      </c>
      <c r="V26" t="s">
        <v>56</v>
      </c>
      <c r="W26" t="s">
        <v>52</v>
      </c>
      <c r="X26">
        <v>200</v>
      </c>
      <c r="Y26">
        <v>5.0000000000000001E-3</v>
      </c>
      <c r="Z26">
        <v>0.2</v>
      </c>
      <c r="AA26">
        <v>0.1</v>
      </c>
      <c r="AB26">
        <f>6/Y26</f>
        <v>1200</v>
      </c>
      <c r="AC26">
        <f>AA26*2/Y26</f>
        <v>40</v>
      </c>
    </row>
    <row r="28" spans="1:31" x14ac:dyDescent="0.15">
      <c r="D28" s="9"/>
      <c r="G28" s="7"/>
      <c r="H28" s="7"/>
      <c r="I28" s="7"/>
      <c r="J28" s="8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23"/>
      <c r="X28" s="7"/>
      <c r="Y28" s="7"/>
    </row>
    <row r="29" spans="1:31" x14ac:dyDescent="0.15">
      <c r="D29" s="9"/>
      <c r="G29" s="7"/>
      <c r="H29" s="7"/>
      <c r="I29" s="7"/>
      <c r="J29" s="8"/>
      <c r="K29" s="8"/>
      <c r="L29" s="8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3" spans="5:8" x14ac:dyDescent="0.15">
      <c r="F33" t="s">
        <v>68</v>
      </c>
      <c r="G33" t="s">
        <v>69</v>
      </c>
      <c r="H33" t="s">
        <v>70</v>
      </c>
    </row>
    <row r="34" spans="5:8" x14ac:dyDescent="0.15">
      <c r="F34">
        <v>0.5454</v>
      </c>
      <c r="G34" s="9">
        <v>0.52098733289366195</v>
      </c>
      <c r="H34" s="9">
        <v>0.519920705566292</v>
      </c>
    </row>
    <row r="35" spans="5:8" x14ac:dyDescent="0.15">
      <c r="E35" t="s">
        <v>71</v>
      </c>
      <c r="G35" s="9">
        <f>L9</f>
        <v>4.4761032464866242</v>
      </c>
      <c r="H35" s="9">
        <f>L20</f>
        <v>4.671671146627796</v>
      </c>
    </row>
    <row r="37" spans="5:8" x14ac:dyDescent="0.15">
      <c r="E37" s="12"/>
    </row>
    <row r="38" spans="5:8" x14ac:dyDescent="0.15">
      <c r="E38" s="15"/>
      <c r="G38" s="14"/>
    </row>
  </sheetData>
  <mergeCells count="3">
    <mergeCell ref="A16:AB16"/>
    <mergeCell ref="A19:AB19"/>
    <mergeCell ref="A23:AB23"/>
  </mergeCell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C27"/>
  <sheetViews>
    <sheetView zoomScaleNormal="100" workbookViewId="0">
      <selection activeCell="S11" sqref="S11"/>
    </sheetView>
  </sheetViews>
  <sheetFormatPr baseColWidth="10" defaultColWidth="8.83203125" defaultRowHeight="13" x14ac:dyDescent="0.15"/>
  <cols>
    <col min="1" max="4" width="7.83203125" customWidth="1"/>
    <col min="5" max="5" width="6.33203125" customWidth="1"/>
    <col min="6" max="6" width="8.33203125" customWidth="1"/>
    <col min="7" max="7" width="5.1640625" customWidth="1"/>
    <col min="8" max="9" width="4.1640625" customWidth="1"/>
    <col min="10" max="10" width="5.5" customWidth="1"/>
    <col min="11" max="11" width="5" customWidth="1"/>
    <col min="12" max="12" width="5.6640625" customWidth="1"/>
    <col min="13" max="13" width="10.1640625" customWidth="1"/>
    <col min="14" max="14" width="8.6640625" customWidth="1"/>
    <col min="15" max="15" width="9" customWidth="1"/>
    <col min="16" max="16" width="8.1640625" customWidth="1"/>
    <col min="17" max="17" width="6.1640625" customWidth="1"/>
    <col min="18" max="19" width="8.6640625" customWidth="1"/>
    <col min="20" max="20" width="7.33203125" customWidth="1"/>
    <col min="21" max="21" width="5.5" customWidth="1"/>
    <col min="22" max="22" width="4.6640625" customWidth="1"/>
    <col min="23" max="23" width="8.33203125" customWidth="1"/>
    <col min="24" max="25" width="12.33203125" customWidth="1"/>
    <col min="26" max="1025" width="11.5"/>
  </cols>
  <sheetData>
    <row r="1" spans="1:29" x14ac:dyDescent="0.15">
      <c r="A1" t="s">
        <v>7</v>
      </c>
      <c r="B1" t="s">
        <v>25</v>
      </c>
      <c r="C1" t="s">
        <v>6</v>
      </c>
      <c r="D1" t="s">
        <v>42</v>
      </c>
      <c r="E1" t="s">
        <v>43</v>
      </c>
      <c r="F1" t="s">
        <v>72</v>
      </c>
      <c r="G1" t="s">
        <v>73</v>
      </c>
      <c r="H1" t="s">
        <v>74</v>
      </c>
      <c r="I1" t="s">
        <v>75</v>
      </c>
      <c r="J1" t="s">
        <v>76</v>
      </c>
      <c r="K1" t="s">
        <v>77</v>
      </c>
      <c r="L1" t="s">
        <v>78</v>
      </c>
      <c r="M1" t="s">
        <v>79</v>
      </c>
      <c r="N1" t="s">
        <v>80</v>
      </c>
      <c r="O1" t="s">
        <v>81</v>
      </c>
      <c r="P1" t="s">
        <v>82</v>
      </c>
      <c r="Q1" t="s">
        <v>83</v>
      </c>
      <c r="R1" t="s">
        <v>84</v>
      </c>
      <c r="S1" t="s">
        <v>85</v>
      </c>
      <c r="T1" t="s">
        <v>0</v>
      </c>
      <c r="U1" t="s">
        <v>1</v>
      </c>
      <c r="V1" t="s">
        <v>86</v>
      </c>
      <c r="W1" t="s">
        <v>87</v>
      </c>
      <c r="X1" s="2" t="s">
        <v>88</v>
      </c>
      <c r="Y1" s="2"/>
      <c r="Z1" s="2"/>
      <c r="AA1" s="2"/>
      <c r="AB1" s="2"/>
      <c r="AC1" s="2"/>
    </row>
    <row r="2" spans="1:29" x14ac:dyDescent="0.15">
      <c r="D2">
        <v>8.0000000000000002E-3</v>
      </c>
      <c r="E2">
        <v>0.4</v>
      </c>
      <c r="F2">
        <v>8</v>
      </c>
      <c r="G2">
        <v>6</v>
      </c>
      <c r="H2">
        <v>2</v>
      </c>
      <c r="I2">
        <v>9.5</v>
      </c>
      <c r="J2">
        <v>0.8</v>
      </c>
      <c r="K2">
        <v>5.5</v>
      </c>
      <c r="L2">
        <f>SQRT(K2^2-(F2/2)^2)</f>
        <v>3.7749172176353749</v>
      </c>
      <c r="M2">
        <f>I2/2+L2</f>
        <v>8.5249172176353749</v>
      </c>
      <c r="N2">
        <f>L2+I2/2</f>
        <v>8.5249172176353749</v>
      </c>
      <c r="O2">
        <f>G2/D2</f>
        <v>750</v>
      </c>
      <c r="P2">
        <f>J2/D2</f>
        <v>100</v>
      </c>
      <c r="Q2">
        <v>1</v>
      </c>
      <c r="R2" t="s">
        <v>52</v>
      </c>
      <c r="U2">
        <v>50</v>
      </c>
      <c r="V2" t="s">
        <v>89</v>
      </c>
      <c r="W2" t="s">
        <v>53</v>
      </c>
    </row>
    <row r="3" spans="1:29" x14ac:dyDescent="0.15">
      <c r="Q3">
        <v>5</v>
      </c>
      <c r="R3" t="s">
        <v>52</v>
      </c>
      <c r="U3">
        <v>100</v>
      </c>
      <c r="V3" t="s">
        <v>89</v>
      </c>
      <c r="W3" t="s">
        <v>53</v>
      </c>
    </row>
    <row r="4" spans="1:29" x14ac:dyDescent="0.15">
      <c r="Q4">
        <v>5</v>
      </c>
      <c r="R4" t="s">
        <v>52</v>
      </c>
      <c r="S4">
        <v>4.3718599999999999</v>
      </c>
      <c r="U4">
        <v>200</v>
      </c>
      <c r="V4" t="s">
        <v>89</v>
      </c>
      <c r="W4" t="s">
        <v>53</v>
      </c>
    </row>
    <row r="5" spans="1:29" x14ac:dyDescent="0.15">
      <c r="D5">
        <v>8.0000000000000002E-3</v>
      </c>
      <c r="E5">
        <v>0.4</v>
      </c>
      <c r="F5">
        <v>8</v>
      </c>
      <c r="G5" t="s">
        <v>62</v>
      </c>
      <c r="H5">
        <v>2</v>
      </c>
      <c r="I5">
        <v>9.5</v>
      </c>
      <c r="J5">
        <v>0.8</v>
      </c>
      <c r="K5">
        <v>5.5</v>
      </c>
      <c r="L5">
        <f>SQRT(K5^2-(F5/2)^2)</f>
        <v>3.7749172176353749</v>
      </c>
      <c r="M5">
        <f>I5/2+L5</f>
        <v>8.5249172176353749</v>
      </c>
      <c r="N5">
        <f>L5+I5/2</f>
        <v>8.5249172176353749</v>
      </c>
      <c r="O5">
        <f>F5/D5</f>
        <v>1000</v>
      </c>
      <c r="P5">
        <f>J5/D5</f>
        <v>100</v>
      </c>
      <c r="Q5">
        <v>4.5</v>
      </c>
      <c r="R5" t="s">
        <v>52</v>
      </c>
      <c r="S5">
        <v>2.7181199999999999</v>
      </c>
      <c r="U5">
        <v>150</v>
      </c>
      <c r="V5" t="s">
        <v>89</v>
      </c>
      <c r="W5" t="s">
        <v>53</v>
      </c>
    </row>
    <row r="6" spans="1:29" x14ac:dyDescent="0.15">
      <c r="A6" s="17">
        <v>1</v>
      </c>
      <c r="B6" s="17">
        <v>1000</v>
      </c>
      <c r="C6" s="17">
        <v>1</v>
      </c>
      <c r="D6" s="17">
        <v>8.0000000000000002E-3</v>
      </c>
      <c r="E6" s="17">
        <v>0.4</v>
      </c>
      <c r="F6" s="17">
        <v>8</v>
      </c>
      <c r="G6" s="17" t="s">
        <v>62</v>
      </c>
      <c r="H6" s="17">
        <v>2</v>
      </c>
      <c r="I6" s="17">
        <v>9.5</v>
      </c>
      <c r="J6" s="17">
        <v>0.8</v>
      </c>
      <c r="K6" s="17">
        <v>5</v>
      </c>
      <c r="L6" s="17">
        <f>SQRT(K6^2-(F6/2)^2)</f>
        <v>3</v>
      </c>
      <c r="M6" s="17">
        <f>I6/2+L6</f>
        <v>7.75</v>
      </c>
      <c r="N6" s="17">
        <f>L6+I6/2</f>
        <v>7.75</v>
      </c>
      <c r="O6" s="17">
        <f>F6/D6</f>
        <v>1000</v>
      </c>
      <c r="P6" s="17">
        <f>J6/D6</f>
        <v>100</v>
      </c>
      <c r="Q6" s="17">
        <v>2.75</v>
      </c>
      <c r="R6" s="17" t="s">
        <v>52</v>
      </c>
      <c r="S6" s="17">
        <v>2.5273500000000002</v>
      </c>
      <c r="T6" s="17" t="s">
        <v>62</v>
      </c>
      <c r="U6" s="17">
        <v>275</v>
      </c>
      <c r="V6" s="17" t="s">
        <v>89</v>
      </c>
      <c r="W6" t="s">
        <v>58</v>
      </c>
    </row>
    <row r="7" spans="1:29" x14ac:dyDescent="0.15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R7" s="17"/>
      <c r="S7" s="17">
        <v>1.29</v>
      </c>
      <c r="T7" s="17"/>
      <c r="U7" s="17"/>
      <c r="V7" s="17"/>
    </row>
    <row r="8" spans="1:29" x14ac:dyDescent="0.15">
      <c r="D8">
        <v>4.0000000000000001E-3</v>
      </c>
      <c r="E8">
        <v>0.4</v>
      </c>
      <c r="F8">
        <v>8</v>
      </c>
      <c r="G8" t="s">
        <v>62</v>
      </c>
      <c r="H8">
        <v>2</v>
      </c>
      <c r="I8">
        <v>9.5</v>
      </c>
      <c r="J8">
        <v>0.8</v>
      </c>
      <c r="K8">
        <v>5</v>
      </c>
      <c r="L8">
        <f>SQRT(K8^2-(F8/2)^2)</f>
        <v>3</v>
      </c>
      <c r="M8">
        <f>I8/2+L8</f>
        <v>7.75</v>
      </c>
      <c r="N8">
        <f>L8+I8/2</f>
        <v>7.75</v>
      </c>
      <c r="O8">
        <f>F8/D8</f>
        <v>2000</v>
      </c>
      <c r="P8">
        <f>J8/D8</f>
        <v>200</v>
      </c>
      <c r="Q8">
        <v>2</v>
      </c>
      <c r="R8" t="s">
        <v>90</v>
      </c>
      <c r="S8" t="s">
        <v>91</v>
      </c>
      <c r="T8" t="s">
        <v>62</v>
      </c>
      <c r="U8">
        <v>200</v>
      </c>
      <c r="V8" t="s">
        <v>89</v>
      </c>
      <c r="W8" t="s">
        <v>53</v>
      </c>
    </row>
    <row r="9" spans="1:29" x14ac:dyDescent="0.15">
      <c r="Q9">
        <v>2.6</v>
      </c>
      <c r="R9" t="s">
        <v>52</v>
      </c>
      <c r="S9" t="s">
        <v>91</v>
      </c>
      <c r="U9">
        <v>260</v>
      </c>
      <c r="V9" t="s">
        <v>89</v>
      </c>
      <c r="W9" t="s">
        <v>53</v>
      </c>
    </row>
    <row r="10" spans="1:29" x14ac:dyDescent="0.15">
      <c r="Q10">
        <v>2.75</v>
      </c>
      <c r="R10" t="s">
        <v>52</v>
      </c>
      <c r="T10">
        <v>2.669708</v>
      </c>
      <c r="U10">
        <v>275</v>
      </c>
      <c r="V10" t="s">
        <v>92</v>
      </c>
      <c r="W10" t="s">
        <v>53</v>
      </c>
    </row>
    <row r="11" spans="1:29" x14ac:dyDescent="0.15">
      <c r="Q11">
        <v>2.7</v>
      </c>
      <c r="R11" t="s">
        <v>52</v>
      </c>
      <c r="T11">
        <v>2.6638799999999998</v>
      </c>
      <c r="U11">
        <v>300</v>
      </c>
      <c r="V11" t="s">
        <v>92</v>
      </c>
      <c r="W11" t="s">
        <v>58</v>
      </c>
    </row>
    <row r="12" spans="1:29" x14ac:dyDescent="0.15">
      <c r="Q12">
        <v>2.7</v>
      </c>
      <c r="R12" t="s">
        <v>52</v>
      </c>
      <c r="T12">
        <v>2.6639400000000002</v>
      </c>
      <c r="U12">
        <v>600</v>
      </c>
      <c r="V12" t="s">
        <v>92</v>
      </c>
    </row>
    <row r="13" spans="1:29" x14ac:dyDescent="0.15">
      <c r="Q13">
        <v>2.7</v>
      </c>
      <c r="R13" t="s">
        <v>52</v>
      </c>
      <c r="T13">
        <v>2.6639699999999999</v>
      </c>
      <c r="U13">
        <v>1200</v>
      </c>
      <c r="V13" t="s">
        <v>92</v>
      </c>
    </row>
    <row r="14" spans="1:29" x14ac:dyDescent="0.15">
      <c r="Q14">
        <v>3.7</v>
      </c>
      <c r="R14" t="s">
        <v>52</v>
      </c>
      <c r="T14">
        <v>2.6621809999999999</v>
      </c>
      <c r="U14">
        <v>2000</v>
      </c>
      <c r="V14" t="s">
        <v>92</v>
      </c>
    </row>
    <row r="15" spans="1:29" ht="46.25" customHeight="1" x14ac:dyDescent="0.15">
      <c r="D15">
        <v>4.0000000000000001E-3</v>
      </c>
      <c r="E15">
        <v>0.4</v>
      </c>
      <c r="F15">
        <v>8</v>
      </c>
      <c r="G15" t="s">
        <v>62</v>
      </c>
      <c r="H15">
        <v>2</v>
      </c>
      <c r="I15">
        <v>9.5</v>
      </c>
      <c r="J15">
        <v>0.3</v>
      </c>
      <c r="K15">
        <v>5</v>
      </c>
      <c r="L15">
        <f>SQRT(K15^2-(F15/2)^2)</f>
        <v>3</v>
      </c>
      <c r="M15">
        <f>I15/2+L15</f>
        <v>7.75</v>
      </c>
      <c r="N15">
        <f>L15+I15/2</f>
        <v>7.75</v>
      </c>
      <c r="O15">
        <f>F15/D15</f>
        <v>2000</v>
      </c>
      <c r="P15">
        <f>J15/D15</f>
        <v>75</v>
      </c>
      <c r="Q15">
        <v>3</v>
      </c>
      <c r="R15" t="s">
        <v>52</v>
      </c>
      <c r="T15">
        <v>2.575758</v>
      </c>
      <c r="U15">
        <v>100</v>
      </c>
      <c r="V15" t="s">
        <v>92</v>
      </c>
      <c r="W15" t="s">
        <v>53</v>
      </c>
      <c r="X15" s="1" t="s">
        <v>93</v>
      </c>
      <c r="Y15" s="1"/>
      <c r="Z15" s="1"/>
      <c r="AA15" s="1"/>
      <c r="AB15" s="1"/>
      <c r="AC15" s="1"/>
    </row>
    <row r="16" spans="1:29" x14ac:dyDescent="0.15">
      <c r="Q16">
        <v>3</v>
      </c>
      <c r="R16" t="s">
        <v>90</v>
      </c>
      <c r="T16">
        <v>2.5702470000000002</v>
      </c>
      <c r="U16">
        <v>200</v>
      </c>
      <c r="V16" t="s">
        <v>92</v>
      </c>
      <c r="X16" t="s">
        <v>94</v>
      </c>
    </row>
    <row r="17" spans="1:29" x14ac:dyDescent="0.15">
      <c r="Q17">
        <v>2.6</v>
      </c>
      <c r="R17" t="s">
        <v>90</v>
      </c>
      <c r="T17">
        <v>2.5695049999999999</v>
      </c>
      <c r="U17">
        <v>200</v>
      </c>
      <c r="V17" t="s">
        <v>92</v>
      </c>
      <c r="X17" t="s">
        <v>95</v>
      </c>
    </row>
    <row r="18" spans="1:29" ht="46.25" customHeight="1" x14ac:dyDescent="0.15">
      <c r="D18">
        <v>2E-3</v>
      </c>
      <c r="E18">
        <v>0.4</v>
      </c>
      <c r="F18">
        <v>8</v>
      </c>
      <c r="G18" t="s">
        <v>62</v>
      </c>
      <c r="H18">
        <v>2</v>
      </c>
      <c r="I18">
        <v>9.5</v>
      </c>
      <c r="J18">
        <v>0.1</v>
      </c>
      <c r="K18">
        <v>5.5</v>
      </c>
      <c r="L18">
        <f>SQRT(K18^2-(F18/2)^2)</f>
        <v>3.7749172176353749</v>
      </c>
      <c r="M18">
        <f>I18/2+L18</f>
        <v>8.5249172176353749</v>
      </c>
      <c r="N18">
        <f>L18+I18/2</f>
        <v>8.5249172176353749</v>
      </c>
      <c r="O18">
        <f>F18/D18</f>
        <v>4000</v>
      </c>
      <c r="P18">
        <f>J18/D18</f>
        <v>50</v>
      </c>
      <c r="Q18">
        <v>3</v>
      </c>
      <c r="R18" t="s">
        <v>52</v>
      </c>
      <c r="T18">
        <v>2.7878790000000002</v>
      </c>
      <c r="U18">
        <v>100</v>
      </c>
      <c r="V18" t="s">
        <v>92</v>
      </c>
      <c r="W18" t="s">
        <v>53</v>
      </c>
      <c r="X18" s="1" t="s">
        <v>96</v>
      </c>
      <c r="Y18" s="1"/>
      <c r="Z18" s="1"/>
      <c r="AA18" s="1"/>
      <c r="AB18" s="1"/>
      <c r="AC18" s="1"/>
    </row>
    <row r="22" spans="1:29" x14ac:dyDescent="0.15">
      <c r="A22" t="s">
        <v>97</v>
      </c>
      <c r="B22" t="s">
        <v>98</v>
      </c>
      <c r="C22" t="s">
        <v>99</v>
      </c>
      <c r="D22" t="s">
        <v>100</v>
      </c>
      <c r="E22" t="s">
        <v>101</v>
      </c>
    </row>
    <row r="23" spans="1:29" x14ac:dyDescent="0.15">
      <c r="A23">
        <v>2.75</v>
      </c>
      <c r="B23">
        <v>274</v>
      </c>
      <c r="C23">
        <v>0</v>
      </c>
      <c r="D23">
        <f>A23/B23*C23</f>
        <v>0</v>
      </c>
      <c r="E23">
        <f>D23+9.5</f>
        <v>9.5</v>
      </c>
      <c r="F23">
        <f>(E23-9.5)/9.5*100</f>
        <v>0</v>
      </c>
    </row>
    <row r="24" spans="1:29" x14ac:dyDescent="0.15">
      <c r="A24">
        <v>2.75</v>
      </c>
      <c r="B24">
        <v>274</v>
      </c>
      <c r="C24">
        <v>50</v>
      </c>
      <c r="D24">
        <v>1.4388399999999999</v>
      </c>
      <c r="E24">
        <f>D24+9.5</f>
        <v>10.938839999999999</v>
      </c>
      <c r="F24">
        <f>(E24-9.5)/9.5*100</f>
        <v>15.145684210526305</v>
      </c>
    </row>
    <row r="25" spans="1:29" x14ac:dyDescent="0.15">
      <c r="A25">
        <v>2.75</v>
      </c>
      <c r="B25">
        <v>274</v>
      </c>
      <c r="C25">
        <v>150</v>
      </c>
      <c r="D25">
        <v>2.1477400000000002</v>
      </c>
      <c r="E25">
        <f>D25+9.5</f>
        <v>11.647740000000001</v>
      </c>
      <c r="F25">
        <f>(E25-9.5)/9.5*100</f>
        <v>22.607789473684218</v>
      </c>
    </row>
    <row r="26" spans="1:29" x14ac:dyDescent="0.15">
      <c r="A26">
        <v>2.75</v>
      </c>
      <c r="B26">
        <v>274</v>
      </c>
      <c r="C26">
        <v>191</v>
      </c>
      <c r="D26">
        <v>2.5175800000000002</v>
      </c>
      <c r="E26">
        <f>D26+9.5</f>
        <v>12.017580000000001</v>
      </c>
      <c r="F26">
        <f>(E26-9.5)/9.5*100</f>
        <v>26.50084210526316</v>
      </c>
      <c r="I26" t="s">
        <v>102</v>
      </c>
    </row>
    <row r="27" spans="1:29" x14ac:dyDescent="0.15">
      <c r="A27">
        <v>2.75</v>
      </c>
      <c r="B27">
        <v>274</v>
      </c>
      <c r="C27">
        <v>192</v>
      </c>
      <c r="D27">
        <v>2.5273500000000002</v>
      </c>
      <c r="E27">
        <f>D27+9.5</f>
        <v>12.02735</v>
      </c>
      <c r="F27">
        <f>(E27-9.5)/9.5*100</f>
        <v>26.603684210526318</v>
      </c>
      <c r="M27" t="s">
        <v>103</v>
      </c>
    </row>
  </sheetData>
  <mergeCells count="3">
    <mergeCell ref="X1:AC1"/>
    <mergeCell ref="X15:AC15"/>
    <mergeCell ref="X18:AC18"/>
  </mergeCell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B64"/>
  <sheetViews>
    <sheetView topLeftCell="A19" zoomScaleNormal="100" workbookViewId="0">
      <selection activeCell="S35" sqref="S35"/>
    </sheetView>
  </sheetViews>
  <sheetFormatPr baseColWidth="10" defaultColWidth="8.83203125" defaultRowHeight="13" x14ac:dyDescent="0.15"/>
  <cols>
    <col min="1" max="1" width="6.1640625" customWidth="1"/>
    <col min="2" max="2" width="5" customWidth="1"/>
    <col min="3" max="3" width="6.33203125" customWidth="1"/>
    <col min="4" max="4" width="5.5" customWidth="1"/>
    <col min="5" max="5" width="6.5" customWidth="1"/>
    <col min="6" max="6" width="8.83203125" customWidth="1"/>
    <col min="7" max="7" width="6.33203125" customWidth="1"/>
    <col min="8" max="8" width="6" customWidth="1"/>
    <col min="9" max="9" width="5.1640625" customWidth="1"/>
    <col min="10" max="10" width="11.5"/>
    <col min="11" max="11" width="6.1640625" customWidth="1"/>
    <col min="12" max="12" width="5.5" customWidth="1"/>
    <col min="13" max="13" width="5.6640625" customWidth="1"/>
    <col min="14" max="14" width="4.5" customWidth="1"/>
    <col min="15" max="15" width="9.6640625" customWidth="1"/>
    <col min="16" max="16" width="6.1640625" customWidth="1"/>
    <col min="17" max="23" width="11.5"/>
    <col min="24" max="24" width="13.1640625" customWidth="1"/>
    <col min="25" max="1025" width="11.5"/>
  </cols>
  <sheetData>
    <row r="1" spans="1:28" x14ac:dyDescent="0.15">
      <c r="A1" t="s">
        <v>7</v>
      </c>
      <c r="B1" t="s">
        <v>6</v>
      </c>
      <c r="C1" t="s">
        <v>25</v>
      </c>
      <c r="D1" t="s">
        <v>104</v>
      </c>
      <c r="E1" t="s">
        <v>105</v>
      </c>
      <c r="F1" t="s">
        <v>106</v>
      </c>
      <c r="G1" t="s">
        <v>24</v>
      </c>
      <c r="H1" t="s">
        <v>107</v>
      </c>
      <c r="I1" t="s">
        <v>36</v>
      </c>
      <c r="J1" t="s">
        <v>108</v>
      </c>
      <c r="L1" t="s">
        <v>109</v>
      </c>
      <c r="M1" t="s">
        <v>110</v>
      </c>
      <c r="N1" t="s">
        <v>111</v>
      </c>
      <c r="O1" t="s">
        <v>45</v>
      </c>
      <c r="P1" t="s">
        <v>112</v>
      </c>
      <c r="Q1" t="s">
        <v>0</v>
      </c>
      <c r="R1" t="s">
        <v>0</v>
      </c>
      <c r="S1" t="s">
        <v>113</v>
      </c>
      <c r="T1" t="s">
        <v>84</v>
      </c>
      <c r="U1" t="s">
        <v>114</v>
      </c>
      <c r="V1" t="s">
        <v>53</v>
      </c>
    </row>
    <row r="2" spans="1:28" x14ac:dyDescent="0.15">
      <c r="A2">
        <v>1</v>
      </c>
      <c r="B2">
        <v>1</v>
      </c>
      <c r="C2">
        <v>1000</v>
      </c>
      <c r="F2">
        <v>0.01</v>
      </c>
      <c r="G2">
        <f>10*F2</f>
        <v>0.1</v>
      </c>
      <c r="H2">
        <v>0.5</v>
      </c>
      <c r="I2">
        <v>3</v>
      </c>
      <c r="J2">
        <f>-10*F2</f>
        <v>-0.1</v>
      </c>
      <c r="K2">
        <f>-J2*2</f>
        <v>0.2</v>
      </c>
      <c r="L2">
        <f>10*F2</f>
        <v>0.1</v>
      </c>
      <c r="M2">
        <f>5*F2</f>
        <v>0.05</v>
      </c>
      <c r="N2">
        <f>M2</f>
        <v>0.05</v>
      </c>
      <c r="O2">
        <f>I2/F2</f>
        <v>300</v>
      </c>
      <c r="P2">
        <f>L2/F2</f>
        <v>10</v>
      </c>
      <c r="Q2">
        <v>3</v>
      </c>
      <c r="S2">
        <v>120</v>
      </c>
      <c r="U2" t="s">
        <v>115</v>
      </c>
    </row>
    <row r="3" spans="1:28" x14ac:dyDescent="0.15">
      <c r="Q3">
        <v>1</v>
      </c>
      <c r="S3">
        <v>50</v>
      </c>
      <c r="U3" t="s">
        <v>116</v>
      </c>
    </row>
    <row r="4" spans="1:28" x14ac:dyDescent="0.15">
      <c r="A4">
        <v>1</v>
      </c>
      <c r="B4">
        <v>1</v>
      </c>
      <c r="C4">
        <v>1000</v>
      </c>
      <c r="F4">
        <v>0.01</v>
      </c>
      <c r="G4">
        <f>10*F4</f>
        <v>0.1</v>
      </c>
      <c r="H4">
        <v>0.5</v>
      </c>
      <c r="I4">
        <v>3</v>
      </c>
      <c r="J4">
        <f>-5*F4</f>
        <v>-0.05</v>
      </c>
      <c r="K4">
        <f>-J4*2</f>
        <v>0.1</v>
      </c>
      <c r="L4">
        <f>10*F4</f>
        <v>0.1</v>
      </c>
      <c r="M4">
        <f>5*F4</f>
        <v>0.05</v>
      </c>
      <c r="N4">
        <f>M4</f>
        <v>0.05</v>
      </c>
      <c r="O4">
        <f>I4/F4</f>
        <v>300</v>
      </c>
      <c r="P4">
        <f>L4/F4</f>
        <v>10</v>
      </c>
      <c r="Q4">
        <v>2</v>
      </c>
      <c r="S4">
        <v>80</v>
      </c>
      <c r="U4" t="s">
        <v>117</v>
      </c>
    </row>
    <row r="5" spans="1:28" ht="13" customHeight="1" x14ac:dyDescent="0.15">
      <c r="Q5">
        <v>4</v>
      </c>
      <c r="R5">
        <v>3.4285709999999998</v>
      </c>
      <c r="S5">
        <v>120</v>
      </c>
      <c r="T5" t="s">
        <v>52</v>
      </c>
      <c r="U5" t="s">
        <v>118</v>
      </c>
      <c r="W5" s="1" t="s">
        <v>119</v>
      </c>
      <c r="X5" s="1"/>
      <c r="Y5" s="1"/>
      <c r="Z5" s="1"/>
      <c r="AA5" s="1"/>
      <c r="AB5" s="1"/>
    </row>
    <row r="6" spans="1:28" x14ac:dyDescent="0.15">
      <c r="Q6">
        <v>3.5</v>
      </c>
      <c r="S6">
        <v>200</v>
      </c>
      <c r="T6" t="s">
        <v>120</v>
      </c>
      <c r="U6" t="s">
        <v>118</v>
      </c>
      <c r="V6" t="s">
        <v>53</v>
      </c>
      <c r="W6" t="s">
        <v>121</v>
      </c>
    </row>
    <row r="7" spans="1:28" ht="13" customHeight="1" x14ac:dyDescent="0.15">
      <c r="Q7">
        <v>5</v>
      </c>
      <c r="R7">
        <v>3.4343430000000001</v>
      </c>
      <c r="S7">
        <v>100</v>
      </c>
      <c r="T7" t="s">
        <v>52</v>
      </c>
      <c r="W7" s="1" t="s">
        <v>122</v>
      </c>
      <c r="X7" s="1"/>
      <c r="Y7" s="1"/>
      <c r="Z7" s="1"/>
      <c r="AA7" s="1"/>
      <c r="AB7" s="1"/>
    </row>
    <row r="9" spans="1:28" x14ac:dyDescent="0.15">
      <c r="A9">
        <v>1</v>
      </c>
      <c r="B9">
        <v>1</v>
      </c>
      <c r="C9">
        <v>1000</v>
      </c>
      <c r="F9">
        <v>5.0000000000000001E-3</v>
      </c>
      <c r="G9">
        <f>10*F9</f>
        <v>0.05</v>
      </c>
      <c r="H9">
        <v>0.5</v>
      </c>
      <c r="I9">
        <v>0.75</v>
      </c>
      <c r="J9">
        <f>-2*F9</f>
        <v>-0.01</v>
      </c>
      <c r="K9">
        <f>-J9*2/4</f>
        <v>5.0000000000000001E-3</v>
      </c>
      <c r="L9">
        <f>4*F9</f>
        <v>0.02</v>
      </c>
      <c r="M9">
        <f>2*F9</f>
        <v>0.01</v>
      </c>
      <c r="N9">
        <f>M9</f>
        <v>0.01</v>
      </c>
      <c r="O9">
        <f>I9/F9</f>
        <v>150</v>
      </c>
      <c r="P9">
        <f>L9/F9</f>
        <v>4</v>
      </c>
      <c r="Q9">
        <v>3.5</v>
      </c>
      <c r="S9">
        <v>200</v>
      </c>
      <c r="T9" t="s">
        <v>52</v>
      </c>
      <c r="U9" t="s">
        <v>118</v>
      </c>
      <c r="V9" t="s">
        <v>53</v>
      </c>
    </row>
    <row r="10" spans="1:28" x14ac:dyDescent="0.15">
      <c r="Q10">
        <v>3.5</v>
      </c>
      <c r="R10">
        <v>3.5069999999999997E-2</v>
      </c>
      <c r="S10">
        <v>500</v>
      </c>
      <c r="T10" t="s">
        <v>52</v>
      </c>
      <c r="U10" t="s">
        <v>118</v>
      </c>
    </row>
    <row r="11" spans="1:28" x14ac:dyDescent="0.15">
      <c r="Q11">
        <v>2</v>
      </c>
      <c r="R11">
        <v>4.0201000000000001E-2</v>
      </c>
      <c r="S11">
        <v>200</v>
      </c>
      <c r="U11" t="s">
        <v>118</v>
      </c>
      <c r="V11" t="s">
        <v>53</v>
      </c>
    </row>
    <row r="12" spans="1:28" x14ac:dyDescent="0.15">
      <c r="Q12">
        <v>1</v>
      </c>
      <c r="R12">
        <v>0.02</v>
      </c>
      <c r="S12">
        <v>200</v>
      </c>
      <c r="T12" t="s">
        <v>52</v>
      </c>
      <c r="U12" t="s">
        <v>118</v>
      </c>
      <c r="V12" t="s">
        <v>53</v>
      </c>
    </row>
    <row r="13" spans="1:28" x14ac:dyDescent="0.15">
      <c r="Q13">
        <v>2</v>
      </c>
      <c r="R13">
        <v>2.0101000000000001E-2</v>
      </c>
      <c r="S13">
        <v>200</v>
      </c>
      <c r="U13" t="s">
        <v>118</v>
      </c>
      <c r="V13" t="s">
        <v>123</v>
      </c>
    </row>
    <row r="14" spans="1:28" x14ac:dyDescent="0.15">
      <c r="A14">
        <v>1</v>
      </c>
      <c r="B14">
        <v>1</v>
      </c>
      <c r="C14">
        <v>1000</v>
      </c>
      <c r="D14">
        <f>(3*C14-2*B14)/(2*(B14+3*C14))</f>
        <v>0.49950016661112961</v>
      </c>
      <c r="E14">
        <f>2*B14*(1+D14)</f>
        <v>2.9990003332222592</v>
      </c>
      <c r="F14">
        <v>6.0000000000000001E-3</v>
      </c>
      <c r="G14">
        <f>8*F14</f>
        <v>4.8000000000000001E-2</v>
      </c>
      <c r="H14">
        <v>0.5</v>
      </c>
      <c r="I14">
        <v>0.75</v>
      </c>
      <c r="J14">
        <f>-2*F14</f>
        <v>-1.2E-2</v>
      </c>
      <c r="K14">
        <f>-J14*2</f>
        <v>2.4E-2</v>
      </c>
      <c r="L14">
        <f>4*F14</f>
        <v>2.4E-2</v>
      </c>
      <c r="M14">
        <f>2*F14</f>
        <v>1.2E-2</v>
      </c>
      <c r="N14">
        <f>M14</f>
        <v>1.2E-2</v>
      </c>
      <c r="O14">
        <f>I14/F14</f>
        <v>125</v>
      </c>
      <c r="P14">
        <f>L14/F14</f>
        <v>4</v>
      </c>
      <c r="Q14">
        <v>2</v>
      </c>
      <c r="R14">
        <v>0.99497500000000005</v>
      </c>
      <c r="S14">
        <v>200</v>
      </c>
      <c r="T14" t="s">
        <v>52</v>
      </c>
      <c r="U14" t="s">
        <v>118</v>
      </c>
      <c r="V14" t="s">
        <v>53</v>
      </c>
    </row>
    <row r="15" spans="1:28" x14ac:dyDescent="0.1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</row>
    <row r="16" spans="1:28" x14ac:dyDescent="0.15">
      <c r="B16">
        <v>1</v>
      </c>
      <c r="C16">
        <v>1000</v>
      </c>
      <c r="D16">
        <f>(3*C16-2*B16)/(2*(B16+3*C16))</f>
        <v>0.49950016661112961</v>
      </c>
      <c r="E16">
        <f>2*B16*(1+D16)</f>
        <v>2.9990003332222592</v>
      </c>
      <c r="F16">
        <v>6.0000000000000001E-3</v>
      </c>
      <c r="G16">
        <f>8*F16</f>
        <v>4.8000000000000001E-2</v>
      </c>
      <c r="H16">
        <v>0.5</v>
      </c>
      <c r="I16">
        <v>0.75</v>
      </c>
      <c r="J16">
        <f>-2*F16</f>
        <v>-1.2E-2</v>
      </c>
      <c r="K16">
        <f>-J16*2</f>
        <v>2.4E-2</v>
      </c>
      <c r="L16">
        <f>4*F16</f>
        <v>2.4E-2</v>
      </c>
      <c r="M16">
        <f>2*F16</f>
        <v>1.2E-2</v>
      </c>
      <c r="N16">
        <f>M16</f>
        <v>1.2E-2</v>
      </c>
      <c r="O16">
        <f>I16/F16</f>
        <v>125</v>
      </c>
      <c r="P16">
        <f>L16/F16</f>
        <v>4</v>
      </c>
      <c r="Q16">
        <v>4</v>
      </c>
      <c r="R16" s="12">
        <v>0.42211100000000001</v>
      </c>
      <c r="S16">
        <v>200</v>
      </c>
      <c r="T16" t="s">
        <v>52</v>
      </c>
      <c r="U16" t="s">
        <v>118</v>
      </c>
      <c r="V16" t="s">
        <v>53</v>
      </c>
      <c r="W16" t="s">
        <v>124</v>
      </c>
    </row>
    <row r="17" spans="1:24" x14ac:dyDescent="0.15">
      <c r="Q17">
        <v>3.5</v>
      </c>
      <c r="R17" s="12">
        <v>0.39799299999999999</v>
      </c>
      <c r="S17">
        <v>300</v>
      </c>
      <c r="T17" t="s">
        <v>52</v>
      </c>
      <c r="U17" t="s">
        <v>118</v>
      </c>
      <c r="V17" t="s">
        <v>53</v>
      </c>
      <c r="W17" t="s">
        <v>125</v>
      </c>
    </row>
    <row r="18" spans="1:24" x14ac:dyDescent="0.15">
      <c r="B18">
        <v>1</v>
      </c>
      <c r="C18">
        <v>1000</v>
      </c>
      <c r="D18">
        <f>(3*C18-2*B18)/(2*(B18+3*C18))</f>
        <v>0.49950016661112961</v>
      </c>
      <c r="E18">
        <f>2*B18*(1+D18)</f>
        <v>2.9990003332222592</v>
      </c>
      <c r="F18">
        <v>0.01</v>
      </c>
      <c r="G18">
        <f>8*F18</f>
        <v>0.08</v>
      </c>
      <c r="H18">
        <v>0.5</v>
      </c>
      <c r="I18">
        <v>0.75</v>
      </c>
      <c r="J18">
        <f>-2*F18</f>
        <v>-0.02</v>
      </c>
      <c r="K18">
        <f>-J18*2</f>
        <v>0.04</v>
      </c>
      <c r="L18">
        <f>4*F18</f>
        <v>0.04</v>
      </c>
      <c r="M18">
        <f>2*F18</f>
        <v>0.02</v>
      </c>
      <c r="N18">
        <f>M18</f>
        <v>0.02</v>
      </c>
      <c r="O18">
        <f>I18/F18</f>
        <v>75</v>
      </c>
      <c r="P18">
        <f>L18/F18</f>
        <v>4</v>
      </c>
      <c r="Q18">
        <v>3</v>
      </c>
      <c r="S18">
        <v>300</v>
      </c>
      <c r="T18" t="s">
        <v>52</v>
      </c>
      <c r="V18" t="s">
        <v>53</v>
      </c>
      <c r="W18" t="s">
        <v>126</v>
      </c>
    </row>
    <row r="19" spans="1:24" x14ac:dyDescent="0.15">
      <c r="Q19">
        <v>3</v>
      </c>
      <c r="S19">
        <v>600</v>
      </c>
      <c r="T19" t="s">
        <v>52</v>
      </c>
      <c r="U19" t="s">
        <v>127</v>
      </c>
      <c r="W19" t="s">
        <v>126</v>
      </c>
    </row>
    <row r="20" spans="1:24" x14ac:dyDescent="0.15">
      <c r="A20">
        <v>1</v>
      </c>
      <c r="B20">
        <v>0.2</v>
      </c>
      <c r="C20">
        <v>200</v>
      </c>
      <c r="D20">
        <f>(3*C20-2*B20)/(2*(B20+3*C20))</f>
        <v>0.49950016661112961</v>
      </c>
      <c r="E20">
        <f>2*B20*(1+D20)</f>
        <v>0.59980006664445185</v>
      </c>
      <c r="F20">
        <v>0.01</v>
      </c>
      <c r="G20">
        <f>8*F20</f>
        <v>0.08</v>
      </c>
      <c r="H20">
        <v>0.5</v>
      </c>
      <c r="I20">
        <v>0.75</v>
      </c>
      <c r="J20">
        <f>-2*F20</f>
        <v>-0.02</v>
      </c>
      <c r="K20">
        <f>-J20*2</f>
        <v>0.04</v>
      </c>
      <c r="L20">
        <f>4*F20</f>
        <v>0.04</v>
      </c>
      <c r="M20">
        <f>2*F20</f>
        <v>0.02</v>
      </c>
      <c r="N20">
        <f>M20</f>
        <v>0.02</v>
      </c>
      <c r="O20">
        <f>I20/F20</f>
        <v>75</v>
      </c>
      <c r="P20">
        <f>L20/F20</f>
        <v>4</v>
      </c>
      <c r="Q20">
        <v>3</v>
      </c>
      <c r="S20">
        <v>200</v>
      </c>
      <c r="T20" t="s">
        <v>52</v>
      </c>
      <c r="V20" t="s">
        <v>58</v>
      </c>
      <c r="W20" t="s">
        <v>128</v>
      </c>
    </row>
    <row r="21" spans="1:24" x14ac:dyDescent="0.15">
      <c r="A21">
        <v>1</v>
      </c>
      <c r="B21">
        <v>0.2</v>
      </c>
      <c r="C21">
        <v>200</v>
      </c>
      <c r="D21">
        <f>(3*C21-2*B21)/(2*(B21+3*C21))</f>
        <v>0.49950016661112961</v>
      </c>
      <c r="E21">
        <f>2*B21*(1+D21)</f>
        <v>0.59980006664445185</v>
      </c>
      <c r="F21">
        <v>0.01</v>
      </c>
      <c r="G21">
        <v>0.1</v>
      </c>
      <c r="H21">
        <v>0.5</v>
      </c>
      <c r="I21">
        <v>0.75</v>
      </c>
      <c r="J21">
        <f>-F21</f>
        <v>-0.01</v>
      </c>
      <c r="K21">
        <f>-J21*2</f>
        <v>0.02</v>
      </c>
      <c r="L21">
        <f>4*F21</f>
        <v>0.04</v>
      </c>
      <c r="M21">
        <f>2*F21</f>
        <v>0.02</v>
      </c>
      <c r="N21">
        <f>M21</f>
        <v>0.02</v>
      </c>
      <c r="O21">
        <f>I21/F21</f>
        <v>75</v>
      </c>
      <c r="P21">
        <f>L21/F21</f>
        <v>4</v>
      </c>
      <c r="Q21">
        <v>3</v>
      </c>
      <c r="S21">
        <v>100</v>
      </c>
      <c r="T21" t="s">
        <v>52</v>
      </c>
      <c r="U21" t="s">
        <v>118</v>
      </c>
      <c r="V21" t="s">
        <v>53</v>
      </c>
      <c r="W21" t="s">
        <v>129</v>
      </c>
    </row>
    <row r="22" spans="1:24" x14ac:dyDescent="0.15">
      <c r="Q22">
        <v>4</v>
      </c>
      <c r="R22">
        <v>2.6666699999999999</v>
      </c>
      <c r="S22">
        <v>100</v>
      </c>
      <c r="T22" t="s">
        <v>52</v>
      </c>
      <c r="U22" t="s">
        <v>116</v>
      </c>
      <c r="V22" t="s">
        <v>53</v>
      </c>
    </row>
    <row r="23" spans="1:24" x14ac:dyDescent="0.15">
      <c r="Q23">
        <v>2.75</v>
      </c>
      <c r="S23">
        <v>275</v>
      </c>
      <c r="T23" t="s">
        <v>52</v>
      </c>
      <c r="U23" t="s">
        <v>116</v>
      </c>
    </row>
    <row r="24" spans="1:24" x14ac:dyDescent="0.15">
      <c r="A24">
        <v>1</v>
      </c>
      <c r="B24">
        <v>0.2</v>
      </c>
      <c r="C24">
        <v>200</v>
      </c>
      <c r="D24">
        <f>(3*C24-2*B24)/(2*(B24+3*C24))</f>
        <v>0.49950016661112961</v>
      </c>
      <c r="E24">
        <f>2*B24*(1+D24)</f>
        <v>0.59980006664445185</v>
      </c>
      <c r="F24">
        <v>0.01</v>
      </c>
      <c r="G24">
        <v>0.05</v>
      </c>
      <c r="H24">
        <v>0.5</v>
      </c>
      <c r="I24">
        <v>0.75</v>
      </c>
      <c r="J24">
        <f>-F24</f>
        <v>-0.01</v>
      </c>
      <c r="K24">
        <f>-J24*2</f>
        <v>0.02</v>
      </c>
      <c r="L24">
        <f>4*F24</f>
        <v>0.04</v>
      </c>
      <c r="M24">
        <f>2*F24</f>
        <v>0.02</v>
      </c>
      <c r="N24">
        <f>M24</f>
        <v>0.02</v>
      </c>
      <c r="O24">
        <f>I24/F24</f>
        <v>75</v>
      </c>
      <c r="P24">
        <f>L24/F24</f>
        <v>4</v>
      </c>
      <c r="Q24">
        <v>2.75</v>
      </c>
      <c r="S24">
        <v>275</v>
      </c>
      <c r="T24" t="s">
        <v>52</v>
      </c>
    </row>
    <row r="25" spans="1:24" x14ac:dyDescent="0.15">
      <c r="Q25" s="24">
        <v>2.75</v>
      </c>
      <c r="R25" s="24"/>
      <c r="S25" s="24">
        <v>200</v>
      </c>
      <c r="T25" s="24" t="s">
        <v>52</v>
      </c>
      <c r="U25" s="24" t="s">
        <v>116</v>
      </c>
      <c r="V25" t="s">
        <v>58</v>
      </c>
      <c r="W25" t="s">
        <v>130</v>
      </c>
      <c r="X25" t="s">
        <v>131</v>
      </c>
    </row>
    <row r="26" spans="1:24" x14ac:dyDescent="0.15">
      <c r="Q26">
        <v>2.75</v>
      </c>
      <c r="R26">
        <v>2.4874399999999999</v>
      </c>
      <c r="S26">
        <v>550</v>
      </c>
      <c r="T26" t="s">
        <v>52</v>
      </c>
      <c r="U26" t="s">
        <v>118</v>
      </c>
      <c r="V26" t="s">
        <v>53</v>
      </c>
      <c r="W26" t="s">
        <v>130</v>
      </c>
      <c r="X26" t="s">
        <v>132</v>
      </c>
    </row>
    <row r="27" spans="1:24" x14ac:dyDescent="0.15">
      <c r="Q27">
        <v>2.75</v>
      </c>
      <c r="R27">
        <v>2.649635</v>
      </c>
      <c r="S27">
        <v>275</v>
      </c>
      <c r="T27" t="s">
        <v>52</v>
      </c>
      <c r="U27" t="s">
        <v>118</v>
      </c>
    </row>
    <row r="28" spans="1:24" x14ac:dyDescent="0.15">
      <c r="Q28" s="24">
        <v>2.75</v>
      </c>
      <c r="R28" s="24"/>
      <c r="S28" s="24">
        <v>250</v>
      </c>
      <c r="T28" s="24" t="s">
        <v>52</v>
      </c>
      <c r="U28" s="24" t="s">
        <v>116</v>
      </c>
      <c r="V28" t="s">
        <v>58</v>
      </c>
    </row>
    <row r="29" spans="1:24" x14ac:dyDescent="0.15">
      <c r="Q29">
        <v>2.75</v>
      </c>
      <c r="S29">
        <v>200</v>
      </c>
      <c r="T29" t="s">
        <v>52</v>
      </c>
      <c r="U29" t="s">
        <v>118</v>
      </c>
      <c r="W29" t="s">
        <v>133</v>
      </c>
    </row>
    <row r="30" spans="1:24" x14ac:dyDescent="0.15">
      <c r="Q30">
        <v>2.75</v>
      </c>
      <c r="R30">
        <v>2.6396000000000002</v>
      </c>
      <c r="S30">
        <v>275</v>
      </c>
      <c r="U30" t="s">
        <v>118</v>
      </c>
      <c r="W30" t="s">
        <v>130</v>
      </c>
    </row>
    <row r="31" spans="1:24" x14ac:dyDescent="0.15">
      <c r="Q31" s="24">
        <v>2.75</v>
      </c>
      <c r="R31" s="24"/>
      <c r="S31" s="24">
        <v>250</v>
      </c>
      <c r="T31" s="24"/>
      <c r="U31" s="24" t="s">
        <v>116</v>
      </c>
      <c r="V31" t="s">
        <v>58</v>
      </c>
      <c r="X31" t="s">
        <v>134</v>
      </c>
    </row>
    <row r="32" spans="1:24" x14ac:dyDescent="0.15">
      <c r="Q32">
        <v>2.75</v>
      </c>
      <c r="R32">
        <v>2.6394500000000001</v>
      </c>
      <c r="S32">
        <v>200</v>
      </c>
      <c r="U32" t="s">
        <v>118</v>
      </c>
    </row>
    <row r="33" spans="1:23" x14ac:dyDescent="0.15">
      <c r="A33" t="s">
        <v>7</v>
      </c>
      <c r="B33" t="s">
        <v>6</v>
      </c>
      <c r="C33" t="s">
        <v>25</v>
      </c>
      <c r="D33" t="s">
        <v>104</v>
      </c>
      <c r="E33" t="s">
        <v>105</v>
      </c>
      <c r="F33" t="s">
        <v>106</v>
      </c>
      <c r="G33" t="s">
        <v>24</v>
      </c>
      <c r="H33" t="s">
        <v>107</v>
      </c>
      <c r="I33" t="s">
        <v>36</v>
      </c>
      <c r="J33" t="s">
        <v>108</v>
      </c>
      <c r="L33" t="s">
        <v>109</v>
      </c>
      <c r="M33" t="s">
        <v>110</v>
      </c>
      <c r="N33" t="s">
        <v>111</v>
      </c>
      <c r="O33" t="s">
        <v>45</v>
      </c>
      <c r="P33" t="s">
        <v>112</v>
      </c>
    </row>
    <row r="34" spans="1:23" x14ac:dyDescent="0.15">
      <c r="A34">
        <v>1</v>
      </c>
      <c r="B34">
        <v>0.2</v>
      </c>
      <c r="C34">
        <v>200</v>
      </c>
      <c r="D34">
        <f>(3*C34-2*B34)/(2*(B34+3*C34))</f>
        <v>0.49950016661112961</v>
      </c>
      <c r="E34">
        <f>2*B34*(1+D34)</f>
        <v>0.59980006664445185</v>
      </c>
      <c r="F34">
        <v>0.01</v>
      </c>
      <c r="G34">
        <v>0.04</v>
      </c>
      <c r="H34">
        <v>0.5</v>
      </c>
      <c r="I34">
        <v>0.75</v>
      </c>
      <c r="J34">
        <f>-F34</f>
        <v>-0.01</v>
      </c>
      <c r="K34">
        <f>-J34*2</f>
        <v>0.02</v>
      </c>
      <c r="L34">
        <f>10 *F34</f>
        <v>0.1</v>
      </c>
      <c r="M34">
        <f>2*F34</f>
        <v>0.02</v>
      </c>
      <c r="N34">
        <f>M34</f>
        <v>0.02</v>
      </c>
      <c r="O34">
        <f>I34/F34</f>
        <v>75</v>
      </c>
      <c r="P34">
        <f>L34/F34</f>
        <v>10</v>
      </c>
      <c r="Q34">
        <v>2.75</v>
      </c>
      <c r="R34">
        <v>2.7198899999999999</v>
      </c>
      <c r="S34">
        <v>275</v>
      </c>
      <c r="T34" t="s">
        <v>52</v>
      </c>
      <c r="U34" t="s">
        <v>135</v>
      </c>
      <c r="V34" t="s">
        <v>53</v>
      </c>
    </row>
    <row r="35" spans="1:23" x14ac:dyDescent="0.15">
      <c r="Q35" s="24">
        <v>2.75</v>
      </c>
      <c r="R35" s="24"/>
      <c r="S35" s="24">
        <v>350</v>
      </c>
      <c r="T35" s="24"/>
      <c r="U35" s="24" t="s">
        <v>116</v>
      </c>
      <c r="W35" t="s">
        <v>136</v>
      </c>
    </row>
    <row r="36" spans="1:23" x14ac:dyDescent="0.15">
      <c r="Q36">
        <v>2.75</v>
      </c>
      <c r="R36">
        <v>0.13395399999999999</v>
      </c>
      <c r="S36" s="7">
        <v>350</v>
      </c>
      <c r="T36" s="7"/>
      <c r="U36" t="s">
        <v>135</v>
      </c>
      <c r="W36" t="s">
        <v>137</v>
      </c>
    </row>
    <row r="37" spans="1:23" x14ac:dyDescent="0.15">
      <c r="Q37">
        <v>2.75</v>
      </c>
      <c r="S37" s="7">
        <v>350</v>
      </c>
      <c r="T37" s="7"/>
      <c r="U37" t="s">
        <v>135</v>
      </c>
      <c r="W37" t="s">
        <v>138</v>
      </c>
    </row>
    <row r="38" spans="1:23" x14ac:dyDescent="0.15">
      <c r="Q38" s="7">
        <v>3.5</v>
      </c>
      <c r="R38" s="7"/>
      <c r="S38" s="7">
        <v>350</v>
      </c>
      <c r="T38" s="7"/>
      <c r="U38" s="7"/>
      <c r="W38" t="s">
        <v>138</v>
      </c>
    </row>
    <row r="39" spans="1:23" x14ac:dyDescent="0.15">
      <c r="R39" s="7"/>
      <c r="S39" s="7">
        <v>700</v>
      </c>
      <c r="T39" s="7"/>
      <c r="U39" s="7"/>
    </row>
    <row r="40" spans="1:23" x14ac:dyDescent="0.15">
      <c r="A40">
        <v>1</v>
      </c>
      <c r="B40">
        <v>0.2</v>
      </c>
      <c r="C40">
        <v>200</v>
      </c>
      <c r="D40">
        <f>(3*C40-2*B40)/(2*(B40+3*C40))</f>
        <v>0.49950016661112961</v>
      </c>
      <c r="E40">
        <f>2*B40*(1+D40)</f>
        <v>0.59980006664445185</v>
      </c>
      <c r="F40">
        <v>0.01</v>
      </c>
      <c r="G40">
        <v>0.01</v>
      </c>
      <c r="H40">
        <v>0.5</v>
      </c>
      <c r="I40">
        <v>0.75</v>
      </c>
      <c r="J40">
        <f>-F40</f>
        <v>-0.01</v>
      </c>
      <c r="K40">
        <f>-J40*2</f>
        <v>0.02</v>
      </c>
      <c r="L40">
        <f>4*F40</f>
        <v>0.04</v>
      </c>
      <c r="M40">
        <f>2*F40</f>
        <v>0.02</v>
      </c>
      <c r="N40">
        <f>M40</f>
        <v>0.02</v>
      </c>
      <c r="O40">
        <f>I40/F40</f>
        <v>75</v>
      </c>
      <c r="P40">
        <f>L40/F40</f>
        <v>4</v>
      </c>
      <c r="Q40">
        <v>2.75</v>
      </c>
      <c r="R40">
        <v>2.6496400000000002</v>
      </c>
      <c r="S40">
        <v>275</v>
      </c>
      <c r="U40" t="s">
        <v>118</v>
      </c>
      <c r="V40" t="s">
        <v>53</v>
      </c>
      <c r="W40" t="s">
        <v>139</v>
      </c>
    </row>
    <row r="41" spans="1:23" x14ac:dyDescent="0.15">
      <c r="A41">
        <v>1</v>
      </c>
      <c r="B41">
        <v>0.2</v>
      </c>
      <c r="C41">
        <v>200</v>
      </c>
      <c r="D41">
        <f>(3*C41-2*B41)/(2*(B41+3*C41))</f>
        <v>0.49950016661112961</v>
      </c>
      <c r="E41">
        <f>2*B41*(1+D41)</f>
        <v>0.59980006664445185</v>
      </c>
      <c r="F41">
        <v>8.0000000000000002E-3</v>
      </c>
      <c r="G41">
        <v>0.04</v>
      </c>
      <c r="H41">
        <v>0.5</v>
      </c>
      <c r="I41">
        <v>0.75</v>
      </c>
      <c r="J41">
        <f>-2*F41</f>
        <v>-1.6E-2</v>
      </c>
      <c r="K41">
        <f>-J41*2</f>
        <v>3.2000000000000001E-2</v>
      </c>
      <c r="L41">
        <f>4*F41</f>
        <v>3.2000000000000001E-2</v>
      </c>
      <c r="M41">
        <f>2*F41</f>
        <v>1.6E-2</v>
      </c>
      <c r="N41">
        <f>M41</f>
        <v>1.6E-2</v>
      </c>
      <c r="O41">
        <f>I41/F41</f>
        <v>93.75</v>
      </c>
      <c r="P41">
        <f>L41/F41</f>
        <v>4</v>
      </c>
      <c r="Q41">
        <v>2.75</v>
      </c>
      <c r="R41" t="s">
        <v>140</v>
      </c>
      <c r="S41">
        <v>275</v>
      </c>
      <c r="T41" t="s">
        <v>52</v>
      </c>
      <c r="V41" t="s">
        <v>53</v>
      </c>
      <c r="W41" t="s">
        <v>139</v>
      </c>
    </row>
    <row r="42" spans="1:23" x14ac:dyDescent="0.15">
      <c r="Q42">
        <v>4</v>
      </c>
      <c r="R42">
        <v>2.7669199999999998</v>
      </c>
      <c r="S42">
        <v>400</v>
      </c>
      <c r="V42" t="s">
        <v>53</v>
      </c>
    </row>
    <row r="43" spans="1:23" x14ac:dyDescent="0.15">
      <c r="A43" s="17">
        <v>1</v>
      </c>
      <c r="B43" s="17">
        <v>0.2</v>
      </c>
      <c r="C43" s="17">
        <v>200</v>
      </c>
      <c r="D43" s="17">
        <f>(3*C43-2*B43)/(2*(B43+3*C43))</f>
        <v>0.49950016661112961</v>
      </c>
      <c r="E43" s="17">
        <f>2*B43*(1+D43)</f>
        <v>0.59980006664445185</v>
      </c>
      <c r="F43" s="17">
        <v>8.0000000000000002E-3</v>
      </c>
      <c r="G43" s="17">
        <v>0.04</v>
      </c>
      <c r="H43" s="17">
        <v>0.5</v>
      </c>
      <c r="I43" s="17">
        <v>0.75</v>
      </c>
      <c r="J43" s="17">
        <f>-2*F43</f>
        <v>-1.6E-2</v>
      </c>
      <c r="K43" s="17">
        <f>-J43*2</f>
        <v>3.2000000000000001E-2</v>
      </c>
      <c r="L43" s="17">
        <f>4*F43</f>
        <v>3.2000000000000001E-2</v>
      </c>
      <c r="M43" s="17">
        <f>2*F43</f>
        <v>1.6E-2</v>
      </c>
      <c r="N43" s="17">
        <f>M43</f>
        <v>1.6E-2</v>
      </c>
      <c r="O43" s="17">
        <f>I43/F43</f>
        <v>93.75</v>
      </c>
      <c r="P43" s="17">
        <f>L43/F43</f>
        <v>4</v>
      </c>
      <c r="Q43" s="17">
        <v>3</v>
      </c>
      <c r="R43" s="17">
        <v>2.7591999999999999</v>
      </c>
      <c r="S43" s="17">
        <v>300</v>
      </c>
      <c r="T43" s="17" t="s">
        <v>52</v>
      </c>
      <c r="U43" s="17" t="s">
        <v>116</v>
      </c>
      <c r="V43" s="17" t="s">
        <v>58</v>
      </c>
      <c r="W43" t="s">
        <v>136</v>
      </c>
    </row>
    <row r="44" spans="1:23" x14ac:dyDescent="0.15">
      <c r="A44">
        <v>1</v>
      </c>
      <c r="B44">
        <v>0.2</v>
      </c>
      <c r="C44">
        <v>200</v>
      </c>
      <c r="D44">
        <f>(3*C44-2*B44)/(2*(B44+3*C44))</f>
        <v>0.49950016661112961</v>
      </c>
      <c r="E44">
        <f>2*B44*(1+D44)</f>
        <v>0.59980006664445185</v>
      </c>
      <c r="F44">
        <v>8.0000000000000002E-3</v>
      </c>
      <c r="G44">
        <v>0.04</v>
      </c>
      <c r="H44">
        <v>0.5</v>
      </c>
      <c r="I44">
        <v>0.75</v>
      </c>
      <c r="J44">
        <f>-1*F44</f>
        <v>-8.0000000000000002E-3</v>
      </c>
      <c r="K44">
        <f>-J44*2</f>
        <v>1.6E-2</v>
      </c>
      <c r="L44">
        <f>10*F44</f>
        <v>0.08</v>
      </c>
      <c r="M44">
        <f>2*F44</f>
        <v>1.6E-2</v>
      </c>
      <c r="N44">
        <f>M44</f>
        <v>1.6E-2</v>
      </c>
      <c r="O44">
        <f>I44/F44</f>
        <v>93.75</v>
      </c>
      <c r="P44">
        <f>L44/F44</f>
        <v>10</v>
      </c>
      <c r="Q44">
        <v>2.8</v>
      </c>
      <c r="R44">
        <v>2.7498200000000002</v>
      </c>
      <c r="S44">
        <v>280</v>
      </c>
      <c r="U44" t="s">
        <v>118</v>
      </c>
    </row>
    <row r="45" spans="1:23" x14ac:dyDescent="0.15">
      <c r="Q45">
        <v>2.85</v>
      </c>
      <c r="S45">
        <v>400</v>
      </c>
      <c r="U45" t="s">
        <v>135</v>
      </c>
    </row>
    <row r="46" spans="1:23" x14ac:dyDescent="0.15">
      <c r="Q46">
        <v>2.85</v>
      </c>
      <c r="S46">
        <v>450</v>
      </c>
      <c r="U46" t="s">
        <v>135</v>
      </c>
    </row>
    <row r="47" spans="1:23" x14ac:dyDescent="0.15">
      <c r="S47">
        <v>500</v>
      </c>
    </row>
    <row r="48" spans="1:23" x14ac:dyDescent="0.15">
      <c r="A48">
        <v>1</v>
      </c>
      <c r="B48">
        <v>0.2</v>
      </c>
      <c r="C48">
        <v>200</v>
      </c>
      <c r="D48">
        <f>(3*C48-2*B48)/(2*(B48+3*C48))</f>
        <v>0.49950016661112961</v>
      </c>
      <c r="E48">
        <f>2*B48*(1+D48)</f>
        <v>0.59980006664445185</v>
      </c>
      <c r="F48">
        <v>8.0000000000000002E-3</v>
      </c>
      <c r="G48">
        <v>0.04</v>
      </c>
      <c r="H48">
        <v>0.5</v>
      </c>
      <c r="I48">
        <v>0.75</v>
      </c>
      <c r="J48">
        <f>-1*F48</f>
        <v>-8.0000000000000002E-3</v>
      </c>
      <c r="K48">
        <f>-J48*2</f>
        <v>1.6E-2</v>
      </c>
      <c r="L48">
        <f>20*F48</f>
        <v>0.16</v>
      </c>
      <c r="M48">
        <f>2*F48</f>
        <v>1.6E-2</v>
      </c>
      <c r="N48">
        <f>M48</f>
        <v>1.6E-2</v>
      </c>
      <c r="O48">
        <f>I48/F48</f>
        <v>93.75</v>
      </c>
      <c r="P48">
        <f>L48/F48</f>
        <v>20</v>
      </c>
      <c r="Q48">
        <v>2.85</v>
      </c>
      <c r="S48">
        <v>400</v>
      </c>
      <c r="U48" t="s">
        <v>118</v>
      </c>
      <c r="V48" t="s">
        <v>53</v>
      </c>
    </row>
    <row r="49" spans="1:22" x14ac:dyDescent="0.15">
      <c r="Q49">
        <v>2.85</v>
      </c>
      <c r="S49">
        <v>285</v>
      </c>
      <c r="U49" t="s">
        <v>141</v>
      </c>
      <c r="V49" t="s">
        <v>53</v>
      </c>
    </row>
    <row r="50" spans="1:22" x14ac:dyDescent="0.15">
      <c r="A50">
        <v>1</v>
      </c>
      <c r="B50">
        <v>0.2</v>
      </c>
      <c r="C50">
        <v>200</v>
      </c>
      <c r="D50">
        <f>(3*C50-2*B50)/(2*(B50+3*C50))</f>
        <v>0.49950016661112961</v>
      </c>
      <c r="E50">
        <f>2*B50*(1+D50)</f>
        <v>0.59980006664445185</v>
      </c>
      <c r="F50">
        <v>8.0000000000000002E-3</v>
      </c>
      <c r="G50">
        <v>0.04</v>
      </c>
      <c r="H50">
        <v>0.5</v>
      </c>
      <c r="I50">
        <v>0.75</v>
      </c>
      <c r="J50">
        <f>-1*F50</f>
        <v>-8.0000000000000002E-3</v>
      </c>
      <c r="K50">
        <f>-J50*2</f>
        <v>1.6E-2</v>
      </c>
      <c r="L50">
        <f>18*F50</f>
        <v>0.14400000000000002</v>
      </c>
      <c r="M50">
        <f>2*F50</f>
        <v>1.6E-2</v>
      </c>
      <c r="N50">
        <f>M50</f>
        <v>1.6E-2</v>
      </c>
      <c r="O50">
        <f>I50/F50</f>
        <v>93.75</v>
      </c>
      <c r="P50">
        <f>L50/F50</f>
        <v>18</v>
      </c>
      <c r="Q50">
        <v>2.85</v>
      </c>
      <c r="R50">
        <v>2.7295769999999999</v>
      </c>
      <c r="S50">
        <v>285</v>
      </c>
      <c r="U50" t="s">
        <v>141</v>
      </c>
    </row>
    <row r="51" spans="1:22" x14ac:dyDescent="0.15">
      <c r="S51">
        <v>350</v>
      </c>
    </row>
    <row r="53" spans="1:22" x14ac:dyDescent="0.15">
      <c r="A53" t="s">
        <v>7</v>
      </c>
      <c r="B53" t="s">
        <v>6</v>
      </c>
      <c r="C53" t="s">
        <v>25</v>
      </c>
      <c r="D53" t="s">
        <v>104</v>
      </c>
      <c r="E53" t="s">
        <v>105</v>
      </c>
      <c r="F53" t="s">
        <v>106</v>
      </c>
      <c r="G53" t="s">
        <v>24</v>
      </c>
      <c r="H53" t="s">
        <v>107</v>
      </c>
      <c r="I53" t="s">
        <v>36</v>
      </c>
      <c r="J53" t="s">
        <v>108</v>
      </c>
      <c r="L53" t="s">
        <v>109</v>
      </c>
      <c r="M53" t="s">
        <v>110</v>
      </c>
      <c r="N53" t="s">
        <v>111</v>
      </c>
      <c r="O53" t="s">
        <v>45</v>
      </c>
      <c r="P53" t="s">
        <v>112</v>
      </c>
      <c r="Q53" t="s">
        <v>0</v>
      </c>
      <c r="R53" t="s">
        <v>0</v>
      </c>
      <c r="S53" t="s">
        <v>113</v>
      </c>
      <c r="T53" t="s">
        <v>84</v>
      </c>
      <c r="U53" t="s">
        <v>114</v>
      </c>
      <c r="V53" t="s">
        <v>53</v>
      </c>
    </row>
    <row r="54" spans="1:22" x14ac:dyDescent="0.15">
      <c r="A54">
        <v>1</v>
      </c>
      <c r="B54">
        <v>0.2</v>
      </c>
      <c r="C54">
        <v>200</v>
      </c>
      <c r="D54">
        <f>(3*C54-2*B54)/(2*(B54+3*C54))</f>
        <v>0.49950016661112961</v>
      </c>
      <c r="E54">
        <f>2*B54*(1+D54)</f>
        <v>0.59980006664445185</v>
      </c>
      <c r="F54">
        <v>8.0000000000000002E-3</v>
      </c>
      <c r="G54">
        <v>0.04</v>
      </c>
      <c r="H54">
        <v>0.5</v>
      </c>
      <c r="I54">
        <v>0.75</v>
      </c>
      <c r="J54">
        <f>-2*F54</f>
        <v>-1.6E-2</v>
      </c>
      <c r="K54">
        <f>-J54*2</f>
        <v>3.2000000000000001E-2</v>
      </c>
      <c r="L54">
        <f>4*F54</f>
        <v>3.2000000000000001E-2</v>
      </c>
      <c r="M54">
        <f>2*F54</f>
        <v>1.6E-2</v>
      </c>
      <c r="N54">
        <f>M54</f>
        <v>1.6E-2</v>
      </c>
      <c r="O54">
        <f>I54/F54</f>
        <v>93.75</v>
      </c>
      <c r="P54">
        <f>L54/F54</f>
        <v>4</v>
      </c>
      <c r="Q54" s="24">
        <v>3</v>
      </c>
      <c r="R54" s="24">
        <v>2.7591999999999999</v>
      </c>
      <c r="S54" s="24">
        <v>300</v>
      </c>
      <c r="T54" s="24" t="s">
        <v>52</v>
      </c>
      <c r="U54" s="24" t="s">
        <v>116</v>
      </c>
      <c r="V54" s="24" t="s">
        <v>58</v>
      </c>
    </row>
    <row r="55" spans="1:22" x14ac:dyDescent="0.15">
      <c r="Q55">
        <v>3</v>
      </c>
      <c r="S55">
        <v>300</v>
      </c>
    </row>
    <row r="58" spans="1:22" x14ac:dyDescent="0.15">
      <c r="C58" t="s">
        <v>97</v>
      </c>
      <c r="D58" t="s">
        <v>98</v>
      </c>
      <c r="E58" t="s">
        <v>99</v>
      </c>
      <c r="F58" t="s">
        <v>100</v>
      </c>
      <c r="G58" t="s">
        <v>101</v>
      </c>
      <c r="H58" t="s">
        <v>142</v>
      </c>
    </row>
    <row r="59" spans="1:22" x14ac:dyDescent="0.15">
      <c r="C59">
        <v>3</v>
      </c>
      <c r="D59">
        <v>299</v>
      </c>
      <c r="E59">
        <v>0</v>
      </c>
      <c r="F59">
        <f t="shared" ref="F59:F64" si="0">C59/D59*E59</f>
        <v>0</v>
      </c>
      <c r="G59">
        <f t="shared" ref="G59:G64" si="1">1.5+F59</f>
        <v>1.5</v>
      </c>
      <c r="H59">
        <f t="shared" ref="H59:H64" si="2">(G59-1.5)/1.5*100</f>
        <v>0</v>
      </c>
      <c r="M59">
        <v>3</v>
      </c>
      <c r="N59">
        <v>299</v>
      </c>
      <c r="O59">
        <f>M59/N59</f>
        <v>1.0033444816053512E-2</v>
      </c>
      <c r="P59">
        <f>O59*275</f>
        <v>2.7591973244147159</v>
      </c>
    </row>
    <row r="60" spans="1:22" x14ac:dyDescent="0.15">
      <c r="C60">
        <v>3</v>
      </c>
      <c r="D60">
        <v>299</v>
      </c>
      <c r="E60">
        <v>50</v>
      </c>
      <c r="F60">
        <f t="shared" si="0"/>
        <v>0.50167224080267558</v>
      </c>
      <c r="G60">
        <f t="shared" si="1"/>
        <v>2.0016722408026757</v>
      </c>
      <c r="H60">
        <f t="shared" si="2"/>
        <v>33.444816053511708</v>
      </c>
    </row>
    <row r="61" spans="1:22" x14ac:dyDescent="0.15">
      <c r="C61">
        <v>3</v>
      </c>
      <c r="D61">
        <v>299</v>
      </c>
      <c r="E61">
        <v>150</v>
      </c>
      <c r="F61">
        <f t="shared" si="0"/>
        <v>1.5050167224080269</v>
      </c>
      <c r="G61">
        <f t="shared" si="1"/>
        <v>3.0050167224080271</v>
      </c>
      <c r="H61">
        <f t="shared" si="2"/>
        <v>100.33444816053515</v>
      </c>
    </row>
    <row r="62" spans="1:22" x14ac:dyDescent="0.15">
      <c r="C62">
        <v>3</v>
      </c>
      <c r="D62">
        <v>299</v>
      </c>
      <c r="E62">
        <v>250</v>
      </c>
      <c r="F62">
        <f t="shared" si="0"/>
        <v>2.508361204013378</v>
      </c>
      <c r="G62">
        <f t="shared" si="1"/>
        <v>4.0083612040133776</v>
      </c>
      <c r="H62">
        <f t="shared" si="2"/>
        <v>167.22408026755852</v>
      </c>
    </row>
    <row r="63" spans="1:22" x14ac:dyDescent="0.15">
      <c r="C63">
        <v>3</v>
      </c>
      <c r="D63">
        <v>299</v>
      </c>
      <c r="E63">
        <v>274</v>
      </c>
      <c r="F63">
        <f t="shared" si="0"/>
        <v>2.7491638795986622</v>
      </c>
      <c r="G63">
        <f t="shared" si="1"/>
        <v>4.2491638795986617</v>
      </c>
      <c r="H63">
        <f t="shared" si="2"/>
        <v>183.27759197324411</v>
      </c>
    </row>
    <row r="64" spans="1:22" x14ac:dyDescent="0.15">
      <c r="C64">
        <v>3</v>
      </c>
      <c r="D64">
        <v>299</v>
      </c>
      <c r="E64">
        <v>275</v>
      </c>
      <c r="F64">
        <f t="shared" si="0"/>
        <v>2.7591973244147159</v>
      </c>
      <c r="G64">
        <f t="shared" si="1"/>
        <v>4.2591973244147159</v>
      </c>
      <c r="H64">
        <f t="shared" si="2"/>
        <v>183.94648829431441</v>
      </c>
    </row>
  </sheetData>
  <mergeCells count="3">
    <mergeCell ref="W5:AB5"/>
    <mergeCell ref="W7:AB7"/>
    <mergeCell ref="B15:V15"/>
  </mergeCell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J25"/>
  <sheetViews>
    <sheetView tabSelected="1" zoomScaleNormal="100" workbookViewId="0">
      <selection activeCell="P24" sqref="P24"/>
    </sheetView>
  </sheetViews>
  <sheetFormatPr baseColWidth="10" defaultColWidth="8.83203125" defaultRowHeight="13" x14ac:dyDescent="0.15"/>
  <cols>
    <col min="1" max="2" width="4" customWidth="1"/>
    <col min="3" max="3" width="5.83203125" customWidth="1"/>
    <col min="4" max="4" width="9.33203125" customWidth="1"/>
    <col min="5" max="5" width="2.5" customWidth="1"/>
    <col min="6" max="6" width="2.83203125" customWidth="1"/>
    <col min="7" max="7" width="11.5"/>
    <col min="8" max="8" width="13.6640625" customWidth="1"/>
    <col min="9" max="9" width="5.6640625" customWidth="1"/>
    <col min="10" max="10" width="10" customWidth="1"/>
    <col min="11" max="11" width="13.1640625" customWidth="1"/>
    <col min="12" max="12" width="15.1640625" customWidth="1"/>
    <col min="13" max="14" width="6" customWidth="1"/>
    <col min="15" max="15" width="9" customWidth="1"/>
    <col min="16" max="16" width="11.5"/>
    <col min="17" max="17" width="6.33203125" customWidth="1"/>
    <col min="18" max="19" width="6" customWidth="1"/>
    <col min="20" max="20" width="4.6640625" customWidth="1"/>
    <col min="21" max="21" width="11.5"/>
    <col min="22" max="22" width="8.83203125" customWidth="1"/>
    <col min="23" max="23" width="21.83203125" customWidth="1"/>
    <col min="24" max="25" width="11.5"/>
    <col min="26" max="26" width="4" customWidth="1"/>
    <col min="27" max="1025" width="11.5"/>
  </cols>
  <sheetData>
    <row r="1" spans="1:1024" x14ac:dyDescent="0.15">
      <c r="A1" t="s">
        <v>6</v>
      </c>
      <c r="B1" t="s">
        <v>7</v>
      </c>
      <c r="C1" t="s">
        <v>8</v>
      </c>
      <c r="D1" t="s">
        <v>25</v>
      </c>
      <c r="E1" s="12" t="s">
        <v>23</v>
      </c>
      <c r="F1" s="12" t="s">
        <v>36</v>
      </c>
      <c r="G1" s="12" t="s">
        <v>9</v>
      </c>
      <c r="H1" t="s">
        <v>10</v>
      </c>
      <c r="I1" s="12" t="s">
        <v>0</v>
      </c>
      <c r="J1" t="s">
        <v>11</v>
      </c>
      <c r="K1" t="s">
        <v>12</v>
      </c>
      <c r="L1" t="s">
        <v>13</v>
      </c>
      <c r="M1" s="12" t="s">
        <v>19</v>
      </c>
      <c r="N1" t="s">
        <v>20</v>
      </c>
      <c r="O1" t="s">
        <v>37</v>
      </c>
      <c r="P1" t="s">
        <v>41</v>
      </c>
      <c r="Q1" t="s">
        <v>1</v>
      </c>
      <c r="R1" t="s">
        <v>42</v>
      </c>
      <c r="S1" t="s">
        <v>43</v>
      </c>
      <c r="T1" t="s">
        <v>44</v>
      </c>
      <c r="U1" t="s">
        <v>49</v>
      </c>
      <c r="V1" t="s">
        <v>143</v>
      </c>
      <c r="W1" t="s">
        <v>144</v>
      </c>
    </row>
    <row r="2" spans="1:1024" x14ac:dyDescent="0.15">
      <c r="E2" s="12"/>
      <c r="F2" s="12"/>
      <c r="G2" s="12"/>
      <c r="I2" s="12"/>
      <c r="M2" s="12"/>
    </row>
    <row r="3" spans="1:1024" x14ac:dyDescent="0.15">
      <c r="E3" s="12"/>
      <c r="F3" s="12"/>
      <c r="G3" s="12"/>
      <c r="I3" s="12"/>
      <c r="M3" s="12"/>
    </row>
    <row r="4" spans="1:1024" s="7" customFormat="1" x14ac:dyDescent="0.15">
      <c r="A4" s="24">
        <v>1</v>
      </c>
      <c r="B4" s="24">
        <v>1</v>
      </c>
      <c r="C4" s="24">
        <f>B4*(1+(3/2)*M4/N4)</f>
        <v>1.3</v>
      </c>
      <c r="D4" s="25">
        <v>1000</v>
      </c>
      <c r="E4" s="24">
        <v>6</v>
      </c>
      <c r="F4" s="24">
        <v>1</v>
      </c>
      <c r="G4" s="24">
        <v>0.46589999999999998</v>
      </c>
      <c r="H4" s="24">
        <v>0.5454</v>
      </c>
      <c r="I4" s="24">
        <v>0.55000000000000004</v>
      </c>
      <c r="J4" s="25"/>
      <c r="K4" s="25">
        <f>ABS(G4-J4)/G4*100</f>
        <v>100</v>
      </c>
      <c r="L4" s="25">
        <f>ABS(H4-J4)/H4*100</f>
        <v>100</v>
      </c>
      <c r="M4" s="24">
        <v>5.0000000000000001E-3</v>
      </c>
      <c r="N4" s="24">
        <f>5*M4</f>
        <v>2.5000000000000001E-2</v>
      </c>
      <c r="O4" s="24">
        <f>20*M4</f>
        <v>0.1</v>
      </c>
      <c r="P4" s="26" t="s">
        <v>52</v>
      </c>
      <c r="Q4" s="24">
        <v>200</v>
      </c>
      <c r="R4" s="24">
        <f>M4</f>
        <v>5.0000000000000001E-3</v>
      </c>
      <c r="S4" s="24">
        <f>N4</f>
        <v>2.5000000000000001E-2</v>
      </c>
      <c r="T4" s="24" t="s">
        <v>62</v>
      </c>
      <c r="U4" s="24"/>
      <c r="V4" s="26" t="s">
        <v>70</v>
      </c>
      <c r="W4" s="26" t="s">
        <v>145</v>
      </c>
      <c r="X4"/>
      <c r="Y4"/>
      <c r="Z4"/>
      <c r="AA4"/>
      <c r="AME4"/>
      <c r="AMF4"/>
      <c r="AMG4"/>
      <c r="AMH4"/>
      <c r="AMI4"/>
      <c r="AMJ4"/>
    </row>
    <row r="5" spans="1:1024" s="7" customFormat="1" x14ac:dyDescent="0.15">
      <c r="A5" s="24">
        <v>1</v>
      </c>
      <c r="B5" s="24">
        <v>1</v>
      </c>
      <c r="C5" s="24">
        <f>B5*(1+(3/2)*M5/N5)</f>
        <v>1.3</v>
      </c>
      <c r="D5" s="25">
        <v>1000</v>
      </c>
      <c r="E5" s="24">
        <v>6</v>
      </c>
      <c r="F5" s="24">
        <v>1</v>
      </c>
      <c r="G5" s="24">
        <v>0.46589999999999998</v>
      </c>
      <c r="H5" s="24">
        <v>0.5454</v>
      </c>
      <c r="I5" s="24">
        <v>0.55000000000000004</v>
      </c>
      <c r="J5" s="25">
        <v>0.51959798994974904</v>
      </c>
      <c r="K5" s="25">
        <f>ABS(G5-J5)/G5*100</f>
        <v>11.525647123792458</v>
      </c>
      <c r="L5" s="25">
        <f>ABS(H5-J5)/H5*100</f>
        <v>4.7308415933720127</v>
      </c>
      <c r="M5" s="24">
        <v>5.0000000000000001E-3</v>
      </c>
      <c r="N5" s="24">
        <f>5*M5</f>
        <v>2.5000000000000001E-2</v>
      </c>
      <c r="O5" s="24">
        <f>20*M5</f>
        <v>0.1</v>
      </c>
      <c r="P5" s="26" t="s">
        <v>52</v>
      </c>
      <c r="Q5" s="24">
        <v>200</v>
      </c>
      <c r="R5" s="24">
        <f>M5</f>
        <v>5.0000000000000001E-3</v>
      </c>
      <c r="S5" s="24">
        <v>0.2</v>
      </c>
      <c r="T5" s="24">
        <v>0.08</v>
      </c>
      <c r="U5" s="26"/>
      <c r="V5" s="26" t="s">
        <v>146</v>
      </c>
      <c r="W5" s="26" t="s">
        <v>145</v>
      </c>
      <c r="AME5"/>
      <c r="AMF5"/>
      <c r="AMG5"/>
      <c r="AMH5"/>
      <c r="AMI5"/>
      <c r="AMJ5"/>
    </row>
    <row r="6" spans="1:1024" s="7" customFormat="1" x14ac:dyDescent="0.15">
      <c r="A6" s="24">
        <v>1</v>
      </c>
      <c r="B6" s="24">
        <v>1</v>
      </c>
      <c r="C6" s="24">
        <f>B6*(1+(3/2)*M6/N6)</f>
        <v>1.3</v>
      </c>
      <c r="D6" s="25">
        <v>1000</v>
      </c>
      <c r="E6" s="24">
        <v>6</v>
      </c>
      <c r="F6" s="24">
        <v>1</v>
      </c>
      <c r="G6" s="24">
        <v>0.46589999999999998</v>
      </c>
      <c r="H6" s="24">
        <v>0.5454</v>
      </c>
      <c r="I6" s="24">
        <v>0.55000000000000004</v>
      </c>
      <c r="J6" s="25"/>
      <c r="K6" s="25">
        <f>ABS(G6-J6)/G6*100</f>
        <v>100</v>
      </c>
      <c r="L6" s="25">
        <f>ABS(H6-J6)/H6*100</f>
        <v>100</v>
      </c>
      <c r="M6" s="24">
        <v>5.0000000000000001E-3</v>
      </c>
      <c r="N6" s="24">
        <f>5*M6</f>
        <v>2.5000000000000001E-2</v>
      </c>
      <c r="O6" s="24">
        <f>20*M6</f>
        <v>0.1</v>
      </c>
      <c r="P6" s="26" t="s">
        <v>52</v>
      </c>
      <c r="Q6" s="24">
        <v>200</v>
      </c>
      <c r="R6" s="24">
        <f>M6</f>
        <v>5.0000000000000001E-3</v>
      </c>
      <c r="S6" s="24">
        <v>0.2</v>
      </c>
      <c r="T6" s="24">
        <v>0.04</v>
      </c>
      <c r="U6" s="26"/>
      <c r="V6" s="26" t="s">
        <v>146</v>
      </c>
      <c r="W6" s="26" t="s">
        <v>147</v>
      </c>
      <c r="AME6"/>
      <c r="AMF6"/>
      <c r="AMG6"/>
      <c r="AMH6"/>
      <c r="AMI6"/>
      <c r="AMJ6"/>
    </row>
    <row r="7" spans="1:1024" s="7" customFormat="1" x14ac:dyDescent="0.15">
      <c r="D7" s="8"/>
      <c r="J7" s="8"/>
      <c r="V7"/>
      <c r="AME7"/>
      <c r="AMF7"/>
      <c r="AMG7"/>
      <c r="AMH7"/>
      <c r="AMI7"/>
      <c r="AMJ7"/>
    </row>
    <row r="8" spans="1:1024" s="7" customFormat="1" x14ac:dyDescent="0.15">
      <c r="D8" s="8"/>
      <c r="J8" s="8"/>
      <c r="V8"/>
      <c r="AME8"/>
      <c r="AMF8"/>
      <c r="AMG8"/>
      <c r="AMH8"/>
      <c r="AMI8"/>
      <c r="AMJ8"/>
    </row>
    <row r="9" spans="1:1024" s="7" customFormat="1" x14ac:dyDescent="0.15">
      <c r="A9" t="s">
        <v>6</v>
      </c>
      <c r="B9" t="s">
        <v>7</v>
      </c>
      <c r="C9"/>
      <c r="D9" t="s">
        <v>25</v>
      </c>
      <c r="E9" t="s">
        <v>107</v>
      </c>
      <c r="F9" t="s">
        <v>36</v>
      </c>
      <c r="G9" t="s">
        <v>148</v>
      </c>
      <c r="H9" t="s">
        <v>149</v>
      </c>
      <c r="I9" t="s">
        <v>0</v>
      </c>
      <c r="J9" t="s">
        <v>11</v>
      </c>
      <c r="K9"/>
      <c r="L9"/>
      <c r="M9"/>
      <c r="N9"/>
      <c r="O9"/>
      <c r="P9"/>
      <c r="Q9" t="s">
        <v>1</v>
      </c>
      <c r="R9" t="s">
        <v>106</v>
      </c>
      <c r="S9" t="s">
        <v>24</v>
      </c>
      <c r="T9"/>
      <c r="U9" t="s">
        <v>150</v>
      </c>
      <c r="V9"/>
      <c r="X9" t="s">
        <v>104</v>
      </c>
      <c r="Y9" t="s">
        <v>105</v>
      </c>
      <c r="Z9" t="s">
        <v>109</v>
      </c>
      <c r="AA9" t="s">
        <v>110</v>
      </c>
      <c r="AB9" t="s">
        <v>111</v>
      </c>
      <c r="AME9"/>
      <c r="AMF9"/>
      <c r="AMG9"/>
      <c r="AMH9"/>
      <c r="AMI9"/>
      <c r="AMJ9"/>
    </row>
    <row r="10" spans="1:1024" s="7" customFormat="1" x14ac:dyDescent="0.15">
      <c r="A10">
        <v>0.2</v>
      </c>
      <c r="B10">
        <v>1</v>
      </c>
      <c r="C10"/>
      <c r="D10">
        <v>200</v>
      </c>
      <c r="E10">
        <v>0.5</v>
      </c>
      <c r="F10">
        <v>0.75</v>
      </c>
      <c r="G10">
        <f>-R10</f>
        <v>-0.01</v>
      </c>
      <c r="H10">
        <f>-G10*2</f>
        <v>0.02</v>
      </c>
      <c r="I10">
        <v>4</v>
      </c>
      <c r="J10" s="8">
        <v>2.9748700000000001</v>
      </c>
      <c r="K10"/>
      <c r="L10"/>
      <c r="M10"/>
      <c r="N10"/>
      <c r="O10"/>
      <c r="P10"/>
      <c r="Q10">
        <v>200</v>
      </c>
      <c r="R10">
        <v>0.01</v>
      </c>
      <c r="S10">
        <v>0.04</v>
      </c>
      <c r="T10"/>
      <c r="U10">
        <v>148</v>
      </c>
      <c r="V10"/>
      <c r="W10" s="7" t="s">
        <v>145</v>
      </c>
      <c r="X10">
        <f>(3*D11-2*A11)/(2*(A11+3*D11))</f>
        <v>0.49950016661112961</v>
      </c>
      <c r="Y10">
        <f>2*A11*(1+X10)</f>
        <v>0.59980006664445185</v>
      </c>
      <c r="Z10">
        <f>10 *R11</f>
        <v>0.1</v>
      </c>
      <c r="AA10">
        <f>2*R11</f>
        <v>0.02</v>
      </c>
      <c r="AB10">
        <f>AA10</f>
        <v>0.02</v>
      </c>
      <c r="AME10"/>
      <c r="AMF10"/>
      <c r="AMG10"/>
      <c r="AMH10"/>
      <c r="AMI10"/>
      <c r="AMJ10"/>
    </row>
    <row r="11" spans="1:1024" s="7" customFormat="1" x14ac:dyDescent="0.15">
      <c r="A11">
        <v>0.2</v>
      </c>
      <c r="B11">
        <v>1</v>
      </c>
      <c r="C11"/>
      <c r="D11">
        <v>200</v>
      </c>
      <c r="E11">
        <v>0.5</v>
      </c>
      <c r="F11">
        <v>0.75</v>
      </c>
      <c r="G11">
        <f>-R11</f>
        <v>-0.01</v>
      </c>
      <c r="H11">
        <f>-G11*2</f>
        <v>0.02</v>
      </c>
      <c r="I11">
        <v>4</v>
      </c>
      <c r="J11"/>
      <c r="K11"/>
      <c r="L11"/>
      <c r="M11"/>
      <c r="N11"/>
      <c r="O11"/>
      <c r="P11"/>
      <c r="Q11">
        <v>200</v>
      </c>
      <c r="R11">
        <v>0.01</v>
      </c>
      <c r="S11">
        <v>0.04</v>
      </c>
      <c r="T11"/>
      <c r="U11">
        <v>152</v>
      </c>
      <c r="V11" t="s">
        <v>70</v>
      </c>
      <c r="W11" s="7" t="s">
        <v>151</v>
      </c>
      <c r="AME11"/>
      <c r="AMF11"/>
      <c r="AMG11"/>
      <c r="AMH11"/>
      <c r="AMI11"/>
      <c r="AMJ11"/>
    </row>
    <row r="12" spans="1:1024" s="7" customFormat="1" x14ac:dyDescent="0.15">
      <c r="D12" s="8"/>
      <c r="I12" s="7">
        <v>4</v>
      </c>
      <c r="J12">
        <v>3.0375899999999998</v>
      </c>
      <c r="K12" s="8"/>
      <c r="Q12" s="7">
        <v>400</v>
      </c>
      <c r="R12">
        <v>0.01</v>
      </c>
      <c r="S12" s="7">
        <v>0.04</v>
      </c>
      <c r="U12" s="7">
        <v>200</v>
      </c>
      <c r="V12"/>
      <c r="W12"/>
      <c r="AME12"/>
      <c r="AMF12"/>
      <c r="AMG12"/>
      <c r="AMH12"/>
      <c r="AMI12"/>
      <c r="AMJ12"/>
    </row>
    <row r="13" spans="1:1024" s="7" customFormat="1" x14ac:dyDescent="0.15">
      <c r="A13" s="26">
        <v>0.2</v>
      </c>
      <c r="B13" s="26">
        <v>1</v>
      </c>
      <c r="C13" s="26"/>
      <c r="D13" s="26">
        <v>200</v>
      </c>
      <c r="E13" s="26">
        <v>0.5</v>
      </c>
      <c r="F13" s="26">
        <v>0.75</v>
      </c>
      <c r="G13" s="26">
        <f>-R13</f>
        <v>-0.01</v>
      </c>
      <c r="H13" s="26">
        <f>-G13*2</f>
        <v>0.02</v>
      </c>
      <c r="I13" s="26">
        <v>3.5</v>
      </c>
      <c r="J13" s="26"/>
      <c r="K13" s="26"/>
      <c r="L13" s="26"/>
      <c r="M13" s="26"/>
      <c r="N13" s="26"/>
      <c r="O13" s="26"/>
      <c r="P13" s="26"/>
      <c r="Q13" s="26">
        <v>400</v>
      </c>
      <c r="R13" s="26">
        <v>0.01</v>
      </c>
      <c r="S13" s="26">
        <v>0.04</v>
      </c>
      <c r="T13" s="26"/>
      <c r="U13" s="26"/>
      <c r="V13" s="26"/>
      <c r="W13" s="26"/>
      <c r="AME13"/>
      <c r="AMF13"/>
      <c r="AMG13"/>
      <c r="AMH13"/>
      <c r="AMI13"/>
      <c r="AMJ13"/>
    </row>
    <row r="16" spans="1:1024" x14ac:dyDescent="0.15">
      <c r="A16" t="s">
        <v>6</v>
      </c>
      <c r="B16" t="s">
        <v>7</v>
      </c>
      <c r="C16" t="s">
        <v>35</v>
      </c>
      <c r="D16" t="s">
        <v>25</v>
      </c>
      <c r="E16" s="12" t="s">
        <v>23</v>
      </c>
      <c r="F16" s="12" t="s">
        <v>36</v>
      </c>
      <c r="G16" s="12" t="s">
        <v>9</v>
      </c>
      <c r="H16" t="s">
        <v>10</v>
      </c>
      <c r="I16" s="12" t="s">
        <v>0</v>
      </c>
      <c r="J16" t="s">
        <v>11</v>
      </c>
      <c r="K16" t="s">
        <v>12</v>
      </c>
      <c r="L16" t="s">
        <v>13</v>
      </c>
      <c r="M16" s="12" t="s">
        <v>19</v>
      </c>
      <c r="N16" t="s">
        <v>20</v>
      </c>
      <c r="O16" t="s">
        <v>37</v>
      </c>
      <c r="P16" t="s">
        <v>41</v>
      </c>
      <c r="Q16" t="s">
        <v>1</v>
      </c>
      <c r="R16" t="s">
        <v>42</v>
      </c>
      <c r="S16" t="s">
        <v>43</v>
      </c>
      <c r="T16" t="s">
        <v>44</v>
      </c>
      <c r="U16" t="s">
        <v>49</v>
      </c>
      <c r="V16" t="s">
        <v>143</v>
      </c>
      <c r="W16" t="s">
        <v>144</v>
      </c>
    </row>
    <row r="17" spans="1:41" s="12" customFormat="1" x14ac:dyDescent="0.15">
      <c r="A17">
        <v>1</v>
      </c>
      <c r="B17">
        <v>1</v>
      </c>
      <c r="C17">
        <f>B17*(1+(3/2)*M17/N17)</f>
        <v>1.3</v>
      </c>
      <c r="D17" s="9">
        <v>100001</v>
      </c>
      <c r="E17">
        <v>6</v>
      </c>
      <c r="F17">
        <v>0.5</v>
      </c>
      <c r="G17">
        <v>0.46589999999999998</v>
      </c>
      <c r="H17">
        <v>0.5454</v>
      </c>
      <c r="I17">
        <v>0.53</v>
      </c>
      <c r="J17" s="9">
        <v>0.52098733289366195</v>
      </c>
      <c r="K17" s="9">
        <f>ABS(G17-J17)/G17*100</f>
        <v>11.823853379193384</v>
      </c>
      <c r="L17" s="16">
        <f>ABS(H17-J17)/H17*100</f>
        <v>4.4761032464866242</v>
      </c>
      <c r="M17">
        <v>5.0000000000000001E-3</v>
      </c>
      <c r="N17">
        <f>5*M17</f>
        <v>2.5000000000000001E-2</v>
      </c>
      <c r="O17" s="15">
        <f>20*M17</f>
        <v>0.1</v>
      </c>
      <c r="P17" s="12" t="s">
        <v>57</v>
      </c>
      <c r="Q17">
        <v>250</v>
      </c>
      <c r="R17">
        <f>F15</f>
        <v>0</v>
      </c>
      <c r="S17">
        <f>G15</f>
        <v>0</v>
      </c>
      <c r="T17">
        <v>0.08</v>
      </c>
      <c r="U17" s="20"/>
      <c r="V17" s="12" t="s">
        <v>146</v>
      </c>
      <c r="W17" s="7" t="s">
        <v>145</v>
      </c>
    </row>
    <row r="18" spans="1:41" s="7" customFormat="1" x14ac:dyDescent="0.15">
      <c r="A18" s="7">
        <v>1</v>
      </c>
      <c r="B18" s="7">
        <v>1</v>
      </c>
      <c r="C18" s="7">
        <f>B18*(1+(3/2)*M18/N18)</f>
        <v>1.3</v>
      </c>
      <c r="D18" s="8">
        <v>100001</v>
      </c>
      <c r="E18" s="7">
        <v>6</v>
      </c>
      <c r="F18" s="7">
        <v>0.5</v>
      </c>
      <c r="G18" s="7">
        <v>0.46589999999999998</v>
      </c>
      <c r="H18" s="7">
        <v>0.5454</v>
      </c>
      <c r="I18" s="7">
        <v>0.53</v>
      </c>
      <c r="J18" s="8">
        <v>0.519920705566292</v>
      </c>
      <c r="K18" s="8">
        <f>ABS(G18-J18)/G18*100</f>
        <v>11.594914266214213</v>
      </c>
      <c r="L18" s="22">
        <f>ABS(H18-J18)/H18*100</f>
        <v>4.671671146627796</v>
      </c>
      <c r="M18" s="7">
        <v>5.0000000000000001E-3</v>
      </c>
      <c r="N18" s="7">
        <f>5*M18</f>
        <v>2.5000000000000001E-2</v>
      </c>
      <c r="O18" s="7">
        <f>20*M18</f>
        <v>0.1</v>
      </c>
      <c r="Q18" s="7">
        <v>325</v>
      </c>
      <c r="R18" s="7">
        <f>M18</f>
        <v>5.0000000000000001E-3</v>
      </c>
      <c r="S18" s="7">
        <v>0.1</v>
      </c>
      <c r="T18" s="7" t="s">
        <v>62</v>
      </c>
      <c r="V18" s="7" t="s">
        <v>70</v>
      </c>
      <c r="W18" s="7" t="s">
        <v>145</v>
      </c>
    </row>
    <row r="19" spans="1:41" s="7" customFormat="1" x14ac:dyDescent="0.15">
      <c r="D19" s="8"/>
      <c r="J19" s="8"/>
      <c r="K19" s="8"/>
      <c r="L19" s="8"/>
    </row>
    <row r="20" spans="1:41" s="7" customFormat="1" x14ac:dyDescent="0.15">
      <c r="A20" s="7">
        <v>1</v>
      </c>
      <c r="B20" s="7">
        <v>1</v>
      </c>
      <c r="C20" s="7">
        <f>B20*(1+(3/2)*M20/N20)</f>
        <v>1.3</v>
      </c>
      <c r="D20" s="8">
        <v>100001</v>
      </c>
      <c r="E20" s="7">
        <v>6</v>
      </c>
      <c r="F20" s="7">
        <v>0.5</v>
      </c>
      <c r="G20" s="7">
        <v>0.46589999999999998</v>
      </c>
      <c r="H20" s="7">
        <v>0.5454</v>
      </c>
      <c r="I20" s="7">
        <v>0.53</v>
      </c>
      <c r="J20" s="8">
        <v>0.52395329616749997</v>
      </c>
      <c r="K20" s="7">
        <f>ABS(G20-J20)/G20*100</f>
        <v>12.4604627962009</v>
      </c>
      <c r="L20" s="7">
        <f>ABS(H20-J20)/H20*100</f>
        <v>3.9322889315181562</v>
      </c>
      <c r="M20" s="7">
        <v>2E-3</v>
      </c>
      <c r="N20" s="7">
        <f>5*M20</f>
        <v>0.01</v>
      </c>
      <c r="O20" s="7">
        <f>20*M20</f>
        <v>0.04</v>
      </c>
      <c r="P20" s="7" t="s">
        <v>57</v>
      </c>
      <c r="Q20" s="7">
        <v>300</v>
      </c>
      <c r="R20" s="7">
        <f>M20</f>
        <v>2E-3</v>
      </c>
      <c r="S20" s="7">
        <v>0.16</v>
      </c>
      <c r="T20" s="7" t="s">
        <v>62</v>
      </c>
      <c r="V20" s="7" t="s">
        <v>70</v>
      </c>
      <c r="W20" s="7" t="s">
        <v>145</v>
      </c>
    </row>
    <row r="23" spans="1:41" x14ac:dyDescent="0.15">
      <c r="P23" s="7"/>
      <c r="Q23" s="7"/>
      <c r="AB23" s="15"/>
      <c r="AC23" s="15"/>
      <c r="AD23" s="15"/>
    </row>
    <row r="24" spans="1:41" s="15" customFormat="1" x14ac:dyDescent="0.15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 s="7"/>
      <c r="Q24" s="7"/>
      <c r="R24" s="9"/>
      <c r="S24" s="9"/>
      <c r="T24" s="9"/>
      <c r="U24"/>
      <c r="V24"/>
      <c r="W24" s="12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</row>
    <row r="25" spans="1:41" s="15" customFormat="1" x14ac:dyDescent="0.15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 s="7"/>
      <c r="Q25" s="7"/>
      <c r="R25" s="9"/>
      <c r="S25" s="9"/>
      <c r="T25" s="9"/>
      <c r="U25"/>
      <c r="V25"/>
      <c r="W25" s="12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47083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ExpLoad</vt:lpstr>
      <vt:lpstr>Task2_Summary</vt:lpstr>
      <vt:lpstr>Task2_Prelim</vt:lpstr>
      <vt:lpstr>Task2</vt:lpstr>
      <vt:lpstr>Task3</vt:lpstr>
      <vt:lpstr>Task4-3D</vt:lpstr>
      <vt:lpstr>Sheet7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Ang, Ida Cee</cp:lastModifiedBy>
  <cp:revision>311</cp:revision>
  <dcterms:created xsi:type="dcterms:W3CDTF">2021-05-17T13:09:58Z</dcterms:created>
  <dcterms:modified xsi:type="dcterms:W3CDTF">2021-09-21T18:55:18Z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