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8.png" ContentType="image/png"/>
  <Override PartName="/xl/media/image4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Load" sheetId="1" state="visible" r:id="rId2"/>
    <sheet name="Task2_Summary" sheetId="2" state="visible" r:id="rId3"/>
    <sheet name="Task2_Prelim" sheetId="3" state="visible" r:id="rId4"/>
    <sheet name="Task2" sheetId="4" state="visible" r:id="rId5"/>
    <sheet name="Task3" sheetId="5" state="visible" r:id="rId6"/>
    <sheet name="Task4-3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<sst xmlns="http://schemas.openxmlformats.org/spreadsheetml/2006/main" count="571" uniqueCount="152">
  <si>
    <t xml:space="preserve">Delta</t>
  </si>
  <si>
    <t xml:space="preserve">Steps</t>
  </si>
  <si>
    <t xml:space="preserve">a</t>
  </si>
  <si>
    <t xml:space="preserve">b</t>
  </si>
  <si>
    <t xml:space="preserve">c</t>
  </si>
  <si>
    <t xml:space="preserve">d</t>
  </si>
  <si>
    <t xml:space="preserve">mu</t>
  </si>
  <si>
    <t xml:space="preserve">Gc</t>
  </si>
  <si>
    <t xml:space="preserve">Gc_e</t>
  </si>
  <si>
    <t xml:space="preserve">Delta_p (Gc)</t>
  </si>
  <si>
    <t xml:space="preserve">Delta_p (Gc_e)</t>
  </si>
  <si>
    <t xml:space="preserve">Num Delta</t>
  </si>
  <si>
    <t xml:space="preserve">Delta %E (Gc)</t>
  </si>
  <si>
    <t xml:space="preserve">Delta %E (Gc_e)</t>
  </si>
  <si>
    <t xml:space="preserve">Num GcLH</t>
  </si>
  <si>
    <t xml:space="preserve">GcLH</t>
  </si>
  <si>
    <t xml:space="preserve">Gc_eLH</t>
  </si>
  <si>
    <t xml:space="preserve">% error (Gc)</t>
  </si>
  <si>
    <t xml:space="preserve">% error (Gc_e)</t>
  </si>
  <si>
    <t xml:space="preserve">hsize</t>
  </si>
  <si>
    <t xml:space="preserve">ell</t>
  </si>
  <si>
    <t xml:space="preserve">Diffused Trials</t>
  </si>
  <si>
    <t xml:space="preserve">Discrete Trials </t>
  </si>
  <si>
    <t xml:space="preserve">L</t>
  </si>
  <si>
    <t xml:space="preserve">h</t>
  </si>
  <si>
    <t xml:space="preserve">kappa</t>
  </si>
  <si>
    <t xml:space="preserve">Pred Delta (Gc)</t>
  </si>
  <si>
    <t xml:space="preserve">Pred Delta (Gc_e)</t>
  </si>
  <si>
    <t xml:space="preserve">N</t>
  </si>
  <si>
    <t xml:space="preserve">lambda_a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</si>
  <si>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</si>
  <si>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</si>
  <si>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</si>
  <si>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</si>
  <si>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</si>
  <si>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Gc_effective</t>
  </si>
  <si>
    <t xml:space="preserve">H</t>
  </si>
  <si>
    <t xml:space="preserve">PF Width</t>
  </si>
  <si>
    <t xml:space="preserve">Sim</t>
  </si>
  <si>
    <t xml:space="preserve">S vs NS</t>
  </si>
  <si>
    <t xml:space="preserve">Mod</t>
  </si>
  <si>
    <t xml:space="preserve">Even vs. Ref</t>
  </si>
  <si>
    <t xml:space="preserve">ms_r</t>
  </si>
  <si>
    <t xml:space="preserve">ms</t>
  </si>
  <si>
    <t xml:space="preserve">pf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</si>
  <si>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</si>
  <si>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</si>
  <si>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</si>
  <si>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</si>
  <si>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</si>
  <si>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</si>
  <si>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</si>
  <si>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</si>
  <si>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Deleted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</si>
  <si>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</si>
  <si>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</si>
  <si>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</si>
  <si>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</si>
  <si>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</si>
  <si>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</si>
  <si>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Trials: Placed Phase Field around Crack</t>
  </si>
  <si>
    <t xml:space="preserve">Discrete Trials: No initialization </t>
  </si>
  <si>
    <t xml:space="preserve">N/A</t>
  </si>
  <si>
    <t xml:space="preserve">Using same setup as below, just extended the number of steps</t>
  </si>
  <si>
    <t xml:space="preserve">Plane Strain </t>
  </si>
  <si>
    <t xml:space="preserve">Delta Error (Gc)</t>
  </si>
  <si>
    <t xml:space="preserve">Delta Error (Gc_e)</t>
  </si>
  <si>
    <t xml:space="preserve">Size</t>
  </si>
  <si>
    <t xml:space="preserve">Predicted</t>
  </si>
  <si>
    <t xml:space="preserve">Phase-Field</t>
  </si>
  <si>
    <t xml:space="preserve">Discrete </t>
  </si>
  <si>
    <t xml:space="preserve">% Error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</si>
  <si>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</si>
  <si>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</si>
  <si>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</si>
  <si>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</si>
  <si>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</si>
  <si>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</si>
  <si>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</si>
  <si>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</si>
  <si>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</si>
  <si>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</si>
  <si>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</si>
  <si>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</si>
  <si>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Even/Exp</t>
  </si>
  <si>
    <t xml:space="preserve">Propagated</t>
  </si>
  <si>
    <t xml:space="preserve">C/D</t>
  </si>
  <si>
    <t xml:space="preserve">Status</t>
  </si>
  <si>
    <t xml:space="preserve">Error Message</t>
  </si>
  <si>
    <t xml:space="preserve">C</t>
  </si>
  <si>
    <t xml:space="preserve">Exp</t>
  </si>
  <si>
    <t xml:space="preserve">Did not reach</t>
  </si>
  <si>
    <t xml:space="preserve"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</si>
  <si>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</si>
  <si>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</si>
  <si>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 xml:space="preserve"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</si>
  <si>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</si>
  <si>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Delta </t>
  </si>
  <si>
    <t xml:space="preserve">Total Steps </t>
  </si>
  <si>
    <t xml:space="preserve">Cur Step</t>
  </si>
  <si>
    <t xml:space="preserve">Cur Disp</t>
  </si>
  <si>
    <t xml:space="preserve">length_f</t>
  </si>
  <si>
    <t xml:space="preserve"> </t>
  </si>
  <si>
    <t xml:space="preserve">       </t>
  </si>
  <si>
    <t xml:space="preserve">nu</t>
  </si>
  <si>
    <t xml:space="preserve">E</t>
  </si>
  <si>
    <t xml:space="preserve">hr (hsize)</t>
  </si>
  <si>
    <t xml:space="preserve">W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</si>
  <si>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</si>
  <si>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</si>
  <si>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</si>
  <si>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</si>
  <si>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</si>
  <si>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</si>
  <si>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</si>
  <si>
    <t xml:space="preserve">Int</t>
  </si>
  <si>
    <t xml:space="preserve">Con</t>
  </si>
  <si>
    <t xml:space="preserve">Con </t>
  </si>
  <si>
    <t xml:space="preserve"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</si>
  <si>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</si>
  <si>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 xml:space="preserve"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</si>
  <si>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</si>
  <si>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</si>
  <si>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</si>
  <si>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--- Starting of Time step 21: t = 0.422111 ---</t>
  </si>
  <si>
    <t xml:space="preserve"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</si>
  <si>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</si>
  <si>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</si>
  <si>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</si>
  <si>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</si>
  <si>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</si>
  <si>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 xml:space="preserve">4 Pins</t>
  </si>
  <si>
    <t xml:space="preserve">1 Pin</t>
  </si>
  <si>
    <t xml:space="preserve">Unphysical result</t>
  </si>
  <si>
    <t xml:space="preserve">2 Pins</t>
  </si>
  <si>
    <t xml:space="preserve">Div before crack</t>
  </si>
  <si>
    <t xml:space="preserve">Almost straight ahead chrack </t>
  </si>
  <si>
    <t xml:space="preserve">Normal formulation for comparison</t>
  </si>
  <si>
    <t xml:space="preserve">Normal + Stabilized formulation for comparison</t>
  </si>
  <si>
    <t xml:space="preserve">Bound in x and y and roller in z, 1 pin</t>
  </si>
  <si>
    <t xml:space="preserve">Didn’t crack </t>
  </si>
  <si>
    <t xml:space="preserve">Div </t>
  </si>
  <si>
    <t xml:space="preserve">Strain</t>
  </si>
  <si>
    <t xml:space="preserve">Notes</t>
  </si>
  <si>
    <t xml:space="preserve">Stabilization</t>
  </si>
  <si>
    <t xml:space="preserve">Old Stabilization (1 term)</t>
  </si>
  <si>
    <t xml:space="preserve">Diffuse</t>
  </si>
  <si>
    <t xml:space="preserve">New Stabilization (3 terms)</t>
  </si>
  <si>
    <t xml:space="preserve">T</t>
  </si>
  <si>
    <t xml:space="preserve">Thickness = 2T</t>
  </si>
  <si>
    <t xml:space="preserve">Divergence</t>
  </si>
  <si>
    <t xml:space="preserve">New Stabilization (1 term)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</si>
</sst>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BCE4E5"/>
      </patternFill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DAE3F3"/>
      </patternFill>
    </fill>
    <fill>
      <patternFill patternType="solid">
        <fgColor rgb="FFED7D31"/>
        <bgColor rgb="FFFF8080"/>
      </patternFill>
    </fill>
    <fill>
      <patternFill patternType="solid">
        <fgColor rgb="FFB4C7E7"/>
        <bgColor rgb="FF99CCFF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E5CA"/>
      <rgbColor rgb="FFDAE3F3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181440</xdr:colOff>
      <xdr:row>20</xdr:row>
      <xdr:rowOff>21960</xdr:rowOff>
    </xdr:from>
    <xdr:to>
      <xdr:col>13</xdr:col>
      <xdr:colOff>284760</xdr:colOff>
      <xdr:row>41</xdr:row>
      <xdr:rowOff>122760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790440" y="4165920"/>
          <a:ext cx="2548800" cy="356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179280</xdr:colOff>
      <xdr:row>61</xdr:row>
      <xdr:rowOff>87120</xdr:rowOff>
    </xdr:from>
    <xdr:to>
      <xdr:col>20</xdr:col>
      <xdr:colOff>169200</xdr:colOff>
      <xdr:row>79</xdr:row>
      <xdr:rowOff>122400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9210240" y="10155600"/>
          <a:ext cx="1612800" cy="300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" zeroHeight="false" outlineLevelRow="0" outlineLevelCol="0"/>
  <cols>
    <col collapsed="false" customWidth="false" hidden="false" outlineLevel="0" max="1025" min="1" style="0" width="11.5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3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3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3" hidden="false" customHeight="false" outlineLevel="0" collapsed="false">
      <c r="A5" s="1" t="n">
        <v>0.55</v>
      </c>
      <c r="B5" s="1" t="n">
        <v>300</v>
      </c>
      <c r="C5" s="1" t="n">
        <v>0.3185</v>
      </c>
      <c r="D5" s="1" t="n">
        <v>0.001821</v>
      </c>
      <c r="E5" s="1" t="n">
        <v>-0.3185</v>
      </c>
      <c r="F5" s="1" t="n">
        <v>-0.1261</v>
      </c>
    </row>
    <row r="6" customFormat="false" ht="13" hidden="false" customHeight="false" outlineLevel="0" collapsed="false">
      <c r="A6" s="2" t="n">
        <v>0.53</v>
      </c>
      <c r="B6" s="0" t="n">
        <v>250</v>
      </c>
      <c r="C6" s="0" t="n">
        <v>0.3304</v>
      </c>
      <c r="D6" s="0" t="n">
        <v>0.00189</v>
      </c>
      <c r="E6" s="0" t="n">
        <v>-0.3304</v>
      </c>
      <c r="F6" s="0" t="n">
        <v>-0.1505</v>
      </c>
    </row>
    <row r="7" customFormat="false" ht="13" hidden="false" customHeight="false" outlineLevel="0" collapsed="false">
      <c r="A7" s="0" t="n">
        <v>0.53</v>
      </c>
      <c r="B7" s="2" t="n">
        <v>300</v>
      </c>
      <c r="C7" s="2" t="n">
        <v>0.3006</v>
      </c>
      <c r="D7" s="2" t="n">
        <v>0.00189</v>
      </c>
      <c r="E7" s="2" t="n">
        <v>-0.3006</v>
      </c>
      <c r="F7" s="2" t="n">
        <v>-0.1254</v>
      </c>
    </row>
    <row r="8" customFormat="false" ht="13" hidden="false" customHeight="false" outlineLevel="0" collapsed="false">
      <c r="A8" s="0" t="n">
        <v>3</v>
      </c>
      <c r="B8" s="0" t="n">
        <v>200</v>
      </c>
      <c r="C8" s="0" t="n">
        <v>1.537</v>
      </c>
      <c r="D8" s="0" t="n">
        <v>0.003344</v>
      </c>
      <c r="E8" s="0" t="n">
        <v>-1.537</v>
      </c>
      <c r="F8" s="0" t="n">
        <v>-0.0637</v>
      </c>
    </row>
    <row r="9" customFormat="false" ht="13" hidden="false" customHeight="false" outlineLevel="0" collapsed="false">
      <c r="A9" s="0" t="n">
        <v>2.6</v>
      </c>
      <c r="B9" s="0" t="n">
        <v>200</v>
      </c>
      <c r="C9" s="0" t="n">
        <v>1.201</v>
      </c>
      <c r="D9" s="0" t="n">
        <v>0.003861</v>
      </c>
      <c r="E9" s="0" t="n">
        <v>-1.201</v>
      </c>
      <c r="F9" s="0" t="n">
        <v>-0.08271</v>
      </c>
    </row>
    <row r="10" customFormat="false" ht="13" hidden="false" customHeight="false" outlineLevel="0" collapsed="false">
      <c r="A10" s="0" t="n">
        <v>3.5</v>
      </c>
      <c r="B10" s="0" t="n">
        <v>150</v>
      </c>
      <c r="C10" s="0" t="n">
        <v>2.824</v>
      </c>
      <c r="D10" s="0" t="n">
        <v>0.001431</v>
      </c>
      <c r="E10" s="0" t="n">
        <v>-2.824</v>
      </c>
      <c r="F10" s="0" t="n">
        <v>-0.262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3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3.33"/>
    <col collapsed="false" customWidth="true" hidden="false" outlineLevel="0" max="3" min="3" style="0" width="5.33"/>
    <col collapsed="false" customWidth="true" hidden="false" outlineLevel="0" max="4" min="4" style="0" width="10.67"/>
    <col collapsed="false" customWidth="true" hidden="false" outlineLevel="0" max="5" min="5" style="0" width="12.83"/>
    <col collapsed="false" customWidth="true" hidden="false" outlineLevel="0" max="6" min="6" style="0" width="10.67"/>
    <col collapsed="false" customWidth="true" hidden="false" outlineLevel="0" max="7" min="7" style="0" width="14.16"/>
    <col collapsed="false" customWidth="true" hidden="false" outlineLevel="0" max="8" min="8" style="0" width="14.01"/>
    <col collapsed="false" customWidth="true" hidden="false" outlineLevel="0" max="9" min="9" style="0" width="9.51"/>
    <col collapsed="false" customWidth="true" hidden="false" outlineLevel="0" max="10" min="10" style="0" width="5.5"/>
    <col collapsed="false" customWidth="true" hidden="false" outlineLevel="0" max="11" min="11" style="0" width="7.49"/>
    <col collapsed="false" customWidth="true" hidden="false" outlineLevel="0" max="12" min="12" style="0" width="10.33"/>
    <col collapsed="false" customWidth="true" hidden="false" outlineLevel="0" max="13" min="13" style="0" width="12.33"/>
    <col collapsed="false" customWidth="true" hidden="false" outlineLevel="0" max="15" min="14" style="0" width="6.16"/>
    <col collapsed="false" customWidth="true" hidden="false" outlineLevel="0" max="17" min="16" style="0" width="10.67"/>
    <col collapsed="false" customWidth="true" hidden="false" outlineLevel="0" max="18" min="18" style="3" width="6.5"/>
    <col collapsed="false" customWidth="true" hidden="false" outlineLevel="0" max="19" min="19" style="3" width="7.49"/>
    <col collapsed="false" customWidth="true" hidden="false" outlineLevel="0" max="21" min="20" style="3" width="8.83"/>
    <col collapsed="false" customWidth="true" hidden="false" outlineLevel="0" max="1025" min="22" style="0" width="10.67"/>
  </cols>
  <sheetData>
    <row r="1" customFormat="false" ht="13" hidden="false" customHeight="fals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3" t="s">
        <v>19</v>
      </c>
      <c r="O1" s="3" t="s">
        <v>20</v>
      </c>
    </row>
    <row r="2" customFormat="false" ht="13" hidden="false" customHeight="false" outlineLevel="0" collapsed="false">
      <c r="A2" s="4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3" hidden="false" customHeight="false" outlineLevel="0" collapsed="false">
      <c r="A3" s="3" t="n">
        <v>1</v>
      </c>
      <c r="B3" s="3" t="n">
        <v>1</v>
      </c>
      <c r="C3" s="3" t="n">
        <v>1.3</v>
      </c>
      <c r="D3" s="3" t="n">
        <v>0.4659</v>
      </c>
      <c r="E3" s="3" t="n">
        <v>0.5454</v>
      </c>
      <c r="F3" s="5" t="n">
        <v>0.521</v>
      </c>
      <c r="G3" s="3" t="n">
        <v>11.8238534</v>
      </c>
      <c r="H3" s="3" t="n">
        <v>4.476103246</v>
      </c>
      <c r="I3" s="6" t="n">
        <v>3.01710026513806</v>
      </c>
      <c r="J3" s="3" t="n">
        <f aca="false">B3*6*0.5</f>
        <v>3</v>
      </c>
      <c r="K3" s="3" t="n">
        <f aca="false">C3*6*0.5</f>
        <v>3.9</v>
      </c>
      <c r="L3" s="5" t="n">
        <f aca="false">ABS(J3-I3)*100/J3</f>
        <v>0.570008837935336</v>
      </c>
      <c r="M3" s="5" t="n">
        <f aca="false">ABS(K3-I3)*100/K3</f>
        <v>22.6384547400497</v>
      </c>
      <c r="N3" s="3" t="n">
        <v>0.005</v>
      </c>
      <c r="O3" s="3" t="n">
        <v>0.025</v>
      </c>
    </row>
    <row r="4" customFormat="false" ht="13" hidden="false" customHeight="false" outlineLevel="0" collapsed="false">
      <c r="A4" s="3" t="n">
        <v>1</v>
      </c>
      <c r="B4" s="3" t="n">
        <v>1</v>
      </c>
      <c r="C4" s="3" t="n">
        <v>1.3</v>
      </c>
      <c r="D4" s="3" t="n">
        <v>0.4659</v>
      </c>
      <c r="E4" s="3" t="n">
        <v>0.5454</v>
      </c>
      <c r="F4" s="5" t="n">
        <v>0.527</v>
      </c>
      <c r="G4" s="5" t="n">
        <v>13.1</v>
      </c>
      <c r="H4" s="5" t="n">
        <v>3.38</v>
      </c>
      <c r="I4" s="5"/>
      <c r="J4" s="5"/>
      <c r="K4" s="5"/>
      <c r="L4" s="5"/>
      <c r="M4" s="5"/>
      <c r="N4" s="3" t="n">
        <v>0.002</v>
      </c>
      <c r="O4" s="3" t="n">
        <v>0.01</v>
      </c>
    </row>
    <row r="5" customFormat="false" ht="13" hidden="false" customHeight="false" outlineLevel="0" collapsed="false">
      <c r="A5" s="7" t="s">
        <v>22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V5" s="8"/>
      <c r="W5" s="8"/>
      <c r="X5" s="8"/>
      <c r="Y5" s="8"/>
      <c r="Z5" s="8"/>
      <c r="AA5" s="8"/>
      <c r="AB5" s="8"/>
    </row>
    <row r="6" customFormat="false" ht="13" hidden="false" customHeight="false" outlineLevel="0" collapsed="false">
      <c r="A6" s="3" t="n">
        <v>1</v>
      </c>
      <c r="B6" s="3" t="n">
        <v>1</v>
      </c>
      <c r="C6" s="3" t="n">
        <f aca="false">B6*(1+(3/2)*N6/O6)</f>
        <v>1.3</v>
      </c>
      <c r="D6" s="3" t="n">
        <v>0.4659</v>
      </c>
      <c r="E6" s="3" t="n">
        <v>0.5454</v>
      </c>
      <c r="F6" s="5" t="n">
        <v>0.519920705566292</v>
      </c>
      <c r="G6" s="5" t="n">
        <f aca="false">ABS(D6-F6)/D6*100</f>
        <v>11.5949142662142</v>
      </c>
      <c r="H6" s="5" t="n">
        <f aca="false">ABS(E6-F6)/E6*100</f>
        <v>4.6716711466278</v>
      </c>
      <c r="I6" s="6" t="n">
        <v>3.21283132885356</v>
      </c>
      <c r="J6" s="3" t="n">
        <f aca="false">B6*6*0.5</f>
        <v>3</v>
      </c>
      <c r="K6" s="3" t="n">
        <f aca="false">C6*6*0.5</f>
        <v>3.9</v>
      </c>
      <c r="L6" s="5" t="n">
        <f aca="false">ABS(J6-I6)*100/J6</f>
        <v>7.094377628452</v>
      </c>
      <c r="M6" s="5" t="n">
        <f aca="false">ABS(K6-I6)*100/K6</f>
        <v>17.6197095165754</v>
      </c>
      <c r="N6" s="3" t="n">
        <v>0.005</v>
      </c>
      <c r="O6" s="3" t="n">
        <f aca="false">5*N6</f>
        <v>0.025</v>
      </c>
    </row>
    <row r="7" customFormat="false" ht="13" hidden="false" customHeight="false" outlineLevel="0" collapsed="false">
      <c r="A7" s="3" t="n">
        <v>1</v>
      </c>
      <c r="B7" s="3" t="n">
        <v>1</v>
      </c>
      <c r="C7" s="3" t="n">
        <f aca="false">B7*(1+(3/2)*N7/O7)</f>
        <v>1.3</v>
      </c>
      <c r="D7" s="3" t="n">
        <v>0.4659</v>
      </c>
      <c r="E7" s="3" t="n">
        <v>0.5454</v>
      </c>
      <c r="F7" s="5" t="n">
        <v>0.5239532961675</v>
      </c>
      <c r="G7" s="3" t="n">
        <f aca="false">ABS(D7-F7)/D7*100</f>
        <v>12.4604627962009</v>
      </c>
      <c r="H7" s="3" t="n">
        <f aca="false">ABS(E7-F7)/E7*100</f>
        <v>3.93228893151814</v>
      </c>
      <c r="I7" s="3"/>
      <c r="J7" s="3"/>
      <c r="K7" s="3"/>
      <c r="L7" s="3"/>
      <c r="M7" s="3"/>
      <c r="N7" s="3" t="n">
        <v>0.002</v>
      </c>
      <c r="O7" s="3" t="n">
        <f aca="false">5*N7</f>
        <v>0.01</v>
      </c>
    </row>
  </sheetData>
  <mergeCells count="2">
    <mergeCell ref="A2:O2"/>
    <mergeCell ref="A5:O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3" zeroHeight="false" outlineLevelRow="0" outlineLevelCol="0"/>
  <cols>
    <col collapsed="false" customWidth="true" hidden="false" outlineLevel="0" max="1" min="1" style="0" width="5.33"/>
    <col collapsed="false" customWidth="true" hidden="false" outlineLevel="0" max="2" min="2" style="0" width="4.33"/>
    <col collapsed="false" customWidth="true" hidden="false" outlineLevel="0" max="3" min="3" style="0" width="6.34"/>
    <col collapsed="false" customWidth="true" hidden="false" outlineLevel="0" max="4" min="4" style="0" width="7.34"/>
    <col collapsed="false" customWidth="true" hidden="false" outlineLevel="0" max="5" min="5" style="0" width="4.83"/>
    <col collapsed="false" customWidth="true" hidden="false" outlineLevel="0" max="6" min="6" style="0" width="4.33"/>
    <col collapsed="false" customWidth="true" hidden="false" outlineLevel="0" max="7" min="7" style="0" width="6.83"/>
    <col collapsed="false" customWidth="true" hidden="false" outlineLevel="0" max="10" min="8" style="0" width="11.66"/>
    <col collapsed="false" customWidth="true" hidden="false" outlineLevel="0" max="11" min="11" style="0" width="10.16"/>
    <col collapsed="false" customWidth="true" hidden="false" outlineLevel="0" max="12" min="12" style="0" width="5.66"/>
    <col collapsed="false" customWidth="true" hidden="false" outlineLevel="0" max="13" min="13" style="0" width="8.33"/>
    <col collapsed="false" customWidth="true" hidden="false" outlineLevel="0" max="1025" min="14" style="0" width="11.66"/>
  </cols>
  <sheetData>
    <row r="1" customFormat="false" ht="13" hidden="false" customHeight="false" outlineLevel="0" collapsed="false">
      <c r="A1" s="9" t="s">
        <v>23</v>
      </c>
      <c r="B1" s="10" t="s">
        <v>24</v>
      </c>
      <c r="C1" s="10" t="s">
        <v>19</v>
      </c>
      <c r="D1" s="10" t="s">
        <v>20</v>
      </c>
      <c r="E1" s="0" t="s">
        <v>6</v>
      </c>
      <c r="F1" s="0" t="s">
        <v>7</v>
      </c>
      <c r="G1" s="0" t="s">
        <v>8</v>
      </c>
      <c r="H1" s="0" t="s">
        <v>25</v>
      </c>
      <c r="I1" s="10" t="s">
        <v>26</v>
      </c>
      <c r="J1" s="0" t="s">
        <v>27</v>
      </c>
      <c r="K1" s="10" t="s">
        <v>0</v>
      </c>
      <c r="L1" s="0" t="s">
        <v>28</v>
      </c>
      <c r="M1" s="0" t="s">
        <v>29</v>
      </c>
      <c r="N1" s="0" t="s">
        <v>30</v>
      </c>
      <c r="O1" s="0" t="s">
        <v>31</v>
      </c>
      <c r="P1" s="0" t="s">
        <v>32</v>
      </c>
      <c r="Q1" s="10" t="s">
        <v>33</v>
      </c>
      <c r="R1" s="0" t="s">
        <v>34</v>
      </c>
      <c r="U1" s="10"/>
    </row>
    <row r="2" customFormat="false" ht="13" hidden="false" customHeight="false" outlineLevel="0" collapsed="false">
      <c r="A2" s="0" t="n">
        <v>12</v>
      </c>
      <c r="B2" s="0" t="n">
        <v>0.5</v>
      </c>
      <c r="C2" s="0" t="n">
        <v>0.02</v>
      </c>
      <c r="D2" s="0" t="n">
        <f aca="false">5*C2</f>
        <v>0.1</v>
      </c>
      <c r="E2" s="0" t="n">
        <v>1</v>
      </c>
      <c r="F2" s="0" t="n">
        <v>1</v>
      </c>
      <c r="G2" s="0" t="n">
        <f aca="false">F2*(1+3/8*C2/D2)</f>
        <v>1.075</v>
      </c>
      <c r="H2" s="6" t="n">
        <v>100000</v>
      </c>
      <c r="I2" s="0" t="n">
        <v>0.4659</v>
      </c>
      <c r="J2" s="0" t="n">
        <v>0.4866</v>
      </c>
      <c r="K2" s="0" t="n">
        <v>0.46</v>
      </c>
      <c r="L2" s="0" t="n">
        <f aca="false">A2/(C2*2)</f>
        <v>300</v>
      </c>
      <c r="M2" s="0" t="n">
        <f aca="false">1+K2/B2</f>
        <v>1.92</v>
      </c>
      <c r="N2" s="0" t="n">
        <f aca="false">B2*E2*(M2-1/M2)^2</f>
        <v>0.978833680555555</v>
      </c>
      <c r="O2" s="6" t="n">
        <v>5.86243156075018</v>
      </c>
      <c r="P2" s="6" t="n">
        <v>5.94022125516883</v>
      </c>
      <c r="Q2" s="0" t="n">
        <f aca="false">-(O2-P2)/(4*C2)</f>
        <v>0.972371180233134</v>
      </c>
      <c r="R2" s="0" t="n">
        <f aca="false">ABS(N2-Q2)/N2*100</f>
        <v>0.660224556101672</v>
      </c>
    </row>
    <row r="3" customFormat="false" ht="13" hidden="false" customHeight="false" outlineLevel="0" collapsed="false">
      <c r="A3" s="0" t="n">
        <v>10</v>
      </c>
      <c r="B3" s="0" t="n">
        <v>0.5</v>
      </c>
      <c r="C3" s="0" t="n">
        <v>0.02</v>
      </c>
      <c r="D3" s="0" t="n">
        <f aca="false">5*C3</f>
        <v>0.1</v>
      </c>
      <c r="E3" s="0" t="n">
        <v>1</v>
      </c>
      <c r="F3" s="0" t="n">
        <v>1</v>
      </c>
      <c r="G3" s="0" t="n">
        <f aca="false">F3*(1+3/8*C3/D3)</f>
        <v>1.075</v>
      </c>
      <c r="H3" s="6" t="n">
        <v>100000</v>
      </c>
      <c r="I3" s="0" t="n">
        <v>0.4659</v>
      </c>
      <c r="J3" s="0" t="n">
        <v>0.4866</v>
      </c>
      <c r="K3" s="0" t="n">
        <v>0.46</v>
      </c>
      <c r="L3" s="0" t="n">
        <f aca="false">A3/(C3*2)</f>
        <v>250</v>
      </c>
      <c r="M3" s="0" t="n">
        <f aca="false">1+K3/B3</f>
        <v>1.92</v>
      </c>
      <c r="N3" s="0" t="n">
        <f aca="false">B3*E3*(M3-1/M3)^2</f>
        <v>0.978833680555555</v>
      </c>
      <c r="O3" s="6" t="n">
        <v>4.88776993694953</v>
      </c>
      <c r="P3" s="6" t="n">
        <v>4.96347672452647</v>
      </c>
      <c r="Q3" s="0" t="n">
        <f aca="false">-(O3-P3)/(4*C3)</f>
        <v>0.946334844711749</v>
      </c>
      <c r="R3" s="0" t="n">
        <f aca="false">ABS(N3-Q3)/N3*100</f>
        <v>3.32015913320031</v>
      </c>
    </row>
    <row r="4" customFormat="false" ht="13" hidden="false" customHeight="false" outlineLevel="0" collapsed="false">
      <c r="A4" s="0" t="n">
        <v>8</v>
      </c>
      <c r="B4" s="0" t="n">
        <v>0.5</v>
      </c>
      <c r="C4" s="0" t="n">
        <v>0.02</v>
      </c>
      <c r="D4" s="0" t="n">
        <f aca="false">5*C4</f>
        <v>0.1</v>
      </c>
      <c r="E4" s="0" t="n">
        <v>1</v>
      </c>
      <c r="F4" s="0" t="n">
        <v>1</v>
      </c>
      <c r="G4" s="0" t="n">
        <f aca="false">F4*(1+3/8*C4/D4)</f>
        <v>1.075</v>
      </c>
      <c r="H4" s="6" t="n">
        <v>100000</v>
      </c>
      <c r="I4" s="0" t="n">
        <v>0.4659</v>
      </c>
      <c r="J4" s="0" t="n">
        <v>0.4866</v>
      </c>
      <c r="K4" s="0" t="n">
        <v>0.46</v>
      </c>
      <c r="L4" s="0" t="n">
        <f aca="false">A4/(C4*2)</f>
        <v>200</v>
      </c>
      <c r="M4" s="0" t="n">
        <f aca="false">1+K4/B4</f>
        <v>1.92</v>
      </c>
      <c r="N4" s="0" t="n">
        <f aca="false">B4*E4*(M4-1/M4)^2</f>
        <v>0.978833680555555</v>
      </c>
      <c r="O4" s="6" t="n">
        <v>3.90594541455536</v>
      </c>
      <c r="P4" s="6" t="n">
        <v>3.98364052232767</v>
      </c>
      <c r="Q4" s="0" t="n">
        <f aca="false">-(O4-P4)/(4*C4)</f>
        <v>0.971188847153875</v>
      </c>
      <c r="R4" s="0" t="n">
        <f aca="false">ABS(N4-Q4)/N4*100</f>
        <v>0.781014543486161</v>
      </c>
    </row>
    <row r="5" customFormat="false" ht="13" hidden="false" customHeight="false" outlineLevel="0" collapsed="false">
      <c r="A5" s="0" t="n">
        <v>6</v>
      </c>
      <c r="B5" s="0" t="n">
        <v>0.5</v>
      </c>
      <c r="C5" s="0" t="n">
        <v>0.02</v>
      </c>
      <c r="D5" s="0" t="n">
        <f aca="false">5*C5</f>
        <v>0.1</v>
      </c>
      <c r="E5" s="0" t="n">
        <v>1</v>
      </c>
      <c r="F5" s="0" t="n">
        <v>1</v>
      </c>
      <c r="G5" s="0" t="n">
        <f aca="false">F5*(1+3/8*C5/D5)</f>
        <v>1.075</v>
      </c>
      <c r="H5" s="6" t="n">
        <v>100000</v>
      </c>
      <c r="I5" s="0" t="n">
        <v>0.4659</v>
      </c>
      <c r="J5" s="0" t="n">
        <v>0.4866</v>
      </c>
      <c r="K5" s="0" t="n">
        <v>0.46</v>
      </c>
      <c r="L5" s="0" t="n">
        <f aca="false">A5/(C5*2)</f>
        <v>150</v>
      </c>
      <c r="M5" s="0" t="n">
        <f aca="false">1+K5/B5</f>
        <v>1.92</v>
      </c>
      <c r="N5" s="0" t="n">
        <f aca="false">B5*E5*(M5-1/M5)^2</f>
        <v>0.978833680555555</v>
      </c>
      <c r="O5" s="11" t="n">
        <v>2.92391448189001</v>
      </c>
      <c r="P5" s="11" t="n">
        <v>3.00475329252155</v>
      </c>
      <c r="Q5" s="0" t="n">
        <f aca="false">-(O5-P5)/(4*C5)</f>
        <v>1.01048513289425</v>
      </c>
      <c r="R5" s="0" t="n">
        <f aca="false">ABS(N5-Q5)/N5*100</f>
        <v>3.23358839887196</v>
      </c>
    </row>
    <row r="6" customFormat="false" ht="13" hidden="false" customHeight="false" outlineLevel="0" collapsed="false">
      <c r="A6" s="0" t="n">
        <v>5</v>
      </c>
      <c r="B6" s="0" t="n">
        <v>0.5</v>
      </c>
      <c r="C6" s="0" t="n">
        <v>0.02</v>
      </c>
      <c r="D6" s="0" t="n">
        <f aca="false">5*C6</f>
        <v>0.1</v>
      </c>
      <c r="E6" s="0" t="n">
        <v>1</v>
      </c>
      <c r="F6" s="0" t="n">
        <v>1</v>
      </c>
      <c r="G6" s="0" t="n">
        <f aca="false">F6*(1+3/8*C6/D6)</f>
        <v>1.075</v>
      </c>
      <c r="H6" s="6" t="n">
        <v>100000</v>
      </c>
      <c r="I6" s="0" t="n">
        <v>0.4659</v>
      </c>
      <c r="J6" s="0" t="n">
        <v>0.4866</v>
      </c>
      <c r="K6" s="0" t="n">
        <v>0.46</v>
      </c>
      <c r="L6" s="0" t="n">
        <f aca="false">A6/(C6*2)</f>
        <v>125</v>
      </c>
      <c r="M6" s="0" t="n">
        <f aca="false">1+K6/B6</f>
        <v>1.92</v>
      </c>
      <c r="N6" s="0" t="n">
        <f aca="false">B6*E6*(M6-1/M6)^2</f>
        <v>0.978833680555555</v>
      </c>
      <c r="O6" s="6" t="n">
        <v>2.43769710914742</v>
      </c>
      <c r="P6" s="6" t="n">
        <v>2.51603463622676</v>
      </c>
      <c r="Q6" s="0" t="n">
        <f aca="false">-(O6-P6)/(4*C6)</f>
        <v>0.979219088491751</v>
      </c>
      <c r="R6" s="0" t="n">
        <f aca="false">ABS(N6-Q6)/N6*100</f>
        <v>0.0393742005257434</v>
      </c>
    </row>
    <row r="7" customFormat="false" ht="13" hidden="false" customHeight="false" outlineLevel="0" collapsed="false">
      <c r="A7" s="0" t="n">
        <v>4</v>
      </c>
      <c r="B7" s="0" t="n">
        <v>0.5</v>
      </c>
      <c r="C7" s="0" t="n">
        <v>0.02</v>
      </c>
      <c r="D7" s="0" t="n">
        <f aca="false">5*C7</f>
        <v>0.1</v>
      </c>
      <c r="E7" s="0" t="n">
        <v>1</v>
      </c>
      <c r="F7" s="0" t="n">
        <v>1</v>
      </c>
      <c r="G7" s="0" t="n">
        <f aca="false">F7*(1+3/8*C7/D7)</f>
        <v>1.075</v>
      </c>
      <c r="H7" s="6" t="n">
        <v>100000</v>
      </c>
      <c r="I7" s="0" t="n">
        <v>0.4659</v>
      </c>
      <c r="J7" s="0" t="n">
        <v>0.4866</v>
      </c>
      <c r="K7" s="0" t="n">
        <v>0.46</v>
      </c>
      <c r="L7" s="0" t="n">
        <f aca="false">A7/(C7*2)</f>
        <v>100</v>
      </c>
      <c r="M7" s="0" t="n">
        <f aca="false">1+K7/B7</f>
        <v>1.92</v>
      </c>
      <c r="N7" s="0" t="n">
        <f aca="false">B7*E7*(M7-1/M7)^2</f>
        <v>0.978833680555555</v>
      </c>
      <c r="O7" s="6" t="n">
        <v>1.94736143398441</v>
      </c>
      <c r="P7" s="6" t="n">
        <v>2.02543336129494</v>
      </c>
      <c r="Q7" s="0" t="n">
        <f aca="false">-(O7-P7)/(4*C7)</f>
        <v>0.975899091381621</v>
      </c>
      <c r="R7" s="0" t="n">
        <f aca="false">ABS(N7-Q7)/N7*100</f>
        <v>0.299804679000051</v>
      </c>
    </row>
    <row r="8" customFormat="false" ht="13" hidden="false" customHeight="false" outlineLevel="0" collapsed="false">
      <c r="A8" s="0" t="n">
        <v>3</v>
      </c>
      <c r="B8" s="0" t="n">
        <v>0.5</v>
      </c>
      <c r="C8" s="0" t="n">
        <v>0.02</v>
      </c>
      <c r="D8" s="0" t="n">
        <f aca="false">5*C8</f>
        <v>0.1</v>
      </c>
      <c r="E8" s="0" t="n">
        <v>1</v>
      </c>
      <c r="F8" s="0" t="n">
        <v>1</v>
      </c>
      <c r="G8" s="0" t="n">
        <f aca="false">F8*(1+3/8*C8/D8)</f>
        <v>1.075</v>
      </c>
      <c r="H8" s="6" t="n">
        <v>100000</v>
      </c>
      <c r="I8" s="0" t="n">
        <v>0.4659</v>
      </c>
      <c r="J8" s="0" t="n">
        <v>0.4866</v>
      </c>
      <c r="K8" s="0" t="n">
        <v>0.46</v>
      </c>
      <c r="L8" s="0" t="n">
        <f aca="false">A8/(C8*2)</f>
        <v>75</v>
      </c>
      <c r="M8" s="0" t="n">
        <f aca="false">1+K8/B8</f>
        <v>1.92</v>
      </c>
      <c r="N8" s="0" t="n">
        <f aca="false">B8*E8*(M8-1/M8)^2</f>
        <v>0.978833680555555</v>
      </c>
      <c r="O8" s="6" t="n">
        <v>1.4631990512321</v>
      </c>
      <c r="P8" s="6" t="n">
        <v>1.54182731659395</v>
      </c>
      <c r="Q8" s="0" t="n">
        <f aca="false">-(O8-P8)/(4*C8)</f>
        <v>0.982853317023125</v>
      </c>
      <c r="R8" s="0" t="n">
        <f aca="false">ABS(N8-Q8)/N8*100</f>
        <v>0.410655716841292</v>
      </c>
    </row>
    <row r="9" customFormat="false" ht="13" hidden="false" customHeight="false" outlineLevel="0" collapsed="false">
      <c r="A9" s="0" t="n">
        <v>2</v>
      </c>
      <c r="B9" s="0" t="n">
        <v>0.5</v>
      </c>
      <c r="C9" s="0" t="n">
        <v>0.02</v>
      </c>
      <c r="D9" s="0" t="n">
        <f aca="false">5*C9</f>
        <v>0.1</v>
      </c>
      <c r="E9" s="0" t="n">
        <v>1</v>
      </c>
      <c r="F9" s="0" t="n">
        <v>1</v>
      </c>
      <c r="G9" s="0" t="n">
        <f aca="false">F9*(1+3/8*C9/D9)</f>
        <v>1.075</v>
      </c>
      <c r="H9" s="6" t="n">
        <v>100000</v>
      </c>
      <c r="I9" s="0" t="n">
        <v>0.4659</v>
      </c>
      <c r="J9" s="0" t="n">
        <v>0.4866</v>
      </c>
      <c r="K9" s="0" t="n">
        <v>0.46</v>
      </c>
      <c r="L9" s="0" t="n">
        <f aca="false">A9/(C9*2)</f>
        <v>50</v>
      </c>
      <c r="M9" s="0" t="n">
        <f aca="false">1+K9/B9</f>
        <v>1.92</v>
      </c>
      <c r="N9" s="0" t="n">
        <f aca="false">B9*E9*(M9-1/M9)^2</f>
        <v>0.978833680555555</v>
      </c>
      <c r="O9" s="6" t="n">
        <v>0.985348884849899</v>
      </c>
      <c r="P9" s="6" t="n">
        <v>1.05805699036889</v>
      </c>
      <c r="Q9" s="0" t="n">
        <f aca="false">-(O9-P9)/(4*C9)</f>
        <v>0.908851318987384</v>
      </c>
      <c r="R9" s="0" t="n">
        <f aca="false">ABS(N9-Q9)/N9*100</f>
        <v>7.14956615800663</v>
      </c>
    </row>
    <row r="11" customFormat="false" ht="13" hidden="false" customHeight="false" outlineLevel="0" collapsed="false">
      <c r="A11" s="9" t="s">
        <v>23</v>
      </c>
      <c r="B11" s="10" t="s">
        <v>24</v>
      </c>
      <c r="C11" s="10" t="s">
        <v>19</v>
      </c>
      <c r="D11" s="10" t="s">
        <v>20</v>
      </c>
      <c r="E11" s="0" t="s">
        <v>6</v>
      </c>
      <c r="F11" s="0" t="s">
        <v>7</v>
      </c>
      <c r="G11" s="0" t="s">
        <v>8</v>
      </c>
      <c r="H11" s="0" t="s">
        <v>25</v>
      </c>
      <c r="I11" s="10" t="s">
        <v>26</v>
      </c>
      <c r="J11" s="0" t="s">
        <v>27</v>
      </c>
      <c r="K11" s="10" t="s">
        <v>0</v>
      </c>
      <c r="L11" s="0" t="s">
        <v>28</v>
      </c>
      <c r="M11" s="0" t="s">
        <v>29</v>
      </c>
      <c r="N11" s="0" t="s">
        <v>30</v>
      </c>
      <c r="O11" s="0" t="s">
        <v>31</v>
      </c>
      <c r="P11" s="0" t="s">
        <v>32</v>
      </c>
      <c r="Q11" s="6" t="s">
        <v>33</v>
      </c>
      <c r="R11" s="6" t="s">
        <v>34</v>
      </c>
    </row>
    <row r="12" customFormat="false" ht="13" hidden="false" customHeight="false" outlineLevel="0" collapsed="false">
      <c r="A12" s="0" t="n">
        <v>12</v>
      </c>
      <c r="B12" s="0" t="n">
        <v>0.5</v>
      </c>
      <c r="C12" s="0" t="n">
        <v>0.02</v>
      </c>
      <c r="D12" s="0" t="n">
        <f aca="false">5*C12</f>
        <v>0.1</v>
      </c>
      <c r="E12" s="0" t="n">
        <v>1</v>
      </c>
      <c r="F12" s="0" t="n">
        <v>1</v>
      </c>
      <c r="G12" s="0" t="n">
        <f aca="false">F12*(1+3/8*C12/D12)</f>
        <v>1.075</v>
      </c>
      <c r="H12" s="6" t="n">
        <v>100000</v>
      </c>
      <c r="I12" s="0" t="n">
        <v>0.4659</v>
      </c>
      <c r="J12" s="0" t="n">
        <v>0.4866</v>
      </c>
      <c r="K12" s="0" t="n">
        <v>0.47</v>
      </c>
      <c r="L12" s="0" t="n">
        <f aca="false">A12/(C12*2)</f>
        <v>300</v>
      </c>
      <c r="M12" s="0" t="n">
        <f aca="false">1+K12/B12</f>
        <v>1.94</v>
      </c>
      <c r="N12" s="0" t="n">
        <f aca="false">B12*E12*(M12-1/M12)^2</f>
        <v>1.01465152513551</v>
      </c>
      <c r="P12" s="6"/>
      <c r="Q12" s="6"/>
      <c r="R12" s="6"/>
    </row>
    <row r="13" customFormat="false" ht="13" hidden="false" customHeight="false" outlineLevel="0" collapsed="false">
      <c r="A13" s="0" t="n">
        <v>10</v>
      </c>
      <c r="B13" s="0" t="n">
        <v>0.5</v>
      </c>
      <c r="C13" s="0" t="n">
        <v>0.02</v>
      </c>
      <c r="D13" s="0" t="n">
        <f aca="false">5*C13</f>
        <v>0.1</v>
      </c>
      <c r="E13" s="0" t="n">
        <v>1</v>
      </c>
      <c r="F13" s="0" t="n">
        <v>1</v>
      </c>
      <c r="G13" s="0" t="n">
        <f aca="false">F13*(1+3/8*C13/D13)</f>
        <v>1.075</v>
      </c>
      <c r="H13" s="6" t="n">
        <v>100000</v>
      </c>
      <c r="I13" s="0" t="n">
        <v>0.4659</v>
      </c>
      <c r="J13" s="0" t="n">
        <v>0.4866</v>
      </c>
      <c r="K13" s="0" t="n">
        <v>0.47</v>
      </c>
      <c r="L13" s="0" t="n">
        <f aca="false">A13/(C13*2)</f>
        <v>250</v>
      </c>
      <c r="M13" s="0" t="n">
        <f aca="false">1+K13/B13</f>
        <v>1.94</v>
      </c>
      <c r="N13" s="0" t="n">
        <f aca="false">B13*E13*(M13-1/M13)^2</f>
        <v>1.01465152513551</v>
      </c>
      <c r="O13" s="6" t="n">
        <v>5.03955380105834</v>
      </c>
      <c r="P13" s="6" t="n">
        <v>5.1146389038175</v>
      </c>
      <c r="Q13" s="0" t="n">
        <f aca="false">-(O13-P13)/(4*C13)</f>
        <v>0.938563784489499</v>
      </c>
      <c r="R13" s="0" t="n">
        <f aca="false">ABS(N13-Q13)/N13*100</f>
        <v>7.49890368871697</v>
      </c>
    </row>
    <row r="14" customFormat="false" ht="13" hidden="false" customHeight="false" outlineLevel="0" collapsed="false">
      <c r="A14" s="0" t="n">
        <v>8</v>
      </c>
      <c r="B14" s="0" t="n">
        <v>0.5</v>
      </c>
      <c r="C14" s="0" t="n">
        <v>0.02</v>
      </c>
      <c r="D14" s="0" t="n">
        <f aca="false">5*C14</f>
        <v>0.1</v>
      </c>
      <c r="E14" s="0" t="n">
        <v>1</v>
      </c>
      <c r="F14" s="0" t="n">
        <v>1</v>
      </c>
      <c r="G14" s="0" t="n">
        <f aca="false">F14*(1+3/8*C14/D14)</f>
        <v>1.075</v>
      </c>
      <c r="H14" s="6" t="n">
        <v>100000</v>
      </c>
      <c r="I14" s="0" t="n">
        <v>0.4659</v>
      </c>
      <c r="J14" s="0" t="n">
        <v>0.4866</v>
      </c>
      <c r="K14" s="0" t="n">
        <v>0.47</v>
      </c>
      <c r="L14" s="0" t="n">
        <f aca="false">A14/(C14*2)</f>
        <v>200</v>
      </c>
      <c r="M14" s="0" t="n">
        <f aca="false">1+K14/B14</f>
        <v>1.94</v>
      </c>
      <c r="N14" s="0" t="n">
        <f aca="false">B14*E14*(M14-1/M14)^2</f>
        <v>1.01465152513551</v>
      </c>
      <c r="S14" s="10"/>
    </row>
    <row r="15" customFormat="false" ht="13" hidden="false" customHeight="false" outlineLevel="0" collapsed="false">
      <c r="A15" s="0" t="n">
        <v>6</v>
      </c>
      <c r="B15" s="0" t="n">
        <v>0.5</v>
      </c>
      <c r="C15" s="0" t="n">
        <v>0.02</v>
      </c>
      <c r="D15" s="0" t="n">
        <f aca="false">5*C15</f>
        <v>0.1</v>
      </c>
      <c r="E15" s="0" t="n">
        <v>1</v>
      </c>
      <c r="F15" s="0" t="n">
        <v>1</v>
      </c>
      <c r="G15" s="0" t="n">
        <f aca="false">F15*(1+3/8*C15/D15)</f>
        <v>1.075</v>
      </c>
      <c r="H15" s="6" t="n">
        <v>100000</v>
      </c>
      <c r="I15" s="0" t="n">
        <v>0.4659</v>
      </c>
      <c r="J15" s="0" t="n">
        <v>0.4866</v>
      </c>
      <c r="K15" s="0" t="n">
        <v>0.47</v>
      </c>
      <c r="L15" s="0" t="n">
        <f aca="false">A15/(C15*2)</f>
        <v>150</v>
      </c>
      <c r="M15" s="0" t="n">
        <f aca="false">1+K15/B15</f>
        <v>1.94</v>
      </c>
      <c r="N15" s="0" t="n">
        <f aca="false">B15*E15*(M15-1/M15)^2</f>
        <v>1.01465152513551</v>
      </c>
      <c r="O15" s="12" t="n">
        <v>3.00336418015033</v>
      </c>
      <c r="P15" s="6" t="n">
        <v>3.09110021124998</v>
      </c>
      <c r="Q15" s="0" t="n">
        <f aca="false">-(O15-P15)/(4*C15)</f>
        <v>1.09670038874563</v>
      </c>
      <c r="R15" s="0" t="n">
        <f aca="false">ABS(N15-Q15)/N15*100</f>
        <v>8.08640814876405</v>
      </c>
    </row>
    <row r="16" customFormat="false" ht="13" hidden="false" customHeight="false" outlineLevel="0" collapsed="false">
      <c r="A16" s="0" t="n">
        <v>5</v>
      </c>
      <c r="B16" s="0" t="n">
        <v>0.5</v>
      </c>
      <c r="C16" s="0" t="n">
        <v>0.02</v>
      </c>
      <c r="D16" s="0" t="n">
        <f aca="false">5*C16</f>
        <v>0.1</v>
      </c>
      <c r="E16" s="0" t="n">
        <v>1</v>
      </c>
      <c r="F16" s="0" t="n">
        <v>1</v>
      </c>
      <c r="G16" s="0" t="n">
        <f aca="false">F16*(1+3/8*C16/D16)</f>
        <v>1.075</v>
      </c>
      <c r="H16" s="6" t="n">
        <v>100000</v>
      </c>
      <c r="I16" s="0" t="n">
        <v>0.4659</v>
      </c>
      <c r="J16" s="0" t="n">
        <v>0.4866</v>
      </c>
      <c r="K16" s="0" t="n">
        <v>0.47</v>
      </c>
      <c r="L16" s="0" t="n">
        <f aca="false">A16/(C16*2)</f>
        <v>125</v>
      </c>
      <c r="M16" s="0" t="n">
        <f aca="false">1+K16/B16</f>
        <v>1.94</v>
      </c>
      <c r="N16" s="0" t="n">
        <f aca="false">B16*E16*(M16-1/M16)^2</f>
        <v>1.01465152513551</v>
      </c>
      <c r="Q16" s="6"/>
      <c r="R16" s="6"/>
    </row>
    <row r="17" customFormat="false" ht="13" hidden="false" customHeight="false" outlineLevel="0" collapsed="false">
      <c r="A17" s="0" t="n">
        <v>4</v>
      </c>
      <c r="B17" s="0" t="n">
        <v>0.5</v>
      </c>
      <c r="C17" s="0" t="n">
        <v>0.02</v>
      </c>
      <c r="D17" s="0" t="n">
        <f aca="false">5*C17</f>
        <v>0.1</v>
      </c>
      <c r="E17" s="0" t="n">
        <v>1</v>
      </c>
      <c r="F17" s="0" t="n">
        <v>1</v>
      </c>
      <c r="G17" s="0" t="n">
        <f aca="false">F17*(1+3/8*C17/D17)</f>
        <v>1.075</v>
      </c>
      <c r="H17" s="6" t="n">
        <v>100000</v>
      </c>
      <c r="I17" s="0" t="n">
        <v>0.4659</v>
      </c>
      <c r="J17" s="0" t="n">
        <v>0.4866</v>
      </c>
      <c r="K17" s="0" t="n">
        <v>0.47</v>
      </c>
      <c r="L17" s="0" t="n">
        <f aca="false">A17/(C17*2)</f>
        <v>100</v>
      </c>
      <c r="M17" s="0" t="n">
        <f aca="false">1+K17/B17</f>
        <v>1.94</v>
      </c>
      <c r="N17" s="0" t="n">
        <f aca="false">B17*E17*(M17-1/M17)^2</f>
        <v>1.01465152513551</v>
      </c>
      <c r="O17" s="6" t="n">
        <v>1.98858865360632</v>
      </c>
      <c r="P17" s="6" t="n">
        <v>2.06858871365872</v>
      </c>
      <c r="Q17" s="0" t="n">
        <f aca="false">-(O17-P17)/(4*C17)</f>
        <v>1.000000750655</v>
      </c>
      <c r="R17" s="0" t="n">
        <f aca="false">ABS(N17-Q17)/N17*100</f>
        <v>1.44392179162685</v>
      </c>
    </row>
    <row r="18" customFormat="false" ht="13" hidden="false" customHeight="false" outlineLevel="0" collapsed="false">
      <c r="A18" s="0" t="n">
        <v>3</v>
      </c>
      <c r="B18" s="0" t="n">
        <v>0.5</v>
      </c>
      <c r="C18" s="0" t="n">
        <v>0.02</v>
      </c>
      <c r="D18" s="0" t="n">
        <f aca="false">5*C18</f>
        <v>0.1</v>
      </c>
      <c r="E18" s="0" t="n">
        <v>1</v>
      </c>
      <c r="F18" s="0" t="n">
        <v>1</v>
      </c>
      <c r="G18" s="0" t="n">
        <f aca="false">F18*(1+3/8*C18/D18)</f>
        <v>1.075</v>
      </c>
      <c r="H18" s="6" t="n">
        <v>100000</v>
      </c>
      <c r="I18" s="0" t="n">
        <v>0.4659</v>
      </c>
      <c r="J18" s="0" t="n">
        <v>0.4866</v>
      </c>
      <c r="K18" s="0" t="n">
        <v>0.47</v>
      </c>
      <c r="L18" s="0" t="n">
        <f aca="false">A18/(C18*2)</f>
        <v>75</v>
      </c>
      <c r="M18" s="0" t="n">
        <f aca="false">1+K18/B18</f>
        <v>1.94</v>
      </c>
      <c r="N18" s="0" t="n">
        <f aca="false">B18*E18*(M18-1/M18)^2</f>
        <v>1.01465152513551</v>
      </c>
      <c r="O18" s="6" t="n">
        <v>1.49022978027492</v>
      </c>
      <c r="P18" s="6" t="n">
        <v>1.57062465340106</v>
      </c>
      <c r="Q18" s="0" t="n">
        <f aca="false">-(O18-P18)/(4*C18)</f>
        <v>1.00493591407675</v>
      </c>
      <c r="R18" s="0" t="n">
        <f aca="false">ABS(N18-Q18)/N18*100</f>
        <v>0.95753180457322</v>
      </c>
    </row>
    <row r="19" customFormat="false" ht="13" hidden="false" customHeight="false" outlineLevel="0" collapsed="false">
      <c r="A19" s="0" t="n">
        <v>2</v>
      </c>
      <c r="B19" s="0" t="n">
        <v>0.5</v>
      </c>
      <c r="C19" s="0" t="n">
        <v>0.02</v>
      </c>
      <c r="D19" s="0" t="n">
        <f aca="false">5*C19</f>
        <v>0.1</v>
      </c>
      <c r="E19" s="0" t="n">
        <v>1</v>
      </c>
      <c r="F19" s="0" t="n">
        <v>1</v>
      </c>
      <c r="G19" s="0" t="n">
        <f aca="false">F19*(1+3/8*C19/D19)</f>
        <v>1.075</v>
      </c>
      <c r="H19" s="6" t="n">
        <v>100000</v>
      </c>
      <c r="I19" s="0" t="n">
        <v>0.4659</v>
      </c>
      <c r="J19" s="0" t="n">
        <v>0.4866</v>
      </c>
      <c r="K19" s="0" t="n">
        <v>0.47</v>
      </c>
      <c r="L19" s="0" t="n">
        <f aca="false">A19/(C19*2)</f>
        <v>50</v>
      </c>
      <c r="M19" s="0" t="n">
        <f aca="false">1+K19/B19</f>
        <v>1.94</v>
      </c>
      <c r="N19" s="0" t="n">
        <f aca="false">B19*E19*(M19-1/M19)^2</f>
        <v>1.01465152513551</v>
      </c>
      <c r="O19" s="6" t="n">
        <v>1.00352781736546</v>
      </c>
      <c r="P19" s="6" t="n">
        <v>1.0748017476259</v>
      </c>
      <c r="Q19" s="0" t="n">
        <f aca="false">-(O19-P19)/(4*C19)</f>
        <v>0.890924128255499</v>
      </c>
      <c r="R19" s="0" t="n">
        <f aca="false">ABS(N19-Q19)/N19*100</f>
        <v>12.1940778498791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1" outlineLevelCol="0"/>
  <cols>
    <col collapsed="false" customWidth="true" hidden="false" outlineLevel="0" max="1" min="1" style="0" width="3.5"/>
    <col collapsed="false" customWidth="true" hidden="false" outlineLevel="0" max="2" min="2" style="0" width="3.33"/>
    <col collapsed="false" customWidth="true" hidden="false" outlineLevel="0" max="3" min="3" style="0" width="6.66"/>
    <col collapsed="false" customWidth="true" hidden="false" outlineLevel="0" max="4" min="4" style="0" width="8.67"/>
    <col collapsed="false" customWidth="true" hidden="false" outlineLevel="0" max="5" min="5" style="0" width="5.01"/>
    <col collapsed="false" customWidth="true" hidden="false" outlineLevel="0" max="6" min="6" style="0" width="7"/>
    <col collapsed="false" customWidth="true" hidden="false" outlineLevel="0" max="7" min="7" style="0" width="10.84"/>
    <col collapsed="false" customWidth="true" hidden="false" outlineLevel="0" max="8" min="8" style="0" width="12.83"/>
    <col collapsed="false" customWidth="true" hidden="false" outlineLevel="0" max="9" min="9" style="0" width="6.16"/>
    <col collapsed="false" customWidth="false" hidden="false" outlineLevel="0" max="11" min="10" style="0" width="11.5"/>
    <col collapsed="false" customWidth="true" hidden="false" outlineLevel="0" max="12" min="12" style="0" width="13.66"/>
    <col collapsed="false" customWidth="true" hidden="false" outlineLevel="0" max="13" min="13" style="0" width="9.66"/>
    <col collapsed="false" customWidth="true" hidden="false" outlineLevel="0" max="14" min="14" style="0" width="7"/>
    <col collapsed="false" customWidth="true" hidden="false" outlineLevel="0" max="16" min="15" style="0" width="6.5"/>
    <col collapsed="false" customWidth="true" hidden="false" outlineLevel="0" max="17" min="17" style="0" width="7.49"/>
    <col collapsed="false" customWidth="true" hidden="false" outlineLevel="0" max="20" min="18" style="0" width="8.83"/>
    <col collapsed="false" customWidth="true" hidden="false" outlineLevel="0" max="21" min="21" style="0" width="6.01"/>
    <col collapsed="false" customWidth="true" hidden="false" outlineLevel="0" max="22" min="22" style="0" width="4.5"/>
    <col collapsed="false" customWidth="true" hidden="false" outlineLevel="0" max="23" min="23" style="0" width="5.5"/>
    <col collapsed="false" customWidth="true" hidden="false" outlineLevel="0" max="24" min="24" style="0" width="6.83"/>
    <col collapsed="false" customWidth="true" hidden="false" outlineLevel="0" max="25" min="25" style="0" width="7.34"/>
    <col collapsed="false" customWidth="true" hidden="false" outlineLevel="0" max="26" min="26" style="0" width="6.5"/>
    <col collapsed="false" customWidth="true" hidden="false" outlineLevel="0" max="27" min="27" style="0" width="5.83"/>
    <col collapsed="false" customWidth="true" hidden="false" outlineLevel="0" max="28" min="28" style="0" width="7.49"/>
    <col collapsed="false" customWidth="true" hidden="false" outlineLevel="0" max="29" min="29" style="0" width="7.16"/>
    <col collapsed="false" customWidth="true" hidden="false" outlineLevel="0" max="30" min="30" style="0" width="6.83"/>
    <col collapsed="false" customWidth="false" hidden="false" outlineLevel="0" max="1025" min="31" style="0" width="11.5"/>
  </cols>
  <sheetData>
    <row r="1" customFormat="false" ht="13" hidden="false" customHeight="false" outlineLevel="0" collapsed="false">
      <c r="A1" s="0" t="s">
        <v>6</v>
      </c>
      <c r="B1" s="0" t="s">
        <v>7</v>
      </c>
      <c r="C1" s="0" t="s">
        <v>35</v>
      </c>
      <c r="D1" s="0" t="s">
        <v>25</v>
      </c>
      <c r="E1" s="10" t="s">
        <v>23</v>
      </c>
      <c r="F1" s="10" t="s">
        <v>36</v>
      </c>
      <c r="G1" s="10" t="s">
        <v>9</v>
      </c>
      <c r="H1" s="0" t="s">
        <v>10</v>
      </c>
      <c r="I1" s="10" t="s">
        <v>0</v>
      </c>
      <c r="J1" s="0" t="s">
        <v>11</v>
      </c>
      <c r="K1" s="0" t="s">
        <v>12</v>
      </c>
      <c r="L1" s="0" t="s">
        <v>13</v>
      </c>
      <c r="M1" s="10" t="s">
        <v>19</v>
      </c>
      <c r="N1" s="0" t="s">
        <v>20</v>
      </c>
      <c r="O1" s="0" t="s">
        <v>37</v>
      </c>
      <c r="P1" s="0" t="s">
        <v>15</v>
      </c>
      <c r="Q1" s="0" t="s">
        <v>16</v>
      </c>
      <c r="R1" s="0" t="s">
        <v>38</v>
      </c>
      <c r="S1" s="0" t="s">
        <v>17</v>
      </c>
      <c r="T1" s="0" t="s">
        <v>18</v>
      </c>
      <c r="U1" s="0" t="s">
        <v>39</v>
      </c>
      <c r="V1" s="0" t="s">
        <v>40</v>
      </c>
      <c r="W1" s="0" t="s">
        <v>41</v>
      </c>
      <c r="X1" s="0" t="s">
        <v>1</v>
      </c>
      <c r="Y1" s="0" t="s">
        <v>42</v>
      </c>
      <c r="Z1" s="0" t="s">
        <v>43</v>
      </c>
      <c r="AA1" s="0" t="s">
        <v>44</v>
      </c>
      <c r="AB1" s="0" t="s">
        <v>45</v>
      </c>
      <c r="AC1" s="0" t="s">
        <v>46</v>
      </c>
      <c r="AD1" s="0" t="s">
        <v>47</v>
      </c>
      <c r="AE1" s="0" t="s">
        <v>48</v>
      </c>
      <c r="AF1" s="0" t="s">
        <v>49</v>
      </c>
    </row>
    <row r="2" customFormat="false" ht="13" hidden="false" customHeight="false" outlineLevel="0" collapsed="false">
      <c r="A2" s="0" t="n">
        <v>1</v>
      </c>
      <c r="B2" s="0" t="n">
        <v>1</v>
      </c>
      <c r="C2" s="0" t="n">
        <f aca="false">B2*(1+(3/2)*M2/N2)</f>
        <v>1.3</v>
      </c>
      <c r="D2" s="6" t="n">
        <v>100000</v>
      </c>
      <c r="E2" s="0" t="n">
        <v>6</v>
      </c>
      <c r="F2" s="0" t="n">
        <v>0.5</v>
      </c>
      <c r="G2" s="0" t="n">
        <v>0.4659</v>
      </c>
      <c r="H2" s="0" t="n">
        <v>0.5454</v>
      </c>
      <c r="I2" s="0" t="n">
        <v>0.45</v>
      </c>
      <c r="J2" s="6" t="n">
        <v>0.509744057083463</v>
      </c>
      <c r="K2" s="0" t="n">
        <f aca="false">ABS(G2-J2)/G2*100</f>
        <v>9.4106153860191</v>
      </c>
      <c r="L2" s="0" t="n">
        <f aca="false">ABS(H2-J2)/H2*100</f>
        <v>6.53757662569434</v>
      </c>
      <c r="M2" s="0" t="n">
        <v>0.02</v>
      </c>
      <c r="N2" s="0" t="n">
        <f aca="false">5*M2</f>
        <v>0.1</v>
      </c>
      <c r="O2" s="0" t="n">
        <f aca="false">20*M2</f>
        <v>0.4</v>
      </c>
      <c r="U2" s="0" t="s">
        <v>50</v>
      </c>
      <c r="V2" s="0" t="s">
        <v>51</v>
      </c>
      <c r="W2" s="0" t="s">
        <v>52</v>
      </c>
      <c r="Y2" s="0" t="n">
        <f aca="false">M2</f>
        <v>0.02</v>
      </c>
      <c r="AB2" s="0" t="n">
        <f aca="false">6/Y2</f>
        <v>300</v>
      </c>
      <c r="AC2" s="0" t="n">
        <f aca="false">1/Y2</f>
        <v>50</v>
      </c>
      <c r="AD2" s="0" t="s">
        <v>53</v>
      </c>
      <c r="AE2" s="0" t="s">
        <v>54</v>
      </c>
    </row>
    <row r="3" customFormat="false" ht="13" hidden="false" customHeight="false" outlineLevel="0" collapsed="false">
      <c r="A3" s="0" t="n">
        <v>1</v>
      </c>
      <c r="B3" s="0" t="n">
        <v>1</v>
      </c>
      <c r="C3" s="0" t="n">
        <f aca="false">B3*(1+(3/2)*M3/N3)</f>
        <v>1.3</v>
      </c>
      <c r="D3" s="6" t="n">
        <v>100000</v>
      </c>
      <c r="E3" s="0" t="n">
        <v>6</v>
      </c>
      <c r="F3" s="0" t="n">
        <v>0.5</v>
      </c>
      <c r="G3" s="0" t="n">
        <v>0.4659</v>
      </c>
      <c r="H3" s="0" t="n">
        <v>0.5454</v>
      </c>
      <c r="I3" s="0" t="n">
        <v>0.45</v>
      </c>
      <c r="J3" s="6" t="n">
        <v>0.510292607311617</v>
      </c>
      <c r="K3" s="0" t="n">
        <f aca="false">ABS(G3-J3)/G3*100</f>
        <v>9.52835529332838</v>
      </c>
      <c r="L3" s="0" t="n">
        <f aca="false">ABS(H3-J3)/H3*100</f>
        <v>6.43699902610617</v>
      </c>
      <c r="M3" s="0" t="n">
        <v>0.012</v>
      </c>
      <c r="N3" s="0" t="n">
        <f aca="false">5*M3</f>
        <v>0.06</v>
      </c>
      <c r="O3" s="0" t="n">
        <f aca="false">20*M3</f>
        <v>0.24</v>
      </c>
      <c r="U3" s="0" t="s">
        <v>50</v>
      </c>
      <c r="V3" s="0" t="s">
        <v>51</v>
      </c>
      <c r="W3" s="0" t="s">
        <v>52</v>
      </c>
      <c r="Y3" s="0" t="n">
        <f aca="false">M3</f>
        <v>0.012</v>
      </c>
      <c r="AB3" s="0" t="n">
        <f aca="false">6/Y3</f>
        <v>500</v>
      </c>
      <c r="AC3" s="0" t="n">
        <f aca="false">1/Y3</f>
        <v>83.3333333333333</v>
      </c>
      <c r="AD3" s="0" t="s">
        <v>53</v>
      </c>
      <c r="AE3" s="0" t="s">
        <v>54</v>
      </c>
    </row>
    <row r="4" customFormat="false" ht="13" hidden="false" customHeight="false" outlineLevel="0" collapsed="false">
      <c r="A4" s="0" t="n">
        <v>1</v>
      </c>
      <c r="B4" s="0" t="n">
        <v>1</v>
      </c>
      <c r="C4" s="0" t="n">
        <f aca="false">B4*(1+(3/2)*M4/N4)</f>
        <v>1.3</v>
      </c>
      <c r="D4" s="6" t="n">
        <v>100000</v>
      </c>
      <c r="E4" s="0" t="n">
        <v>6</v>
      </c>
      <c r="F4" s="0" t="n">
        <v>0.5</v>
      </c>
      <c r="G4" s="0" t="n">
        <v>0.4659</v>
      </c>
      <c r="H4" s="0" t="n">
        <v>0.5454</v>
      </c>
      <c r="I4" s="0" t="n">
        <v>0.45</v>
      </c>
      <c r="J4" s="6" t="n">
        <v>0.520043079482261</v>
      </c>
      <c r="K4" s="0" t="n">
        <f aca="false">ABS(G4-J4)/G4*100</f>
        <v>11.6211803997126</v>
      </c>
      <c r="L4" s="0" t="n">
        <f aca="false">ABS(H4-J4)/H4*100</f>
        <v>4.64923368495397</v>
      </c>
      <c r="M4" s="0" t="n">
        <v>0.012</v>
      </c>
      <c r="N4" s="0" t="n">
        <f aca="false">5*M4</f>
        <v>0.06</v>
      </c>
      <c r="O4" s="0" t="n">
        <f aca="false">20*M4</f>
        <v>0.24</v>
      </c>
      <c r="U4" s="0" t="s">
        <v>55</v>
      </c>
      <c r="V4" s="0" t="s">
        <v>51</v>
      </c>
      <c r="W4" s="0" t="s">
        <v>52</v>
      </c>
      <c r="Y4" s="0" t="n">
        <f aca="false">M4</f>
        <v>0.012</v>
      </c>
      <c r="AB4" s="0" t="n">
        <f aca="false">6/Y4</f>
        <v>500</v>
      </c>
      <c r="AC4" s="0" t="n">
        <f aca="false">1/Y4</f>
        <v>83.3333333333333</v>
      </c>
      <c r="AD4" s="0" t="s">
        <v>53</v>
      </c>
      <c r="AE4" s="0" t="s">
        <v>54</v>
      </c>
    </row>
    <row r="5" customFormat="false" ht="13" hidden="false" customHeight="false" outlineLevel="0" collapsed="false">
      <c r="A5" s="0" t="n">
        <v>1</v>
      </c>
      <c r="B5" s="0" t="n">
        <v>1</v>
      </c>
      <c r="C5" s="0" t="n">
        <f aca="false">B5*(1+(3/2)*M5/N5)</f>
        <v>1.3</v>
      </c>
      <c r="D5" s="6" t="n">
        <v>100001</v>
      </c>
      <c r="E5" s="0" t="n">
        <v>6</v>
      </c>
      <c r="F5" s="0" t="n">
        <v>0.5</v>
      </c>
      <c r="G5" s="0" t="n">
        <v>0.4659</v>
      </c>
      <c r="H5" s="0" t="n">
        <v>0.5454</v>
      </c>
      <c r="I5" s="0" t="n">
        <v>0.55</v>
      </c>
      <c r="J5" s="6" t="n">
        <v>0.520236586887892</v>
      </c>
      <c r="K5" s="0" t="n">
        <f aca="false">ABS(G5-J5)/G5*100</f>
        <v>11.6627145069526</v>
      </c>
      <c r="L5" s="0" t="n">
        <f aca="false">ABS(H5-J5)/H5*100</f>
        <v>4.6137537792644</v>
      </c>
      <c r="M5" s="0" t="n">
        <v>0.01</v>
      </c>
      <c r="N5" s="0" t="n">
        <f aca="false">5*M5</f>
        <v>0.05</v>
      </c>
      <c r="O5" s="0" t="n">
        <f aca="false">20*M5</f>
        <v>0.2</v>
      </c>
      <c r="U5" s="0" t="s">
        <v>55</v>
      </c>
      <c r="V5" s="0" t="s">
        <v>51</v>
      </c>
      <c r="W5" s="0" t="s">
        <v>52</v>
      </c>
      <c r="Y5" s="0" t="n">
        <f aca="false">M5</f>
        <v>0.01</v>
      </c>
      <c r="AB5" s="0" t="n">
        <f aca="false">6/Y5</f>
        <v>600</v>
      </c>
      <c r="AC5" s="0" t="n">
        <f aca="false">1/Y5</f>
        <v>100</v>
      </c>
      <c r="AD5" s="0" t="s">
        <v>53</v>
      </c>
      <c r="AE5" s="0" t="s">
        <v>54</v>
      </c>
    </row>
    <row r="6" customFormat="false" ht="13" hidden="false" customHeight="false" outlineLevel="0" collapsed="false">
      <c r="A6" s="0" t="n">
        <v>1</v>
      </c>
      <c r="B6" s="0" t="n">
        <v>1</v>
      </c>
      <c r="C6" s="0" t="n">
        <f aca="false">B6*(1+(3/2)*M6/N6)</f>
        <v>1.3</v>
      </c>
      <c r="D6" s="6" t="n">
        <v>100001</v>
      </c>
      <c r="E6" s="0" t="n">
        <v>6</v>
      </c>
      <c r="F6" s="0" t="n">
        <v>0.5</v>
      </c>
      <c r="G6" s="0" t="n">
        <v>0.4659</v>
      </c>
      <c r="H6" s="0" t="n">
        <v>0.5454</v>
      </c>
      <c r="I6" s="0" t="n">
        <v>0.55</v>
      </c>
      <c r="J6" s="6" t="n">
        <v>0.514070351758794</v>
      </c>
      <c r="K6" s="0" t="n">
        <f aca="false">ABS(G6-J6)/G6*100</f>
        <v>10.339204069284</v>
      </c>
      <c r="L6" s="0" t="n">
        <f aca="false">ABS(H6-J6)/H6*100</f>
        <v>5.74434327854895</v>
      </c>
      <c r="M6" s="0" t="n">
        <v>0.01</v>
      </c>
      <c r="N6" s="0" t="n">
        <f aca="false">5*M6</f>
        <v>0.05</v>
      </c>
      <c r="O6" s="0" t="n">
        <f aca="false">20*M6</f>
        <v>0.2</v>
      </c>
      <c r="U6" s="0" t="s">
        <v>50</v>
      </c>
      <c r="V6" s="0" t="s">
        <v>56</v>
      </c>
      <c r="W6" s="0" t="s">
        <v>57</v>
      </c>
      <c r="X6" s="0" t="n">
        <v>200</v>
      </c>
      <c r="Y6" s="0" t="n">
        <f aca="false">M6</f>
        <v>0.01</v>
      </c>
      <c r="Z6" s="0" t="n">
        <v>0.01</v>
      </c>
      <c r="AA6" s="0" t="n">
        <v>0.18</v>
      </c>
      <c r="AB6" s="0" t="n">
        <f aca="false">6/Y6</f>
        <v>600</v>
      </c>
      <c r="AC6" s="0" t="n">
        <f aca="false">1/Y6</f>
        <v>100</v>
      </c>
      <c r="AD6" s="0" t="s">
        <v>58</v>
      </c>
    </row>
    <row r="7" s="13" customFormat="true" ht="13" hidden="false" customHeight="false" outlineLevel="0" collapsed="false">
      <c r="A7" s="0" t="n">
        <v>1</v>
      </c>
      <c r="B7" s="0" t="n">
        <v>1</v>
      </c>
      <c r="C7" s="0" t="n">
        <f aca="false">B7*(1+(3/2)*M7/N7)</f>
        <v>1.3</v>
      </c>
      <c r="D7" s="6" t="n">
        <v>100001</v>
      </c>
      <c r="E7" s="0" t="n">
        <v>6</v>
      </c>
      <c r="F7" s="0" t="n">
        <v>0.5</v>
      </c>
      <c r="G7" s="0" t="n">
        <v>0.4659</v>
      </c>
      <c r="H7" s="0" t="n">
        <v>0.5454</v>
      </c>
      <c r="I7" s="0" t="n">
        <v>0.55</v>
      </c>
      <c r="J7" s="6" t="n">
        <v>0.520236586887892</v>
      </c>
      <c r="K7" s="0" t="n">
        <f aca="false">ABS(G7-J7)/G7*100</f>
        <v>11.6627145069526</v>
      </c>
      <c r="L7" s="0" t="n">
        <f aca="false">ABS(H7-J7)/H7*100</f>
        <v>4.6137537792644</v>
      </c>
      <c r="M7" s="0" t="n">
        <v>0.006</v>
      </c>
      <c r="N7" s="0" t="n">
        <f aca="false">5*M7</f>
        <v>0.03</v>
      </c>
      <c r="O7" s="13" t="n">
        <f aca="false">20*M7</f>
        <v>0.12</v>
      </c>
      <c r="P7" s="0"/>
      <c r="Q7" s="0"/>
      <c r="R7" s="0"/>
      <c r="S7" s="0"/>
      <c r="U7" s="0" t="s">
        <v>55</v>
      </c>
      <c r="V7" s="0" t="s">
        <v>51</v>
      </c>
      <c r="W7" s="0" t="s">
        <v>52</v>
      </c>
      <c r="X7" s="0" t="n">
        <v>150</v>
      </c>
      <c r="Y7" s="0" t="n">
        <f aca="false">M7</f>
        <v>0.006</v>
      </c>
      <c r="Z7" s="0"/>
      <c r="AA7" s="0"/>
      <c r="AB7" s="0" t="n">
        <f aca="false">6/Y7</f>
        <v>1000</v>
      </c>
      <c r="AC7" s="0" t="n">
        <f aca="false">1/Y7</f>
        <v>166.666666666667</v>
      </c>
      <c r="AD7" s="0" t="s">
        <v>53</v>
      </c>
      <c r="AE7" s="0" t="s">
        <v>54</v>
      </c>
      <c r="AF7" s="0"/>
      <c r="AG7" s="0"/>
      <c r="AH7" s="0"/>
      <c r="AI7" s="0"/>
      <c r="AJ7" s="0"/>
      <c r="AK7" s="0"/>
      <c r="AL7" s="0"/>
      <c r="AM7" s="0"/>
      <c r="AN7" s="0"/>
      <c r="AO7" s="0"/>
    </row>
    <row r="8" s="13" customFormat="true" ht="13" hidden="false" customHeight="false" outlineLevel="0" collapsed="false">
      <c r="A8" s="0" t="n">
        <v>1</v>
      </c>
      <c r="B8" s="0" t="n">
        <v>1</v>
      </c>
      <c r="C8" s="0" t="n">
        <f aca="false">B8*(1+(3/2)*M8/N8)</f>
        <v>1.3</v>
      </c>
      <c r="D8" s="6" t="n">
        <v>100001</v>
      </c>
      <c r="E8" s="0" t="n">
        <v>6</v>
      </c>
      <c r="F8" s="0" t="n">
        <v>0.5</v>
      </c>
      <c r="G8" s="0" t="n">
        <v>0.4659</v>
      </c>
      <c r="H8" s="0" t="n">
        <v>0.5454</v>
      </c>
      <c r="I8" s="0" t="n">
        <v>0.55</v>
      </c>
      <c r="J8" s="6" t="n">
        <v>0.520236586887892</v>
      </c>
      <c r="K8" s="0" t="n">
        <f aca="false">ABS(G8-J8)/G8*100</f>
        <v>11.6627145069526</v>
      </c>
      <c r="L8" s="0" t="n">
        <f aca="false">ABS(H8-J8)/H8*100</f>
        <v>4.6137537792644</v>
      </c>
      <c r="M8" s="0" t="n">
        <v>0.005</v>
      </c>
      <c r="N8" s="0" t="n">
        <f aca="false">5*M8</f>
        <v>0.025</v>
      </c>
      <c r="O8" s="13" t="n">
        <f aca="false">20*M8</f>
        <v>0.1</v>
      </c>
      <c r="P8" s="0"/>
      <c r="Q8" s="0"/>
      <c r="R8" s="0"/>
      <c r="S8" s="0"/>
      <c r="U8" s="0" t="s">
        <v>55</v>
      </c>
      <c r="V8" s="0" t="s">
        <v>51</v>
      </c>
      <c r="W8" s="10" t="s">
        <v>52</v>
      </c>
      <c r="X8" s="0" t="n">
        <v>150</v>
      </c>
      <c r="Y8" s="0" t="n">
        <f aca="false">M8</f>
        <v>0.005</v>
      </c>
      <c r="Z8" s="0"/>
      <c r="AA8" s="0"/>
      <c r="AB8" s="0" t="n">
        <f aca="false">6/Y8</f>
        <v>1200</v>
      </c>
      <c r="AC8" s="0" t="n">
        <f aca="false">1/Y8</f>
        <v>200</v>
      </c>
      <c r="AD8" s="0" t="s">
        <v>53</v>
      </c>
      <c r="AE8" s="0" t="s">
        <v>54</v>
      </c>
      <c r="AF8" s="0" t="s">
        <v>59</v>
      </c>
      <c r="AG8" s="0"/>
      <c r="AH8" s="0"/>
      <c r="AI8" s="0"/>
      <c r="AJ8" s="0"/>
      <c r="AK8" s="0"/>
      <c r="AL8" s="0"/>
      <c r="AM8" s="0"/>
      <c r="AN8" s="0"/>
      <c r="AO8" s="0"/>
    </row>
    <row r="9" s="13" customFormat="true" ht="12.8" hidden="false" customHeight="false" outlineLevel="0" collapsed="false">
      <c r="A9" s="0" t="n">
        <v>1</v>
      </c>
      <c r="B9" s="0" t="n">
        <v>1</v>
      </c>
      <c r="C9" s="0" t="n">
        <f aca="false">B9*(1+(3/2)*M9/N9)</f>
        <v>1.3</v>
      </c>
      <c r="D9" s="6" t="n">
        <v>100001</v>
      </c>
      <c r="E9" s="0" t="n">
        <v>6</v>
      </c>
      <c r="F9" s="0" t="n">
        <v>0.5</v>
      </c>
      <c r="G9" s="0" t="n">
        <v>0.4659</v>
      </c>
      <c r="H9" s="0" t="n">
        <v>0.5454</v>
      </c>
      <c r="I9" s="0" t="n">
        <v>0.53</v>
      </c>
      <c r="J9" s="6" t="n">
        <v>0.520987332893662</v>
      </c>
      <c r="K9" s="6" t="n">
        <f aca="false">ABS(G9-J9)/G9*100</f>
        <v>11.8238533791934</v>
      </c>
      <c r="L9" s="14" t="n">
        <f aca="false">ABS(H9-J9)/H9*100</f>
        <v>4.4761032464866</v>
      </c>
      <c r="M9" s="0" t="n">
        <v>0.005</v>
      </c>
      <c r="N9" s="0" t="n">
        <f aca="false">5*M9</f>
        <v>0.025</v>
      </c>
      <c r="O9" s="13" t="n">
        <f aca="false">20*M9</f>
        <v>0.1</v>
      </c>
      <c r="P9" s="13" t="n">
        <f aca="false">B9*E9*F9</f>
        <v>3</v>
      </c>
      <c r="Q9" s="13" t="n">
        <f aca="false">C9*E9*F9</f>
        <v>3.9</v>
      </c>
      <c r="R9" s="6" t="n">
        <v>3.01710026513806</v>
      </c>
      <c r="S9" s="6" t="n">
        <f aca="false">(R9-P9)*100/P9</f>
        <v>0.570008837935336</v>
      </c>
      <c r="T9" s="6" t="n">
        <f aca="false">ABS(R9-Q9)*100/Q9</f>
        <v>22.6384547400497</v>
      </c>
      <c r="U9" s="0" t="s">
        <v>55</v>
      </c>
      <c r="V9" s="0" t="s">
        <v>56</v>
      </c>
      <c r="W9" s="10" t="s">
        <v>57</v>
      </c>
      <c r="X9" s="0" t="n">
        <v>250</v>
      </c>
      <c r="Y9" s="0" t="n">
        <f aca="false">M9</f>
        <v>0.005</v>
      </c>
      <c r="Z9" s="0" t="n">
        <f aca="false">N9</f>
        <v>0.025</v>
      </c>
      <c r="AA9" s="0" t="n">
        <v>0.08</v>
      </c>
      <c r="AB9" s="0" t="n">
        <f aca="false">6/Y9</f>
        <v>1200</v>
      </c>
      <c r="AC9" s="0" t="n">
        <f aca="false">1/Y9</f>
        <v>200</v>
      </c>
      <c r="AD9" s="0" t="s">
        <v>58</v>
      </c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s="13" customFormat="true" ht="12.8" hidden="false" customHeight="false" outlineLevel="0" collapsed="false">
      <c r="A10" s="0"/>
      <c r="B10" s="0"/>
      <c r="C10" s="0"/>
      <c r="D10" s="6"/>
      <c r="E10" s="0"/>
      <c r="F10" s="0"/>
      <c r="G10" s="0"/>
      <c r="H10" s="0"/>
      <c r="I10" s="0"/>
      <c r="J10" s="6"/>
      <c r="K10" s="6"/>
      <c r="L10" s="3"/>
      <c r="M10" s="0" t="n">
        <v>0.005</v>
      </c>
      <c r="N10" s="0"/>
      <c r="R10" s="6"/>
      <c r="S10" s="6"/>
      <c r="T10" s="6"/>
      <c r="U10" s="0"/>
      <c r="V10" s="0"/>
      <c r="W10" s="10" t="s">
        <v>57</v>
      </c>
      <c r="X10" s="0"/>
      <c r="Y10" s="0" t="n">
        <f aca="false">M10</f>
        <v>0.005</v>
      </c>
      <c r="Z10" s="0" t="n">
        <f aca="false">N10</f>
        <v>0</v>
      </c>
      <c r="AA10" s="0" t="n">
        <v>0.08</v>
      </c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s="13" customFormat="true" ht="13" hidden="false" customHeight="false" outlineLevel="0" collapsed="false">
      <c r="A11" s="13" t="n">
        <v>1</v>
      </c>
      <c r="B11" s="13" t="n">
        <v>1</v>
      </c>
      <c r="C11" s="0" t="n">
        <f aca="false">B11*(1+(3/2)*M11/N11)</f>
        <v>1.3</v>
      </c>
      <c r="D11" s="12" t="n">
        <v>100001</v>
      </c>
      <c r="E11" s="13" t="n">
        <v>6</v>
      </c>
      <c r="F11" s="13" t="n">
        <v>0.5</v>
      </c>
      <c r="G11" s="13" t="n">
        <v>0.4659</v>
      </c>
      <c r="H11" s="0" t="n">
        <v>0.5454</v>
      </c>
      <c r="I11" s="13" t="n">
        <v>0.53</v>
      </c>
      <c r="J11" s="12" t="n">
        <v>0.526942541986216</v>
      </c>
      <c r="K11" s="12" t="n">
        <f aca="false">ABS(G11-J11)/G11*100</f>
        <v>13.1020695398618</v>
      </c>
      <c r="L11" s="12" t="n">
        <f aca="false">ABS(H11-J11)/H11*100</f>
        <v>3.38420572309937</v>
      </c>
      <c r="M11" s="13" t="n">
        <v>0.002</v>
      </c>
      <c r="N11" s="13" t="n">
        <f aca="false">5*M11</f>
        <v>0.01</v>
      </c>
      <c r="O11" s="13" t="n">
        <f aca="false">20*M11</f>
        <v>0.04</v>
      </c>
      <c r="P11" s="13" t="n">
        <f aca="false">B11*E11*F11</f>
        <v>3</v>
      </c>
      <c r="U11" s="13" t="s">
        <v>55</v>
      </c>
      <c r="V11" s="13" t="s">
        <v>56</v>
      </c>
      <c r="W11" s="13" t="s">
        <v>57</v>
      </c>
      <c r="X11" s="13" t="n">
        <v>300</v>
      </c>
      <c r="Y11" s="13" t="n">
        <f aca="false">M11</f>
        <v>0.002</v>
      </c>
      <c r="Z11" s="13" t="n">
        <v>0.22</v>
      </c>
      <c r="AA11" s="13" t="n">
        <v>0.04</v>
      </c>
      <c r="AB11" s="13" t="n">
        <f aca="false">6/Y11</f>
        <v>3000</v>
      </c>
      <c r="AC11" s="13" t="n">
        <f aca="false">1/Y11</f>
        <v>500</v>
      </c>
      <c r="AD11" s="13" t="s">
        <v>58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2" s="13" customFormat="true" ht="12.8" hidden="false" customHeight="false" outlineLevel="0" collapsed="false">
      <c r="C12" s="0"/>
      <c r="D12" s="12"/>
      <c r="H12" s="0"/>
      <c r="J12" s="12"/>
      <c r="K12" s="12"/>
      <c r="L12" s="12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</row>
    <row r="13" s="15" customFormat="true" ht="13" hidden="false" customHeight="false" outlineLevel="0" collapsed="false">
      <c r="A13" s="15" t="n">
        <v>1</v>
      </c>
      <c r="B13" s="15" t="n">
        <v>1</v>
      </c>
      <c r="C13" s="15" t="n">
        <f aca="false">B13*(1+(3/2)*M13/N13)</f>
        <v>1.3</v>
      </c>
      <c r="D13" s="16" t="n">
        <f aca="false">100000</f>
        <v>100000</v>
      </c>
      <c r="E13" s="15" t="n">
        <v>6</v>
      </c>
      <c r="F13" s="15" t="n">
        <v>0.5</v>
      </c>
      <c r="G13" s="15" t="n">
        <v>0.4659</v>
      </c>
      <c r="H13" s="15" t="n">
        <v>0.5454</v>
      </c>
      <c r="I13" s="15" t="n">
        <v>0.53</v>
      </c>
      <c r="J13" s="16"/>
      <c r="L13" s="16" t="n">
        <f aca="false">ABS(H13-J13)/H13*100</f>
        <v>100</v>
      </c>
      <c r="M13" s="15" t="n">
        <v>0.002</v>
      </c>
      <c r="N13" s="15" t="n">
        <f aca="false">5*M13</f>
        <v>0.01</v>
      </c>
      <c r="O13" s="15" t="n">
        <f aca="false">20*M13</f>
        <v>0.04</v>
      </c>
      <c r="P13" s="13" t="n">
        <f aca="false">B13*E13*F13</f>
        <v>3</v>
      </c>
      <c r="Q13" s="13"/>
      <c r="U13" s="15" t="s">
        <v>55</v>
      </c>
      <c r="V13" s="15" t="s">
        <v>56</v>
      </c>
      <c r="W13" s="17" t="s">
        <v>57</v>
      </c>
      <c r="X13" s="15" t="n">
        <v>300</v>
      </c>
      <c r="Y13" s="15" t="n">
        <f aca="false">M13</f>
        <v>0.002</v>
      </c>
      <c r="AB13" s="15" t="n">
        <f aca="false">6/Y13</f>
        <v>3000</v>
      </c>
      <c r="AC13" s="15" t="n">
        <f aca="false">1/Y13</f>
        <v>500</v>
      </c>
    </row>
    <row r="14" s="13" customFormat="true" ht="13" hidden="false" customHeight="false" outlineLevel="0" collapsed="false">
      <c r="A14" s="0"/>
      <c r="B14" s="0"/>
      <c r="C14" s="0"/>
      <c r="D14" s="6"/>
      <c r="E14" s="0"/>
      <c r="F14" s="0"/>
      <c r="G14" s="0"/>
      <c r="H14" s="0"/>
      <c r="I14" s="0"/>
      <c r="J14" s="6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</row>
    <row r="15" customFormat="false" ht="12.8" hidden="false" customHeight="false" outlineLevel="0" collapsed="false">
      <c r="A15" s="0" t="s">
        <v>6</v>
      </c>
      <c r="B15" s="0" t="s">
        <v>7</v>
      </c>
      <c r="C15" s="0" t="s">
        <v>35</v>
      </c>
      <c r="D15" s="0" t="s">
        <v>25</v>
      </c>
      <c r="E15" s="10" t="s">
        <v>23</v>
      </c>
      <c r="F15" s="10" t="s">
        <v>36</v>
      </c>
      <c r="G15" s="10" t="s">
        <v>9</v>
      </c>
      <c r="H15" s="0" t="s">
        <v>10</v>
      </c>
      <c r="I15" s="10" t="s">
        <v>0</v>
      </c>
      <c r="J15" s="0" t="s">
        <v>11</v>
      </c>
      <c r="K15" s="0" t="s">
        <v>12</v>
      </c>
      <c r="L15" s="0" t="s">
        <v>13</v>
      </c>
      <c r="M15" s="10" t="s">
        <v>19</v>
      </c>
      <c r="N15" s="0" t="s">
        <v>20</v>
      </c>
      <c r="O15" s="0" t="s">
        <v>37</v>
      </c>
      <c r="P15" s="0" t="s">
        <v>15</v>
      </c>
      <c r="Q15" s="0" t="s">
        <v>16</v>
      </c>
      <c r="R15" s="0" t="s">
        <v>38</v>
      </c>
      <c r="S15" s="0" t="s">
        <v>17</v>
      </c>
      <c r="T15" s="0" t="s">
        <v>18</v>
      </c>
      <c r="U15" s="0" t="s">
        <v>39</v>
      </c>
      <c r="V15" s="0" t="s">
        <v>40</v>
      </c>
      <c r="W15" s="0" t="s">
        <v>41</v>
      </c>
      <c r="X15" s="0" t="s">
        <v>1</v>
      </c>
      <c r="Y15" s="0" t="s">
        <v>42</v>
      </c>
      <c r="Z15" s="0" t="s">
        <v>43</v>
      </c>
      <c r="AA15" s="0" t="s">
        <v>44</v>
      </c>
      <c r="AB15" s="0" t="s">
        <v>45</v>
      </c>
      <c r="AC15" s="0" t="s">
        <v>46</v>
      </c>
      <c r="AD15" s="0" t="s">
        <v>47</v>
      </c>
      <c r="AE15" s="0" t="s">
        <v>48</v>
      </c>
      <c r="AF15" s="0" t="s">
        <v>49</v>
      </c>
    </row>
    <row r="16" s="13" customFormat="true" ht="13" hidden="false" customHeight="false" outlineLevel="0" collapsed="false">
      <c r="A16" s="18" t="s">
        <v>60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n">
        <f aca="false">20*M16</f>
        <v>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</row>
    <row r="17" customFormat="false" ht="13" hidden="false" customHeight="false" outlineLevel="1" collapsed="false">
      <c r="A17" s="0" t="n">
        <v>1</v>
      </c>
      <c r="B17" s="0" t="n">
        <v>1</v>
      </c>
      <c r="C17" s="0" t="n">
        <f aca="false">B17*(1+(3/2)*M17/N17)</f>
        <v>1.3</v>
      </c>
      <c r="D17" s="6" t="n">
        <v>100001</v>
      </c>
      <c r="E17" s="0" t="n">
        <v>6</v>
      </c>
      <c r="F17" s="0" t="n">
        <v>0.5</v>
      </c>
      <c r="G17" s="0" t="n">
        <v>0.4659</v>
      </c>
      <c r="H17" s="0" t="n">
        <v>0.5454</v>
      </c>
      <c r="I17" s="0" t="n">
        <v>0.53</v>
      </c>
      <c r="J17" s="6" t="n">
        <v>0.521976892026995</v>
      </c>
      <c r="K17" s="0" t="n">
        <f aca="false">ABS(G17-J17)/G17*100</f>
        <v>12.0362507033688</v>
      </c>
      <c r="L17" s="0" t="n">
        <f aca="false">ABS(H17-J17)/H17*100</f>
        <v>4.29466592831041</v>
      </c>
      <c r="M17" s="0" t="n">
        <v>0.005</v>
      </c>
      <c r="N17" s="0" t="n">
        <f aca="false">5*M17</f>
        <v>0.025</v>
      </c>
      <c r="O17" s="0" t="n">
        <f aca="false">20*M17</f>
        <v>0.1</v>
      </c>
      <c r="U17" s="0" t="s">
        <v>55</v>
      </c>
      <c r="V17" s="0" t="s">
        <v>56</v>
      </c>
      <c r="W17" s="10" t="s">
        <v>57</v>
      </c>
      <c r="X17" s="19" t="n">
        <v>250</v>
      </c>
      <c r="Y17" s="0" t="n">
        <f aca="false">M17</f>
        <v>0.005</v>
      </c>
      <c r="Z17" s="0" t="n">
        <v>0.15</v>
      </c>
      <c r="AA17" s="0" t="n">
        <v>0.15</v>
      </c>
      <c r="AB17" s="0" t="n">
        <f aca="false">6/Y17</f>
        <v>1200</v>
      </c>
      <c r="AC17" s="0" t="n">
        <f aca="false">1/Y17</f>
        <v>200</v>
      </c>
      <c r="AD17" s="0" t="s">
        <v>58</v>
      </c>
    </row>
    <row r="18" s="3" customFormat="true" ht="13" hidden="false" customHeight="false" outlineLevel="1" collapsed="false">
      <c r="A18" s="3" t="n">
        <v>1</v>
      </c>
      <c r="B18" s="3" t="n">
        <v>1</v>
      </c>
      <c r="C18" s="0" t="n">
        <f aca="false">B18*(1+(3/2)*M18/N18)</f>
        <v>1.3</v>
      </c>
      <c r="D18" s="5" t="n">
        <v>100001</v>
      </c>
      <c r="E18" s="3" t="n">
        <v>6</v>
      </c>
      <c r="F18" s="3" t="n">
        <v>0.5</v>
      </c>
      <c r="G18" s="3" t="n">
        <v>0.4659</v>
      </c>
      <c r="H18" s="0" t="n">
        <v>0.5454</v>
      </c>
      <c r="I18" s="3" t="n">
        <v>0.53</v>
      </c>
      <c r="J18" s="5" t="n">
        <v>0.523953296167515</v>
      </c>
      <c r="K18" s="3" t="n">
        <f aca="false">ABS(G18-J18)/G18*100</f>
        <v>12.4604627962041</v>
      </c>
      <c r="L18" s="3" t="n">
        <f aca="false">ABS(H18-J18)/H18*100</f>
        <v>3.93228893151541</v>
      </c>
      <c r="M18" s="3" t="n">
        <v>0.002</v>
      </c>
      <c r="N18" s="3" t="n">
        <f aca="false">5*M18</f>
        <v>0.01</v>
      </c>
      <c r="O18" s="3" t="n">
        <f aca="false">20*M18</f>
        <v>0.04</v>
      </c>
      <c r="U18" s="3" t="s">
        <v>55</v>
      </c>
      <c r="V18" s="3" t="s">
        <v>56</v>
      </c>
      <c r="W18" s="3" t="s">
        <v>57</v>
      </c>
      <c r="X18" s="3" t="n">
        <v>300</v>
      </c>
      <c r="Y18" s="3" t="n">
        <f aca="false">M18</f>
        <v>0.002</v>
      </c>
      <c r="Z18" s="3" t="n">
        <v>0.16</v>
      </c>
      <c r="AA18" s="3" t="n">
        <v>0.06</v>
      </c>
      <c r="AB18" s="3" t="n">
        <f aca="false">6/Y18</f>
        <v>3000</v>
      </c>
      <c r="AC18" s="3" t="n">
        <f aca="false">1/Y18</f>
        <v>500</v>
      </c>
      <c r="AD18" s="3" t="s">
        <v>58</v>
      </c>
    </row>
    <row r="19" customFormat="false" ht="13" hidden="false" customHeight="false" outlineLevel="0" collapsed="false">
      <c r="A19" s="18" t="s">
        <v>61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customFormat="false" ht="13" hidden="false" customHeight="false" outlineLevel="0" collapsed="false">
      <c r="A20" s="0" t="n">
        <v>1</v>
      </c>
      <c r="B20" s="0" t="n">
        <v>1</v>
      </c>
      <c r="C20" s="0" t="n">
        <f aca="false">B20*(1+(3/2)*M20/N20)</f>
        <v>1.3</v>
      </c>
      <c r="D20" s="6" t="n">
        <v>100001</v>
      </c>
      <c r="E20" s="0" t="n">
        <v>6</v>
      </c>
      <c r="F20" s="0" t="n">
        <v>0.5</v>
      </c>
      <c r="G20" s="13" t="n">
        <v>0.4659</v>
      </c>
      <c r="H20" s="0" t="n">
        <v>0.5454</v>
      </c>
      <c r="I20" s="13" t="n">
        <v>0.53</v>
      </c>
      <c r="J20" s="6" t="n">
        <v>0.519920705566292</v>
      </c>
      <c r="K20" s="12" t="n">
        <f aca="false">ABS(G20-J20)/G20*100</f>
        <v>11.5949142662142</v>
      </c>
      <c r="L20" s="20" t="n">
        <f aca="false">ABS(H20-J20)/H20*100</f>
        <v>4.6716711466278</v>
      </c>
      <c r="M20" s="0" t="n">
        <v>0.005</v>
      </c>
      <c r="N20" s="13" t="n">
        <f aca="false">5*M20</f>
        <v>0.025</v>
      </c>
      <c r="O20" s="3" t="n">
        <f aca="false">20*M20</f>
        <v>0.1</v>
      </c>
      <c r="P20" s="13" t="n">
        <f aca="false">B20*E20*F20</f>
        <v>3</v>
      </c>
      <c r="Q20" s="13" t="n">
        <f aca="false">C20*E20*F20</f>
        <v>3.9</v>
      </c>
      <c r="R20" s="6" t="n">
        <v>3.21283132885356</v>
      </c>
      <c r="S20" s="6" t="n">
        <f aca="false">(R20-P20)*100/P20</f>
        <v>7.094377628452</v>
      </c>
      <c r="T20" s="6" t="n">
        <f aca="false">ABS(R20-Q20)*100/Q20</f>
        <v>17.6197095165754</v>
      </c>
      <c r="X20" s="0" t="n">
        <v>325</v>
      </c>
      <c r="Y20" s="13" t="n">
        <f aca="false">M20</f>
        <v>0.005</v>
      </c>
      <c r="Z20" s="0" t="n">
        <v>0.1</v>
      </c>
      <c r="AA20" s="0" t="s">
        <v>62</v>
      </c>
      <c r="AE20" s="0" t="s">
        <v>63</v>
      </c>
    </row>
    <row r="21" customFormat="false" ht="13" hidden="false" customHeight="false" outlineLevel="0" collapsed="false">
      <c r="A21" s="13" t="n">
        <v>1</v>
      </c>
      <c r="B21" s="13" t="n">
        <v>1</v>
      </c>
      <c r="C21" s="0" t="n">
        <f aca="false">B21*(1+(3/2)*M21/N21)</f>
        <v>1.3</v>
      </c>
      <c r="D21" s="12" t="n">
        <v>100001</v>
      </c>
      <c r="E21" s="13" t="n">
        <v>6</v>
      </c>
      <c r="F21" s="13" t="n">
        <v>0.5</v>
      </c>
      <c r="G21" s="13" t="n">
        <v>0.4659</v>
      </c>
      <c r="H21" s="0" t="n">
        <v>0.5454</v>
      </c>
      <c r="I21" s="13" t="n">
        <v>0.53</v>
      </c>
      <c r="J21" s="12" t="n">
        <v>0.5239532961675</v>
      </c>
      <c r="K21" s="13" t="n">
        <f aca="false">ABS(G21-J21)/G21*100</f>
        <v>12.4604627962009</v>
      </c>
      <c r="L21" s="13" t="n">
        <f aca="false">ABS(H21-J21)/H21*100</f>
        <v>3.93228893151814</v>
      </c>
      <c r="M21" s="13" t="n">
        <v>0.002</v>
      </c>
      <c r="N21" s="13" t="n">
        <f aca="false">5*M21</f>
        <v>0.01</v>
      </c>
      <c r="O21" s="13" t="n">
        <f aca="false">20*M21</f>
        <v>0.04</v>
      </c>
      <c r="P21" s="13"/>
      <c r="Q21" s="13"/>
      <c r="R21" s="13"/>
      <c r="S21" s="13"/>
      <c r="T21" s="13"/>
      <c r="U21" s="13" t="s">
        <v>55</v>
      </c>
      <c r="V21" s="13" t="s">
        <v>56</v>
      </c>
      <c r="W21" s="13" t="s">
        <v>57</v>
      </c>
      <c r="X21" s="13" t="n">
        <v>300</v>
      </c>
      <c r="Y21" s="13" t="n">
        <f aca="false">M21</f>
        <v>0.002</v>
      </c>
      <c r="Z21" s="13" t="n">
        <v>0.16</v>
      </c>
      <c r="AA21" s="13" t="s">
        <v>62</v>
      </c>
      <c r="AB21" s="13" t="n">
        <f aca="false">6/Y21</f>
        <v>3000</v>
      </c>
      <c r="AC21" s="13" t="n">
        <f aca="false">1/Y21</f>
        <v>500</v>
      </c>
      <c r="AD21" s="13" t="s">
        <v>58</v>
      </c>
    </row>
    <row r="22" customFormat="false" ht="13" hidden="false" customHeight="false" outlineLevel="0" collapsed="false">
      <c r="J22" s="6"/>
    </row>
    <row r="23" customFormat="false" ht="13" hidden="false" customHeight="false" outlineLevel="0" collapsed="false">
      <c r="A23" s="18" t="s">
        <v>64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13" hidden="false" customHeight="false" outlineLevel="0" collapsed="false">
      <c r="A24" s="0" t="s">
        <v>6</v>
      </c>
      <c r="B24" s="0" t="s">
        <v>7</v>
      </c>
      <c r="C24" s="0" t="s">
        <v>35</v>
      </c>
      <c r="D24" s="0" t="s">
        <v>25</v>
      </c>
      <c r="E24" s="10" t="s">
        <v>23</v>
      </c>
      <c r="F24" s="10" t="s">
        <v>24</v>
      </c>
      <c r="G24" s="10" t="s">
        <v>9</v>
      </c>
      <c r="H24" s="0" t="s">
        <v>10</v>
      </c>
      <c r="I24" s="10" t="s">
        <v>0</v>
      </c>
      <c r="J24" s="0" t="s">
        <v>11</v>
      </c>
      <c r="K24" s="0" t="s">
        <v>65</v>
      </c>
      <c r="L24" s="0" t="s">
        <v>66</v>
      </c>
      <c r="M24" s="10" t="s">
        <v>19</v>
      </c>
      <c r="N24" s="0" t="s">
        <v>20</v>
      </c>
      <c r="O24" s="0" t="s">
        <v>67</v>
      </c>
      <c r="U24" s="0" t="s">
        <v>39</v>
      </c>
      <c r="V24" s="0" t="s">
        <v>40</v>
      </c>
      <c r="W24" s="0" t="s">
        <v>41</v>
      </c>
      <c r="X24" s="0" t="s">
        <v>1</v>
      </c>
      <c r="Y24" s="0" t="s">
        <v>42</v>
      </c>
      <c r="Z24" s="0" t="s">
        <v>43</v>
      </c>
      <c r="AA24" s="0" t="s">
        <v>44</v>
      </c>
      <c r="AB24" s="0" t="s">
        <v>45</v>
      </c>
      <c r="AC24" s="0" t="s">
        <v>46</v>
      </c>
      <c r="AD24" s="0" t="s">
        <v>47</v>
      </c>
    </row>
    <row r="25" customFormat="false" ht="13" hidden="false" customHeight="false" outlineLevel="0" collapsed="false">
      <c r="A25" s="0" t="n">
        <v>1</v>
      </c>
      <c r="B25" s="0" t="n">
        <v>1</v>
      </c>
      <c r="C25" s="0" t="n">
        <f aca="false">B25*(1+(3/2)*M25/N25)</f>
        <v>1.3</v>
      </c>
      <c r="D25" s="6" t="n">
        <v>100000</v>
      </c>
      <c r="E25" s="0" t="n">
        <v>6</v>
      </c>
      <c r="F25" s="0" t="n">
        <v>0.5</v>
      </c>
      <c r="G25" s="0" t="n">
        <v>0.4659</v>
      </c>
      <c r="H25" s="0" t="n">
        <v>0.4866</v>
      </c>
      <c r="I25" s="0" t="n">
        <v>0.53</v>
      </c>
      <c r="J25" s="6"/>
      <c r="K25" s="0" t="n">
        <f aca="false">ABS(G25-J25)/G25*100</f>
        <v>100</v>
      </c>
      <c r="L25" s="0" t="n">
        <f aca="false">ABS(H25-J25)/H25*100</f>
        <v>100</v>
      </c>
      <c r="M25" s="0" t="n">
        <v>0.02</v>
      </c>
      <c r="N25" s="0" t="n">
        <f aca="false">5*M25</f>
        <v>0.1</v>
      </c>
      <c r="O25" s="0" t="n">
        <f aca="false">M25*20</f>
        <v>0.4</v>
      </c>
      <c r="U25" s="0" t="s">
        <v>55</v>
      </c>
      <c r="V25" s="0" t="s">
        <v>56</v>
      </c>
      <c r="W25" s="0" t="s">
        <v>52</v>
      </c>
      <c r="X25" s="0" t="n">
        <v>53</v>
      </c>
      <c r="AB25" s="0" t="n">
        <f aca="false">E25/M25</f>
        <v>300</v>
      </c>
      <c r="AC25" s="0" t="n">
        <f aca="false">F25*2/M25</f>
        <v>50</v>
      </c>
    </row>
    <row r="26" customFormat="false" ht="13" hidden="false" customHeight="false" outlineLevel="0" collapsed="false">
      <c r="A26" s="0" t="n">
        <v>1</v>
      </c>
      <c r="B26" s="0" t="n">
        <v>1</v>
      </c>
      <c r="C26" s="0" t="n">
        <f aca="false">B26*(1+(3/2)*M26/N26)</f>
        <v>1.3</v>
      </c>
      <c r="D26" s="6" t="n">
        <v>100000</v>
      </c>
      <c r="E26" s="0" t="n">
        <v>6</v>
      </c>
      <c r="F26" s="0" t="n">
        <v>0.5</v>
      </c>
      <c r="G26" s="0" t="n">
        <v>0.4659</v>
      </c>
      <c r="H26" s="0" t="n">
        <v>0.4866</v>
      </c>
      <c r="I26" s="0" t="n">
        <v>0.53</v>
      </c>
      <c r="J26" s="6"/>
      <c r="K26" s="0" t="n">
        <f aca="false">ABS(G26-J26)/G26*100</f>
        <v>100</v>
      </c>
      <c r="L26" s="0" t="n">
        <f aca="false">ABS(H26-J26)/H26*100</f>
        <v>100</v>
      </c>
      <c r="M26" s="0" t="n">
        <v>0.005</v>
      </c>
      <c r="N26" s="0" t="n">
        <f aca="false">5*M26</f>
        <v>0.025</v>
      </c>
      <c r="O26" s="0" t="n">
        <f aca="false">M26*20</f>
        <v>0.1</v>
      </c>
      <c r="U26" s="0" t="s">
        <v>55</v>
      </c>
      <c r="V26" s="0" t="s">
        <v>56</v>
      </c>
      <c r="W26" s="0" t="s">
        <v>52</v>
      </c>
      <c r="X26" s="0" t="n">
        <v>200</v>
      </c>
      <c r="Y26" s="0" t="n">
        <v>0.005</v>
      </c>
      <c r="Z26" s="0" t="n">
        <v>0.2</v>
      </c>
      <c r="AA26" s="0" t="n">
        <v>0.1</v>
      </c>
      <c r="AB26" s="0" t="n">
        <f aca="false">6/Y26</f>
        <v>1200</v>
      </c>
      <c r="AC26" s="0" t="n">
        <f aca="false">AA26*2/Y26</f>
        <v>40</v>
      </c>
    </row>
    <row r="28" customFormat="false" ht="13" hidden="false" customHeight="false" outlineLevel="0" collapsed="false">
      <c r="D28" s="6"/>
      <c r="G28" s="3"/>
      <c r="H28" s="3"/>
      <c r="I28" s="3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1"/>
      <c r="X28" s="3"/>
      <c r="Y28" s="3"/>
    </row>
    <row r="29" customFormat="false" ht="13" hidden="false" customHeight="false" outlineLevel="0" collapsed="false">
      <c r="D29" s="6"/>
      <c r="G29" s="3"/>
      <c r="H29" s="3"/>
      <c r="I29" s="3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3" customFormat="false" ht="13" hidden="false" customHeight="false" outlineLevel="0" collapsed="false">
      <c r="F33" s="0" t="s">
        <v>68</v>
      </c>
      <c r="G33" s="0" t="s">
        <v>69</v>
      </c>
      <c r="H33" s="0" t="s">
        <v>70</v>
      </c>
    </row>
    <row r="34" customFormat="false" ht="13" hidden="false" customHeight="false" outlineLevel="0" collapsed="false">
      <c r="F34" s="0" t="n">
        <v>0.5454</v>
      </c>
      <c r="G34" s="6" t="n">
        <v>0.520987332893662</v>
      </c>
      <c r="H34" s="6" t="n">
        <v>0.519920705566292</v>
      </c>
    </row>
    <row r="35" customFormat="false" ht="13" hidden="false" customHeight="false" outlineLevel="0" collapsed="false">
      <c r="E35" s="0" t="s">
        <v>71</v>
      </c>
      <c r="G35" s="6" t="n">
        <f aca="false">L9</f>
        <v>4.4761032464866</v>
      </c>
      <c r="H35" s="6" t="n">
        <f aca="false">L20</f>
        <v>4.6716711466278</v>
      </c>
    </row>
    <row r="37" customFormat="false" ht="13" hidden="false" customHeight="false" outlineLevel="0" collapsed="false">
      <c r="E37" s="10"/>
    </row>
    <row r="38" customFormat="false" ht="13" hidden="false" customHeight="false" outlineLevel="0" collapsed="false">
      <c r="E38" s="13"/>
      <c r="G38" s="12"/>
    </row>
  </sheetData>
  <mergeCells count="3">
    <mergeCell ref="A16:AB16"/>
    <mergeCell ref="A19:AB19"/>
    <mergeCell ref="A23:AB2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3" zeroHeight="false" outlineLevelRow="0" outlineLevelCol="0"/>
  <cols>
    <col collapsed="false" customWidth="true" hidden="false" outlineLevel="0" max="4" min="1" style="0" width="7.83"/>
    <col collapsed="false" customWidth="true" hidden="false" outlineLevel="0" max="5" min="5" style="0" width="6.34"/>
    <col collapsed="false" customWidth="true" hidden="false" outlineLevel="0" max="6" min="6" style="0" width="8.33"/>
    <col collapsed="false" customWidth="true" hidden="false" outlineLevel="0" max="7" min="7" style="0" width="5.16"/>
    <col collapsed="false" customWidth="true" hidden="false" outlineLevel="0" max="9" min="8" style="0" width="4.17"/>
    <col collapsed="false" customWidth="true" hidden="false" outlineLevel="0" max="10" min="10" style="0" width="5.5"/>
    <col collapsed="false" customWidth="true" hidden="false" outlineLevel="0" max="11" min="11" style="0" width="5.01"/>
    <col collapsed="false" customWidth="true" hidden="false" outlineLevel="0" max="12" min="12" style="0" width="5.66"/>
    <col collapsed="false" customWidth="true" hidden="false" outlineLevel="0" max="13" min="13" style="0" width="10.16"/>
    <col collapsed="false" customWidth="true" hidden="false" outlineLevel="0" max="14" min="14" style="0" width="8.67"/>
    <col collapsed="false" customWidth="true" hidden="false" outlineLevel="0" max="15" min="15" style="0" width="9"/>
    <col collapsed="false" customWidth="true" hidden="false" outlineLevel="0" max="16" min="16" style="0" width="8.16"/>
    <col collapsed="false" customWidth="true" hidden="false" outlineLevel="0" max="17" min="17" style="0" width="6.16"/>
    <col collapsed="false" customWidth="true" hidden="false" outlineLevel="0" max="19" min="18" style="0" width="8.67"/>
    <col collapsed="false" customWidth="true" hidden="false" outlineLevel="0" max="20" min="20" style="0" width="7.34"/>
    <col collapsed="false" customWidth="true" hidden="false" outlineLevel="0" max="21" min="21" style="0" width="5.5"/>
    <col collapsed="false" customWidth="true" hidden="false" outlineLevel="0" max="22" min="22" style="0" width="4.66"/>
    <col collapsed="false" customWidth="true" hidden="false" outlineLevel="0" max="23" min="23" style="0" width="8.33"/>
    <col collapsed="false" customWidth="true" hidden="false" outlineLevel="0" max="25" min="24" style="0" width="12.33"/>
    <col collapsed="false" customWidth="false" hidden="false" outlineLevel="0" max="1025" min="26" style="0" width="11.5"/>
  </cols>
  <sheetData>
    <row r="1" customFormat="false" ht="13" hidden="false" customHeight="false" outlineLevel="0" collapsed="false">
      <c r="A1" s="0" t="s">
        <v>7</v>
      </c>
      <c r="B1" s="0" t="s">
        <v>25</v>
      </c>
      <c r="C1" s="0" t="s">
        <v>6</v>
      </c>
      <c r="D1" s="0" t="s">
        <v>42</v>
      </c>
      <c r="E1" s="0" t="s">
        <v>43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77</v>
      </c>
      <c r="L1" s="0" t="s">
        <v>78</v>
      </c>
      <c r="M1" s="0" t="s">
        <v>79</v>
      </c>
      <c r="N1" s="0" t="s">
        <v>80</v>
      </c>
      <c r="O1" s="0" t="s">
        <v>81</v>
      </c>
      <c r="P1" s="0" t="s">
        <v>82</v>
      </c>
      <c r="Q1" s="0" t="s">
        <v>83</v>
      </c>
      <c r="R1" s="0" t="s">
        <v>84</v>
      </c>
      <c r="S1" s="0" t="s">
        <v>85</v>
      </c>
      <c r="T1" s="0" t="s">
        <v>0</v>
      </c>
      <c r="U1" s="0" t="s">
        <v>1</v>
      </c>
      <c r="V1" s="0" t="s">
        <v>86</v>
      </c>
      <c r="W1" s="0" t="s">
        <v>87</v>
      </c>
      <c r="X1" s="18" t="s">
        <v>88</v>
      </c>
      <c r="Y1" s="18"/>
      <c r="Z1" s="18"/>
      <c r="AA1" s="18"/>
      <c r="AB1" s="18"/>
      <c r="AC1" s="18"/>
    </row>
    <row r="2" customFormat="false" ht="13" hidden="false" customHeight="false" outlineLevel="0" collapsed="false">
      <c r="D2" s="0" t="n">
        <v>0.008</v>
      </c>
      <c r="E2" s="0" t="n">
        <v>0.4</v>
      </c>
      <c r="F2" s="0" t="n">
        <v>8</v>
      </c>
      <c r="G2" s="0" t="n">
        <v>6</v>
      </c>
      <c r="H2" s="0" t="n">
        <v>2</v>
      </c>
      <c r="I2" s="0" t="n">
        <v>9.5</v>
      </c>
      <c r="J2" s="0" t="n">
        <v>0.8</v>
      </c>
      <c r="K2" s="0" t="n">
        <v>5.5</v>
      </c>
      <c r="L2" s="0" t="n">
        <f aca="false">SQRT(K2^2-(F2/2)^2)</f>
        <v>3.77491721763537</v>
      </c>
      <c r="M2" s="0" t="n">
        <f aca="false">I2/2+L2</f>
        <v>8.52491721763538</v>
      </c>
      <c r="N2" s="0" t="n">
        <f aca="false">L2+I2/2</f>
        <v>8.52491721763538</v>
      </c>
      <c r="O2" s="0" t="n">
        <f aca="false">G2/D2</f>
        <v>750</v>
      </c>
      <c r="P2" s="0" t="n">
        <f aca="false">J2/D2</f>
        <v>100</v>
      </c>
      <c r="Q2" s="0" t="n">
        <v>1</v>
      </c>
      <c r="R2" s="0" t="s">
        <v>52</v>
      </c>
      <c r="U2" s="0" t="n">
        <v>50</v>
      </c>
      <c r="V2" s="0" t="s">
        <v>89</v>
      </c>
      <c r="W2" s="0" t="s">
        <v>53</v>
      </c>
    </row>
    <row r="3" customFormat="false" ht="13" hidden="false" customHeight="false" outlineLevel="0" collapsed="false">
      <c r="Q3" s="0" t="n">
        <v>5</v>
      </c>
      <c r="R3" s="0" t="s">
        <v>52</v>
      </c>
      <c r="U3" s="0" t="n">
        <v>100</v>
      </c>
      <c r="V3" s="0" t="s">
        <v>89</v>
      </c>
      <c r="W3" s="0" t="s">
        <v>53</v>
      </c>
    </row>
    <row r="4" customFormat="false" ht="13" hidden="false" customHeight="false" outlineLevel="0" collapsed="false">
      <c r="Q4" s="0" t="n">
        <v>5</v>
      </c>
      <c r="R4" s="0" t="s">
        <v>52</v>
      </c>
      <c r="S4" s="0" t="n">
        <v>4.37186</v>
      </c>
      <c r="U4" s="0" t="n">
        <v>200</v>
      </c>
      <c r="V4" s="0" t="s">
        <v>89</v>
      </c>
      <c r="W4" s="0" t="s">
        <v>53</v>
      </c>
    </row>
    <row r="5" customFormat="false" ht="13" hidden="false" customHeight="false" outlineLevel="0" collapsed="false">
      <c r="D5" s="0" t="n">
        <v>0.008</v>
      </c>
      <c r="E5" s="0" t="n">
        <v>0.4</v>
      </c>
      <c r="F5" s="0" t="n">
        <v>8</v>
      </c>
      <c r="G5" s="0" t="s">
        <v>62</v>
      </c>
      <c r="H5" s="0" t="n">
        <v>2</v>
      </c>
      <c r="I5" s="0" t="n">
        <v>9.5</v>
      </c>
      <c r="J5" s="0" t="n">
        <v>0.8</v>
      </c>
      <c r="K5" s="0" t="n">
        <v>5.5</v>
      </c>
      <c r="L5" s="0" t="n">
        <f aca="false">SQRT(K5^2-(F5/2)^2)</f>
        <v>3.77491721763537</v>
      </c>
      <c r="M5" s="0" t="n">
        <f aca="false">I5/2+L5</f>
        <v>8.52491721763538</v>
      </c>
      <c r="N5" s="0" t="n">
        <f aca="false">L5+I5/2</f>
        <v>8.52491721763538</v>
      </c>
      <c r="O5" s="0" t="n">
        <f aca="false">F5/D5</f>
        <v>1000</v>
      </c>
      <c r="P5" s="0" t="n">
        <f aca="false">J5/D5</f>
        <v>100</v>
      </c>
      <c r="Q5" s="0" t="n">
        <v>4.5</v>
      </c>
      <c r="R5" s="0" t="s">
        <v>52</v>
      </c>
      <c r="S5" s="0" t="n">
        <v>2.71812</v>
      </c>
      <c r="U5" s="0" t="n">
        <v>150</v>
      </c>
      <c r="V5" s="0" t="s">
        <v>89</v>
      </c>
      <c r="W5" s="0" t="s">
        <v>53</v>
      </c>
    </row>
    <row r="6" customFormat="false" ht="13" hidden="false" customHeight="false" outlineLevel="0" collapsed="false">
      <c r="A6" s="15" t="n">
        <v>1</v>
      </c>
      <c r="B6" s="15" t="n">
        <v>1000</v>
      </c>
      <c r="C6" s="15" t="n">
        <v>1</v>
      </c>
      <c r="D6" s="15" t="n">
        <v>0.008</v>
      </c>
      <c r="E6" s="15" t="n">
        <v>0.4</v>
      </c>
      <c r="F6" s="15" t="n">
        <v>8</v>
      </c>
      <c r="G6" s="15" t="s">
        <v>62</v>
      </c>
      <c r="H6" s="15" t="n">
        <v>2</v>
      </c>
      <c r="I6" s="15" t="n">
        <v>9.5</v>
      </c>
      <c r="J6" s="15" t="n">
        <v>0.8</v>
      </c>
      <c r="K6" s="15" t="n">
        <v>5</v>
      </c>
      <c r="L6" s="15" t="n">
        <f aca="false">SQRT(K6^2-(F6/2)^2)</f>
        <v>3</v>
      </c>
      <c r="M6" s="15" t="n">
        <f aca="false">I6/2+L6</f>
        <v>7.75</v>
      </c>
      <c r="N6" s="15" t="n">
        <f aca="false">L6+I6/2</f>
        <v>7.75</v>
      </c>
      <c r="O6" s="15" t="n">
        <f aca="false">F6/D6</f>
        <v>1000</v>
      </c>
      <c r="P6" s="15" t="n">
        <f aca="false">J6/D6</f>
        <v>100</v>
      </c>
      <c r="Q6" s="15" t="n">
        <v>2.75</v>
      </c>
      <c r="R6" s="15" t="s">
        <v>52</v>
      </c>
      <c r="S6" s="15" t="n">
        <v>2.52735</v>
      </c>
      <c r="T6" s="15" t="s">
        <v>62</v>
      </c>
      <c r="U6" s="15" t="n">
        <v>275</v>
      </c>
      <c r="V6" s="15" t="s">
        <v>89</v>
      </c>
      <c r="W6" s="0" t="s">
        <v>58</v>
      </c>
    </row>
    <row r="7" customFormat="false" ht="12.8" hidden="false" customHeight="fals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R7" s="15"/>
      <c r="S7" s="15" t="n">
        <v>1.29</v>
      </c>
      <c r="T7" s="15"/>
      <c r="U7" s="15"/>
      <c r="V7" s="15"/>
    </row>
    <row r="8" customFormat="false" ht="13" hidden="false" customHeight="false" outlineLevel="0" collapsed="false">
      <c r="D8" s="0" t="n">
        <v>0.004</v>
      </c>
      <c r="E8" s="0" t="n">
        <v>0.4</v>
      </c>
      <c r="F8" s="0" t="n">
        <v>8</v>
      </c>
      <c r="G8" s="0" t="s">
        <v>62</v>
      </c>
      <c r="H8" s="0" t="n">
        <v>2</v>
      </c>
      <c r="I8" s="0" t="n">
        <v>9.5</v>
      </c>
      <c r="J8" s="0" t="n">
        <v>0.8</v>
      </c>
      <c r="K8" s="0" t="n">
        <v>5</v>
      </c>
      <c r="L8" s="0" t="n">
        <f aca="false">SQRT(K8^2-(F8/2)^2)</f>
        <v>3</v>
      </c>
      <c r="M8" s="0" t="n">
        <f aca="false">I8/2+L8</f>
        <v>7.75</v>
      </c>
      <c r="N8" s="0" t="n">
        <f aca="false">L8+I8/2</f>
        <v>7.75</v>
      </c>
      <c r="O8" s="0" t="n">
        <f aca="false">F8/D8</f>
        <v>2000</v>
      </c>
      <c r="P8" s="0" t="n">
        <f aca="false">J8/D8</f>
        <v>200</v>
      </c>
      <c r="Q8" s="0" t="n">
        <v>2</v>
      </c>
      <c r="R8" s="0" t="s">
        <v>90</v>
      </c>
      <c r="S8" s="0" t="s">
        <v>91</v>
      </c>
      <c r="T8" s="0" t="s">
        <v>62</v>
      </c>
      <c r="U8" s="0" t="n">
        <v>200</v>
      </c>
      <c r="V8" s="0" t="s">
        <v>89</v>
      </c>
      <c r="W8" s="0" t="s">
        <v>53</v>
      </c>
    </row>
    <row r="9" customFormat="false" ht="13" hidden="false" customHeight="false" outlineLevel="0" collapsed="false">
      <c r="Q9" s="0" t="n">
        <v>2.6</v>
      </c>
      <c r="R9" s="0" t="s">
        <v>52</v>
      </c>
      <c r="S9" s="0" t="s">
        <v>91</v>
      </c>
      <c r="U9" s="0" t="n">
        <v>260</v>
      </c>
      <c r="V9" s="0" t="s">
        <v>89</v>
      </c>
      <c r="W9" s="0" t="s">
        <v>53</v>
      </c>
    </row>
    <row r="10" customFormat="false" ht="13" hidden="false" customHeight="false" outlineLevel="0" collapsed="false">
      <c r="Q10" s="0" t="n">
        <v>2.75</v>
      </c>
      <c r="R10" s="0" t="s">
        <v>52</v>
      </c>
      <c r="T10" s="0" t="n">
        <v>2.669708</v>
      </c>
      <c r="U10" s="0" t="n">
        <v>275</v>
      </c>
      <c r="V10" s="0" t="s">
        <v>92</v>
      </c>
      <c r="W10" s="0" t="s">
        <v>53</v>
      </c>
    </row>
    <row r="11" customFormat="false" ht="13" hidden="false" customHeight="false" outlineLevel="0" collapsed="false">
      <c r="Q11" s="0" t="n">
        <v>2.7</v>
      </c>
      <c r="R11" s="0" t="s">
        <v>52</v>
      </c>
      <c r="T11" s="0" t="n">
        <v>2.66388</v>
      </c>
      <c r="U11" s="0" t="n">
        <v>300</v>
      </c>
      <c r="V11" s="0" t="s">
        <v>92</v>
      </c>
      <c r="W11" s="0" t="s">
        <v>58</v>
      </c>
    </row>
    <row r="12" customFormat="false" ht="13" hidden="false" customHeight="false" outlineLevel="0" collapsed="false">
      <c r="Q12" s="0" t="n">
        <v>2.7</v>
      </c>
      <c r="R12" s="0" t="s">
        <v>52</v>
      </c>
      <c r="T12" s="0" t="n">
        <v>2.66394</v>
      </c>
      <c r="U12" s="0" t="n">
        <v>600</v>
      </c>
      <c r="V12" s="0" t="s">
        <v>92</v>
      </c>
    </row>
    <row r="13" customFormat="false" ht="13" hidden="false" customHeight="false" outlineLevel="0" collapsed="false">
      <c r="Q13" s="0" t="n">
        <v>2.7</v>
      </c>
      <c r="R13" s="0" t="s">
        <v>52</v>
      </c>
      <c r="T13" s="0" t="n">
        <v>2.66397</v>
      </c>
      <c r="U13" s="0" t="n">
        <v>1200</v>
      </c>
      <c r="V13" s="0" t="s">
        <v>92</v>
      </c>
    </row>
    <row r="14" customFormat="false" ht="13" hidden="false" customHeight="false" outlineLevel="0" collapsed="false">
      <c r="Q14" s="0" t="n">
        <v>3.7</v>
      </c>
      <c r="R14" s="0" t="s">
        <v>52</v>
      </c>
      <c r="T14" s="0" t="n">
        <v>2.662181</v>
      </c>
      <c r="U14" s="0" t="n">
        <v>2000</v>
      </c>
      <c r="V14" s="0" t="s">
        <v>92</v>
      </c>
    </row>
    <row r="15" customFormat="false" ht="46.25" hidden="false" customHeight="true" outlineLevel="0" collapsed="false">
      <c r="D15" s="0" t="n">
        <v>0.004</v>
      </c>
      <c r="E15" s="0" t="n">
        <v>0.4</v>
      </c>
      <c r="F15" s="0" t="n">
        <v>8</v>
      </c>
      <c r="G15" s="0" t="s">
        <v>62</v>
      </c>
      <c r="H15" s="0" t="n">
        <v>2</v>
      </c>
      <c r="I15" s="0" t="n">
        <v>9.5</v>
      </c>
      <c r="J15" s="0" t="n">
        <v>0.3</v>
      </c>
      <c r="K15" s="0" t="n">
        <v>5</v>
      </c>
      <c r="L15" s="0" t="n">
        <f aca="false">SQRT(K15^2-(F15/2)^2)</f>
        <v>3</v>
      </c>
      <c r="M15" s="0" t="n">
        <f aca="false">I15/2+L15</f>
        <v>7.75</v>
      </c>
      <c r="N15" s="0" t="n">
        <f aca="false">L15+I15/2</f>
        <v>7.75</v>
      </c>
      <c r="O15" s="0" t="n">
        <f aca="false">F15/D15</f>
        <v>2000</v>
      </c>
      <c r="P15" s="0" t="n">
        <f aca="false">J15/D15</f>
        <v>75</v>
      </c>
      <c r="Q15" s="0" t="n">
        <v>3</v>
      </c>
      <c r="R15" s="0" t="s">
        <v>52</v>
      </c>
      <c r="T15" s="0" t="n">
        <v>2.575758</v>
      </c>
      <c r="U15" s="0" t="n">
        <v>100</v>
      </c>
      <c r="V15" s="0" t="s">
        <v>92</v>
      </c>
      <c r="W15" s="0" t="s">
        <v>53</v>
      </c>
      <c r="X15" s="22" t="s">
        <v>93</v>
      </c>
      <c r="Y15" s="22"/>
      <c r="Z15" s="22"/>
      <c r="AA15" s="22"/>
      <c r="AB15" s="22"/>
      <c r="AC15" s="22"/>
    </row>
    <row r="16" customFormat="false" ht="13" hidden="false" customHeight="false" outlineLevel="0" collapsed="false">
      <c r="Q16" s="0" t="n">
        <v>3</v>
      </c>
      <c r="R16" s="0" t="s">
        <v>90</v>
      </c>
      <c r="T16" s="0" t="n">
        <v>2.570247</v>
      </c>
      <c r="U16" s="0" t="n">
        <v>200</v>
      </c>
      <c r="V16" s="0" t="s">
        <v>92</v>
      </c>
      <c r="X16" s="0" t="s">
        <v>94</v>
      </c>
    </row>
    <row r="17" customFormat="false" ht="13" hidden="false" customHeight="false" outlineLevel="0" collapsed="false">
      <c r="Q17" s="0" t="n">
        <v>2.6</v>
      </c>
      <c r="R17" s="0" t="s">
        <v>90</v>
      </c>
      <c r="T17" s="0" t="n">
        <v>2.569505</v>
      </c>
      <c r="U17" s="0" t="n">
        <v>200</v>
      </c>
      <c r="V17" s="0" t="s">
        <v>92</v>
      </c>
      <c r="X17" s="0" t="s">
        <v>95</v>
      </c>
    </row>
    <row r="18" customFormat="false" ht="46.25" hidden="false" customHeight="true" outlineLevel="0" collapsed="false">
      <c r="D18" s="0" t="n">
        <v>0.002</v>
      </c>
      <c r="E18" s="0" t="n">
        <v>0.4</v>
      </c>
      <c r="F18" s="0" t="n">
        <v>8</v>
      </c>
      <c r="G18" s="0" t="s">
        <v>62</v>
      </c>
      <c r="H18" s="0" t="n">
        <v>2</v>
      </c>
      <c r="I18" s="0" t="n">
        <v>9.5</v>
      </c>
      <c r="J18" s="0" t="n">
        <v>0.1</v>
      </c>
      <c r="K18" s="0" t="n">
        <v>5.5</v>
      </c>
      <c r="L18" s="0" t="n">
        <f aca="false">SQRT(K18^2-(F18/2)^2)</f>
        <v>3.77491721763537</v>
      </c>
      <c r="M18" s="0" t="n">
        <f aca="false">I18/2+L18</f>
        <v>8.52491721763538</v>
      </c>
      <c r="N18" s="0" t="n">
        <f aca="false">L18+I18/2</f>
        <v>8.52491721763538</v>
      </c>
      <c r="O18" s="0" t="n">
        <f aca="false">F18/D18</f>
        <v>4000</v>
      </c>
      <c r="P18" s="0" t="n">
        <f aca="false">J18/D18</f>
        <v>50</v>
      </c>
      <c r="Q18" s="0" t="n">
        <v>3</v>
      </c>
      <c r="R18" s="0" t="s">
        <v>52</v>
      </c>
      <c r="T18" s="0" t="n">
        <v>2.787879</v>
      </c>
      <c r="U18" s="0" t="n">
        <v>100</v>
      </c>
      <c r="V18" s="0" t="s">
        <v>92</v>
      </c>
      <c r="W18" s="0" t="s">
        <v>53</v>
      </c>
      <c r="X18" s="22" t="s">
        <v>96</v>
      </c>
      <c r="Y18" s="22"/>
      <c r="Z18" s="22"/>
      <c r="AA18" s="22"/>
      <c r="AB18" s="22"/>
      <c r="AC18" s="22"/>
    </row>
    <row r="22" customFormat="false" ht="13" hidden="false" customHeight="false" outlineLevel="0" collapsed="false">
      <c r="A22" s="0" t="s">
        <v>97</v>
      </c>
      <c r="B22" s="0" t="s">
        <v>98</v>
      </c>
      <c r="C22" s="0" t="s">
        <v>99</v>
      </c>
      <c r="D22" s="0" t="s">
        <v>100</v>
      </c>
      <c r="E22" s="0" t="s">
        <v>101</v>
      </c>
    </row>
    <row r="23" customFormat="false" ht="13" hidden="false" customHeight="false" outlineLevel="0" collapsed="false">
      <c r="A23" s="0" t="n">
        <v>2.75</v>
      </c>
      <c r="B23" s="0" t="n">
        <v>274</v>
      </c>
      <c r="C23" s="0" t="n">
        <v>0</v>
      </c>
      <c r="D23" s="0" t="n">
        <f aca="false">A23/B23*C23</f>
        <v>0</v>
      </c>
      <c r="E23" s="0" t="n">
        <f aca="false">D23+9.5</f>
        <v>9.5</v>
      </c>
      <c r="F23" s="0" t="n">
        <f aca="false">(E23-9.5)/9.5*100</f>
        <v>0</v>
      </c>
    </row>
    <row r="24" customFormat="false" ht="13" hidden="false" customHeight="false" outlineLevel="0" collapsed="false">
      <c r="A24" s="0" t="n">
        <v>2.75</v>
      </c>
      <c r="B24" s="0" t="n">
        <v>274</v>
      </c>
      <c r="C24" s="0" t="n">
        <v>50</v>
      </c>
      <c r="D24" s="0" t="n">
        <v>1.43884</v>
      </c>
      <c r="E24" s="0" t="n">
        <f aca="false">D24+9.5</f>
        <v>10.93884</v>
      </c>
      <c r="F24" s="0" t="n">
        <f aca="false">(E24-9.5)/9.5*100</f>
        <v>15.1456842105263</v>
      </c>
    </row>
    <row r="25" customFormat="false" ht="13" hidden="false" customHeight="false" outlineLevel="0" collapsed="false">
      <c r="A25" s="0" t="n">
        <v>2.75</v>
      </c>
      <c r="B25" s="0" t="n">
        <v>274</v>
      </c>
      <c r="C25" s="0" t="n">
        <v>150</v>
      </c>
      <c r="D25" s="0" t="n">
        <v>2.14774</v>
      </c>
      <c r="E25" s="0" t="n">
        <f aca="false">D25+9.5</f>
        <v>11.64774</v>
      </c>
      <c r="F25" s="0" t="n">
        <f aca="false">(E25-9.5)/9.5*100</f>
        <v>22.6077894736842</v>
      </c>
    </row>
    <row r="26" customFormat="false" ht="13" hidden="false" customHeight="false" outlineLevel="0" collapsed="false">
      <c r="A26" s="0" t="n">
        <v>2.75</v>
      </c>
      <c r="B26" s="0" t="n">
        <v>274</v>
      </c>
      <c r="C26" s="0" t="n">
        <v>191</v>
      </c>
      <c r="D26" s="0" t="n">
        <v>2.51758</v>
      </c>
      <c r="E26" s="0" t="n">
        <f aca="false">D26+9.5</f>
        <v>12.01758</v>
      </c>
      <c r="F26" s="0" t="n">
        <f aca="false">(E26-9.5)/9.5*100</f>
        <v>26.5008421052632</v>
      </c>
      <c r="I26" s="0" t="s">
        <v>102</v>
      </c>
    </row>
    <row r="27" customFormat="false" ht="13" hidden="false" customHeight="false" outlineLevel="0" collapsed="false">
      <c r="A27" s="0" t="n">
        <v>2.75</v>
      </c>
      <c r="B27" s="0" t="n">
        <v>274</v>
      </c>
      <c r="C27" s="0" t="n">
        <v>192</v>
      </c>
      <c r="D27" s="0" t="n">
        <v>2.52735</v>
      </c>
      <c r="E27" s="0" t="n">
        <f aca="false">D27+9.5</f>
        <v>12.02735</v>
      </c>
      <c r="F27" s="0" t="n">
        <f aca="false">(E27-9.5)/9.5*100</f>
        <v>26.6036842105263</v>
      </c>
      <c r="M27" s="0" t="s">
        <v>103</v>
      </c>
    </row>
  </sheetData>
  <mergeCells count="3">
    <mergeCell ref="X1:AC1"/>
    <mergeCell ref="X15:AC15"/>
    <mergeCell ref="X18:AC1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Q35" activeCellId="0" sqref="Q35"/>
    </sheetView>
  </sheetViews>
  <sheetFormatPr defaultRowHeight="13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5.01"/>
    <col collapsed="false" customWidth="true" hidden="false" outlineLevel="0" max="3" min="3" style="0" width="6.34"/>
    <col collapsed="false" customWidth="true" hidden="false" outlineLevel="0" max="4" min="4" style="0" width="5.5"/>
    <col collapsed="false" customWidth="true" hidden="false" outlineLevel="0" max="5" min="5" style="0" width="6.5"/>
    <col collapsed="false" customWidth="true" hidden="false" outlineLevel="0" max="6" min="6" style="0" width="8.83"/>
    <col collapsed="false" customWidth="true" hidden="false" outlineLevel="0" max="7" min="7" style="0" width="6.34"/>
    <col collapsed="false" customWidth="true" hidden="false" outlineLevel="0" max="8" min="8" style="0" width="6.01"/>
    <col collapsed="false" customWidth="true" hidden="false" outlineLevel="0" max="9" min="9" style="0" width="5.16"/>
    <col collapsed="false" customWidth="false" hidden="false" outlineLevel="0" max="10" min="10" style="0" width="11.5"/>
    <col collapsed="false" customWidth="true" hidden="false" outlineLevel="0" max="11" min="11" style="0" width="6.16"/>
    <col collapsed="false" customWidth="true" hidden="false" outlineLevel="0" max="12" min="12" style="0" width="5.5"/>
    <col collapsed="false" customWidth="true" hidden="false" outlineLevel="0" max="13" min="13" style="0" width="5.66"/>
    <col collapsed="false" customWidth="true" hidden="false" outlineLevel="0" max="14" min="14" style="0" width="4.5"/>
    <col collapsed="false" customWidth="true" hidden="false" outlineLevel="0" max="15" min="15" style="0" width="9.66"/>
    <col collapsed="false" customWidth="true" hidden="false" outlineLevel="0" max="16" min="16" style="0" width="6.16"/>
    <col collapsed="false" customWidth="false" hidden="false" outlineLevel="0" max="23" min="17" style="0" width="11.5"/>
    <col collapsed="false" customWidth="true" hidden="false" outlineLevel="0" max="24" min="24" style="0" width="13.17"/>
    <col collapsed="false" customWidth="false" hidden="false" outlineLevel="0" max="1025" min="25" style="0" width="11.5"/>
  </cols>
  <sheetData>
    <row r="1" customFormat="false" ht="13" hidden="false" customHeight="false" outlineLevel="0" collapsed="false">
      <c r="A1" s="0" t="s">
        <v>7</v>
      </c>
      <c r="B1" s="0" t="s">
        <v>6</v>
      </c>
      <c r="C1" s="0" t="s">
        <v>25</v>
      </c>
      <c r="D1" s="0" t="s">
        <v>104</v>
      </c>
      <c r="E1" s="0" t="s">
        <v>105</v>
      </c>
      <c r="F1" s="0" t="s">
        <v>106</v>
      </c>
      <c r="G1" s="0" t="s">
        <v>24</v>
      </c>
      <c r="H1" s="0" t="s">
        <v>107</v>
      </c>
      <c r="I1" s="0" t="s">
        <v>36</v>
      </c>
      <c r="J1" s="0" t="s">
        <v>108</v>
      </c>
      <c r="L1" s="0" t="s">
        <v>109</v>
      </c>
      <c r="M1" s="0" t="s">
        <v>110</v>
      </c>
      <c r="N1" s="0" t="s">
        <v>111</v>
      </c>
      <c r="O1" s="0" t="s">
        <v>45</v>
      </c>
      <c r="P1" s="0" t="s">
        <v>112</v>
      </c>
      <c r="Q1" s="0" t="s">
        <v>0</v>
      </c>
      <c r="R1" s="0" t="s">
        <v>0</v>
      </c>
      <c r="S1" s="0" t="s">
        <v>113</v>
      </c>
      <c r="T1" s="0" t="s">
        <v>84</v>
      </c>
      <c r="U1" s="0" t="s">
        <v>114</v>
      </c>
      <c r="V1" s="0" t="s">
        <v>53</v>
      </c>
    </row>
    <row r="2" customFormat="false" ht="13" hidden="false" customHeight="false" outlineLevel="0" collapsed="false">
      <c r="A2" s="0" t="n">
        <v>1</v>
      </c>
      <c r="B2" s="0" t="n">
        <v>1</v>
      </c>
      <c r="C2" s="0" t="n">
        <v>1000</v>
      </c>
      <c r="F2" s="0" t="n">
        <v>0.01</v>
      </c>
      <c r="G2" s="0" t="n">
        <f aca="false">10*F2</f>
        <v>0.1</v>
      </c>
      <c r="H2" s="0" t="n">
        <v>0.5</v>
      </c>
      <c r="I2" s="0" t="n">
        <v>3</v>
      </c>
      <c r="J2" s="0" t="n">
        <f aca="false">-10*F2</f>
        <v>-0.1</v>
      </c>
      <c r="K2" s="0" t="n">
        <f aca="false">-J2*2</f>
        <v>0.2</v>
      </c>
      <c r="L2" s="0" t="n">
        <f aca="false">10*F2</f>
        <v>0.1</v>
      </c>
      <c r="M2" s="0" t="n">
        <f aca="false">5*F2</f>
        <v>0.05</v>
      </c>
      <c r="N2" s="0" t="n">
        <f aca="false">M2</f>
        <v>0.05</v>
      </c>
      <c r="O2" s="0" t="n">
        <f aca="false">I2/F2</f>
        <v>300</v>
      </c>
      <c r="P2" s="0" t="n">
        <f aca="false">L2/F2</f>
        <v>10</v>
      </c>
      <c r="Q2" s="0" t="n">
        <v>3</v>
      </c>
      <c r="S2" s="0" t="n">
        <v>120</v>
      </c>
      <c r="U2" s="0" t="s">
        <v>115</v>
      </c>
    </row>
    <row r="3" customFormat="false" ht="13" hidden="false" customHeight="false" outlineLevel="0" collapsed="false">
      <c r="Q3" s="0" t="n">
        <v>1</v>
      </c>
      <c r="S3" s="0" t="n">
        <v>50</v>
      </c>
      <c r="U3" s="0" t="s">
        <v>116</v>
      </c>
    </row>
    <row r="4" customFormat="false" ht="13" hidden="false" customHeight="false" outlineLevel="0" collapsed="false">
      <c r="A4" s="0" t="n">
        <v>1</v>
      </c>
      <c r="B4" s="0" t="n">
        <v>1</v>
      </c>
      <c r="C4" s="0" t="n">
        <v>1000</v>
      </c>
      <c r="F4" s="0" t="n">
        <v>0.01</v>
      </c>
      <c r="G4" s="0" t="n">
        <f aca="false">10*F4</f>
        <v>0.1</v>
      </c>
      <c r="H4" s="0" t="n">
        <v>0.5</v>
      </c>
      <c r="I4" s="0" t="n">
        <v>3</v>
      </c>
      <c r="J4" s="0" t="n">
        <f aca="false">-5*F4</f>
        <v>-0.05</v>
      </c>
      <c r="K4" s="0" t="n">
        <f aca="false">-J4*2</f>
        <v>0.1</v>
      </c>
      <c r="L4" s="0" t="n">
        <f aca="false">10*F4</f>
        <v>0.1</v>
      </c>
      <c r="M4" s="0" t="n">
        <f aca="false">5*F4</f>
        <v>0.05</v>
      </c>
      <c r="N4" s="0" t="n">
        <f aca="false">M4</f>
        <v>0.05</v>
      </c>
      <c r="O4" s="0" t="n">
        <f aca="false">I4/F4</f>
        <v>300</v>
      </c>
      <c r="P4" s="0" t="n">
        <f aca="false">L4/F4</f>
        <v>10</v>
      </c>
      <c r="Q4" s="0" t="n">
        <v>2</v>
      </c>
      <c r="S4" s="0" t="n">
        <v>80</v>
      </c>
      <c r="U4" s="0" t="s">
        <v>117</v>
      </c>
    </row>
    <row r="5" customFormat="false" ht="13" hidden="false" customHeight="true" outlineLevel="0" collapsed="false">
      <c r="Q5" s="0" t="n">
        <v>4</v>
      </c>
      <c r="R5" s="0" t="n">
        <v>3.428571</v>
      </c>
      <c r="S5" s="0" t="n">
        <v>120</v>
      </c>
      <c r="T5" s="0" t="s">
        <v>52</v>
      </c>
      <c r="U5" s="0" t="s">
        <v>118</v>
      </c>
      <c r="W5" s="22" t="s">
        <v>119</v>
      </c>
      <c r="X5" s="22"/>
      <c r="Y5" s="22"/>
      <c r="Z5" s="22"/>
      <c r="AA5" s="22"/>
      <c r="AB5" s="22"/>
    </row>
    <row r="6" customFormat="false" ht="13" hidden="false" customHeight="false" outlineLevel="0" collapsed="false">
      <c r="Q6" s="0" t="n">
        <v>3.5</v>
      </c>
      <c r="S6" s="0" t="n">
        <v>200</v>
      </c>
      <c r="T6" s="0" t="s">
        <v>120</v>
      </c>
      <c r="U6" s="0" t="s">
        <v>118</v>
      </c>
      <c r="V6" s="0" t="s">
        <v>53</v>
      </c>
      <c r="W6" s="0" t="s">
        <v>121</v>
      </c>
    </row>
    <row r="7" customFormat="false" ht="13" hidden="false" customHeight="true" outlineLevel="0" collapsed="false">
      <c r="Q7" s="0" t="n">
        <v>5</v>
      </c>
      <c r="R7" s="0" t="n">
        <v>3.434343</v>
      </c>
      <c r="S7" s="0" t="n">
        <v>100</v>
      </c>
      <c r="T7" s="0" t="s">
        <v>52</v>
      </c>
      <c r="W7" s="22" t="s">
        <v>122</v>
      </c>
      <c r="X7" s="22"/>
      <c r="Y7" s="22"/>
      <c r="Z7" s="22"/>
      <c r="AA7" s="22"/>
      <c r="AB7" s="22"/>
    </row>
    <row r="9" customFormat="false" ht="13" hidden="false" customHeight="false" outlineLevel="0" collapsed="false">
      <c r="A9" s="0" t="n">
        <v>1</v>
      </c>
      <c r="B9" s="0" t="n">
        <v>1</v>
      </c>
      <c r="C9" s="0" t="n">
        <v>1000</v>
      </c>
      <c r="F9" s="0" t="n">
        <v>0.005</v>
      </c>
      <c r="G9" s="0" t="n">
        <f aca="false">10*F9</f>
        <v>0.05</v>
      </c>
      <c r="H9" s="0" t="n">
        <v>0.5</v>
      </c>
      <c r="I9" s="0" t="n">
        <v>0.75</v>
      </c>
      <c r="J9" s="0" t="n">
        <f aca="false">-2*F9</f>
        <v>-0.01</v>
      </c>
      <c r="K9" s="0" t="n">
        <f aca="false">-J9*2/4</f>
        <v>0.005</v>
      </c>
      <c r="L9" s="0" t="n">
        <f aca="false">4*F9</f>
        <v>0.02</v>
      </c>
      <c r="M9" s="0" t="n">
        <f aca="false">2*F9</f>
        <v>0.01</v>
      </c>
      <c r="N9" s="0" t="n">
        <f aca="false">M9</f>
        <v>0.01</v>
      </c>
      <c r="O9" s="0" t="n">
        <f aca="false">I9/F9</f>
        <v>150</v>
      </c>
      <c r="P9" s="0" t="n">
        <f aca="false">L9/F9</f>
        <v>4</v>
      </c>
      <c r="Q9" s="0" t="n">
        <v>3.5</v>
      </c>
      <c r="S9" s="0" t="n">
        <v>200</v>
      </c>
      <c r="T9" s="0" t="s">
        <v>52</v>
      </c>
      <c r="U9" s="0" t="s">
        <v>118</v>
      </c>
      <c r="V9" s="0" t="s">
        <v>53</v>
      </c>
    </row>
    <row r="10" customFormat="false" ht="13" hidden="false" customHeight="false" outlineLevel="0" collapsed="false">
      <c r="Q10" s="0" t="n">
        <v>3.5</v>
      </c>
      <c r="R10" s="0" t="n">
        <v>0.03507</v>
      </c>
      <c r="S10" s="0" t="n">
        <v>500</v>
      </c>
      <c r="T10" s="0" t="s">
        <v>52</v>
      </c>
      <c r="U10" s="0" t="s">
        <v>118</v>
      </c>
    </row>
    <row r="11" customFormat="false" ht="13" hidden="false" customHeight="false" outlineLevel="0" collapsed="false">
      <c r="Q11" s="0" t="n">
        <v>2</v>
      </c>
      <c r="R11" s="0" t="n">
        <v>0.040201</v>
      </c>
      <c r="S11" s="0" t="n">
        <v>200</v>
      </c>
      <c r="U11" s="0" t="s">
        <v>118</v>
      </c>
      <c r="V11" s="0" t="s">
        <v>53</v>
      </c>
    </row>
    <row r="12" customFormat="false" ht="13" hidden="false" customHeight="false" outlineLevel="0" collapsed="false">
      <c r="Q12" s="0" t="n">
        <v>1</v>
      </c>
      <c r="R12" s="0" t="n">
        <v>0.02</v>
      </c>
      <c r="S12" s="0" t="n">
        <v>200</v>
      </c>
      <c r="T12" s="0" t="s">
        <v>52</v>
      </c>
      <c r="U12" s="0" t="s">
        <v>118</v>
      </c>
      <c r="V12" s="0" t="s">
        <v>53</v>
      </c>
    </row>
    <row r="13" customFormat="false" ht="13" hidden="false" customHeight="false" outlineLevel="0" collapsed="false">
      <c r="Q13" s="0" t="n">
        <v>2</v>
      </c>
      <c r="R13" s="0" t="n">
        <v>0.020101</v>
      </c>
      <c r="S13" s="0" t="n">
        <v>200</v>
      </c>
      <c r="U13" s="0" t="s">
        <v>118</v>
      </c>
      <c r="V13" s="0" t="s">
        <v>123</v>
      </c>
    </row>
    <row r="14" customFormat="false" ht="13" hidden="false" customHeight="false" outlineLevel="0" collapsed="false">
      <c r="A14" s="0" t="n">
        <v>1</v>
      </c>
      <c r="B14" s="0" t="n">
        <v>1</v>
      </c>
      <c r="C14" s="0" t="n">
        <v>1000</v>
      </c>
      <c r="D14" s="0" t="n">
        <f aca="false">(3*C14-2*B14)/(2*(B14+3*C14))</f>
        <v>0.49950016661113</v>
      </c>
      <c r="E14" s="0" t="n">
        <f aca="false">2*B14*(1+D14)</f>
        <v>2.99900033322226</v>
      </c>
      <c r="F14" s="0" t="n">
        <v>0.006</v>
      </c>
      <c r="G14" s="0" t="n">
        <f aca="false">8*F14</f>
        <v>0.048</v>
      </c>
      <c r="H14" s="0" t="n">
        <v>0.5</v>
      </c>
      <c r="I14" s="0" t="n">
        <v>0.75</v>
      </c>
      <c r="J14" s="0" t="n">
        <f aca="false">-2*F14</f>
        <v>-0.012</v>
      </c>
      <c r="K14" s="0" t="n">
        <f aca="false">-J14*2</f>
        <v>0.024</v>
      </c>
      <c r="L14" s="0" t="n">
        <f aca="false">4*F14</f>
        <v>0.024</v>
      </c>
      <c r="M14" s="0" t="n">
        <f aca="false">2*F14</f>
        <v>0.012</v>
      </c>
      <c r="N14" s="0" t="n">
        <f aca="false">M14</f>
        <v>0.012</v>
      </c>
      <c r="O14" s="0" t="n">
        <f aca="false">I14/F14</f>
        <v>125</v>
      </c>
      <c r="P14" s="0" t="n">
        <f aca="false">L14/F14</f>
        <v>4</v>
      </c>
      <c r="Q14" s="0" t="n">
        <v>2</v>
      </c>
      <c r="R14" s="0" t="n">
        <v>0.994975</v>
      </c>
      <c r="S14" s="0" t="n">
        <v>200</v>
      </c>
      <c r="T14" s="0" t="s">
        <v>52</v>
      </c>
      <c r="U14" s="0" t="s">
        <v>118</v>
      </c>
      <c r="V14" s="0" t="s">
        <v>53</v>
      </c>
    </row>
    <row r="15" customFormat="false" ht="13" hidden="false" customHeight="false" outlineLevel="0" collapsed="false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customFormat="false" ht="13" hidden="false" customHeight="false" outlineLevel="0" collapsed="false">
      <c r="B16" s="0" t="n">
        <v>1</v>
      </c>
      <c r="C16" s="0" t="n">
        <v>1000</v>
      </c>
      <c r="D16" s="0" t="n">
        <f aca="false">(3*C16-2*B16)/(2*(B16+3*C16))</f>
        <v>0.49950016661113</v>
      </c>
      <c r="E16" s="0" t="n">
        <f aca="false">2*B16*(1+D16)</f>
        <v>2.99900033322226</v>
      </c>
      <c r="F16" s="0" t="n">
        <v>0.006</v>
      </c>
      <c r="G16" s="0" t="n">
        <f aca="false">8*F16</f>
        <v>0.048</v>
      </c>
      <c r="H16" s="0" t="n">
        <v>0.5</v>
      </c>
      <c r="I16" s="0" t="n">
        <v>0.75</v>
      </c>
      <c r="J16" s="0" t="n">
        <f aca="false">-2*F16</f>
        <v>-0.012</v>
      </c>
      <c r="K16" s="0" t="n">
        <f aca="false">-J16*2</f>
        <v>0.024</v>
      </c>
      <c r="L16" s="0" t="n">
        <f aca="false">4*F16</f>
        <v>0.024</v>
      </c>
      <c r="M16" s="0" t="n">
        <f aca="false">2*F16</f>
        <v>0.012</v>
      </c>
      <c r="N16" s="0" t="n">
        <f aca="false">M16</f>
        <v>0.012</v>
      </c>
      <c r="O16" s="0" t="n">
        <f aca="false">I16/F16</f>
        <v>125</v>
      </c>
      <c r="P16" s="0" t="n">
        <f aca="false">L16/F16</f>
        <v>4</v>
      </c>
      <c r="Q16" s="0" t="n">
        <v>4</v>
      </c>
      <c r="R16" s="10" t="n">
        <v>0.422111</v>
      </c>
      <c r="S16" s="0" t="n">
        <v>200</v>
      </c>
      <c r="T16" s="0" t="s">
        <v>52</v>
      </c>
      <c r="U16" s="0" t="s">
        <v>118</v>
      </c>
      <c r="V16" s="0" t="s">
        <v>53</v>
      </c>
      <c r="W16" s="0" t="s">
        <v>124</v>
      </c>
    </row>
    <row r="17" customFormat="false" ht="13" hidden="false" customHeight="false" outlineLevel="0" collapsed="false">
      <c r="Q17" s="0" t="n">
        <v>3.5</v>
      </c>
      <c r="R17" s="10" t="n">
        <v>0.397993</v>
      </c>
      <c r="S17" s="0" t="n">
        <v>300</v>
      </c>
      <c r="T17" s="0" t="s">
        <v>52</v>
      </c>
      <c r="U17" s="0" t="s">
        <v>118</v>
      </c>
      <c r="V17" s="0" t="s">
        <v>53</v>
      </c>
      <c r="W17" s="0" t="s">
        <v>125</v>
      </c>
    </row>
    <row r="18" customFormat="false" ht="13" hidden="false" customHeight="false" outlineLevel="0" collapsed="false">
      <c r="B18" s="0" t="n">
        <v>1</v>
      </c>
      <c r="C18" s="0" t="n">
        <v>1000</v>
      </c>
      <c r="D18" s="0" t="n">
        <f aca="false">(3*C18-2*B18)/(2*(B18+3*C18))</f>
        <v>0.49950016661113</v>
      </c>
      <c r="E18" s="0" t="n">
        <f aca="false">2*B18*(1+D18)</f>
        <v>2.99900033322226</v>
      </c>
      <c r="F18" s="0" t="n">
        <v>0.01</v>
      </c>
      <c r="G18" s="0" t="n">
        <f aca="false">8*F18</f>
        <v>0.08</v>
      </c>
      <c r="H18" s="0" t="n">
        <v>0.5</v>
      </c>
      <c r="I18" s="0" t="n">
        <v>0.75</v>
      </c>
      <c r="J18" s="0" t="n">
        <f aca="false">-2*F18</f>
        <v>-0.02</v>
      </c>
      <c r="K18" s="0" t="n">
        <f aca="false">-J18*2</f>
        <v>0.04</v>
      </c>
      <c r="L18" s="0" t="n">
        <f aca="false">4*F18</f>
        <v>0.04</v>
      </c>
      <c r="M18" s="0" t="n">
        <f aca="false">2*F18</f>
        <v>0.02</v>
      </c>
      <c r="N18" s="0" t="n">
        <f aca="false">M18</f>
        <v>0.02</v>
      </c>
      <c r="O18" s="0" t="n">
        <f aca="false">I18/F18</f>
        <v>75</v>
      </c>
      <c r="P18" s="0" t="n">
        <f aca="false">L18/F18</f>
        <v>4</v>
      </c>
      <c r="Q18" s="0" t="n">
        <v>3</v>
      </c>
      <c r="S18" s="0" t="n">
        <v>300</v>
      </c>
      <c r="T18" s="0" t="s">
        <v>52</v>
      </c>
      <c r="V18" s="0" t="s">
        <v>53</v>
      </c>
      <c r="W18" s="0" t="s">
        <v>126</v>
      </c>
    </row>
    <row r="19" customFormat="false" ht="13" hidden="false" customHeight="false" outlineLevel="0" collapsed="false">
      <c r="Q19" s="0" t="n">
        <v>3</v>
      </c>
      <c r="S19" s="0" t="n">
        <v>600</v>
      </c>
      <c r="T19" s="0" t="s">
        <v>52</v>
      </c>
      <c r="U19" s="0" t="s">
        <v>127</v>
      </c>
      <c r="W19" s="0" t="s">
        <v>126</v>
      </c>
    </row>
    <row r="20" customFormat="false" ht="13" hidden="false" customHeight="false" outlineLevel="0" collapsed="false">
      <c r="A20" s="0" t="n">
        <v>1</v>
      </c>
      <c r="B20" s="0" t="n">
        <v>0.2</v>
      </c>
      <c r="C20" s="0" t="n">
        <v>200</v>
      </c>
      <c r="D20" s="0" t="n">
        <f aca="false">(3*C20-2*B20)/(2*(B20+3*C20))</f>
        <v>0.49950016661113</v>
      </c>
      <c r="E20" s="0" t="n">
        <f aca="false">2*B20*(1+D20)</f>
        <v>0.599800066644452</v>
      </c>
      <c r="F20" s="0" t="n">
        <v>0.01</v>
      </c>
      <c r="G20" s="0" t="n">
        <f aca="false">8*F20</f>
        <v>0.08</v>
      </c>
      <c r="H20" s="0" t="n">
        <v>0.5</v>
      </c>
      <c r="I20" s="0" t="n">
        <v>0.75</v>
      </c>
      <c r="J20" s="0" t="n">
        <f aca="false">-2*F20</f>
        <v>-0.02</v>
      </c>
      <c r="K20" s="0" t="n">
        <f aca="false">-J20*2</f>
        <v>0.04</v>
      </c>
      <c r="L20" s="0" t="n">
        <f aca="false">4*F20</f>
        <v>0.04</v>
      </c>
      <c r="M20" s="0" t="n">
        <f aca="false">2*F20</f>
        <v>0.02</v>
      </c>
      <c r="N20" s="0" t="n">
        <f aca="false">M20</f>
        <v>0.02</v>
      </c>
      <c r="O20" s="0" t="n">
        <f aca="false">I20/F20</f>
        <v>75</v>
      </c>
      <c r="P20" s="0" t="n">
        <f aca="false">L20/F20</f>
        <v>4</v>
      </c>
      <c r="Q20" s="0" t="n">
        <v>3</v>
      </c>
      <c r="S20" s="0" t="n">
        <v>200</v>
      </c>
      <c r="T20" s="0" t="s">
        <v>52</v>
      </c>
      <c r="V20" s="0" t="s">
        <v>58</v>
      </c>
      <c r="W20" s="0" t="s">
        <v>128</v>
      </c>
    </row>
    <row r="21" customFormat="false" ht="13" hidden="false" customHeight="false" outlineLevel="0" collapsed="false">
      <c r="A21" s="0" t="n">
        <v>1</v>
      </c>
      <c r="B21" s="0" t="n">
        <v>0.2</v>
      </c>
      <c r="C21" s="0" t="n">
        <v>200</v>
      </c>
      <c r="D21" s="0" t="n">
        <f aca="false">(3*C21-2*B21)/(2*(B21+3*C21))</f>
        <v>0.49950016661113</v>
      </c>
      <c r="E21" s="0" t="n">
        <f aca="false">2*B21*(1+D21)</f>
        <v>0.599800066644452</v>
      </c>
      <c r="F21" s="0" t="n">
        <v>0.01</v>
      </c>
      <c r="G21" s="0" t="n">
        <v>0.1</v>
      </c>
      <c r="H21" s="0" t="n">
        <v>0.5</v>
      </c>
      <c r="I21" s="0" t="n">
        <v>0.75</v>
      </c>
      <c r="J21" s="0" t="n">
        <f aca="false">-F21</f>
        <v>-0.01</v>
      </c>
      <c r="K21" s="0" t="n">
        <f aca="false">-J21*2</f>
        <v>0.02</v>
      </c>
      <c r="L21" s="0" t="n">
        <f aca="false">4*F21</f>
        <v>0.04</v>
      </c>
      <c r="M21" s="0" t="n">
        <f aca="false">2*F21</f>
        <v>0.02</v>
      </c>
      <c r="N21" s="0" t="n">
        <f aca="false">M21</f>
        <v>0.02</v>
      </c>
      <c r="O21" s="0" t="n">
        <f aca="false">I21/F21</f>
        <v>75</v>
      </c>
      <c r="P21" s="0" t="n">
        <f aca="false">L21/F21</f>
        <v>4</v>
      </c>
      <c r="Q21" s="0" t="n">
        <v>3</v>
      </c>
      <c r="S21" s="0" t="n">
        <v>100</v>
      </c>
      <c r="T21" s="0" t="s">
        <v>52</v>
      </c>
      <c r="U21" s="0" t="s">
        <v>118</v>
      </c>
      <c r="V21" s="0" t="s">
        <v>53</v>
      </c>
      <c r="W21" s="0" t="s">
        <v>129</v>
      </c>
    </row>
    <row r="22" customFormat="false" ht="13" hidden="false" customHeight="false" outlineLevel="0" collapsed="false">
      <c r="Q22" s="0" t="n">
        <v>4</v>
      </c>
      <c r="R22" s="0" t="n">
        <v>2.66667</v>
      </c>
      <c r="S22" s="0" t="n">
        <v>100</v>
      </c>
      <c r="T22" s="0" t="s">
        <v>52</v>
      </c>
      <c r="U22" s="0" t="s">
        <v>116</v>
      </c>
      <c r="V22" s="0" t="s">
        <v>53</v>
      </c>
    </row>
    <row r="23" customFormat="false" ht="13" hidden="false" customHeight="false" outlineLevel="0" collapsed="false">
      <c r="Q23" s="0" t="n">
        <v>2.75</v>
      </c>
      <c r="S23" s="0" t="n">
        <v>275</v>
      </c>
      <c r="T23" s="0" t="s">
        <v>52</v>
      </c>
      <c r="U23" s="0" t="s">
        <v>116</v>
      </c>
    </row>
    <row r="24" customFormat="false" ht="13" hidden="false" customHeight="false" outlineLevel="0" collapsed="false">
      <c r="A24" s="0" t="n">
        <v>1</v>
      </c>
      <c r="B24" s="0" t="n">
        <v>0.2</v>
      </c>
      <c r="C24" s="0" t="n">
        <v>200</v>
      </c>
      <c r="D24" s="0" t="n">
        <f aca="false">(3*C24-2*B24)/(2*(B24+3*C24))</f>
        <v>0.49950016661113</v>
      </c>
      <c r="E24" s="0" t="n">
        <f aca="false">2*B24*(1+D24)</f>
        <v>0.599800066644452</v>
      </c>
      <c r="F24" s="0" t="n">
        <v>0.01</v>
      </c>
      <c r="G24" s="0" t="n">
        <v>0.05</v>
      </c>
      <c r="H24" s="0" t="n">
        <v>0.5</v>
      </c>
      <c r="I24" s="0" t="n">
        <v>0.75</v>
      </c>
      <c r="J24" s="0" t="n">
        <f aca="false">-F24</f>
        <v>-0.01</v>
      </c>
      <c r="K24" s="0" t="n">
        <f aca="false">-J24*2</f>
        <v>0.02</v>
      </c>
      <c r="L24" s="0" t="n">
        <f aca="false">4*F24</f>
        <v>0.04</v>
      </c>
      <c r="M24" s="0" t="n">
        <f aca="false">2*F24</f>
        <v>0.02</v>
      </c>
      <c r="N24" s="0" t="n">
        <f aca="false">M24</f>
        <v>0.02</v>
      </c>
      <c r="O24" s="0" t="n">
        <f aca="false">I24/F24</f>
        <v>75</v>
      </c>
      <c r="P24" s="0" t="n">
        <f aca="false">L24/F24</f>
        <v>4</v>
      </c>
      <c r="Q24" s="0" t="n">
        <v>2.75</v>
      </c>
      <c r="S24" s="0" t="n">
        <v>275</v>
      </c>
      <c r="T24" s="0" t="s">
        <v>52</v>
      </c>
    </row>
    <row r="25" customFormat="false" ht="13" hidden="false" customHeight="false" outlineLevel="0" collapsed="false">
      <c r="Q25" s="23" t="n">
        <v>2.75</v>
      </c>
      <c r="R25" s="23"/>
      <c r="S25" s="23" t="n">
        <v>200</v>
      </c>
      <c r="T25" s="23" t="s">
        <v>52</v>
      </c>
      <c r="U25" s="23" t="s">
        <v>116</v>
      </c>
      <c r="V25" s="0" t="s">
        <v>58</v>
      </c>
      <c r="W25" s="0" t="s">
        <v>130</v>
      </c>
      <c r="X25" s="0" t="s">
        <v>131</v>
      </c>
    </row>
    <row r="26" customFormat="false" ht="13" hidden="false" customHeight="false" outlineLevel="0" collapsed="false">
      <c r="Q26" s="0" t="n">
        <v>2.75</v>
      </c>
      <c r="R26" s="0" t="n">
        <v>2.48744</v>
      </c>
      <c r="S26" s="0" t="n">
        <v>550</v>
      </c>
      <c r="T26" s="0" t="s">
        <v>52</v>
      </c>
      <c r="U26" s="0" t="s">
        <v>118</v>
      </c>
      <c r="V26" s="0" t="s">
        <v>53</v>
      </c>
      <c r="W26" s="0" t="s">
        <v>130</v>
      </c>
      <c r="X26" s="0" t="s">
        <v>132</v>
      </c>
    </row>
    <row r="27" customFormat="false" ht="13" hidden="false" customHeight="false" outlineLevel="0" collapsed="false">
      <c r="Q27" s="0" t="n">
        <v>2.75</v>
      </c>
      <c r="R27" s="0" t="n">
        <v>2.649635</v>
      </c>
      <c r="S27" s="0" t="n">
        <v>275</v>
      </c>
      <c r="T27" s="0" t="s">
        <v>52</v>
      </c>
      <c r="U27" s="0" t="s">
        <v>118</v>
      </c>
    </row>
    <row r="28" customFormat="false" ht="13" hidden="false" customHeight="false" outlineLevel="0" collapsed="false">
      <c r="Q28" s="23" t="n">
        <v>2.75</v>
      </c>
      <c r="R28" s="23"/>
      <c r="S28" s="23" t="n">
        <v>250</v>
      </c>
      <c r="T28" s="23" t="s">
        <v>52</v>
      </c>
      <c r="U28" s="23" t="s">
        <v>116</v>
      </c>
      <c r="V28" s="0" t="s">
        <v>58</v>
      </c>
    </row>
    <row r="29" customFormat="false" ht="13" hidden="false" customHeight="false" outlineLevel="0" collapsed="false">
      <c r="Q29" s="0" t="n">
        <v>2.75</v>
      </c>
      <c r="S29" s="0" t="n">
        <v>200</v>
      </c>
      <c r="T29" s="0" t="s">
        <v>52</v>
      </c>
      <c r="U29" s="0" t="s">
        <v>118</v>
      </c>
      <c r="W29" s="0" t="s">
        <v>133</v>
      </c>
    </row>
    <row r="30" customFormat="false" ht="13" hidden="false" customHeight="false" outlineLevel="0" collapsed="false">
      <c r="Q30" s="0" t="n">
        <v>2.75</v>
      </c>
      <c r="R30" s="0" t="n">
        <v>2.6396</v>
      </c>
      <c r="S30" s="0" t="n">
        <v>275</v>
      </c>
      <c r="U30" s="0" t="s">
        <v>118</v>
      </c>
      <c r="W30" s="0" t="s">
        <v>130</v>
      </c>
    </row>
    <row r="31" customFormat="false" ht="13" hidden="false" customHeight="false" outlineLevel="0" collapsed="false">
      <c r="Q31" s="23" t="n">
        <v>2.75</v>
      </c>
      <c r="R31" s="23"/>
      <c r="S31" s="23" t="n">
        <v>250</v>
      </c>
      <c r="T31" s="23"/>
      <c r="U31" s="23" t="s">
        <v>116</v>
      </c>
      <c r="V31" s="0" t="s">
        <v>58</v>
      </c>
      <c r="X31" s="0" t="s">
        <v>134</v>
      </c>
    </row>
    <row r="32" customFormat="false" ht="13" hidden="false" customHeight="false" outlineLevel="0" collapsed="false">
      <c r="Q32" s="0" t="n">
        <v>2.75</v>
      </c>
      <c r="R32" s="0" t="n">
        <v>2.63945</v>
      </c>
      <c r="S32" s="0" t="n">
        <v>200</v>
      </c>
      <c r="U32" s="0" t="s">
        <v>118</v>
      </c>
    </row>
    <row r="33" customFormat="false" ht="13" hidden="false" customHeight="false" outlineLevel="0" collapsed="false">
      <c r="A33" s="0" t="s">
        <v>7</v>
      </c>
      <c r="B33" s="0" t="s">
        <v>6</v>
      </c>
      <c r="C33" s="0" t="s">
        <v>25</v>
      </c>
      <c r="D33" s="0" t="s">
        <v>104</v>
      </c>
      <c r="E33" s="0" t="s">
        <v>105</v>
      </c>
      <c r="F33" s="0" t="s">
        <v>106</v>
      </c>
      <c r="G33" s="0" t="s">
        <v>24</v>
      </c>
      <c r="H33" s="0" t="s">
        <v>107</v>
      </c>
      <c r="I33" s="0" t="s">
        <v>36</v>
      </c>
      <c r="J33" s="0" t="s">
        <v>108</v>
      </c>
      <c r="L33" s="0" t="s">
        <v>109</v>
      </c>
      <c r="M33" s="0" t="s">
        <v>110</v>
      </c>
      <c r="N33" s="0" t="s">
        <v>111</v>
      </c>
      <c r="O33" s="0" t="s">
        <v>45</v>
      </c>
      <c r="P33" s="0" t="s">
        <v>112</v>
      </c>
    </row>
    <row r="34" customFormat="false" ht="13" hidden="false" customHeight="false" outlineLevel="0" collapsed="false">
      <c r="A34" s="0" t="n">
        <v>1</v>
      </c>
      <c r="B34" s="0" t="n">
        <v>0.2</v>
      </c>
      <c r="C34" s="0" t="n">
        <v>200</v>
      </c>
      <c r="D34" s="0" t="n">
        <f aca="false">(3*C34-2*B34)/(2*(B34+3*C34))</f>
        <v>0.49950016661113</v>
      </c>
      <c r="E34" s="0" t="n">
        <f aca="false">2*B34*(1+D34)</f>
        <v>0.599800066644452</v>
      </c>
      <c r="F34" s="0" t="n">
        <v>0.01</v>
      </c>
      <c r="G34" s="0" t="n">
        <v>0.04</v>
      </c>
      <c r="H34" s="0" t="n">
        <v>0.5</v>
      </c>
      <c r="I34" s="0" t="n">
        <v>0.75</v>
      </c>
      <c r="J34" s="0" t="n">
        <f aca="false">-F34</f>
        <v>-0.01</v>
      </c>
      <c r="K34" s="0" t="n">
        <f aca="false">-J34*2</f>
        <v>0.02</v>
      </c>
      <c r="L34" s="0" t="n">
        <f aca="false">10 *F34</f>
        <v>0.1</v>
      </c>
      <c r="M34" s="0" t="n">
        <f aca="false">2*F34</f>
        <v>0.02</v>
      </c>
      <c r="N34" s="0" t="n">
        <f aca="false">M34</f>
        <v>0.02</v>
      </c>
      <c r="O34" s="0" t="n">
        <f aca="false">I34/F34</f>
        <v>75</v>
      </c>
      <c r="P34" s="0" t="n">
        <f aca="false">L34/F34</f>
        <v>10</v>
      </c>
      <c r="Q34" s="0" t="n">
        <v>2.75</v>
      </c>
      <c r="R34" s="0" t="n">
        <v>2.71989</v>
      </c>
      <c r="S34" s="0" t="n">
        <v>275</v>
      </c>
      <c r="T34" s="0" t="s">
        <v>52</v>
      </c>
      <c r="U34" s="0" t="s">
        <v>135</v>
      </c>
      <c r="V34" s="0" t="s">
        <v>53</v>
      </c>
    </row>
    <row r="35" customFormat="false" ht="13" hidden="false" customHeight="false" outlineLevel="0" collapsed="false">
      <c r="Q35" s="23" t="n">
        <v>2.75</v>
      </c>
      <c r="R35" s="23"/>
      <c r="S35" s="23" t="n">
        <v>350</v>
      </c>
      <c r="T35" s="23"/>
      <c r="U35" s="23" t="s">
        <v>116</v>
      </c>
      <c r="W35" s="0" t="s">
        <v>136</v>
      </c>
    </row>
    <row r="36" customFormat="false" ht="13" hidden="false" customHeight="false" outlineLevel="0" collapsed="false">
      <c r="Q36" s="0" t="n">
        <v>2.75</v>
      </c>
      <c r="R36" s="0" t="n">
        <v>0.133954</v>
      </c>
      <c r="S36" s="3" t="n">
        <v>350</v>
      </c>
      <c r="T36" s="3"/>
      <c r="U36" s="0" t="s">
        <v>135</v>
      </c>
      <c r="W36" s="0" t="s">
        <v>137</v>
      </c>
    </row>
    <row r="37" customFormat="false" ht="13" hidden="false" customHeight="false" outlineLevel="0" collapsed="false">
      <c r="Q37" s="0" t="n">
        <v>2.75</v>
      </c>
      <c r="S37" s="3" t="n">
        <v>350</v>
      </c>
      <c r="T37" s="3"/>
      <c r="U37" s="0" t="s">
        <v>135</v>
      </c>
      <c r="W37" s="0" t="s">
        <v>138</v>
      </c>
    </row>
    <row r="38" customFormat="false" ht="13" hidden="false" customHeight="false" outlineLevel="0" collapsed="false">
      <c r="Q38" s="3" t="n">
        <v>3.5</v>
      </c>
      <c r="R38" s="3"/>
      <c r="S38" s="3" t="n">
        <v>350</v>
      </c>
      <c r="T38" s="3"/>
      <c r="U38" s="3"/>
      <c r="W38" s="0" t="s">
        <v>138</v>
      </c>
    </row>
    <row r="39" customFormat="false" ht="13" hidden="false" customHeight="false" outlineLevel="0" collapsed="false">
      <c r="R39" s="3"/>
      <c r="S39" s="3" t="n">
        <v>700</v>
      </c>
      <c r="T39" s="3"/>
      <c r="U39" s="3"/>
    </row>
    <row r="40" customFormat="false" ht="13" hidden="false" customHeight="false" outlineLevel="0" collapsed="false">
      <c r="A40" s="0" t="n">
        <v>1</v>
      </c>
      <c r="B40" s="0" t="n">
        <v>0.2</v>
      </c>
      <c r="C40" s="0" t="n">
        <v>200</v>
      </c>
      <c r="D40" s="0" t="n">
        <f aca="false">(3*C40-2*B40)/(2*(B40+3*C40))</f>
        <v>0.49950016661113</v>
      </c>
      <c r="E40" s="0" t="n">
        <f aca="false">2*B40*(1+D40)</f>
        <v>0.599800066644452</v>
      </c>
      <c r="F40" s="0" t="n">
        <v>0.01</v>
      </c>
      <c r="G40" s="0" t="n">
        <v>0.01</v>
      </c>
      <c r="H40" s="0" t="n">
        <v>0.5</v>
      </c>
      <c r="I40" s="0" t="n">
        <v>0.75</v>
      </c>
      <c r="J40" s="0" t="n">
        <f aca="false">-F40</f>
        <v>-0.01</v>
      </c>
      <c r="K40" s="0" t="n">
        <f aca="false">-J40*2</f>
        <v>0.02</v>
      </c>
      <c r="L40" s="0" t="n">
        <f aca="false">4*F40</f>
        <v>0.04</v>
      </c>
      <c r="M40" s="0" t="n">
        <f aca="false">2*F40</f>
        <v>0.02</v>
      </c>
      <c r="N40" s="0" t="n">
        <f aca="false">M40</f>
        <v>0.02</v>
      </c>
      <c r="O40" s="0" t="n">
        <f aca="false">I40/F40</f>
        <v>75</v>
      </c>
      <c r="P40" s="0" t="n">
        <f aca="false">L40/F40</f>
        <v>4</v>
      </c>
      <c r="Q40" s="0" t="n">
        <v>2.75</v>
      </c>
      <c r="R40" s="0" t="n">
        <v>2.64964</v>
      </c>
      <c r="S40" s="0" t="n">
        <v>275</v>
      </c>
      <c r="U40" s="0" t="s">
        <v>118</v>
      </c>
      <c r="V40" s="0" t="s">
        <v>53</v>
      </c>
      <c r="W40" s="0" t="s">
        <v>139</v>
      </c>
    </row>
    <row r="41" customFormat="false" ht="13" hidden="false" customHeight="false" outlineLevel="0" collapsed="false">
      <c r="A41" s="0" t="n">
        <v>1</v>
      </c>
      <c r="B41" s="0" t="n">
        <v>0.2</v>
      </c>
      <c r="C41" s="0" t="n">
        <v>200</v>
      </c>
      <c r="D41" s="0" t="n">
        <f aca="false">(3*C41-2*B41)/(2*(B41+3*C41))</f>
        <v>0.49950016661113</v>
      </c>
      <c r="E41" s="0" t="n">
        <f aca="false">2*B41*(1+D41)</f>
        <v>0.599800066644452</v>
      </c>
      <c r="F41" s="0" t="n">
        <v>0.008</v>
      </c>
      <c r="G41" s="0" t="n">
        <v>0.04</v>
      </c>
      <c r="H41" s="0" t="n">
        <v>0.5</v>
      </c>
      <c r="I41" s="0" t="n">
        <v>0.75</v>
      </c>
      <c r="J41" s="0" t="n">
        <f aca="false">-2*F41</f>
        <v>-0.016</v>
      </c>
      <c r="K41" s="0" t="n">
        <f aca="false">-J41*2</f>
        <v>0.032</v>
      </c>
      <c r="L41" s="0" t="n">
        <f aca="false">4*F41</f>
        <v>0.032</v>
      </c>
      <c r="M41" s="0" t="n">
        <f aca="false">2*F41</f>
        <v>0.016</v>
      </c>
      <c r="N41" s="0" t="n">
        <f aca="false">M41</f>
        <v>0.016</v>
      </c>
      <c r="O41" s="0" t="n">
        <f aca="false">I41/F41</f>
        <v>93.75</v>
      </c>
      <c r="P41" s="0" t="n">
        <f aca="false">L41/F41</f>
        <v>4</v>
      </c>
      <c r="Q41" s="0" t="n">
        <v>2.75</v>
      </c>
      <c r="R41" s="0" t="s">
        <v>140</v>
      </c>
      <c r="S41" s="0" t="n">
        <v>275</v>
      </c>
      <c r="T41" s="0" t="s">
        <v>52</v>
      </c>
      <c r="V41" s="0" t="s">
        <v>53</v>
      </c>
      <c r="W41" s="0" t="s">
        <v>139</v>
      </c>
    </row>
    <row r="42" customFormat="false" ht="13" hidden="false" customHeight="false" outlineLevel="0" collapsed="false">
      <c r="Q42" s="0" t="n">
        <v>4</v>
      </c>
      <c r="R42" s="0" t="n">
        <v>2.76692</v>
      </c>
      <c r="S42" s="0" t="n">
        <v>400</v>
      </c>
      <c r="V42" s="0" t="s">
        <v>53</v>
      </c>
    </row>
    <row r="43" customFormat="false" ht="13" hidden="false" customHeight="false" outlineLevel="0" collapsed="false">
      <c r="A43" s="15" t="n">
        <v>1</v>
      </c>
      <c r="B43" s="15" t="n">
        <v>0.2</v>
      </c>
      <c r="C43" s="15" t="n">
        <v>200</v>
      </c>
      <c r="D43" s="15" t="n">
        <f aca="false">(3*C43-2*B43)/(2*(B43+3*C43))</f>
        <v>0.49950016661113</v>
      </c>
      <c r="E43" s="15" t="n">
        <f aca="false">2*B43*(1+D43)</f>
        <v>0.599800066644452</v>
      </c>
      <c r="F43" s="15" t="n">
        <v>0.008</v>
      </c>
      <c r="G43" s="15" t="n">
        <v>0.04</v>
      </c>
      <c r="H43" s="15" t="n">
        <v>0.5</v>
      </c>
      <c r="I43" s="15" t="n">
        <v>0.75</v>
      </c>
      <c r="J43" s="15" t="n">
        <f aca="false">-2*F43</f>
        <v>-0.016</v>
      </c>
      <c r="K43" s="15" t="n">
        <f aca="false">-J43*2</f>
        <v>0.032</v>
      </c>
      <c r="L43" s="15" t="n">
        <f aca="false">4*F43</f>
        <v>0.032</v>
      </c>
      <c r="M43" s="15" t="n">
        <f aca="false">2*F43</f>
        <v>0.016</v>
      </c>
      <c r="N43" s="15" t="n">
        <f aca="false">M43</f>
        <v>0.016</v>
      </c>
      <c r="O43" s="15" t="n">
        <f aca="false">I43/F43</f>
        <v>93.75</v>
      </c>
      <c r="P43" s="15" t="n">
        <f aca="false">L43/F43</f>
        <v>4</v>
      </c>
      <c r="Q43" s="15" t="n">
        <v>3</v>
      </c>
      <c r="R43" s="15" t="n">
        <v>2.7592</v>
      </c>
      <c r="S43" s="15" t="n">
        <v>300</v>
      </c>
      <c r="T43" s="15" t="s">
        <v>52</v>
      </c>
      <c r="U43" s="15" t="s">
        <v>116</v>
      </c>
      <c r="V43" s="15" t="s">
        <v>58</v>
      </c>
      <c r="W43" s="0" t="s">
        <v>136</v>
      </c>
    </row>
    <row r="44" customFormat="false" ht="13" hidden="false" customHeight="false" outlineLevel="0" collapsed="false">
      <c r="A44" s="0" t="n">
        <v>1</v>
      </c>
      <c r="B44" s="0" t="n">
        <v>0.2</v>
      </c>
      <c r="C44" s="0" t="n">
        <v>200</v>
      </c>
      <c r="D44" s="0" t="n">
        <f aca="false">(3*C44-2*B44)/(2*(B44+3*C44))</f>
        <v>0.49950016661113</v>
      </c>
      <c r="E44" s="0" t="n">
        <f aca="false">2*B44*(1+D44)</f>
        <v>0.599800066644452</v>
      </c>
      <c r="F44" s="0" t="n">
        <v>0.008</v>
      </c>
      <c r="G44" s="0" t="n">
        <v>0.04</v>
      </c>
      <c r="H44" s="0" t="n">
        <v>0.5</v>
      </c>
      <c r="I44" s="0" t="n">
        <v>0.75</v>
      </c>
      <c r="J44" s="0" t="n">
        <f aca="false">-1*F44</f>
        <v>-0.008</v>
      </c>
      <c r="K44" s="0" t="n">
        <f aca="false">-J44*2</f>
        <v>0.016</v>
      </c>
      <c r="L44" s="0" t="n">
        <f aca="false">10*F44</f>
        <v>0.08</v>
      </c>
      <c r="M44" s="0" t="n">
        <f aca="false">2*F44</f>
        <v>0.016</v>
      </c>
      <c r="N44" s="0" t="n">
        <f aca="false">M44</f>
        <v>0.016</v>
      </c>
      <c r="O44" s="0" t="n">
        <f aca="false">I44/F44</f>
        <v>93.75</v>
      </c>
      <c r="P44" s="0" t="n">
        <f aca="false">L44/F44</f>
        <v>10</v>
      </c>
      <c r="Q44" s="0" t="n">
        <v>2.8</v>
      </c>
      <c r="R44" s="0" t="n">
        <v>2.74982</v>
      </c>
      <c r="S44" s="0" t="n">
        <v>280</v>
      </c>
      <c r="U44" s="0" t="s">
        <v>118</v>
      </c>
    </row>
    <row r="45" customFormat="false" ht="13" hidden="false" customHeight="false" outlineLevel="0" collapsed="false">
      <c r="Q45" s="0" t="n">
        <v>2.85</v>
      </c>
      <c r="S45" s="0" t="n">
        <v>400</v>
      </c>
      <c r="U45" s="0" t="s">
        <v>135</v>
      </c>
    </row>
    <row r="46" customFormat="false" ht="13" hidden="false" customHeight="false" outlineLevel="0" collapsed="false">
      <c r="Q46" s="0" t="n">
        <v>2.85</v>
      </c>
      <c r="S46" s="0" t="n">
        <v>450</v>
      </c>
      <c r="U46" s="0" t="s">
        <v>135</v>
      </c>
    </row>
    <row r="47" customFormat="false" ht="13" hidden="false" customHeight="false" outlineLevel="0" collapsed="false">
      <c r="S47" s="0" t="n">
        <v>500</v>
      </c>
    </row>
    <row r="48" customFormat="false" ht="13" hidden="false" customHeight="false" outlineLevel="0" collapsed="false">
      <c r="A48" s="0" t="n">
        <v>1</v>
      </c>
      <c r="B48" s="0" t="n">
        <v>0.2</v>
      </c>
      <c r="C48" s="0" t="n">
        <v>200</v>
      </c>
      <c r="D48" s="0" t="n">
        <f aca="false">(3*C48-2*B48)/(2*(B48+3*C48))</f>
        <v>0.49950016661113</v>
      </c>
      <c r="E48" s="0" t="n">
        <f aca="false">2*B48*(1+D48)</f>
        <v>0.599800066644452</v>
      </c>
      <c r="F48" s="0" t="n">
        <v>0.008</v>
      </c>
      <c r="G48" s="0" t="n">
        <v>0.04</v>
      </c>
      <c r="H48" s="0" t="n">
        <v>0.5</v>
      </c>
      <c r="I48" s="0" t="n">
        <v>0.75</v>
      </c>
      <c r="J48" s="0" t="n">
        <f aca="false">-1*F48</f>
        <v>-0.008</v>
      </c>
      <c r="K48" s="0" t="n">
        <f aca="false">-J48*2</f>
        <v>0.016</v>
      </c>
      <c r="L48" s="0" t="n">
        <f aca="false">20*F48</f>
        <v>0.16</v>
      </c>
      <c r="M48" s="0" t="n">
        <f aca="false">2*F48</f>
        <v>0.016</v>
      </c>
      <c r="N48" s="0" t="n">
        <f aca="false">M48</f>
        <v>0.016</v>
      </c>
      <c r="O48" s="0" t="n">
        <f aca="false">I48/F48</f>
        <v>93.75</v>
      </c>
      <c r="P48" s="0" t="n">
        <f aca="false">L48/F48</f>
        <v>20</v>
      </c>
      <c r="Q48" s="0" t="n">
        <v>2.85</v>
      </c>
      <c r="S48" s="0" t="n">
        <v>400</v>
      </c>
      <c r="U48" s="0" t="s">
        <v>118</v>
      </c>
      <c r="V48" s="0" t="s">
        <v>53</v>
      </c>
    </row>
    <row r="49" customFormat="false" ht="13" hidden="false" customHeight="false" outlineLevel="0" collapsed="false">
      <c r="Q49" s="0" t="n">
        <v>2.85</v>
      </c>
      <c r="S49" s="0" t="n">
        <v>285</v>
      </c>
      <c r="U49" s="0" t="s">
        <v>141</v>
      </c>
      <c r="V49" s="0" t="s">
        <v>53</v>
      </c>
    </row>
    <row r="50" customFormat="false" ht="13" hidden="false" customHeight="false" outlineLevel="0" collapsed="false">
      <c r="A50" s="0" t="n">
        <v>1</v>
      </c>
      <c r="B50" s="0" t="n">
        <v>0.2</v>
      </c>
      <c r="C50" s="0" t="n">
        <v>200</v>
      </c>
      <c r="D50" s="0" t="n">
        <f aca="false">(3*C50-2*B50)/(2*(B50+3*C50))</f>
        <v>0.49950016661113</v>
      </c>
      <c r="E50" s="0" t="n">
        <f aca="false">2*B50*(1+D50)</f>
        <v>0.599800066644452</v>
      </c>
      <c r="F50" s="0" t="n">
        <v>0.008</v>
      </c>
      <c r="G50" s="0" t="n">
        <v>0.04</v>
      </c>
      <c r="H50" s="0" t="n">
        <v>0.5</v>
      </c>
      <c r="I50" s="0" t="n">
        <v>0.75</v>
      </c>
      <c r="J50" s="0" t="n">
        <f aca="false">-1*F50</f>
        <v>-0.008</v>
      </c>
      <c r="K50" s="0" t="n">
        <f aca="false">-J50*2</f>
        <v>0.016</v>
      </c>
      <c r="L50" s="0" t="n">
        <f aca="false">18*F50</f>
        <v>0.144</v>
      </c>
      <c r="M50" s="0" t="n">
        <f aca="false">2*F50</f>
        <v>0.016</v>
      </c>
      <c r="N50" s="0" t="n">
        <f aca="false">M50</f>
        <v>0.016</v>
      </c>
      <c r="O50" s="0" t="n">
        <f aca="false">I50/F50</f>
        <v>93.75</v>
      </c>
      <c r="P50" s="0" t="n">
        <f aca="false">L50/F50</f>
        <v>18</v>
      </c>
      <c r="Q50" s="0" t="n">
        <v>2.85</v>
      </c>
      <c r="R50" s="0" t="n">
        <v>2.729577</v>
      </c>
      <c r="S50" s="0" t="n">
        <v>285</v>
      </c>
      <c r="U50" s="0" t="s">
        <v>141</v>
      </c>
    </row>
    <row r="51" customFormat="false" ht="13" hidden="false" customHeight="false" outlineLevel="0" collapsed="false">
      <c r="S51" s="0" t="n">
        <v>350</v>
      </c>
    </row>
    <row r="53" customFormat="false" ht="13" hidden="false" customHeight="false" outlineLevel="0" collapsed="false">
      <c r="A53" s="0" t="s">
        <v>7</v>
      </c>
      <c r="B53" s="0" t="s">
        <v>6</v>
      </c>
      <c r="C53" s="0" t="s">
        <v>25</v>
      </c>
      <c r="D53" s="0" t="s">
        <v>104</v>
      </c>
      <c r="E53" s="0" t="s">
        <v>105</v>
      </c>
      <c r="F53" s="0" t="s">
        <v>106</v>
      </c>
      <c r="G53" s="0" t="s">
        <v>24</v>
      </c>
      <c r="H53" s="0" t="s">
        <v>107</v>
      </c>
      <c r="I53" s="0" t="s">
        <v>36</v>
      </c>
      <c r="J53" s="0" t="s">
        <v>108</v>
      </c>
      <c r="L53" s="0" t="s">
        <v>109</v>
      </c>
      <c r="M53" s="0" t="s">
        <v>110</v>
      </c>
      <c r="N53" s="0" t="s">
        <v>111</v>
      </c>
      <c r="O53" s="0" t="s">
        <v>45</v>
      </c>
      <c r="P53" s="0" t="s">
        <v>112</v>
      </c>
      <c r="Q53" s="0" t="s">
        <v>0</v>
      </c>
      <c r="R53" s="0" t="s">
        <v>0</v>
      </c>
      <c r="S53" s="0" t="s">
        <v>113</v>
      </c>
      <c r="T53" s="0" t="s">
        <v>84</v>
      </c>
      <c r="U53" s="0" t="s">
        <v>114</v>
      </c>
      <c r="V53" s="0" t="s">
        <v>53</v>
      </c>
    </row>
    <row r="54" customFormat="false" ht="13" hidden="false" customHeight="false" outlineLevel="0" collapsed="false">
      <c r="A54" s="0" t="n">
        <v>1</v>
      </c>
      <c r="B54" s="0" t="n">
        <v>0.2</v>
      </c>
      <c r="C54" s="0" t="n">
        <v>200</v>
      </c>
      <c r="D54" s="0" t="n">
        <f aca="false">(3*C54-2*B54)/(2*(B54+3*C54))</f>
        <v>0.49950016661113</v>
      </c>
      <c r="E54" s="0" t="n">
        <f aca="false">2*B54*(1+D54)</f>
        <v>0.599800066644452</v>
      </c>
      <c r="F54" s="0" t="n">
        <v>0.008</v>
      </c>
      <c r="G54" s="0" t="n">
        <v>0.04</v>
      </c>
      <c r="H54" s="0" t="n">
        <v>0.5</v>
      </c>
      <c r="I54" s="0" t="n">
        <v>0.75</v>
      </c>
      <c r="J54" s="0" t="n">
        <f aca="false">-2*F54</f>
        <v>-0.016</v>
      </c>
      <c r="K54" s="0" t="n">
        <f aca="false">-J54*2</f>
        <v>0.032</v>
      </c>
      <c r="L54" s="0" t="n">
        <f aca="false">4*F54</f>
        <v>0.032</v>
      </c>
      <c r="M54" s="0" t="n">
        <f aca="false">2*F54</f>
        <v>0.016</v>
      </c>
      <c r="N54" s="0" t="n">
        <f aca="false">M54</f>
        <v>0.016</v>
      </c>
      <c r="O54" s="0" t="n">
        <f aca="false">I54/F54</f>
        <v>93.75</v>
      </c>
      <c r="P54" s="0" t="n">
        <f aca="false">L54/F54</f>
        <v>4</v>
      </c>
      <c r="Q54" s="23" t="n">
        <v>3</v>
      </c>
      <c r="R54" s="23" t="n">
        <v>2.7592</v>
      </c>
      <c r="S54" s="23" t="n">
        <v>300</v>
      </c>
      <c r="T54" s="23" t="s">
        <v>52</v>
      </c>
      <c r="U54" s="23" t="s">
        <v>116</v>
      </c>
      <c r="V54" s="23" t="s">
        <v>58</v>
      </c>
    </row>
    <row r="55" customFormat="false" ht="12.8" hidden="false" customHeight="false" outlineLevel="0" collapsed="false">
      <c r="Q55" s="0" t="n">
        <v>3</v>
      </c>
      <c r="S55" s="0" t="n">
        <v>300</v>
      </c>
    </row>
    <row r="58" customFormat="false" ht="13" hidden="false" customHeight="false" outlineLevel="0" collapsed="false">
      <c r="C58" s="0" t="s">
        <v>97</v>
      </c>
      <c r="D58" s="0" t="s">
        <v>98</v>
      </c>
      <c r="E58" s="0" t="s">
        <v>99</v>
      </c>
      <c r="F58" s="0" t="s">
        <v>100</v>
      </c>
      <c r="G58" s="0" t="s">
        <v>101</v>
      </c>
      <c r="H58" s="0" t="s">
        <v>142</v>
      </c>
    </row>
    <row r="59" customFormat="false" ht="13" hidden="false" customHeight="false" outlineLevel="0" collapsed="false">
      <c r="C59" s="0" t="n">
        <v>3</v>
      </c>
      <c r="D59" s="0" t="n">
        <v>299</v>
      </c>
      <c r="E59" s="0" t="n">
        <v>0</v>
      </c>
      <c r="F59" s="0" t="n">
        <f aca="false">C59/D59*E59</f>
        <v>0</v>
      </c>
      <c r="G59" s="0" t="n">
        <f aca="false">1.5+F59</f>
        <v>1.5</v>
      </c>
      <c r="H59" s="0" t="n">
        <f aca="false">(G59-1.5)/1.5*100</f>
        <v>0</v>
      </c>
      <c r="M59" s="0" t="n">
        <v>3</v>
      </c>
      <c r="N59" s="0" t="n">
        <v>299</v>
      </c>
      <c r="O59" s="0" t="n">
        <f aca="false">M59/N59</f>
        <v>0.0100334448160535</v>
      </c>
      <c r="P59" s="0" t="n">
        <f aca="false">O59*275</f>
        <v>2.75919732441472</v>
      </c>
    </row>
    <row r="60" customFormat="false" ht="13" hidden="false" customHeight="false" outlineLevel="0" collapsed="false">
      <c r="C60" s="0" t="n">
        <v>3</v>
      </c>
      <c r="D60" s="0" t="n">
        <v>299</v>
      </c>
      <c r="E60" s="0" t="n">
        <v>50</v>
      </c>
      <c r="F60" s="0" t="n">
        <f aca="false">C60/D60*E60</f>
        <v>0.501672240802676</v>
      </c>
      <c r="G60" s="0" t="n">
        <f aca="false">1.5+F60</f>
        <v>2.00167224080268</v>
      </c>
      <c r="H60" s="0" t="n">
        <f aca="false">(G60-1.5)/1.5*100</f>
        <v>33.4448160535117</v>
      </c>
    </row>
    <row r="61" customFormat="false" ht="13" hidden="false" customHeight="false" outlineLevel="0" collapsed="false">
      <c r="C61" s="0" t="n">
        <v>3</v>
      </c>
      <c r="D61" s="0" t="n">
        <v>299</v>
      </c>
      <c r="E61" s="0" t="n">
        <v>150</v>
      </c>
      <c r="F61" s="0" t="n">
        <f aca="false">C61/D61*E61</f>
        <v>1.50501672240803</v>
      </c>
      <c r="G61" s="0" t="n">
        <f aca="false">1.5+F61</f>
        <v>3.00501672240803</v>
      </c>
      <c r="H61" s="0" t="n">
        <f aca="false">(G61-1.5)/1.5*100</f>
        <v>100.334448160535</v>
      </c>
    </row>
    <row r="62" customFormat="false" ht="13" hidden="false" customHeight="false" outlineLevel="0" collapsed="false">
      <c r="C62" s="0" t="n">
        <v>3</v>
      </c>
      <c r="D62" s="0" t="n">
        <v>299</v>
      </c>
      <c r="E62" s="0" t="n">
        <v>250</v>
      </c>
      <c r="F62" s="0" t="n">
        <f aca="false">C62/D62*E62</f>
        <v>2.50836120401338</v>
      </c>
      <c r="G62" s="0" t="n">
        <f aca="false">1.5+F62</f>
        <v>4.00836120401338</v>
      </c>
      <c r="H62" s="0" t="n">
        <f aca="false">(G62-1.5)/1.5*100</f>
        <v>167.224080267559</v>
      </c>
    </row>
    <row r="63" customFormat="false" ht="13" hidden="false" customHeight="false" outlineLevel="0" collapsed="false">
      <c r="C63" s="0" t="n">
        <v>3</v>
      </c>
      <c r="D63" s="0" t="n">
        <v>299</v>
      </c>
      <c r="E63" s="0" t="n">
        <v>274</v>
      </c>
      <c r="F63" s="0" t="n">
        <f aca="false">C63/D63*E63</f>
        <v>2.74916387959866</v>
      </c>
      <c r="G63" s="0" t="n">
        <f aca="false">1.5+F63</f>
        <v>4.24916387959866</v>
      </c>
      <c r="H63" s="0" t="n">
        <f aca="false">(G63-1.5)/1.5*100</f>
        <v>183.277591973244</v>
      </c>
    </row>
    <row r="64" customFormat="false" ht="13" hidden="false" customHeight="false" outlineLevel="0" collapsed="false">
      <c r="C64" s="0" t="n">
        <v>3</v>
      </c>
      <c r="D64" s="0" t="n">
        <v>299</v>
      </c>
      <c r="E64" s="0" t="n">
        <v>275</v>
      </c>
      <c r="F64" s="0" t="n">
        <f aca="false">C64/D64*E64</f>
        <v>2.75919732441472</v>
      </c>
      <c r="G64" s="0" t="n">
        <f aca="false">1.5+F64</f>
        <v>4.25919732441472</v>
      </c>
      <c r="H64" s="0" t="n">
        <f aca="false">(G64-1.5)/1.5*100</f>
        <v>183.946488294314</v>
      </c>
    </row>
  </sheetData>
  <mergeCells count="3">
    <mergeCell ref="W5:AB5"/>
    <mergeCell ref="W7:AB7"/>
    <mergeCell ref="B15:V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2.8" zeroHeight="false" outlineLevelRow="0" outlineLevelCol="0"/>
  <cols>
    <col collapsed="false" customWidth="true" hidden="false" outlineLevel="0" max="1" min="1" style="0" width="4.07"/>
    <col collapsed="false" customWidth="true" hidden="false" outlineLevel="0" max="2" min="2" style="0" width="3.93"/>
    <col collapsed="false" customWidth="true" hidden="false" outlineLevel="0" max="3" min="3" style="0" width="5.88"/>
    <col collapsed="false" customWidth="true" hidden="false" outlineLevel="0" max="4" min="4" style="0" width="9.35"/>
    <col collapsed="false" customWidth="true" hidden="false" outlineLevel="0" max="5" min="5" style="0" width="2.54"/>
    <col collapsed="false" customWidth="true" hidden="false" outlineLevel="0" max="6" min="6" style="0" width="2.82"/>
    <col collapsed="false" customWidth="false" hidden="false" outlineLevel="0" max="7" min="7" style="0" width="11.52"/>
    <col collapsed="false" customWidth="true" hidden="false" outlineLevel="0" max="8" min="8" style="0" width="13.65"/>
    <col collapsed="false" customWidth="true" hidden="false" outlineLevel="0" max="9" min="9" style="0" width="5.73"/>
    <col collapsed="false" customWidth="true" hidden="false" outlineLevel="0" max="10" min="10" style="0" width="10.05"/>
    <col collapsed="false" customWidth="true" hidden="false" outlineLevel="0" max="11" min="11" style="0" width="13.24"/>
    <col collapsed="false" customWidth="true" hidden="false" outlineLevel="0" max="12" min="12" style="0" width="15.18"/>
    <col collapsed="false" customWidth="true" hidden="false" outlineLevel="0" max="14" min="13" style="0" width="6.01"/>
    <col collapsed="false" customWidth="true" hidden="false" outlineLevel="0" max="15" min="15" style="0" width="9.07"/>
    <col collapsed="false" customWidth="false" hidden="false" outlineLevel="0" max="16" min="16" style="0" width="11.52"/>
    <col collapsed="false" customWidth="true" hidden="false" outlineLevel="0" max="17" min="17" style="0" width="6.29"/>
    <col collapsed="false" customWidth="true" hidden="false" outlineLevel="0" max="19" min="18" style="0" width="6.01"/>
    <col collapsed="false" customWidth="true" hidden="false" outlineLevel="0" max="20" min="20" style="0" width="4.63"/>
    <col collapsed="false" customWidth="false" hidden="false" outlineLevel="0" max="21" min="21" style="0" width="11.52"/>
    <col collapsed="false" customWidth="true" hidden="false" outlineLevel="0" max="22" min="22" style="0" width="8.79"/>
    <col collapsed="false" customWidth="true" hidden="false" outlineLevel="0" max="23" min="23" style="0" width="21.81"/>
    <col collapsed="false" customWidth="false" hidden="false" outlineLevel="0" max="25" min="24" style="0" width="11.52"/>
    <col collapsed="false" customWidth="true" hidden="false" outlineLevel="0" max="26" min="26" style="0" width="4.07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25</v>
      </c>
      <c r="E1" s="10" t="s">
        <v>23</v>
      </c>
      <c r="F1" s="10" t="s">
        <v>36</v>
      </c>
      <c r="G1" s="10" t="s">
        <v>9</v>
      </c>
      <c r="H1" s="0" t="s">
        <v>10</v>
      </c>
      <c r="I1" s="10" t="s">
        <v>0</v>
      </c>
      <c r="J1" s="0" t="s">
        <v>11</v>
      </c>
      <c r="K1" s="0" t="s">
        <v>12</v>
      </c>
      <c r="L1" s="0" t="s">
        <v>13</v>
      </c>
      <c r="M1" s="10" t="s">
        <v>19</v>
      </c>
      <c r="N1" s="0" t="s">
        <v>20</v>
      </c>
      <c r="O1" s="0" t="s">
        <v>37</v>
      </c>
      <c r="P1" s="0" t="s">
        <v>41</v>
      </c>
      <c r="Q1" s="0" t="s">
        <v>1</v>
      </c>
      <c r="R1" s="0" t="s">
        <v>42</v>
      </c>
      <c r="S1" s="0" t="s">
        <v>43</v>
      </c>
      <c r="T1" s="0" t="s">
        <v>44</v>
      </c>
      <c r="U1" s="0" t="s">
        <v>49</v>
      </c>
      <c r="V1" s="0" t="s">
        <v>143</v>
      </c>
      <c r="W1" s="0" t="s">
        <v>144</v>
      </c>
    </row>
    <row r="2" customFormat="false" ht="12.8" hidden="false" customHeight="false" outlineLevel="0" collapsed="false">
      <c r="E2" s="10"/>
      <c r="F2" s="10"/>
      <c r="G2" s="10"/>
      <c r="I2" s="10"/>
      <c r="M2" s="10"/>
    </row>
    <row r="3" customFormat="false" ht="12.8" hidden="false" customHeight="false" outlineLevel="0" collapsed="false">
      <c r="E3" s="10"/>
      <c r="F3" s="10"/>
      <c r="G3" s="10"/>
      <c r="I3" s="10"/>
      <c r="M3" s="10"/>
    </row>
    <row r="4" s="3" customFormat="true" ht="12.8" hidden="false" customHeight="false" outlineLevel="0" collapsed="false">
      <c r="A4" s="23" t="n">
        <v>1</v>
      </c>
      <c r="B4" s="23" t="n">
        <v>1</v>
      </c>
      <c r="C4" s="23" t="n">
        <f aca="false">B4*(1+(3/2)*M4/N4)</f>
        <v>1.3</v>
      </c>
      <c r="D4" s="24" t="n">
        <v>1000</v>
      </c>
      <c r="E4" s="23" t="n">
        <v>6</v>
      </c>
      <c r="F4" s="23" t="n">
        <v>1</v>
      </c>
      <c r="G4" s="23" t="n">
        <v>0.4659</v>
      </c>
      <c r="H4" s="23" t="n">
        <v>0.5454</v>
      </c>
      <c r="I4" s="23" t="n">
        <v>0.55</v>
      </c>
      <c r="J4" s="24"/>
      <c r="K4" s="24" t="n">
        <f aca="false">ABS(G4-J4)/G4*100</f>
        <v>100</v>
      </c>
      <c r="L4" s="24" t="n">
        <f aca="false">ABS(H4-J4)/H4*100</f>
        <v>100</v>
      </c>
      <c r="M4" s="23" t="n">
        <v>0.005</v>
      </c>
      <c r="N4" s="23" t="n">
        <f aca="false">5*M4</f>
        <v>0.025</v>
      </c>
      <c r="O4" s="23" t="n">
        <f aca="false">20*M4</f>
        <v>0.1</v>
      </c>
      <c r="P4" s="25" t="s">
        <v>52</v>
      </c>
      <c r="Q4" s="23" t="n">
        <v>200</v>
      </c>
      <c r="R4" s="23" t="n">
        <f aca="false">M4</f>
        <v>0.005</v>
      </c>
      <c r="S4" s="23" t="n">
        <f aca="false">N4</f>
        <v>0.025</v>
      </c>
      <c r="T4" s="23" t="s">
        <v>62</v>
      </c>
      <c r="U4" s="23"/>
      <c r="V4" s="25" t="s">
        <v>70</v>
      </c>
      <c r="W4" s="25" t="s">
        <v>145</v>
      </c>
      <c r="X4" s="0"/>
      <c r="Y4" s="0"/>
      <c r="Z4" s="0"/>
      <c r="AA4" s="0"/>
      <c r="AME4" s="0"/>
      <c r="AMF4" s="0"/>
      <c r="AMG4" s="0"/>
      <c r="AMH4" s="0"/>
      <c r="AMI4" s="0"/>
      <c r="AMJ4" s="0"/>
    </row>
    <row r="5" s="3" customFormat="true" ht="12.8" hidden="false" customHeight="false" outlineLevel="0" collapsed="false">
      <c r="A5" s="23" t="n">
        <v>1</v>
      </c>
      <c r="B5" s="23" t="n">
        <v>1</v>
      </c>
      <c r="C5" s="23" t="n">
        <f aca="false">B5*(1+(3/2)*M5/N5)</f>
        <v>1.3</v>
      </c>
      <c r="D5" s="24" t="n">
        <v>1000</v>
      </c>
      <c r="E5" s="23" t="n">
        <v>6</v>
      </c>
      <c r="F5" s="23" t="n">
        <v>1</v>
      </c>
      <c r="G5" s="23" t="n">
        <v>0.4659</v>
      </c>
      <c r="H5" s="23" t="n">
        <v>0.5454</v>
      </c>
      <c r="I5" s="23" t="n">
        <v>0.55</v>
      </c>
      <c r="J5" s="24" t="n">
        <v>0.519597989949749</v>
      </c>
      <c r="K5" s="24" t="n">
        <f aca="false">ABS(G5-J5)/G5*100</f>
        <v>11.5256471237924</v>
      </c>
      <c r="L5" s="24" t="n">
        <f aca="false">ABS(H5-J5)/H5*100</f>
        <v>4.73084159337205</v>
      </c>
      <c r="M5" s="23" t="n">
        <v>0.005</v>
      </c>
      <c r="N5" s="23" t="n">
        <f aca="false">5*M5</f>
        <v>0.025</v>
      </c>
      <c r="O5" s="23" t="n">
        <f aca="false">20*M5</f>
        <v>0.1</v>
      </c>
      <c r="P5" s="25" t="s">
        <v>52</v>
      </c>
      <c r="Q5" s="23" t="n">
        <v>200</v>
      </c>
      <c r="R5" s="23" t="n">
        <f aca="false">M5</f>
        <v>0.005</v>
      </c>
      <c r="S5" s="23" t="n">
        <v>0.2</v>
      </c>
      <c r="T5" s="23" t="n">
        <v>0.08</v>
      </c>
      <c r="U5" s="25"/>
      <c r="V5" s="25" t="s">
        <v>146</v>
      </c>
      <c r="W5" s="25" t="s">
        <v>145</v>
      </c>
      <c r="AME5" s="0"/>
      <c r="AMF5" s="0"/>
      <c r="AMG5" s="0"/>
      <c r="AMH5" s="0"/>
      <c r="AMI5" s="0"/>
      <c r="AMJ5" s="0"/>
    </row>
    <row r="6" s="3" customFormat="true" ht="12.8" hidden="false" customHeight="false" outlineLevel="0" collapsed="false">
      <c r="A6" s="23" t="n">
        <v>1</v>
      </c>
      <c r="B6" s="23" t="n">
        <v>1</v>
      </c>
      <c r="C6" s="23" t="n">
        <f aca="false">B6*(1+(3/2)*M6/N6)</f>
        <v>1.3</v>
      </c>
      <c r="D6" s="24" t="n">
        <v>1000</v>
      </c>
      <c r="E6" s="23" t="n">
        <v>6</v>
      </c>
      <c r="F6" s="23" t="n">
        <v>1</v>
      </c>
      <c r="G6" s="23" t="n">
        <v>0.4659</v>
      </c>
      <c r="H6" s="23" t="n">
        <v>0.5454</v>
      </c>
      <c r="I6" s="23" t="n">
        <v>0.55</v>
      </c>
      <c r="J6" s="24"/>
      <c r="K6" s="24" t="n">
        <f aca="false">ABS(G6-J6)/G6*100</f>
        <v>100</v>
      </c>
      <c r="L6" s="24" t="n">
        <f aca="false">ABS(H6-J6)/H6*100</f>
        <v>100</v>
      </c>
      <c r="M6" s="23" t="n">
        <v>0.005</v>
      </c>
      <c r="N6" s="23" t="n">
        <f aca="false">5*M6</f>
        <v>0.025</v>
      </c>
      <c r="O6" s="23" t="n">
        <f aca="false">20*M6</f>
        <v>0.1</v>
      </c>
      <c r="P6" s="25" t="s">
        <v>52</v>
      </c>
      <c r="Q6" s="23" t="n">
        <v>200</v>
      </c>
      <c r="R6" s="23" t="n">
        <f aca="false">M6</f>
        <v>0.005</v>
      </c>
      <c r="S6" s="23" t="n">
        <v>0.2</v>
      </c>
      <c r="T6" s="23" t="n">
        <v>0.04</v>
      </c>
      <c r="U6" s="25"/>
      <c r="V6" s="25" t="s">
        <v>146</v>
      </c>
      <c r="W6" s="25" t="s">
        <v>147</v>
      </c>
      <c r="AME6" s="0"/>
      <c r="AMF6" s="0"/>
      <c r="AMG6" s="0"/>
      <c r="AMH6" s="0"/>
      <c r="AMI6" s="0"/>
      <c r="AMJ6" s="0"/>
    </row>
    <row r="7" s="3" customFormat="true" ht="12.8" hidden="false" customHeight="false" outlineLevel="0" collapsed="false">
      <c r="D7" s="5"/>
      <c r="J7" s="5"/>
      <c r="V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D8" s="5"/>
      <c r="J8" s="5"/>
      <c r="V8" s="0"/>
      <c r="AME8" s="0"/>
      <c r="AMF8" s="0"/>
      <c r="AMG8" s="0"/>
      <c r="AMH8" s="0"/>
      <c r="AMI8" s="0"/>
      <c r="AMJ8" s="0"/>
    </row>
    <row r="9" s="3" customFormat="true" ht="12.8" hidden="false" customHeight="false" outlineLevel="0" collapsed="false">
      <c r="A9" s="0" t="s">
        <v>6</v>
      </c>
      <c r="B9" s="0" t="s">
        <v>7</v>
      </c>
      <c r="C9" s="0"/>
      <c r="D9" s="0" t="s">
        <v>25</v>
      </c>
      <c r="E9" s="0" t="s">
        <v>107</v>
      </c>
      <c r="F9" s="0" t="s">
        <v>36</v>
      </c>
      <c r="G9" s="0" t="s">
        <v>148</v>
      </c>
      <c r="H9" s="0" t="s">
        <v>149</v>
      </c>
      <c r="I9" s="0" t="s">
        <v>0</v>
      </c>
      <c r="J9" s="0" t="s">
        <v>11</v>
      </c>
      <c r="K9" s="0"/>
      <c r="L9" s="0"/>
      <c r="M9" s="0"/>
      <c r="N9" s="0"/>
      <c r="O9" s="0"/>
      <c r="P9" s="0"/>
      <c r="Q9" s="0" t="s">
        <v>1</v>
      </c>
      <c r="R9" s="0" t="s">
        <v>106</v>
      </c>
      <c r="S9" s="0" t="s">
        <v>24</v>
      </c>
      <c r="T9" s="0"/>
      <c r="U9" s="0" t="s">
        <v>150</v>
      </c>
      <c r="V9" s="0"/>
      <c r="X9" s="0" t="s">
        <v>104</v>
      </c>
      <c r="Y9" s="0" t="s">
        <v>105</v>
      </c>
      <c r="Z9" s="0" t="s">
        <v>109</v>
      </c>
      <c r="AA9" s="0" t="s">
        <v>110</v>
      </c>
      <c r="AB9" s="0" t="s">
        <v>111</v>
      </c>
      <c r="AME9" s="0"/>
      <c r="AMF9" s="0"/>
      <c r="AMG9" s="0"/>
      <c r="AMH9" s="0"/>
      <c r="AMI9" s="0"/>
      <c r="AMJ9" s="0"/>
    </row>
    <row r="10" s="3" customFormat="true" ht="12.8" hidden="false" customHeight="false" outlineLevel="0" collapsed="false">
      <c r="A10" s="0" t="n">
        <v>0.2</v>
      </c>
      <c r="B10" s="0" t="n">
        <v>1</v>
      </c>
      <c r="C10" s="0"/>
      <c r="D10" s="0" t="n">
        <v>200</v>
      </c>
      <c r="E10" s="0" t="n">
        <v>0.5</v>
      </c>
      <c r="F10" s="0" t="n">
        <v>0.75</v>
      </c>
      <c r="G10" s="0" t="n">
        <f aca="false">-R10</f>
        <v>-0.01</v>
      </c>
      <c r="H10" s="0" t="n">
        <f aca="false">-G10*2</f>
        <v>0.02</v>
      </c>
      <c r="I10" s="0" t="n">
        <v>4</v>
      </c>
      <c r="J10" s="5" t="n">
        <v>2.97487</v>
      </c>
      <c r="K10" s="0"/>
      <c r="L10" s="0"/>
      <c r="M10" s="0"/>
      <c r="N10" s="0"/>
      <c r="O10" s="0"/>
      <c r="P10" s="0"/>
      <c r="Q10" s="0" t="n">
        <v>200</v>
      </c>
      <c r="R10" s="0" t="n">
        <v>0.01</v>
      </c>
      <c r="S10" s="0" t="n">
        <v>0.04</v>
      </c>
      <c r="T10" s="0"/>
      <c r="U10" s="0" t="n">
        <v>148</v>
      </c>
      <c r="V10" s="0"/>
      <c r="W10" s="3" t="s">
        <v>145</v>
      </c>
      <c r="X10" s="0" t="n">
        <f aca="false">(3*D11-2*A11)/(2*(A11+3*D11))</f>
        <v>0.49950016661113</v>
      </c>
      <c r="Y10" s="0" t="n">
        <f aca="false">2*A11*(1+X10)</f>
        <v>0.599800066644452</v>
      </c>
      <c r="Z10" s="0" t="n">
        <f aca="false">10 *R11</f>
        <v>0.1</v>
      </c>
      <c r="AA10" s="0" t="n">
        <f aca="false">2*R11</f>
        <v>0.02</v>
      </c>
      <c r="AB10" s="0" t="n">
        <f aca="false">AA10</f>
        <v>0.02</v>
      </c>
      <c r="AME10" s="0"/>
      <c r="AMF10" s="0"/>
      <c r="AMG10" s="0"/>
      <c r="AMH10" s="0"/>
      <c r="AMI10" s="0"/>
      <c r="AMJ10" s="0"/>
    </row>
    <row r="11" s="3" customFormat="true" ht="12.8" hidden="false" customHeight="false" outlineLevel="0" collapsed="false">
      <c r="A11" s="0" t="n">
        <v>0.2</v>
      </c>
      <c r="B11" s="0" t="n">
        <v>1</v>
      </c>
      <c r="C11" s="0"/>
      <c r="D11" s="0" t="n">
        <v>200</v>
      </c>
      <c r="E11" s="0" t="n">
        <v>0.5</v>
      </c>
      <c r="F11" s="0" t="n">
        <v>0.75</v>
      </c>
      <c r="G11" s="0" t="n">
        <f aca="false">-R11</f>
        <v>-0.01</v>
      </c>
      <c r="H11" s="0" t="n">
        <f aca="false">-G11*2</f>
        <v>0.02</v>
      </c>
      <c r="I11" s="0" t="n">
        <v>4</v>
      </c>
      <c r="J11" s="0"/>
      <c r="K11" s="0"/>
      <c r="L11" s="0"/>
      <c r="M11" s="0"/>
      <c r="N11" s="0"/>
      <c r="O11" s="0"/>
      <c r="P11" s="0"/>
      <c r="Q11" s="0" t="n">
        <v>200</v>
      </c>
      <c r="R11" s="0" t="n">
        <v>0.01</v>
      </c>
      <c r="S11" s="0" t="n">
        <v>0.04</v>
      </c>
      <c r="T11" s="0"/>
      <c r="U11" s="0" t="n">
        <v>152</v>
      </c>
      <c r="V11" s="0" t="s">
        <v>70</v>
      </c>
      <c r="W11" s="3" t="s">
        <v>151</v>
      </c>
      <c r="AME11" s="0"/>
      <c r="AMF11" s="0"/>
      <c r="AMG11" s="0"/>
      <c r="AMH11" s="0"/>
      <c r="AMI11" s="0"/>
      <c r="AMJ11" s="0"/>
    </row>
    <row r="12" s="3" customFormat="true" ht="12.8" hidden="false" customHeight="false" outlineLevel="0" collapsed="false">
      <c r="D12" s="5"/>
      <c r="I12" s="3" t="n">
        <v>4</v>
      </c>
      <c r="J12" s="0" t="n">
        <v>3.03759</v>
      </c>
      <c r="K12" s="5"/>
      <c r="Q12" s="3" t="n">
        <v>400</v>
      </c>
      <c r="R12" s="0" t="n">
        <v>0.01</v>
      </c>
      <c r="S12" s="3" t="n">
        <v>0.04</v>
      </c>
      <c r="U12" s="3" t="n">
        <v>200</v>
      </c>
      <c r="V12" s="0"/>
      <c r="W12" s="0"/>
      <c r="AME12" s="0"/>
      <c r="AMF12" s="0"/>
      <c r="AMG12" s="0"/>
      <c r="AMH12" s="0"/>
      <c r="AMI12" s="0"/>
      <c r="AMJ12" s="0"/>
    </row>
    <row r="13" s="3" customFormat="true" ht="12.8" hidden="false" customHeight="false" outlineLevel="0" collapsed="false">
      <c r="A13" s="25" t="n">
        <v>0.2</v>
      </c>
      <c r="B13" s="25" t="n">
        <v>1</v>
      </c>
      <c r="C13" s="25"/>
      <c r="D13" s="25" t="n">
        <v>200</v>
      </c>
      <c r="E13" s="25" t="n">
        <v>0.5</v>
      </c>
      <c r="F13" s="25" t="n">
        <v>0.75</v>
      </c>
      <c r="G13" s="25" t="n">
        <f aca="false">-R13</f>
        <v>-0.01</v>
      </c>
      <c r="H13" s="25" t="n">
        <f aca="false">-G13*2</f>
        <v>0.02</v>
      </c>
      <c r="I13" s="25" t="n">
        <v>3.5</v>
      </c>
      <c r="J13" s="25"/>
      <c r="K13" s="25"/>
      <c r="L13" s="25"/>
      <c r="M13" s="25"/>
      <c r="N13" s="25"/>
      <c r="O13" s="25"/>
      <c r="P13" s="25"/>
      <c r="Q13" s="25" t="n">
        <v>400</v>
      </c>
      <c r="R13" s="25" t="n">
        <v>0.01</v>
      </c>
      <c r="S13" s="25" t="n">
        <v>0.04</v>
      </c>
      <c r="T13" s="25"/>
      <c r="U13" s="25"/>
      <c r="V13" s="25"/>
      <c r="W13" s="25"/>
      <c r="AME13" s="0"/>
      <c r="AMF13" s="0"/>
      <c r="AMG13" s="0"/>
      <c r="AMH13" s="0"/>
      <c r="AMI13" s="0"/>
      <c r="AMJ13" s="0"/>
    </row>
    <row r="16" customFormat="false" ht="12.8" hidden="false" customHeight="false" outlineLevel="0" collapsed="false">
      <c r="A16" s="0" t="s">
        <v>6</v>
      </c>
      <c r="B16" s="0" t="s">
        <v>7</v>
      </c>
      <c r="C16" s="0" t="s">
        <v>35</v>
      </c>
      <c r="D16" s="0" t="s">
        <v>25</v>
      </c>
      <c r="E16" s="10" t="s">
        <v>23</v>
      </c>
      <c r="F16" s="10" t="s">
        <v>36</v>
      </c>
      <c r="G16" s="10" t="s">
        <v>9</v>
      </c>
      <c r="H16" s="0" t="s">
        <v>10</v>
      </c>
      <c r="I16" s="10" t="s">
        <v>0</v>
      </c>
      <c r="J16" s="0" t="s">
        <v>11</v>
      </c>
      <c r="K16" s="0" t="s">
        <v>12</v>
      </c>
      <c r="L16" s="0" t="s">
        <v>13</v>
      </c>
      <c r="M16" s="10" t="s">
        <v>19</v>
      </c>
      <c r="N16" s="0" t="s">
        <v>20</v>
      </c>
      <c r="O16" s="0" t="s">
        <v>37</v>
      </c>
      <c r="P16" s="0" t="s">
        <v>41</v>
      </c>
      <c r="Q16" s="0" t="s">
        <v>1</v>
      </c>
      <c r="R16" s="0" t="s">
        <v>42</v>
      </c>
      <c r="S16" s="0" t="s">
        <v>43</v>
      </c>
      <c r="T16" s="0" t="s">
        <v>44</v>
      </c>
      <c r="U16" s="0" t="s">
        <v>49</v>
      </c>
      <c r="V16" s="0" t="s">
        <v>143</v>
      </c>
      <c r="W16" s="0" t="s">
        <v>144</v>
      </c>
    </row>
    <row r="17" s="10" customFormat="true" ht="12.8" hidden="false" customHeight="false" outlineLevel="0" collapsed="false">
      <c r="A17" s="0" t="n">
        <v>1</v>
      </c>
      <c r="B17" s="0" t="n">
        <v>1</v>
      </c>
      <c r="C17" s="0" t="n">
        <f aca="false">B17*(1+(3/2)*M17/N17)</f>
        <v>1.3</v>
      </c>
      <c r="D17" s="6" t="n">
        <v>100001</v>
      </c>
      <c r="E17" s="0" t="n">
        <v>6</v>
      </c>
      <c r="F17" s="0" t="n">
        <v>0.5</v>
      </c>
      <c r="G17" s="0" t="n">
        <v>0.4659</v>
      </c>
      <c r="H17" s="0" t="n">
        <v>0.5454</v>
      </c>
      <c r="I17" s="0" t="n">
        <v>0.53</v>
      </c>
      <c r="J17" s="6" t="n">
        <v>0.520987332893662</v>
      </c>
      <c r="K17" s="6" t="n">
        <f aca="false">ABS(G17-J17)/G17*100</f>
        <v>11.8238533791934</v>
      </c>
      <c r="L17" s="14" t="n">
        <f aca="false">ABS(H17-J17)/H17*100</f>
        <v>4.4761032464866</v>
      </c>
      <c r="M17" s="0" t="n">
        <v>0.005</v>
      </c>
      <c r="N17" s="0" t="n">
        <f aca="false">5*M17</f>
        <v>0.025</v>
      </c>
      <c r="O17" s="13" t="n">
        <f aca="false">20*M17</f>
        <v>0.1</v>
      </c>
      <c r="P17" s="10" t="s">
        <v>57</v>
      </c>
      <c r="Q17" s="0" t="n">
        <v>250</v>
      </c>
      <c r="R17" s="0" t="n">
        <f aca="false">F15</f>
        <v>0</v>
      </c>
      <c r="S17" s="0" t="n">
        <f aca="false">G15</f>
        <v>0</v>
      </c>
      <c r="T17" s="0" t="n">
        <v>0.08</v>
      </c>
      <c r="U17" s="18"/>
      <c r="V17" s="10" t="s">
        <v>146</v>
      </c>
      <c r="W17" s="3" t="s">
        <v>145</v>
      </c>
    </row>
    <row r="18" s="3" customFormat="true" ht="12.8" hidden="false" customHeight="false" outlineLevel="0" collapsed="false">
      <c r="A18" s="3" t="n">
        <v>1</v>
      </c>
      <c r="B18" s="3" t="n">
        <v>1</v>
      </c>
      <c r="C18" s="3" t="n">
        <f aca="false">B18*(1+(3/2)*M18/N18)</f>
        <v>1.3</v>
      </c>
      <c r="D18" s="5" t="n">
        <v>100001</v>
      </c>
      <c r="E18" s="3" t="n">
        <v>6</v>
      </c>
      <c r="F18" s="3" t="n">
        <v>0.5</v>
      </c>
      <c r="G18" s="3" t="n">
        <v>0.4659</v>
      </c>
      <c r="H18" s="3" t="n">
        <v>0.5454</v>
      </c>
      <c r="I18" s="3" t="n">
        <v>0.53</v>
      </c>
      <c r="J18" s="5" t="n">
        <v>0.519920705566292</v>
      </c>
      <c r="K18" s="5" t="n">
        <f aca="false">ABS(G18-J18)/G18*100</f>
        <v>11.5949142662142</v>
      </c>
      <c r="L18" s="20" t="n">
        <f aca="false">ABS(H18-J18)/H18*100</f>
        <v>4.6716711466278</v>
      </c>
      <c r="M18" s="3" t="n">
        <v>0.005</v>
      </c>
      <c r="N18" s="3" t="n">
        <f aca="false">5*M18</f>
        <v>0.025</v>
      </c>
      <c r="O18" s="3" t="n">
        <f aca="false">20*M18</f>
        <v>0.1</v>
      </c>
      <c r="Q18" s="3" t="n">
        <v>325</v>
      </c>
      <c r="R18" s="3" t="n">
        <f aca="false">M18</f>
        <v>0.005</v>
      </c>
      <c r="S18" s="3" t="n">
        <v>0.1</v>
      </c>
      <c r="T18" s="3" t="s">
        <v>62</v>
      </c>
      <c r="V18" s="3" t="s">
        <v>70</v>
      </c>
      <c r="W18" s="3" t="s">
        <v>145</v>
      </c>
    </row>
    <row r="19" s="3" customFormat="true" ht="12.8" hidden="false" customHeight="false" outlineLevel="0" collapsed="false">
      <c r="D19" s="5"/>
      <c r="J19" s="5"/>
      <c r="K19" s="5"/>
      <c r="L19" s="5"/>
    </row>
    <row r="20" s="3" customFormat="true" ht="12.8" hidden="false" customHeight="false" outlineLevel="0" collapsed="false">
      <c r="A20" s="3" t="n">
        <v>1</v>
      </c>
      <c r="B20" s="3" t="n">
        <v>1</v>
      </c>
      <c r="C20" s="3" t="n">
        <f aca="false">B20*(1+(3/2)*M20/N20)</f>
        <v>1.3</v>
      </c>
      <c r="D20" s="5" t="n">
        <v>100001</v>
      </c>
      <c r="E20" s="3" t="n">
        <v>6</v>
      </c>
      <c r="F20" s="3" t="n">
        <v>0.5</v>
      </c>
      <c r="G20" s="3" t="n">
        <v>0.4659</v>
      </c>
      <c r="H20" s="3" t="n">
        <v>0.5454</v>
      </c>
      <c r="I20" s="3" t="n">
        <v>0.53</v>
      </c>
      <c r="J20" s="5" t="n">
        <v>0.5239532961675</v>
      </c>
      <c r="K20" s="3" t="n">
        <f aca="false">ABS(G20-J20)/G20*100</f>
        <v>12.4604627962009</v>
      </c>
      <c r="L20" s="3" t="n">
        <f aca="false">ABS(H20-J20)/H20*100</f>
        <v>3.93228893151814</v>
      </c>
      <c r="M20" s="3" t="n">
        <v>0.002</v>
      </c>
      <c r="N20" s="3" t="n">
        <f aca="false">5*M20</f>
        <v>0.01</v>
      </c>
      <c r="O20" s="3" t="n">
        <f aca="false">20*M20</f>
        <v>0.04</v>
      </c>
      <c r="P20" s="3" t="s">
        <v>57</v>
      </c>
      <c r="Q20" s="3" t="n">
        <v>300</v>
      </c>
      <c r="R20" s="3" t="n">
        <f aca="false">M20</f>
        <v>0.002</v>
      </c>
      <c r="S20" s="3" t="n">
        <v>0.16</v>
      </c>
      <c r="T20" s="3" t="s">
        <v>62</v>
      </c>
      <c r="V20" s="3" t="s">
        <v>70</v>
      </c>
      <c r="W20" s="3" t="s">
        <v>145</v>
      </c>
    </row>
    <row r="23" customFormat="false" ht="12.8" hidden="false" customHeight="false" outlineLevel="0" collapsed="false">
      <c r="P23" s="3"/>
      <c r="Q23" s="3"/>
      <c r="AB23" s="13"/>
      <c r="AC23" s="13"/>
      <c r="AD23" s="13"/>
    </row>
    <row r="24" s="13" customFormat="tru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3"/>
      <c r="Q24" s="3"/>
      <c r="R24" s="6"/>
      <c r="S24" s="6"/>
      <c r="T24" s="6"/>
      <c r="U24" s="0"/>
      <c r="V24" s="0"/>
      <c r="W24" s="1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</row>
    <row r="25" s="13" customFormat="tru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3"/>
      <c r="Q25" s="3"/>
      <c r="R25" s="6"/>
      <c r="S25" s="6"/>
      <c r="T25" s="6"/>
      <c r="U25" s="0"/>
      <c r="V25" s="0"/>
      <c r="W25" s="1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2021-05-17T13:09:58Z</dcterms:created>
  <dc:creator/>
  <dc:description/>
  <dc:language>en-US</dc:language>
  <cp:lastModifiedBy/>
  <dcterms:modified xsi:type="dcterms:W3CDTF">2021-09-21T07:06:54Z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