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aang/Documents/GitHub/FEniCS/Phase_Field_Fracture/Figures/"/>
    </mc:Choice>
  </mc:AlternateContent>
  <xr:revisionPtr revIDLastSave="0" documentId="13_ncr:1_{3E39DA63-0AB7-BF47-BC01-DA7F7C2CC6DB}" xr6:coauthVersionLast="47" xr6:coauthVersionMax="47" xr10:uidLastSave="{00000000-0000-0000-0000-000000000000}"/>
  <bookViews>
    <workbookView xWindow="4220" yWindow="600" windowWidth="18760" windowHeight="15140" tabRatio="500" activeTab="3" xr2:uid="{00000000-000D-0000-FFFF-FFFF00000000}"/>
  </bookViews>
  <sheets>
    <sheet name="ExpLoad" sheetId="1" r:id="rId1"/>
    <sheet name="Task2_Prelim" sheetId="2" r:id="rId2"/>
    <sheet name="Task2" sheetId="3" r:id="rId3"/>
    <sheet name="Summary" sheetId="6" r:id="rId4"/>
    <sheet name="Task3" sheetId="4" r:id="rId5"/>
    <sheet name="Task4-3D" sheetId="5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11" i="3" l="1"/>
  <c r="N11" i="3"/>
  <c r="C11" i="3"/>
  <c r="O11" i="3"/>
  <c r="T11" i="3"/>
  <c r="W11" i="3" s="1"/>
  <c r="X11" i="3"/>
  <c r="D11" i="3"/>
  <c r="G59" i="5"/>
  <c r="F59" i="5"/>
  <c r="O59" i="5"/>
  <c r="P59" i="5" s="1"/>
  <c r="O43" i="5"/>
  <c r="M43" i="5"/>
  <c r="N43" i="5" s="1"/>
  <c r="L43" i="5"/>
  <c r="P43" i="5" s="1"/>
  <c r="J43" i="5"/>
  <c r="K43" i="5" s="1"/>
  <c r="D43" i="5"/>
  <c r="E43" i="5" s="1"/>
  <c r="O17" i="3"/>
  <c r="L17" i="3"/>
  <c r="H32" i="3" s="1"/>
  <c r="K17" i="3"/>
  <c r="K10" i="3"/>
  <c r="N17" i="3"/>
  <c r="C17" i="3" s="1"/>
  <c r="T17" i="3"/>
  <c r="M6" i="4" l="1"/>
  <c r="L6" i="4"/>
  <c r="F23" i="4"/>
  <c r="F24" i="4"/>
  <c r="F25" i="4"/>
  <c r="F26" i="4"/>
  <c r="F22" i="4"/>
  <c r="E23" i="4"/>
  <c r="E24" i="4"/>
  <c r="E25" i="4"/>
  <c r="E26" i="4"/>
  <c r="E22" i="4"/>
  <c r="D22" i="4"/>
  <c r="H59" i="5"/>
  <c r="F60" i="5"/>
  <c r="G60" i="5" s="1"/>
  <c r="H60" i="5" s="1"/>
  <c r="F61" i="5"/>
  <c r="G61" i="5" s="1"/>
  <c r="H61" i="5" s="1"/>
  <c r="F62" i="5"/>
  <c r="G62" i="5" s="1"/>
  <c r="H62" i="5" s="1"/>
  <c r="F63" i="5"/>
  <c r="G63" i="5" s="1"/>
  <c r="H63" i="5" s="1"/>
  <c r="F64" i="5"/>
  <c r="G64" i="5" s="1"/>
  <c r="H64" i="5" s="1"/>
  <c r="O54" i="5"/>
  <c r="M54" i="5"/>
  <c r="N54" i="5" s="1"/>
  <c r="L54" i="5"/>
  <c r="P54" i="5" s="1"/>
  <c r="J54" i="5"/>
  <c r="K54" i="5" s="1"/>
  <c r="D54" i="5"/>
  <c r="E54" i="5" s="1"/>
  <c r="L50" i="5"/>
  <c r="O50" i="5"/>
  <c r="M50" i="5"/>
  <c r="N50" i="5" s="1"/>
  <c r="P50" i="5"/>
  <c r="J50" i="5"/>
  <c r="K50" i="5" s="1"/>
  <c r="D50" i="5"/>
  <c r="E50" i="5" s="1"/>
  <c r="L48" i="5"/>
  <c r="O48" i="5"/>
  <c r="M48" i="5"/>
  <c r="N48" i="5" s="1"/>
  <c r="P48" i="5"/>
  <c r="J48" i="5"/>
  <c r="K48" i="5" s="1"/>
  <c r="D48" i="5"/>
  <c r="E48" i="5" s="1"/>
  <c r="O44" i="5"/>
  <c r="M44" i="5"/>
  <c r="N44" i="5" s="1"/>
  <c r="L44" i="5"/>
  <c r="P44" i="5" s="1"/>
  <c r="J44" i="5"/>
  <c r="K44" i="5" s="1"/>
  <c r="D44" i="5"/>
  <c r="E44" i="5" s="1"/>
  <c r="O41" i="5"/>
  <c r="N41" i="5"/>
  <c r="M41" i="5"/>
  <c r="L41" i="5"/>
  <c r="P41" i="5" s="1"/>
  <c r="J41" i="5"/>
  <c r="K41" i="5" s="1"/>
  <c r="D41" i="5"/>
  <c r="E41" i="5" s="1"/>
  <c r="O40" i="5"/>
  <c r="M40" i="5"/>
  <c r="N40" i="5" s="1"/>
  <c r="L40" i="5"/>
  <c r="P40" i="5" s="1"/>
  <c r="J40" i="5"/>
  <c r="K40" i="5" s="1"/>
  <c r="D40" i="5"/>
  <c r="E40" i="5" s="1"/>
  <c r="O34" i="5"/>
  <c r="M34" i="5"/>
  <c r="N34" i="5" s="1"/>
  <c r="L34" i="5"/>
  <c r="P34" i="5" s="1"/>
  <c r="J34" i="5"/>
  <c r="K34" i="5" s="1"/>
  <c r="D34" i="5"/>
  <c r="E34" i="5" s="1"/>
  <c r="O24" i="5"/>
  <c r="M24" i="5"/>
  <c r="N24" i="5" s="1"/>
  <c r="L24" i="5"/>
  <c r="P24" i="5" s="1"/>
  <c r="K24" i="5"/>
  <c r="J24" i="5"/>
  <c r="D24" i="5"/>
  <c r="E24" i="5" s="1"/>
  <c r="O21" i="5"/>
  <c r="M21" i="5"/>
  <c r="N21" i="5" s="1"/>
  <c r="L21" i="5"/>
  <c r="P21" i="5" s="1"/>
  <c r="J21" i="5"/>
  <c r="K21" i="5" s="1"/>
  <c r="D21" i="5"/>
  <c r="E21" i="5" s="1"/>
  <c r="O20" i="5"/>
  <c r="M20" i="5"/>
  <c r="N20" i="5" s="1"/>
  <c r="L20" i="5"/>
  <c r="P20" i="5" s="1"/>
  <c r="J20" i="5"/>
  <c r="K20" i="5" s="1"/>
  <c r="G20" i="5"/>
  <c r="D20" i="5"/>
  <c r="E20" i="5" s="1"/>
  <c r="O18" i="5"/>
  <c r="M18" i="5"/>
  <c r="N18" i="5" s="1"/>
  <c r="L18" i="5"/>
  <c r="P18" i="5" s="1"/>
  <c r="J18" i="5"/>
  <c r="K18" i="5" s="1"/>
  <c r="G18" i="5"/>
  <c r="D18" i="5"/>
  <c r="E18" i="5" s="1"/>
  <c r="O16" i="5"/>
  <c r="M16" i="5"/>
  <c r="N16" i="5" s="1"/>
  <c r="L16" i="5"/>
  <c r="P16" i="5" s="1"/>
  <c r="J16" i="5"/>
  <c r="K16" i="5" s="1"/>
  <c r="G16" i="5"/>
  <c r="D16" i="5"/>
  <c r="E16" i="5" s="1"/>
  <c r="O14" i="5"/>
  <c r="M14" i="5"/>
  <c r="N14" i="5" s="1"/>
  <c r="L14" i="5"/>
  <c r="P14" i="5" s="1"/>
  <c r="K14" i="5"/>
  <c r="J14" i="5"/>
  <c r="G14" i="5"/>
  <c r="E14" i="5"/>
  <c r="D14" i="5"/>
  <c r="O9" i="5"/>
  <c r="M9" i="5"/>
  <c r="N9" i="5" s="1"/>
  <c r="L9" i="5"/>
  <c r="P9" i="5" s="1"/>
  <c r="J9" i="5"/>
  <c r="K9" i="5" s="1"/>
  <c r="G9" i="5"/>
  <c r="O4" i="5"/>
  <c r="M4" i="5"/>
  <c r="N4" i="5" s="1"/>
  <c r="L4" i="5"/>
  <c r="P4" i="5" s="1"/>
  <c r="J4" i="5"/>
  <c r="K4" i="5" s="1"/>
  <c r="G4" i="5"/>
  <c r="O2" i="5"/>
  <c r="M2" i="5"/>
  <c r="N2" i="5" s="1"/>
  <c r="L2" i="5"/>
  <c r="P2" i="5" s="1"/>
  <c r="K2" i="5"/>
  <c r="J2" i="5"/>
  <c r="G2" i="5"/>
  <c r="P17" i="4"/>
  <c r="O17" i="4"/>
  <c r="L17" i="4"/>
  <c r="N17" i="4" s="1"/>
  <c r="P14" i="4"/>
  <c r="O14" i="4"/>
  <c r="L14" i="4"/>
  <c r="N14" i="4" s="1"/>
  <c r="P7" i="4"/>
  <c r="O7" i="4"/>
  <c r="L7" i="4"/>
  <c r="M7" i="4" s="1"/>
  <c r="P6" i="4"/>
  <c r="O6" i="4"/>
  <c r="P5" i="4"/>
  <c r="O5" i="4"/>
  <c r="L5" i="4"/>
  <c r="N5" i="4" s="1"/>
  <c r="P2" i="4"/>
  <c r="O2" i="4"/>
  <c r="L2" i="4"/>
  <c r="N2" i="4" s="1"/>
  <c r="X23" i="3"/>
  <c r="W23" i="3"/>
  <c r="O23" i="3"/>
  <c r="N23" i="3"/>
  <c r="C23" i="3" s="1"/>
  <c r="L23" i="3"/>
  <c r="K23" i="3"/>
  <c r="X22" i="3"/>
  <c r="W22" i="3"/>
  <c r="O22" i="3"/>
  <c r="N22" i="3"/>
  <c r="C22" i="3" s="1"/>
  <c r="L22" i="3"/>
  <c r="K22" i="3"/>
  <c r="T18" i="3"/>
  <c r="O18" i="3"/>
  <c r="N18" i="3"/>
  <c r="C18" i="3" s="1"/>
  <c r="L18" i="3"/>
  <c r="K18" i="3"/>
  <c r="T15" i="3"/>
  <c r="X15" i="3" s="1"/>
  <c r="O15" i="3"/>
  <c r="N15" i="3"/>
  <c r="C15" i="3" s="1"/>
  <c r="L15" i="3"/>
  <c r="K15" i="3"/>
  <c r="T14" i="3"/>
  <c r="X14" i="3" s="1"/>
  <c r="O14" i="3"/>
  <c r="N14" i="3"/>
  <c r="C14" i="3" s="1"/>
  <c r="L14" i="3"/>
  <c r="K14" i="3"/>
  <c r="O13" i="3"/>
  <c r="T10" i="3"/>
  <c r="X10" i="3" s="1"/>
  <c r="O10" i="3"/>
  <c r="N10" i="3"/>
  <c r="C10" i="3" s="1"/>
  <c r="L10" i="3"/>
  <c r="T9" i="3"/>
  <c r="W9" i="3" s="1"/>
  <c r="O9" i="3"/>
  <c r="N9" i="3"/>
  <c r="C9" i="3" s="1"/>
  <c r="L9" i="3"/>
  <c r="G32" i="3" s="1"/>
  <c r="K9" i="3"/>
  <c r="T8" i="3"/>
  <c r="X8" i="3" s="1"/>
  <c r="O8" i="3"/>
  <c r="N8" i="3"/>
  <c r="C8" i="3" s="1"/>
  <c r="L8" i="3"/>
  <c r="K8" i="3"/>
  <c r="T7" i="3"/>
  <c r="W7" i="3" s="1"/>
  <c r="O7" i="3"/>
  <c r="N7" i="3"/>
  <c r="C7" i="3" s="1"/>
  <c r="L7" i="3"/>
  <c r="K7" i="3"/>
  <c r="T6" i="3"/>
  <c r="X6" i="3" s="1"/>
  <c r="O6" i="3"/>
  <c r="N6" i="3"/>
  <c r="C6" i="3" s="1"/>
  <c r="L6" i="3"/>
  <c r="K6" i="3"/>
  <c r="T5" i="3"/>
  <c r="W5" i="3" s="1"/>
  <c r="O5" i="3"/>
  <c r="N5" i="3"/>
  <c r="C5" i="3" s="1"/>
  <c r="L5" i="3"/>
  <c r="K5" i="3"/>
  <c r="X4" i="3"/>
  <c r="W4" i="3"/>
  <c r="T4" i="3"/>
  <c r="O4" i="3"/>
  <c r="N4" i="3"/>
  <c r="C4" i="3" s="1"/>
  <c r="L4" i="3"/>
  <c r="K4" i="3"/>
  <c r="T3" i="3"/>
  <c r="X3" i="3" s="1"/>
  <c r="O3" i="3"/>
  <c r="N3" i="3"/>
  <c r="C3" i="3" s="1"/>
  <c r="L3" i="3"/>
  <c r="K3" i="3"/>
  <c r="T2" i="3"/>
  <c r="X2" i="3" s="1"/>
  <c r="O2" i="3"/>
  <c r="N2" i="3"/>
  <c r="C2" i="3" s="1"/>
  <c r="L2" i="3"/>
  <c r="K2" i="3"/>
  <c r="Q19" i="2"/>
  <c r="R19" i="2" s="1"/>
  <c r="N19" i="2"/>
  <c r="M19" i="2"/>
  <c r="L19" i="2"/>
  <c r="G19" i="2"/>
  <c r="D19" i="2"/>
  <c r="Q18" i="2"/>
  <c r="N18" i="2"/>
  <c r="R18" i="2" s="1"/>
  <c r="M18" i="2"/>
  <c r="L18" i="2"/>
  <c r="D18" i="2"/>
  <c r="G18" i="2" s="1"/>
  <c r="Q17" i="2"/>
  <c r="M17" i="2"/>
  <c r="N17" i="2" s="1"/>
  <c r="R17" i="2" s="1"/>
  <c r="L17" i="2"/>
  <c r="D17" i="2"/>
  <c r="G17" i="2" s="1"/>
  <c r="N16" i="2"/>
  <c r="M16" i="2"/>
  <c r="L16" i="2"/>
  <c r="D16" i="2"/>
  <c r="G16" i="2" s="1"/>
  <c r="Q15" i="2"/>
  <c r="M15" i="2"/>
  <c r="N15" i="2" s="1"/>
  <c r="R15" i="2" s="1"/>
  <c r="L15" i="2"/>
  <c r="D15" i="2"/>
  <c r="G15" i="2" s="1"/>
  <c r="N14" i="2"/>
  <c r="M14" i="2"/>
  <c r="L14" i="2"/>
  <c r="D14" i="2"/>
  <c r="G14" i="2" s="1"/>
  <c r="Q13" i="2"/>
  <c r="M13" i="2"/>
  <c r="N13" i="2" s="1"/>
  <c r="R13" i="2" s="1"/>
  <c r="L13" i="2"/>
  <c r="D13" i="2"/>
  <c r="G13" i="2" s="1"/>
  <c r="N12" i="2"/>
  <c r="M12" i="2"/>
  <c r="L12" i="2"/>
  <c r="D12" i="2"/>
  <c r="G12" i="2" s="1"/>
  <c r="Q9" i="2"/>
  <c r="M9" i="2"/>
  <c r="N9" i="2" s="1"/>
  <c r="R9" i="2" s="1"/>
  <c r="L9" i="2"/>
  <c r="D9" i="2"/>
  <c r="G9" i="2" s="1"/>
  <c r="Q8" i="2"/>
  <c r="M8" i="2"/>
  <c r="N8" i="2" s="1"/>
  <c r="R8" i="2" s="1"/>
  <c r="L8" i="2"/>
  <c r="D8" i="2"/>
  <c r="G8" i="2" s="1"/>
  <c r="Q7" i="2"/>
  <c r="M7" i="2"/>
  <c r="N7" i="2" s="1"/>
  <c r="R7" i="2" s="1"/>
  <c r="L7" i="2"/>
  <c r="G7" i="2"/>
  <c r="D7" i="2"/>
  <c r="Q6" i="2"/>
  <c r="N6" i="2"/>
  <c r="R6" i="2" s="1"/>
  <c r="M6" i="2"/>
  <c r="L6" i="2"/>
  <c r="D6" i="2"/>
  <c r="G6" i="2" s="1"/>
  <c r="Q5" i="2"/>
  <c r="M5" i="2"/>
  <c r="N5" i="2" s="1"/>
  <c r="R5" i="2" s="1"/>
  <c r="L5" i="2"/>
  <c r="D5" i="2"/>
  <c r="G5" i="2" s="1"/>
  <c r="Q4" i="2"/>
  <c r="M4" i="2"/>
  <c r="N4" i="2" s="1"/>
  <c r="R4" i="2" s="1"/>
  <c r="L4" i="2"/>
  <c r="G4" i="2"/>
  <c r="D4" i="2"/>
  <c r="Q3" i="2"/>
  <c r="R3" i="2" s="1"/>
  <c r="N3" i="2"/>
  <c r="M3" i="2"/>
  <c r="L3" i="2"/>
  <c r="G3" i="2"/>
  <c r="D3" i="2"/>
  <c r="Q2" i="2"/>
  <c r="N2" i="2"/>
  <c r="R2" i="2" s="1"/>
  <c r="M2" i="2"/>
  <c r="L2" i="2"/>
  <c r="D2" i="2"/>
  <c r="G2" i="2" s="1"/>
  <c r="X9" i="3" l="1"/>
  <c r="X18" i="3"/>
  <c r="W18" i="3"/>
  <c r="X5" i="3"/>
  <c r="W8" i="3"/>
  <c r="N6" i="4"/>
  <c r="N7" i="4"/>
  <c r="W3" i="3"/>
  <c r="W2" i="3"/>
  <c r="W6" i="3"/>
  <c r="X7" i="3"/>
  <c r="W10" i="3"/>
  <c r="W14" i="3"/>
  <c r="W15" i="3"/>
  <c r="M2" i="4"/>
  <c r="M14" i="4"/>
  <c r="M5" i="4"/>
  <c r="M17" i="4"/>
</calcChain>
</file>

<file path=xl/sharedStrings.xml><?xml version="1.0" encoding="utf-8"?>
<sst xmlns="http://schemas.openxmlformats.org/spreadsheetml/2006/main" count="439" uniqueCount="135">
  <si>
    <t>Delta</t>
  </si>
  <si>
    <t>Steps</t>
  </si>
  <si>
    <t>a</t>
  </si>
  <si>
    <t>b</t>
  </si>
  <si>
    <t>c</t>
  </si>
  <si>
    <t>d</t>
  </si>
  <si>
    <t>L</t>
  </si>
  <si>
    <t>h</t>
  </si>
  <si>
    <t>hsize</t>
  </si>
  <si>
    <t>ell</t>
  </si>
  <si>
    <t>mu</t>
  </si>
  <si>
    <t>Gc</t>
  </si>
  <si>
    <t>Gc_e</t>
  </si>
  <si>
    <t>kappa</t>
  </si>
  <si>
    <t>Pred Delta (Gc)</t>
  </si>
  <si>
    <t>Pred Delta (Gc_e)</t>
  </si>
  <si>
    <t>N</t>
  </si>
  <si>
    <t>lambda_a</t>
  </si>
  <si>
    <t>J_a</t>
  </si>
  <si>
    <t>E(+)</t>
  </si>
  <si>
    <t>E(-)</t>
  </si>
  <si>
    <t>J_num</t>
  </si>
  <si>
    <t>Error</t>
  </si>
  <si>
    <t>Gc_effective</t>
  </si>
  <si>
    <t>Num Delta</t>
  </si>
  <si>
    <t>Delta Error (Gc)</t>
  </si>
  <si>
    <t>Delta Error (Gc_e)</t>
  </si>
  <si>
    <t>PF Width</t>
  </si>
  <si>
    <t>S vs NS</t>
  </si>
  <si>
    <t>Mod</t>
  </si>
  <si>
    <t>Even vs. Ref</t>
  </si>
  <si>
    <t>ms_r</t>
  </si>
  <si>
    <t>ms</t>
  </si>
  <si>
    <t>pf</t>
  </si>
  <si>
    <t>Nx</t>
  </si>
  <si>
    <t>Ny</t>
  </si>
  <si>
    <t>Saved/Deleted</t>
  </si>
  <si>
    <t>Name</t>
  </si>
  <si>
    <t>Divergence Info</t>
  </si>
  <si>
    <t>NS</t>
  </si>
  <si>
    <t>ln(J)</t>
  </si>
  <si>
    <t>Even</t>
  </si>
  <si>
    <t>Deleted</t>
  </si>
  <si>
    <t>Alt</t>
  </si>
  <si>
    <t>S</t>
  </si>
  <si>
    <t>(J-1)</t>
  </si>
  <si>
    <t>Ref</t>
  </si>
  <si>
    <t>Saved</t>
  </si>
  <si>
    <t>Step 145: AM Iteration: 2681,  alpha_error:     0.28819523  *** Warning: PETSc SNES solver diverged in 1 iterations with divergence reason DIVERGED_FUNCTION_COUNT.</t>
  </si>
  <si>
    <t>Discrete Trials: Placed Phase Field around Crack</t>
  </si>
  <si>
    <t xml:space="preserve">Discrete Trials: No initialization </t>
  </si>
  <si>
    <t xml:space="preserve">Plane Strain </t>
  </si>
  <si>
    <t>Size</t>
  </si>
  <si>
    <t>x_d</t>
  </si>
  <si>
    <t>x_m</t>
  </si>
  <si>
    <t>c_d</t>
  </si>
  <si>
    <t>y_d</t>
  </si>
  <si>
    <t>y_m</t>
  </si>
  <si>
    <t>r_d</t>
  </si>
  <si>
    <t>y_r</t>
  </si>
  <si>
    <t>Circle Point</t>
  </si>
  <si>
    <t>MidPoint</t>
  </si>
  <si>
    <t>Nx (inner)</t>
  </si>
  <si>
    <t>Ny (Inner)</t>
  </si>
  <si>
    <t>Loading</t>
  </si>
  <si>
    <t>Even/Exp</t>
  </si>
  <si>
    <t>Propagated</t>
  </si>
  <si>
    <t>C/D</t>
  </si>
  <si>
    <t>Status</t>
  </si>
  <si>
    <t>Error Message</t>
  </si>
  <si>
    <t>C</t>
  </si>
  <si>
    <t>N/A</t>
  </si>
  <si>
    <t>Exp</t>
  </si>
  <si>
    <t>Did not reach</t>
  </si>
  <si>
    <t>D</t>
  </si>
  <si>
    <t xml:space="preserve">--- Starting of Time step 85: t = 2.575758 ------ Starting of Time step 85: t = 2.575758 --- AM Iteration: 1744,  alpha_error:     0.47661513     solver_alpha.solve(DamageProblem(), alpha.vector(), alpha_lb.vector(), alpha_ub.vector()) RuntimeError: </t>
  </si>
  <si>
    <t xml:space="preserve">--- Starting of Time step 153: t = 2.570247 ---AM Iteration: 2500,  alpha_error:     0.37323315 Traceback (most recent call last):   File "2D-planestress-stabilized.py", line 430, in &lt;module&gt;     solver_alpha.solve(DamageProblem(), alpha.vector(), alpha_lb.vector(), alpha_ub.vector()) RuntimeError:  </t>
  </si>
  <si>
    <t>--- Starting of Time step 196: t = 2.569505 ---</t>
  </si>
  <si>
    <t xml:space="preserve">Step 92 AM Iteration: 2122,  alpha_error:     0.32328037 Traceback (most recent call last):    File "2D-planestress-stabilized.py", line 430, in &lt;module&gt;  RuntimeError:   solver_alpha.solve(DamageProblem(), alpha.vector(), alpha_lb.vector(), alpha_ub.vector()) </t>
  </si>
  <si>
    <t xml:space="preserve"> </t>
  </si>
  <si>
    <t xml:space="preserve">       </t>
  </si>
  <si>
    <t>nu</t>
  </si>
  <si>
    <t>E</t>
  </si>
  <si>
    <t>hr (hsize)</t>
  </si>
  <si>
    <t>W</t>
  </si>
  <si>
    <t>H</t>
  </si>
  <si>
    <t>T (Thickness is 2*T)</t>
  </si>
  <si>
    <t>H0</t>
  </si>
  <si>
    <t>H1</t>
  </si>
  <si>
    <t>W0</t>
  </si>
  <si>
    <t>Ny (limit)</t>
  </si>
  <si>
    <t>Load Steps</t>
  </si>
  <si>
    <t>Con/Div</t>
  </si>
  <si>
    <t>Int</t>
  </si>
  <si>
    <t>Con</t>
  </si>
  <si>
    <t xml:space="preserve">Con </t>
  </si>
  <si>
    <t>Div</t>
  </si>
  <si>
    <t xml:space="preserve">--- Starting of Time step 102: t = 3.428571 --- AM Iteration:  80,  alpha_error:     0.22715067  200 SNES Function norm 4.467690058813e-06   *** Warning: PETSc SNES solver diverged in 200 iterations with divergence      solver_u.solve()  File "3D-Taylor-Hood-Hybrid.py", line 419, in &lt;module&gt; Traceback (most recent call last): reason DIVERGED_MAX_IT. RuntimeError:  </t>
  </si>
  <si>
    <t>Exp loading</t>
  </si>
  <si>
    <t xml:space="preserve">Starting of Time step 133: t = 3.420390 AM Iteration: 159,  alpha_error:     0.29323622 200 SNES Function norm 6.829629513345e-06    *** Warning: PETSc SNES solver diverged in 200 iterations with divergence reason DIVERGED_MAX_IT. Traceback (most recent call last):   File "3D-Taylor-Hood-Hybrid.py", line 426, in &lt;module&gt;     iteration = 1           # Initialization of iteration loop RuntimeError:  </t>
  </si>
  <si>
    <t xml:space="preserve">--- Starting of Time step 68: t = 3.434343 --- AM Iteration:  68,  alpha_error:     0.47892917  200 SNES Function norm 1.009597724139e-04   *** Warning: PETSc SNES solver diverged in 200 iterations with divergence reason DIVERGED_MAX_IT.  </t>
  </si>
  <si>
    <t xml:space="preserve">Deleted </t>
  </si>
  <si>
    <t>--- Starting of Time step 21: t = 0.422111 ---</t>
  </si>
  <si>
    <t>--- Starting of Time step 34: t = 0.397993 ---</t>
  </si>
  <si>
    <t xml:space="preserve">Damage initiating around the edges </t>
  </si>
  <si>
    <t xml:space="preserve">Interrupted </t>
  </si>
  <si>
    <t xml:space="preserve">Broke near boundary </t>
  </si>
  <si>
    <t xml:space="preserve">Bound in y and z and roller in x </t>
  </si>
  <si>
    <t xml:space="preserve">Bound in x and y and roller in z </t>
  </si>
  <si>
    <t>4 Pins</t>
  </si>
  <si>
    <t>1 Pin</t>
  </si>
  <si>
    <t>Unphysical result</t>
  </si>
  <si>
    <t>2 Pins</t>
  </si>
  <si>
    <t>Div before crack</t>
  </si>
  <si>
    <t xml:space="preserve">Almost straight ahead chrack </t>
  </si>
  <si>
    <t>Normal formulation for comparison</t>
  </si>
  <si>
    <t>Normal + Stabilized formulation for comparison</t>
  </si>
  <si>
    <t>Bound in x and y and roller in z, 1 pin</t>
  </si>
  <si>
    <t xml:space="preserve">Didn’t crack </t>
  </si>
  <si>
    <t xml:space="preserve">Div </t>
  </si>
  <si>
    <t xml:space="preserve">Total Steps </t>
  </si>
  <si>
    <t xml:space="preserve">Delta </t>
  </si>
  <si>
    <t>Cur Step</t>
  </si>
  <si>
    <t>Cur Disp</t>
  </si>
  <si>
    <t>length_f</t>
  </si>
  <si>
    <t>Strain</t>
  </si>
  <si>
    <t xml:space="preserve">Discrete </t>
  </si>
  <si>
    <t>Phase-Field</t>
  </si>
  <si>
    <t>Predicted</t>
  </si>
  <si>
    <t>% Error</t>
  </si>
  <si>
    <t>Using same setup as below, just extended the number of steps</t>
  </si>
  <si>
    <t>Delta_p (Gc_e)</t>
  </si>
  <si>
    <t>Delta_p (Gc)</t>
  </si>
  <si>
    <t>Delta %E (Gc)</t>
  </si>
  <si>
    <t>Delta %E (Gc_e)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</si>
</sst>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CD3C1"/>
        <bgColor rgb="FFFFE5CA"/>
      </patternFill>
    </fill>
    <fill>
      <patternFill patternType="solid">
        <fgColor rgb="FFFFF200"/>
        <bgColor rgb="FFFFFF00"/>
      </patternFill>
    </fill>
    <fill>
      <patternFill patternType="solid">
        <fgColor rgb="FFDFCCE4"/>
        <bgColor rgb="FFFCD3C1"/>
      </patternFill>
    </fill>
    <fill>
      <patternFill patternType="solid">
        <fgColor rgb="FFFFE5CA"/>
        <bgColor rgb="FFFCD3C1"/>
      </patternFill>
    </fill>
    <fill>
      <patternFill patternType="solid">
        <fgColor rgb="FFBCE4E5"/>
        <bgColor rgb="FFCCFFFF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FCD3C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0C0C0"/>
      </patternFill>
    </fill>
    <fill>
      <patternFill patternType="solid">
        <fgColor theme="4" tint="0.59999389629810485"/>
        <bgColor rgb="FFCCFFFF"/>
      </patternFill>
    </fill>
    <fill>
      <patternFill patternType="solid">
        <fgColor theme="4" tint="0.59999389629810485"/>
        <bgColor rgb="FFFCD3C1"/>
      </patternFill>
    </fill>
    <fill>
      <patternFill patternType="solid">
        <fgColor rgb="FFED7D31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B4C6E7"/>
        <bgColor rgb="FFFCD3C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/>
    <xf numFmtId="0" fontId="0" fillId="3" borderId="0" xfId="0" applyFont="1" applyFill="1"/>
    <xf numFmtId="0" fontId="0" fillId="0" borderId="0" xfId="0" applyFont="1"/>
    <xf numFmtId="11" fontId="0" fillId="0" borderId="0" xfId="0" applyNumberFormat="1"/>
    <xf numFmtId="11" fontId="0" fillId="0" borderId="0" xfId="0" applyNumberFormat="1" applyFont="1"/>
    <xf numFmtId="11" fontId="0" fillId="0" borderId="0" xfId="0" applyNumberFormat="1"/>
    <xf numFmtId="0" fontId="0" fillId="0" borderId="0" xfId="0" applyFont="1"/>
    <xf numFmtId="11" fontId="0" fillId="4" borderId="0" xfId="0" applyNumberFormat="1" applyFill="1"/>
    <xf numFmtId="0" fontId="0" fillId="4" borderId="0" xfId="0" applyFill="1"/>
    <xf numFmtId="0" fontId="0" fillId="0" borderId="0" xfId="0" applyFont="1" applyBorder="1" applyAlignment="1">
      <alignment horizontal="center" vertical="center"/>
    </xf>
    <xf numFmtId="0" fontId="0" fillId="5" borderId="0" xfId="0" applyFill="1"/>
    <xf numFmtId="0" fontId="1" fillId="0" borderId="0" xfId="0" applyFont="1"/>
    <xf numFmtId="0" fontId="0" fillId="6" borderId="0" xfId="0" applyFill="1"/>
    <xf numFmtId="0" fontId="0" fillId="0" borderId="0" xfId="0" applyFill="1"/>
    <xf numFmtId="0" fontId="0" fillId="7" borderId="0" xfId="0" applyFill="1"/>
    <xf numFmtId="11" fontId="0" fillId="0" borderId="0" xfId="0" applyNumberFormat="1" applyFill="1"/>
    <xf numFmtId="11" fontId="0" fillId="8" borderId="0" xfId="0" applyNumberFormat="1" applyFill="1"/>
    <xf numFmtId="0" fontId="0" fillId="0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1" fontId="0" fillId="9" borderId="0" xfId="0" applyNumberFormat="1" applyFill="1"/>
    <xf numFmtId="0" fontId="0" fillId="12" borderId="0" xfId="0" applyFill="1"/>
    <xf numFmtId="11" fontId="0" fillId="12" borderId="0" xfId="0" applyNumberFormat="1" applyFill="1"/>
    <xf numFmtId="0" fontId="0" fillId="9" borderId="0" xfId="0" applyFont="1" applyFill="1"/>
    <xf numFmtId="0" fontId="0" fillId="13" borderId="0" xfId="0" applyFill="1"/>
    <xf numFmtId="0" fontId="0" fillId="14" borderId="0" xfId="0" applyFill="1"/>
    <xf numFmtId="11" fontId="0" fillId="14" borderId="0" xfId="0" applyNumberFormat="1" applyFill="1"/>
    <xf numFmtId="0" fontId="0" fillId="15" borderId="0" xfId="0" applyFill="1"/>
    <xf numFmtId="11" fontId="0" fillId="1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ADC5E7"/>
      <rgbColor rgb="FFFF99CC"/>
      <rgbColor rgb="FFCC99FF"/>
      <rgbColor rgb="FFFCD3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181340</xdr:colOff>
      <xdr:row>20</xdr:row>
      <xdr:rowOff>19420</xdr:rowOff>
    </xdr:from>
    <xdr:to>
      <xdr:col>13</xdr:col>
      <xdr:colOff>284880</xdr:colOff>
      <xdr:row>41</xdr:row>
      <xdr:rowOff>120060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080240" y="4159620"/>
          <a:ext cx="2745140" cy="35677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179100</xdr:colOff>
      <xdr:row>61</xdr:row>
      <xdr:rowOff>84720</xdr:rowOff>
    </xdr:from>
    <xdr:to>
      <xdr:col>20</xdr:col>
      <xdr:colOff>169380</xdr:colOff>
      <xdr:row>79</xdr:row>
      <xdr:rowOff>120220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932700" y="10155820"/>
          <a:ext cx="1742880" cy="30073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zoomScaleNormal="100" workbookViewId="0">
      <selection activeCell="A6" sqref="A6:F6"/>
    </sheetView>
  </sheetViews>
  <sheetFormatPr baseColWidth="10" defaultColWidth="8.83203125" defaultRowHeight="13" x14ac:dyDescent="0.15"/>
  <cols>
    <col min="1" max="1025" width="11.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0.55000000000000004</v>
      </c>
      <c r="B2">
        <v>150</v>
      </c>
      <c r="C2">
        <v>0.1389</v>
      </c>
      <c r="D2">
        <v>9.1730000000000006E-3</v>
      </c>
      <c r="E2">
        <v>-0.1389</v>
      </c>
      <c r="F2">
        <v>-6.8879999999999997E-2</v>
      </c>
    </row>
    <row r="3" spans="1:6" x14ac:dyDescent="0.15">
      <c r="A3">
        <v>0.55000000000000004</v>
      </c>
      <c r="B3">
        <v>150</v>
      </c>
      <c r="C3">
        <v>0.5292</v>
      </c>
      <c r="D3">
        <v>6.5149999999999995E-4</v>
      </c>
      <c r="E3">
        <v>-0.5292</v>
      </c>
      <c r="F3">
        <v>-1.8380000000000001E-2</v>
      </c>
    </row>
    <row r="4" spans="1:6" x14ac:dyDescent="0.15">
      <c r="A4">
        <v>0.55000000000000004</v>
      </c>
      <c r="B4">
        <v>200</v>
      </c>
      <c r="C4">
        <v>0.46879999999999999</v>
      </c>
      <c r="D4">
        <v>8.6709999999999999E-4</v>
      </c>
      <c r="E4">
        <v>-0.46879999999999999</v>
      </c>
      <c r="F4">
        <v>-2.0670000000000001E-2</v>
      </c>
    </row>
    <row r="5" spans="1:6" x14ac:dyDescent="0.15">
      <c r="A5" s="1">
        <v>0.53</v>
      </c>
      <c r="B5" s="2">
        <v>250</v>
      </c>
      <c r="C5" s="2">
        <v>0.33040000000000003</v>
      </c>
      <c r="D5" s="2">
        <v>1.89E-3</v>
      </c>
      <c r="E5" s="2">
        <v>-0.33040000000000003</v>
      </c>
      <c r="F5" s="2">
        <v>-0.15049999999999999</v>
      </c>
    </row>
    <row r="6" spans="1:6" x14ac:dyDescent="0.15">
      <c r="A6">
        <v>0.53</v>
      </c>
      <c r="B6" s="1">
        <v>300</v>
      </c>
      <c r="C6" s="1">
        <v>0.30059999999999998</v>
      </c>
      <c r="D6" s="1">
        <v>1.89E-3</v>
      </c>
      <c r="E6" s="1">
        <v>-0.30059999999999998</v>
      </c>
      <c r="F6" s="1">
        <v>-0.12540000000000001</v>
      </c>
    </row>
    <row r="7" spans="1:6" x14ac:dyDescent="0.15">
      <c r="A7">
        <v>3</v>
      </c>
      <c r="B7">
        <v>200</v>
      </c>
      <c r="C7">
        <v>1.5369999999999999</v>
      </c>
      <c r="D7">
        <v>3.3440000000000002E-3</v>
      </c>
      <c r="E7">
        <v>-1.5369999999999999</v>
      </c>
      <c r="F7">
        <v>-6.3700000000000007E-2</v>
      </c>
    </row>
    <row r="8" spans="1:6" x14ac:dyDescent="0.15">
      <c r="A8">
        <v>2.6</v>
      </c>
      <c r="B8">
        <v>200</v>
      </c>
      <c r="C8">
        <v>1.2010000000000001</v>
      </c>
      <c r="D8">
        <v>3.8609999999999998E-3</v>
      </c>
      <c r="E8">
        <v>-1.2010000000000001</v>
      </c>
      <c r="F8">
        <v>-8.2710000000000006E-2</v>
      </c>
    </row>
    <row r="9" spans="1:6" x14ac:dyDescent="0.15">
      <c r="A9">
        <v>3.5</v>
      </c>
      <c r="B9">
        <v>150</v>
      </c>
      <c r="C9">
        <v>2.8239999999999998</v>
      </c>
      <c r="D9">
        <v>1.431E-3</v>
      </c>
      <c r="E9">
        <v>-2.8239999999999998</v>
      </c>
      <c r="F9">
        <v>-0.26200000000000001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9"/>
  <sheetViews>
    <sheetView zoomScaleNormal="100" workbookViewId="0">
      <selection activeCell="H13" sqref="H13"/>
    </sheetView>
  </sheetViews>
  <sheetFormatPr baseColWidth="10" defaultColWidth="8.83203125" defaultRowHeight="13" x14ac:dyDescent="0.15"/>
  <cols>
    <col min="1" max="1" width="5.33203125" customWidth="1"/>
    <col min="2" max="2" width="4.33203125" customWidth="1"/>
    <col min="3" max="3" width="6.33203125" customWidth="1"/>
    <col min="4" max="4" width="7.33203125" customWidth="1"/>
    <col min="5" max="5" width="4.83203125" customWidth="1"/>
    <col min="6" max="6" width="4.33203125" customWidth="1"/>
    <col min="7" max="7" width="6.83203125" customWidth="1"/>
    <col min="8" max="10" width="11.6640625" customWidth="1"/>
    <col min="11" max="11" width="10.1640625" customWidth="1"/>
    <col min="12" max="12" width="5.6640625" customWidth="1"/>
    <col min="13" max="13" width="8.33203125" customWidth="1"/>
    <col min="14" max="1025" width="11.6640625" customWidth="1"/>
  </cols>
  <sheetData>
    <row r="1" spans="1:1024" x14ac:dyDescent="0.15">
      <c r="A1" s="3" t="s">
        <v>6</v>
      </c>
      <c r="B1" s="4" t="s">
        <v>7</v>
      </c>
      <c r="C1" s="4" t="s">
        <v>8</v>
      </c>
      <c r="D1" s="4" t="s">
        <v>9</v>
      </c>
      <c r="E1" t="s">
        <v>10</v>
      </c>
      <c r="F1" t="s">
        <v>11</v>
      </c>
      <c r="G1" t="s">
        <v>12</v>
      </c>
      <c r="H1" t="s">
        <v>13</v>
      </c>
      <c r="I1" s="4" t="s">
        <v>14</v>
      </c>
      <c r="J1" s="2" t="s">
        <v>15</v>
      </c>
      <c r="K1" s="4" t="s">
        <v>0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s="4" t="s">
        <v>21</v>
      </c>
      <c r="R1" t="s">
        <v>22</v>
      </c>
      <c r="U1" s="4"/>
    </row>
    <row r="2" spans="1:1024" x14ac:dyDescent="0.15">
      <c r="A2">
        <v>12</v>
      </c>
      <c r="B2">
        <v>0.5</v>
      </c>
      <c r="C2">
        <v>0.02</v>
      </c>
      <c r="D2">
        <f t="shared" ref="D2:D9" si="0">5*C2</f>
        <v>0.1</v>
      </c>
      <c r="E2">
        <v>1</v>
      </c>
      <c r="F2">
        <v>1</v>
      </c>
      <c r="G2">
        <f t="shared" ref="G2:G9" si="1">F2*(1+3/8*C2/D2)</f>
        <v>1.075</v>
      </c>
      <c r="H2" s="5">
        <v>100000</v>
      </c>
      <c r="I2">
        <v>0.46589999999999998</v>
      </c>
      <c r="J2">
        <v>0.48659999999999998</v>
      </c>
      <c r="K2">
        <v>0.46</v>
      </c>
      <c r="L2">
        <f t="shared" ref="L2:L9" si="2">A2/(C2*2)</f>
        <v>300</v>
      </c>
      <c r="M2">
        <f t="shared" ref="M2:M9" si="3">1+K2/B2</f>
        <v>1.92</v>
      </c>
      <c r="N2">
        <f t="shared" ref="N2:N9" si="4">B2*E2*(M2-1/M2)^2</f>
        <v>0.9788336805555552</v>
      </c>
      <c r="O2" s="5">
        <v>5.8624315607501796</v>
      </c>
      <c r="P2" s="5">
        <v>5.9402212551688303</v>
      </c>
      <c r="Q2">
        <f t="shared" ref="Q2:Q9" si="5">-(O2-P2)/(4*C2)</f>
        <v>0.97237118023313363</v>
      </c>
      <c r="R2" s="2">
        <f t="shared" ref="R2:R9" si="6">ABS(N2-Q2)/N2*100</f>
        <v>0.66022455610167186</v>
      </c>
    </row>
    <row r="3" spans="1:1024" x14ac:dyDescent="0.15">
      <c r="A3">
        <v>10</v>
      </c>
      <c r="B3">
        <v>0.5</v>
      </c>
      <c r="C3">
        <v>0.02</v>
      </c>
      <c r="D3">
        <f t="shared" si="0"/>
        <v>0.1</v>
      </c>
      <c r="E3">
        <v>1</v>
      </c>
      <c r="F3">
        <v>1</v>
      </c>
      <c r="G3">
        <f t="shared" si="1"/>
        <v>1.075</v>
      </c>
      <c r="H3" s="5">
        <v>100000</v>
      </c>
      <c r="I3">
        <v>0.46589999999999998</v>
      </c>
      <c r="J3">
        <v>0.48659999999999998</v>
      </c>
      <c r="K3">
        <v>0.46</v>
      </c>
      <c r="L3">
        <f t="shared" si="2"/>
        <v>250</v>
      </c>
      <c r="M3">
        <f t="shared" si="3"/>
        <v>1.92</v>
      </c>
      <c r="N3">
        <f t="shared" si="4"/>
        <v>0.9788336805555552</v>
      </c>
      <c r="O3" s="5">
        <v>4.88776993694953</v>
      </c>
      <c r="P3" s="5">
        <v>4.9634767245264699</v>
      </c>
      <c r="Q3">
        <f t="shared" si="5"/>
        <v>0.94633484471174922</v>
      </c>
      <c r="R3" s="2">
        <f t="shared" si="6"/>
        <v>3.3201591332003058</v>
      </c>
    </row>
    <row r="4" spans="1:1024" x14ac:dyDescent="0.15">
      <c r="A4">
        <v>8</v>
      </c>
      <c r="B4">
        <v>0.5</v>
      </c>
      <c r="C4">
        <v>0.02</v>
      </c>
      <c r="D4">
        <f t="shared" si="0"/>
        <v>0.1</v>
      </c>
      <c r="E4">
        <v>1</v>
      </c>
      <c r="F4">
        <v>1</v>
      </c>
      <c r="G4">
        <f t="shared" si="1"/>
        <v>1.075</v>
      </c>
      <c r="H4" s="5">
        <v>100000</v>
      </c>
      <c r="I4">
        <v>0.46589999999999998</v>
      </c>
      <c r="J4">
        <v>0.48659999999999998</v>
      </c>
      <c r="K4">
        <v>0.46</v>
      </c>
      <c r="L4">
        <f t="shared" si="2"/>
        <v>200</v>
      </c>
      <c r="M4">
        <f t="shared" si="3"/>
        <v>1.92</v>
      </c>
      <c r="N4">
        <f t="shared" si="4"/>
        <v>0.9788336805555552</v>
      </c>
      <c r="O4" s="5">
        <v>3.9059454145553598</v>
      </c>
      <c r="P4" s="5">
        <v>3.9836405223276699</v>
      </c>
      <c r="Q4">
        <f t="shared" si="5"/>
        <v>0.97118884715387543</v>
      </c>
      <c r="R4" s="2">
        <f t="shared" si="6"/>
        <v>0.78101454348616151</v>
      </c>
    </row>
    <row r="5" spans="1:1024" x14ac:dyDescent="0.15">
      <c r="A5">
        <v>6</v>
      </c>
      <c r="B5">
        <v>0.5</v>
      </c>
      <c r="C5">
        <v>0.02</v>
      </c>
      <c r="D5">
        <f t="shared" si="0"/>
        <v>0.1</v>
      </c>
      <c r="E5">
        <v>1</v>
      </c>
      <c r="F5">
        <v>1</v>
      </c>
      <c r="G5">
        <f t="shared" si="1"/>
        <v>1.075</v>
      </c>
      <c r="H5" s="5">
        <v>100000</v>
      </c>
      <c r="I5">
        <v>0.46589999999999998</v>
      </c>
      <c r="J5">
        <v>0.48659999999999998</v>
      </c>
      <c r="K5">
        <v>0.46</v>
      </c>
      <c r="L5">
        <f t="shared" si="2"/>
        <v>150</v>
      </c>
      <c r="M5">
        <f t="shared" si="3"/>
        <v>1.92</v>
      </c>
      <c r="N5">
        <f t="shared" si="4"/>
        <v>0.9788336805555552</v>
      </c>
      <c r="O5" s="6">
        <v>2.92391448189001</v>
      </c>
      <c r="P5" s="6">
        <v>3.0047532925215501</v>
      </c>
      <c r="Q5">
        <f t="shared" si="5"/>
        <v>1.010485132894251</v>
      </c>
      <c r="R5" s="2">
        <f t="shared" si="6"/>
        <v>3.2335883988719569</v>
      </c>
    </row>
    <row r="6" spans="1:1024" x14ac:dyDescent="0.15">
      <c r="A6">
        <v>5</v>
      </c>
      <c r="B6">
        <v>0.5</v>
      </c>
      <c r="C6">
        <v>0.02</v>
      </c>
      <c r="D6">
        <f t="shared" si="0"/>
        <v>0.1</v>
      </c>
      <c r="E6">
        <v>1</v>
      </c>
      <c r="F6">
        <v>1</v>
      </c>
      <c r="G6">
        <f t="shared" si="1"/>
        <v>1.075</v>
      </c>
      <c r="H6" s="5">
        <v>100000</v>
      </c>
      <c r="I6">
        <v>0.46589999999999998</v>
      </c>
      <c r="J6">
        <v>0.48659999999999998</v>
      </c>
      <c r="K6">
        <v>0.46</v>
      </c>
      <c r="L6">
        <f t="shared" si="2"/>
        <v>125</v>
      </c>
      <c r="M6">
        <f t="shared" si="3"/>
        <v>1.92</v>
      </c>
      <c r="N6">
        <f t="shared" si="4"/>
        <v>0.9788336805555552</v>
      </c>
      <c r="O6" s="5">
        <v>2.43769710914742</v>
      </c>
      <c r="P6" s="5">
        <v>2.51603463622676</v>
      </c>
      <c r="Q6">
        <f t="shared" si="5"/>
        <v>0.97921908849175066</v>
      </c>
      <c r="R6" s="2">
        <f t="shared" si="6"/>
        <v>3.9374200525743384E-2</v>
      </c>
    </row>
    <row r="7" spans="1:1024" x14ac:dyDescent="0.15">
      <c r="A7">
        <v>4</v>
      </c>
      <c r="B7">
        <v>0.5</v>
      </c>
      <c r="C7">
        <v>0.02</v>
      </c>
      <c r="D7">
        <f t="shared" si="0"/>
        <v>0.1</v>
      </c>
      <c r="E7">
        <v>1</v>
      </c>
      <c r="F7">
        <v>1</v>
      </c>
      <c r="G7">
        <f t="shared" si="1"/>
        <v>1.075</v>
      </c>
      <c r="H7" s="5">
        <v>100000</v>
      </c>
      <c r="I7">
        <v>0.46589999999999998</v>
      </c>
      <c r="J7">
        <v>0.48659999999999998</v>
      </c>
      <c r="K7">
        <v>0.46</v>
      </c>
      <c r="L7">
        <f t="shared" si="2"/>
        <v>100</v>
      </c>
      <c r="M7">
        <f t="shared" si="3"/>
        <v>1.92</v>
      </c>
      <c r="N7">
        <f t="shared" si="4"/>
        <v>0.9788336805555552</v>
      </c>
      <c r="O7" s="5">
        <v>1.9473614339844101</v>
      </c>
      <c r="P7" s="5">
        <v>2.0254333612949398</v>
      </c>
      <c r="Q7">
        <f t="shared" si="5"/>
        <v>0.97589909138162123</v>
      </c>
      <c r="R7" s="2">
        <f t="shared" si="6"/>
        <v>0.29980467900005087</v>
      </c>
    </row>
    <row r="8" spans="1:1024" x14ac:dyDescent="0.15">
      <c r="A8">
        <v>3</v>
      </c>
      <c r="B8">
        <v>0.5</v>
      </c>
      <c r="C8">
        <v>0.02</v>
      </c>
      <c r="D8">
        <f t="shared" si="0"/>
        <v>0.1</v>
      </c>
      <c r="E8">
        <v>1</v>
      </c>
      <c r="F8">
        <v>1</v>
      </c>
      <c r="G8">
        <f t="shared" si="1"/>
        <v>1.075</v>
      </c>
      <c r="H8" s="5">
        <v>100000</v>
      </c>
      <c r="I8">
        <v>0.46589999999999998</v>
      </c>
      <c r="J8">
        <v>0.48659999999999998</v>
      </c>
      <c r="K8">
        <v>0.46</v>
      </c>
      <c r="L8">
        <f t="shared" si="2"/>
        <v>75</v>
      </c>
      <c r="M8">
        <f t="shared" si="3"/>
        <v>1.92</v>
      </c>
      <c r="N8">
        <f t="shared" si="4"/>
        <v>0.9788336805555552</v>
      </c>
      <c r="O8" s="5">
        <v>1.4631990512321</v>
      </c>
      <c r="P8" s="5">
        <v>1.54182731659395</v>
      </c>
      <c r="Q8">
        <f t="shared" si="5"/>
        <v>0.98285331702312462</v>
      </c>
      <c r="R8" s="2">
        <f t="shared" si="6"/>
        <v>0.41065571684129237</v>
      </c>
    </row>
    <row r="9" spans="1:1024" x14ac:dyDescent="0.15">
      <c r="A9">
        <v>2</v>
      </c>
      <c r="B9">
        <v>0.5</v>
      </c>
      <c r="C9">
        <v>0.02</v>
      </c>
      <c r="D9">
        <f t="shared" si="0"/>
        <v>0.1</v>
      </c>
      <c r="E9">
        <v>1</v>
      </c>
      <c r="F9">
        <v>1</v>
      </c>
      <c r="G9">
        <f t="shared" si="1"/>
        <v>1.075</v>
      </c>
      <c r="H9" s="5">
        <v>100000</v>
      </c>
      <c r="I9">
        <v>0.46589999999999998</v>
      </c>
      <c r="J9">
        <v>0.48659999999999998</v>
      </c>
      <c r="K9">
        <v>0.46</v>
      </c>
      <c r="L9">
        <f t="shared" si="2"/>
        <v>50</v>
      </c>
      <c r="M9">
        <f t="shared" si="3"/>
        <v>1.92</v>
      </c>
      <c r="N9">
        <f t="shared" si="4"/>
        <v>0.9788336805555552</v>
      </c>
      <c r="O9" s="5">
        <v>0.98534888484989902</v>
      </c>
      <c r="P9" s="5">
        <v>1.0580569903688899</v>
      </c>
      <c r="Q9">
        <f t="shared" si="5"/>
        <v>0.90885131898738591</v>
      </c>
      <c r="R9" s="2">
        <f t="shared" si="6"/>
        <v>7.1495661580064862</v>
      </c>
    </row>
    <row r="11" spans="1:1024" x14ac:dyDescent="0.15">
      <c r="A11" s="3" t="s">
        <v>6</v>
      </c>
      <c r="B11" s="4" t="s">
        <v>7</v>
      </c>
      <c r="C11" s="4" t="s">
        <v>8</v>
      </c>
      <c r="D11" s="4" t="s">
        <v>9</v>
      </c>
      <c r="E11" t="s">
        <v>10</v>
      </c>
      <c r="F11" t="s">
        <v>11</v>
      </c>
      <c r="G11" t="s">
        <v>12</v>
      </c>
      <c r="H11" t="s">
        <v>13</v>
      </c>
      <c r="I11" s="4" t="s">
        <v>14</v>
      </c>
      <c r="J11" s="2" t="s">
        <v>15</v>
      </c>
      <c r="K11" s="4" t="s">
        <v>0</v>
      </c>
      <c r="L11" t="s">
        <v>16</v>
      </c>
      <c r="M11" t="s">
        <v>17</v>
      </c>
      <c r="N11" t="s">
        <v>18</v>
      </c>
      <c r="O11" t="s">
        <v>19</v>
      </c>
      <c r="P11" t="s">
        <v>20</v>
      </c>
      <c r="Q11" s="5" t="s">
        <v>21</v>
      </c>
      <c r="R11" s="5" t="s">
        <v>22</v>
      </c>
      <c r="T11" s="2"/>
      <c r="U11" s="2"/>
    </row>
    <row r="12" spans="1:1024" x14ac:dyDescent="0.15">
      <c r="A12">
        <v>12</v>
      </c>
      <c r="B12">
        <v>0.5</v>
      </c>
      <c r="C12">
        <v>0.02</v>
      </c>
      <c r="D12">
        <f t="shared" ref="D12:D19" si="7">5*C12</f>
        <v>0.1</v>
      </c>
      <c r="E12">
        <v>1</v>
      </c>
      <c r="F12">
        <v>1</v>
      </c>
      <c r="G12">
        <f t="shared" ref="G12:G19" si="8">F12*(1+3/8*C12/D12)</f>
        <v>1.075</v>
      </c>
      <c r="H12" s="5">
        <v>100000</v>
      </c>
      <c r="I12">
        <v>0.46589999999999998</v>
      </c>
      <c r="J12">
        <v>0.48659999999999998</v>
      </c>
      <c r="K12">
        <v>0.47</v>
      </c>
      <c r="L12">
        <f t="shared" ref="L12:L19" si="9">A12/(C12*2)</f>
        <v>300</v>
      </c>
      <c r="M12">
        <f t="shared" ref="M12:M19" si="10">1+K12/B12</f>
        <v>1.94</v>
      </c>
      <c r="N12">
        <f t="shared" ref="N12:N19" si="11">B12*E12*(M12-1/M12)^2</f>
        <v>1.0146515251355086</v>
      </c>
      <c r="P12" s="7"/>
      <c r="Q12" s="5"/>
      <c r="R12" s="5"/>
      <c r="T12" s="2"/>
      <c r="U12" s="2"/>
    </row>
    <row r="13" spans="1:1024" x14ac:dyDescent="0.15">
      <c r="A13">
        <v>10</v>
      </c>
      <c r="B13">
        <v>0.5</v>
      </c>
      <c r="C13">
        <v>0.02</v>
      </c>
      <c r="D13">
        <f t="shared" si="7"/>
        <v>0.1</v>
      </c>
      <c r="E13">
        <v>1</v>
      </c>
      <c r="F13">
        <v>1</v>
      </c>
      <c r="G13">
        <f t="shared" si="8"/>
        <v>1.075</v>
      </c>
      <c r="H13" s="5">
        <v>100000</v>
      </c>
      <c r="I13">
        <v>0.46589999999999998</v>
      </c>
      <c r="J13">
        <v>0.48659999999999998</v>
      </c>
      <c r="K13">
        <v>0.47</v>
      </c>
      <c r="L13">
        <f t="shared" si="9"/>
        <v>250</v>
      </c>
      <c r="M13">
        <f t="shared" si="10"/>
        <v>1.94</v>
      </c>
      <c r="N13">
        <f t="shared" si="11"/>
        <v>1.0146515251355086</v>
      </c>
      <c r="O13" s="5">
        <v>5.0395538010583403</v>
      </c>
      <c r="P13" s="7">
        <v>5.1146389038175002</v>
      </c>
      <c r="Q13">
        <f>-(O13-P13)/(4*C13)</f>
        <v>0.93856378448949895</v>
      </c>
      <c r="R13" s="2">
        <f>ABS(N13-Q13)/N13*100</f>
        <v>7.4989036887169709</v>
      </c>
      <c r="T13" s="2"/>
      <c r="U13" s="2"/>
    </row>
    <row r="14" spans="1:1024" s="2" customFormat="1" x14ac:dyDescent="0.15">
      <c r="A14">
        <v>8</v>
      </c>
      <c r="B14">
        <v>0.5</v>
      </c>
      <c r="C14">
        <v>0.02</v>
      </c>
      <c r="D14">
        <f t="shared" si="7"/>
        <v>0.1</v>
      </c>
      <c r="E14">
        <v>1</v>
      </c>
      <c r="F14">
        <v>1</v>
      </c>
      <c r="G14">
        <f t="shared" si="8"/>
        <v>1.075</v>
      </c>
      <c r="H14" s="5">
        <v>100000</v>
      </c>
      <c r="I14">
        <v>0.46589999999999998</v>
      </c>
      <c r="J14">
        <v>0.48659999999999998</v>
      </c>
      <c r="K14">
        <v>0.47</v>
      </c>
      <c r="L14">
        <f t="shared" si="9"/>
        <v>200</v>
      </c>
      <c r="M14">
        <f t="shared" si="10"/>
        <v>1.94</v>
      </c>
      <c r="N14">
        <f t="shared" si="11"/>
        <v>1.0146515251355086</v>
      </c>
      <c r="S14" s="8"/>
      <c r="V14"/>
      <c r="AMI14"/>
      <c r="AMJ14"/>
    </row>
    <row r="15" spans="1:1024" s="2" customFormat="1" x14ac:dyDescent="0.15">
      <c r="A15">
        <v>6</v>
      </c>
      <c r="B15">
        <v>0.5</v>
      </c>
      <c r="C15">
        <v>0.02</v>
      </c>
      <c r="D15">
        <f t="shared" si="7"/>
        <v>0.1</v>
      </c>
      <c r="E15">
        <v>1</v>
      </c>
      <c r="F15">
        <v>1</v>
      </c>
      <c r="G15">
        <f t="shared" si="8"/>
        <v>1.075</v>
      </c>
      <c r="H15" s="5">
        <v>100000</v>
      </c>
      <c r="I15">
        <v>0.46589999999999998</v>
      </c>
      <c r="J15">
        <v>0.48659999999999998</v>
      </c>
      <c r="K15">
        <v>0.47</v>
      </c>
      <c r="L15">
        <f t="shared" si="9"/>
        <v>150</v>
      </c>
      <c r="M15">
        <f t="shared" si="10"/>
        <v>1.94</v>
      </c>
      <c r="N15">
        <f t="shared" si="11"/>
        <v>1.0146515251355086</v>
      </c>
      <c r="O15" s="9">
        <v>3.0033641801503301</v>
      </c>
      <c r="P15" s="7">
        <v>3.0911002112499801</v>
      </c>
      <c r="Q15">
        <f>-(O15-P15)/(4*C15)</f>
        <v>1.096700388745625</v>
      </c>
      <c r="R15" s="2">
        <f>ABS(N15-Q15)/N15*100</f>
        <v>8.0864081487640451</v>
      </c>
      <c r="V15"/>
      <c r="AMI15"/>
      <c r="AMJ15"/>
    </row>
    <row r="16" spans="1:1024" s="2" customFormat="1" x14ac:dyDescent="0.15">
      <c r="A16">
        <v>5</v>
      </c>
      <c r="B16">
        <v>0.5</v>
      </c>
      <c r="C16">
        <v>0.02</v>
      </c>
      <c r="D16">
        <f t="shared" si="7"/>
        <v>0.1</v>
      </c>
      <c r="E16">
        <v>1</v>
      </c>
      <c r="F16">
        <v>1</v>
      </c>
      <c r="G16">
        <f t="shared" si="8"/>
        <v>1.075</v>
      </c>
      <c r="H16" s="5">
        <v>100000</v>
      </c>
      <c r="I16">
        <v>0.46589999999999998</v>
      </c>
      <c r="J16">
        <v>0.48659999999999998</v>
      </c>
      <c r="K16">
        <v>0.47</v>
      </c>
      <c r="L16">
        <f t="shared" si="9"/>
        <v>125</v>
      </c>
      <c r="M16">
        <f t="shared" si="10"/>
        <v>1.94</v>
      </c>
      <c r="N16">
        <f t="shared" si="11"/>
        <v>1.0146515251355086</v>
      </c>
      <c r="Q16" s="7"/>
      <c r="R16" s="7"/>
      <c r="V16"/>
      <c r="AMI16"/>
      <c r="AMJ16"/>
    </row>
    <row r="17" spans="1:1024" s="2" customFormat="1" x14ac:dyDescent="0.15">
      <c r="A17">
        <v>4</v>
      </c>
      <c r="B17">
        <v>0.5</v>
      </c>
      <c r="C17">
        <v>0.02</v>
      </c>
      <c r="D17">
        <f t="shared" si="7"/>
        <v>0.1</v>
      </c>
      <c r="E17">
        <v>1</v>
      </c>
      <c r="F17">
        <v>1</v>
      </c>
      <c r="G17">
        <f t="shared" si="8"/>
        <v>1.075</v>
      </c>
      <c r="H17" s="5">
        <v>100000</v>
      </c>
      <c r="I17">
        <v>0.46589999999999998</v>
      </c>
      <c r="J17">
        <v>0.48659999999999998</v>
      </c>
      <c r="K17">
        <v>0.47</v>
      </c>
      <c r="L17">
        <f t="shared" si="9"/>
        <v>100</v>
      </c>
      <c r="M17">
        <f t="shared" si="10"/>
        <v>1.94</v>
      </c>
      <c r="N17">
        <f t="shared" si="11"/>
        <v>1.0146515251355086</v>
      </c>
      <c r="O17" s="7">
        <v>1.98858865360632</v>
      </c>
      <c r="P17" s="7">
        <v>2.0685887136587202</v>
      </c>
      <c r="Q17">
        <f>-(O17-P17)/(4*C17)</f>
        <v>1.0000007506550028</v>
      </c>
      <c r="R17" s="2">
        <f>ABS(N17-Q17)/N17*100</f>
        <v>1.4439217916268485</v>
      </c>
      <c r="V17"/>
      <c r="AMI17"/>
      <c r="AMJ17"/>
    </row>
    <row r="18" spans="1:1024" s="2" customFormat="1" x14ac:dyDescent="0.15">
      <c r="A18">
        <v>3</v>
      </c>
      <c r="B18">
        <v>0.5</v>
      </c>
      <c r="C18">
        <v>0.02</v>
      </c>
      <c r="D18">
        <f t="shared" si="7"/>
        <v>0.1</v>
      </c>
      <c r="E18">
        <v>1</v>
      </c>
      <c r="F18">
        <v>1</v>
      </c>
      <c r="G18">
        <f t="shared" si="8"/>
        <v>1.075</v>
      </c>
      <c r="H18" s="5">
        <v>100000</v>
      </c>
      <c r="I18">
        <v>0.46589999999999998</v>
      </c>
      <c r="J18">
        <v>0.48659999999999998</v>
      </c>
      <c r="K18">
        <v>0.47</v>
      </c>
      <c r="L18">
        <f t="shared" si="9"/>
        <v>75</v>
      </c>
      <c r="M18">
        <f t="shared" si="10"/>
        <v>1.94</v>
      </c>
      <c r="N18">
        <f t="shared" si="11"/>
        <v>1.0146515251355086</v>
      </c>
      <c r="O18" s="7">
        <v>1.49022978027492</v>
      </c>
      <c r="P18" s="7">
        <v>1.5706246534010599</v>
      </c>
      <c r="Q18">
        <f>-(O18-P18)/(4*C18)</f>
        <v>1.0049359140767489</v>
      </c>
      <c r="R18" s="2">
        <f>ABS(N18-Q18)/N18*100</f>
        <v>0.95753180457321985</v>
      </c>
      <c r="V18"/>
      <c r="AMI18"/>
      <c r="AMJ18"/>
    </row>
    <row r="19" spans="1:1024" s="2" customFormat="1" x14ac:dyDescent="0.15">
      <c r="A19">
        <v>2</v>
      </c>
      <c r="B19">
        <v>0.5</v>
      </c>
      <c r="C19">
        <v>0.02</v>
      </c>
      <c r="D19">
        <f t="shared" si="7"/>
        <v>0.1</v>
      </c>
      <c r="E19">
        <v>1</v>
      </c>
      <c r="F19">
        <v>1</v>
      </c>
      <c r="G19">
        <f t="shared" si="8"/>
        <v>1.075</v>
      </c>
      <c r="H19" s="5">
        <v>100000</v>
      </c>
      <c r="I19">
        <v>0.46589999999999998</v>
      </c>
      <c r="J19">
        <v>0.48659999999999998</v>
      </c>
      <c r="K19">
        <v>0.47</v>
      </c>
      <c r="L19">
        <f t="shared" si="9"/>
        <v>50</v>
      </c>
      <c r="M19">
        <f t="shared" si="10"/>
        <v>1.94</v>
      </c>
      <c r="N19">
        <f t="shared" si="11"/>
        <v>1.0146515251355086</v>
      </c>
      <c r="O19" s="7">
        <v>1.00352781736546</v>
      </c>
      <c r="P19" s="7">
        <v>1.0748017476259</v>
      </c>
      <c r="Q19">
        <f>-(O19-P19)/(4*C19)</f>
        <v>0.89092412825549916</v>
      </c>
      <c r="R19" s="2">
        <f>ABS(N19-Q19)/N19*100</f>
        <v>12.194077849879093</v>
      </c>
      <c r="V19"/>
      <c r="AMI19"/>
      <c r="AMJ19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5"/>
  <sheetViews>
    <sheetView zoomScaleNormal="100" workbookViewId="0">
      <selection sqref="A1:XFD11"/>
    </sheetView>
  </sheetViews>
  <sheetFormatPr baseColWidth="10" defaultColWidth="8.83203125" defaultRowHeight="13" outlineLevelRow="1" x14ac:dyDescent="0.15"/>
  <cols>
    <col min="1" max="1" width="4" customWidth="1"/>
    <col min="2" max="2" width="5.5" customWidth="1"/>
    <col min="3" max="3" width="6.6640625" customWidth="1"/>
    <col min="4" max="4" width="8.6640625" customWidth="1"/>
    <col min="5" max="5" width="5" customWidth="1"/>
    <col min="6" max="6" width="7" customWidth="1"/>
    <col min="7" max="7" width="10.83203125" bestFit="1" customWidth="1"/>
    <col min="8" max="8" width="12.83203125" bestFit="1" customWidth="1"/>
    <col min="9" max="9" width="6.1640625" customWidth="1"/>
    <col min="10" max="11" width="11.5"/>
    <col min="12" max="12" width="13.6640625" customWidth="1"/>
    <col min="13" max="13" width="9.6640625" customWidth="1"/>
    <col min="14" max="14" width="7" customWidth="1"/>
    <col min="15" max="15" width="6.5" customWidth="1"/>
    <col min="16" max="16" width="6" customWidth="1"/>
    <col min="17" max="17" width="11.5"/>
    <col min="18" max="18" width="5.5" customWidth="1"/>
    <col min="19" max="19" width="6.83203125" customWidth="1"/>
    <col min="20" max="20" width="7.33203125" customWidth="1"/>
    <col min="21" max="21" width="6.5" customWidth="1"/>
    <col min="22" max="22" width="5.83203125" customWidth="1"/>
    <col min="23" max="23" width="7.5" customWidth="1"/>
    <col min="24" max="24" width="7.1640625" customWidth="1"/>
    <col min="25" max="25" width="6.83203125" customWidth="1"/>
    <col min="26" max="1025" width="11.5"/>
  </cols>
  <sheetData>
    <row r="1" spans="1:36" x14ac:dyDescent="0.15">
      <c r="A1" t="s">
        <v>10</v>
      </c>
      <c r="B1" t="s">
        <v>11</v>
      </c>
      <c r="C1" t="s">
        <v>23</v>
      </c>
      <c r="D1" t="s">
        <v>13</v>
      </c>
      <c r="E1" s="4" t="s">
        <v>6</v>
      </c>
      <c r="F1" s="4" t="s">
        <v>7</v>
      </c>
      <c r="G1" s="4" t="s">
        <v>132</v>
      </c>
      <c r="H1" t="s">
        <v>131</v>
      </c>
      <c r="I1" s="4" t="s">
        <v>0</v>
      </c>
      <c r="J1" t="s">
        <v>24</v>
      </c>
      <c r="K1" t="s">
        <v>133</v>
      </c>
      <c r="L1" t="s">
        <v>134</v>
      </c>
      <c r="M1" s="4" t="s">
        <v>8</v>
      </c>
      <c r="N1" t="s">
        <v>9</v>
      </c>
      <c r="O1" t="s">
        <v>27</v>
      </c>
      <c r="P1" t="s">
        <v>28</v>
      </c>
      <c r="Q1" t="s">
        <v>29</v>
      </c>
      <c r="R1" t="s">
        <v>30</v>
      </c>
      <c r="S1" t="s">
        <v>1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s="2" t="s">
        <v>37</v>
      </c>
      <c r="AA1" s="2" t="s">
        <v>38</v>
      </c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15">
      <c r="A2">
        <v>1</v>
      </c>
      <c r="B2">
        <v>1</v>
      </c>
      <c r="C2">
        <f>B2*(1+(3/2)*M2/N2)</f>
        <v>1.3</v>
      </c>
      <c r="D2" s="5">
        <v>100000</v>
      </c>
      <c r="E2">
        <v>6</v>
      </c>
      <c r="F2">
        <v>0.5</v>
      </c>
      <c r="G2">
        <v>0.46589999999999998</v>
      </c>
      <c r="H2">
        <v>0.5454</v>
      </c>
      <c r="I2">
        <v>0.45</v>
      </c>
      <c r="J2" s="5">
        <v>0.50974405708346304</v>
      </c>
      <c r="K2">
        <f t="shared" ref="K2:K9" si="0">ABS(G2-J2)/G2*100</f>
        <v>9.4106153860191171</v>
      </c>
      <c r="L2">
        <f t="shared" ref="L2:L11" si="1">ABS(H2-J2)/H2*100</f>
        <v>6.5375766256943439</v>
      </c>
      <c r="M2">
        <v>0.02</v>
      </c>
      <c r="N2">
        <f t="shared" ref="N2:N11" si="2">5*M2</f>
        <v>0.1</v>
      </c>
      <c r="O2">
        <f t="shared" ref="O2:O11" si="3">20*M2</f>
        <v>0.4</v>
      </c>
      <c r="P2" t="s">
        <v>39</v>
      </c>
      <c r="Q2" t="s">
        <v>40</v>
      </c>
      <c r="R2" t="s">
        <v>41</v>
      </c>
      <c r="T2">
        <f t="shared" ref="T2:T11" si="4">M2</f>
        <v>0.02</v>
      </c>
      <c r="W2">
        <f t="shared" ref="W2:W11" si="5">6/T2</f>
        <v>300</v>
      </c>
      <c r="X2">
        <f t="shared" ref="X2:X11" si="6">1/T2</f>
        <v>50</v>
      </c>
      <c r="Y2" t="s">
        <v>42</v>
      </c>
      <c r="Z2" s="2" t="s">
        <v>43</v>
      </c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15">
      <c r="A3">
        <v>1</v>
      </c>
      <c r="B3">
        <v>1</v>
      </c>
      <c r="C3" s="2">
        <f t="shared" ref="C3:C11" si="7">B3*(1+(3/2)*M3/N3)</f>
        <v>1.3</v>
      </c>
      <c r="D3" s="5">
        <v>100000</v>
      </c>
      <c r="E3">
        <v>6</v>
      </c>
      <c r="F3">
        <v>0.5</v>
      </c>
      <c r="G3">
        <v>0.46589999999999998</v>
      </c>
      <c r="H3" s="2">
        <v>0.5454</v>
      </c>
      <c r="I3">
        <v>0.45</v>
      </c>
      <c r="J3" s="5">
        <v>0.51029260731161696</v>
      </c>
      <c r="K3">
        <f t="shared" si="0"/>
        <v>9.5283552933283922</v>
      </c>
      <c r="L3">
        <f t="shared" si="1"/>
        <v>6.4369990261061663</v>
      </c>
      <c r="M3">
        <v>1.2E-2</v>
      </c>
      <c r="N3">
        <f t="shared" si="2"/>
        <v>0.06</v>
      </c>
      <c r="O3">
        <f t="shared" si="3"/>
        <v>0.24</v>
      </c>
      <c r="P3" t="s">
        <v>39</v>
      </c>
      <c r="Q3" t="s">
        <v>40</v>
      </c>
      <c r="R3" t="s">
        <v>41</v>
      </c>
      <c r="T3">
        <f t="shared" si="4"/>
        <v>1.2E-2</v>
      </c>
      <c r="W3">
        <f t="shared" si="5"/>
        <v>500</v>
      </c>
      <c r="X3">
        <f t="shared" si="6"/>
        <v>83.333333333333329</v>
      </c>
      <c r="Y3" t="s">
        <v>42</v>
      </c>
      <c r="Z3" s="2" t="s">
        <v>43</v>
      </c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15">
      <c r="A4">
        <v>1</v>
      </c>
      <c r="B4">
        <v>1</v>
      </c>
      <c r="C4" s="2">
        <f t="shared" si="7"/>
        <v>1.3</v>
      </c>
      <c r="D4" s="5">
        <v>100000</v>
      </c>
      <c r="E4">
        <v>6</v>
      </c>
      <c r="F4">
        <v>0.5</v>
      </c>
      <c r="G4">
        <v>0.46589999999999998</v>
      </c>
      <c r="H4" s="2">
        <v>0.5454</v>
      </c>
      <c r="I4">
        <v>0.45</v>
      </c>
      <c r="J4" s="5">
        <v>0.52004307948226103</v>
      </c>
      <c r="K4">
        <f t="shared" si="0"/>
        <v>11.621180399712609</v>
      </c>
      <c r="L4">
        <f t="shared" si="1"/>
        <v>4.6492336849539724</v>
      </c>
      <c r="M4">
        <v>1.2E-2</v>
      </c>
      <c r="N4">
        <f t="shared" si="2"/>
        <v>0.06</v>
      </c>
      <c r="O4">
        <f t="shared" si="3"/>
        <v>0.24</v>
      </c>
      <c r="P4" t="s">
        <v>44</v>
      </c>
      <c r="Q4" t="s">
        <v>40</v>
      </c>
      <c r="R4" t="s">
        <v>41</v>
      </c>
      <c r="T4">
        <f t="shared" si="4"/>
        <v>1.2E-2</v>
      </c>
      <c r="W4">
        <f t="shared" si="5"/>
        <v>500</v>
      </c>
      <c r="X4">
        <f t="shared" si="6"/>
        <v>83.333333333333329</v>
      </c>
      <c r="Y4" t="s">
        <v>42</v>
      </c>
      <c r="Z4" s="2" t="s">
        <v>43</v>
      </c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15">
      <c r="A5">
        <v>1</v>
      </c>
      <c r="B5">
        <v>1</v>
      </c>
      <c r="C5" s="2">
        <f t="shared" si="7"/>
        <v>1.3</v>
      </c>
      <c r="D5" s="5">
        <v>100001</v>
      </c>
      <c r="E5">
        <v>6</v>
      </c>
      <c r="F5">
        <v>0.5</v>
      </c>
      <c r="G5">
        <v>0.46589999999999998</v>
      </c>
      <c r="H5" s="2">
        <v>0.5454</v>
      </c>
      <c r="I5">
        <v>0.55000000000000004</v>
      </c>
      <c r="J5" s="5">
        <v>0.52023658688789198</v>
      </c>
      <c r="K5">
        <f t="shared" si="0"/>
        <v>11.662714506952566</v>
      </c>
      <c r="L5">
        <f t="shared" si="1"/>
        <v>4.6137537792643961</v>
      </c>
      <c r="M5">
        <v>0.01</v>
      </c>
      <c r="N5">
        <f t="shared" si="2"/>
        <v>0.05</v>
      </c>
      <c r="O5">
        <f t="shared" si="3"/>
        <v>0.2</v>
      </c>
      <c r="P5" t="s">
        <v>44</v>
      </c>
      <c r="Q5" t="s">
        <v>40</v>
      </c>
      <c r="R5" t="s">
        <v>41</v>
      </c>
      <c r="T5">
        <f t="shared" si="4"/>
        <v>0.01</v>
      </c>
      <c r="W5">
        <f t="shared" si="5"/>
        <v>600</v>
      </c>
      <c r="X5">
        <f t="shared" si="6"/>
        <v>100</v>
      </c>
      <c r="Y5" t="s">
        <v>42</v>
      </c>
      <c r="Z5" s="2" t="s">
        <v>43</v>
      </c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15">
      <c r="A6">
        <v>1</v>
      </c>
      <c r="B6">
        <v>1</v>
      </c>
      <c r="C6" s="2">
        <f t="shared" si="7"/>
        <v>1.3</v>
      </c>
      <c r="D6" s="5">
        <v>100001</v>
      </c>
      <c r="E6">
        <v>6</v>
      </c>
      <c r="F6">
        <v>0.5</v>
      </c>
      <c r="G6">
        <v>0.46589999999999998</v>
      </c>
      <c r="H6" s="2">
        <v>0.5454</v>
      </c>
      <c r="I6">
        <v>0.55000000000000004</v>
      </c>
      <c r="J6" s="5">
        <v>0.51407035175879401</v>
      </c>
      <c r="K6">
        <f t="shared" si="0"/>
        <v>10.339204069283973</v>
      </c>
      <c r="L6">
        <f t="shared" si="1"/>
        <v>5.7443432785489525</v>
      </c>
      <c r="M6">
        <v>0.01</v>
      </c>
      <c r="N6">
        <f t="shared" si="2"/>
        <v>0.05</v>
      </c>
      <c r="O6">
        <f t="shared" si="3"/>
        <v>0.2</v>
      </c>
      <c r="P6" t="s">
        <v>39</v>
      </c>
      <c r="Q6" t="s">
        <v>45</v>
      </c>
      <c r="R6" t="s">
        <v>46</v>
      </c>
      <c r="S6">
        <v>200</v>
      </c>
      <c r="T6">
        <f t="shared" si="4"/>
        <v>0.01</v>
      </c>
      <c r="U6">
        <v>0.01</v>
      </c>
      <c r="V6">
        <v>0.18</v>
      </c>
      <c r="W6">
        <f t="shared" si="5"/>
        <v>600</v>
      </c>
      <c r="X6">
        <f t="shared" si="6"/>
        <v>100</v>
      </c>
      <c r="Y6" t="s">
        <v>47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s="10" customFormat="1" x14ac:dyDescent="0.15">
      <c r="A7" s="2">
        <v>1</v>
      </c>
      <c r="B7" s="2">
        <v>1</v>
      </c>
      <c r="C7" s="2">
        <f t="shared" si="7"/>
        <v>1.3</v>
      </c>
      <c r="D7" s="7">
        <v>100001</v>
      </c>
      <c r="E7" s="2">
        <v>6</v>
      </c>
      <c r="F7" s="2">
        <v>0.5</v>
      </c>
      <c r="G7" s="2">
        <v>0.46589999999999998</v>
      </c>
      <c r="H7" s="2">
        <v>0.5454</v>
      </c>
      <c r="I7" s="2">
        <v>0.55000000000000004</v>
      </c>
      <c r="J7" s="7">
        <v>0.52023658688789198</v>
      </c>
      <c r="K7" s="2">
        <f t="shared" si="0"/>
        <v>11.662714506952566</v>
      </c>
      <c r="L7" s="2">
        <f t="shared" si="1"/>
        <v>4.6137537792643961</v>
      </c>
      <c r="M7" s="2">
        <v>6.0000000000000001E-3</v>
      </c>
      <c r="N7" s="2">
        <f t="shared" si="2"/>
        <v>0.03</v>
      </c>
      <c r="O7">
        <f t="shared" si="3"/>
        <v>0.12</v>
      </c>
      <c r="P7" s="2" t="s">
        <v>44</v>
      </c>
      <c r="Q7" s="2" t="s">
        <v>40</v>
      </c>
      <c r="R7" s="2" t="s">
        <v>41</v>
      </c>
      <c r="S7" s="2">
        <v>150</v>
      </c>
      <c r="T7" s="2">
        <f t="shared" si="4"/>
        <v>6.0000000000000001E-3</v>
      </c>
      <c r="U7" s="2"/>
      <c r="V7" s="2"/>
      <c r="W7" s="2">
        <f t="shared" si="5"/>
        <v>1000</v>
      </c>
      <c r="X7" s="2">
        <f t="shared" si="6"/>
        <v>166.66666666666666</v>
      </c>
      <c r="Y7" s="2" t="s">
        <v>42</v>
      </c>
      <c r="Z7" s="2" t="s">
        <v>43</v>
      </c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s="10" customFormat="1" x14ac:dyDescent="0.15">
      <c r="A8" s="2">
        <v>1</v>
      </c>
      <c r="B8" s="2">
        <v>1</v>
      </c>
      <c r="C8" s="2">
        <f t="shared" si="7"/>
        <v>1.3</v>
      </c>
      <c r="D8" s="7">
        <v>100001</v>
      </c>
      <c r="E8" s="2">
        <v>6</v>
      </c>
      <c r="F8" s="2">
        <v>0.5</v>
      </c>
      <c r="G8" s="2">
        <v>0.46589999999999998</v>
      </c>
      <c r="H8" s="2">
        <v>0.5454</v>
      </c>
      <c r="I8" s="2">
        <v>0.55000000000000004</v>
      </c>
      <c r="J8" s="7">
        <v>0.52023658688789198</v>
      </c>
      <c r="K8" s="2">
        <f t="shared" si="0"/>
        <v>11.662714506952566</v>
      </c>
      <c r="L8" s="2">
        <f t="shared" si="1"/>
        <v>4.6137537792643961</v>
      </c>
      <c r="M8" s="2">
        <v>5.0000000000000001E-3</v>
      </c>
      <c r="N8" s="2">
        <f t="shared" si="2"/>
        <v>2.5000000000000001E-2</v>
      </c>
      <c r="O8">
        <f t="shared" si="3"/>
        <v>0.1</v>
      </c>
      <c r="P8" s="2" t="s">
        <v>44</v>
      </c>
      <c r="Q8" s="2" t="s">
        <v>40</v>
      </c>
      <c r="R8" s="8" t="s">
        <v>41</v>
      </c>
      <c r="S8" s="2">
        <v>150</v>
      </c>
      <c r="T8" s="2">
        <f t="shared" si="4"/>
        <v>5.0000000000000001E-3</v>
      </c>
      <c r="U8" s="2"/>
      <c r="V8" s="2"/>
      <c r="W8" s="2">
        <f t="shared" si="5"/>
        <v>1200</v>
      </c>
      <c r="X8" s="2">
        <f t="shared" si="6"/>
        <v>200</v>
      </c>
      <c r="Y8" s="2" t="s">
        <v>42</v>
      </c>
      <c r="Z8" s="2" t="s">
        <v>43</v>
      </c>
      <c r="AA8" s="2" t="s">
        <v>48</v>
      </c>
      <c r="AB8" s="2"/>
      <c r="AC8" s="2"/>
      <c r="AD8" s="2"/>
      <c r="AE8" s="2"/>
      <c r="AF8" s="2"/>
      <c r="AG8" s="2"/>
      <c r="AH8" s="2"/>
      <c r="AI8" s="2"/>
      <c r="AJ8" s="2"/>
    </row>
    <row r="9" spans="1:36" s="10" customFormat="1" x14ac:dyDescent="0.15">
      <c r="A9" s="2">
        <v>1</v>
      </c>
      <c r="B9" s="2">
        <v>1</v>
      </c>
      <c r="C9" s="2">
        <f t="shared" si="7"/>
        <v>1.3</v>
      </c>
      <c r="D9" s="7">
        <v>100001</v>
      </c>
      <c r="E9" s="2">
        <v>6</v>
      </c>
      <c r="F9" s="2">
        <v>0.5</v>
      </c>
      <c r="G9" s="2">
        <v>0.46589999999999998</v>
      </c>
      <c r="H9" s="2">
        <v>0.5454</v>
      </c>
      <c r="I9" s="2">
        <v>0.53</v>
      </c>
      <c r="J9" s="7">
        <v>0.52098733289366195</v>
      </c>
      <c r="K9" s="2">
        <f t="shared" si="0"/>
        <v>11.823853379193384</v>
      </c>
      <c r="L9" s="16">
        <f t="shared" si="1"/>
        <v>4.4761032464866242</v>
      </c>
      <c r="M9" s="2">
        <v>5.0000000000000001E-3</v>
      </c>
      <c r="N9" s="2">
        <f t="shared" si="2"/>
        <v>2.5000000000000001E-2</v>
      </c>
      <c r="O9">
        <f t="shared" si="3"/>
        <v>0.1</v>
      </c>
      <c r="P9" s="2" t="s">
        <v>44</v>
      </c>
      <c r="Q9" s="2" t="s">
        <v>45</v>
      </c>
      <c r="R9" s="8" t="s">
        <v>46</v>
      </c>
      <c r="S9" s="2">
        <v>250</v>
      </c>
      <c r="T9" s="2">
        <f t="shared" si="4"/>
        <v>5.0000000000000001E-3</v>
      </c>
      <c r="U9" s="2">
        <v>0.2</v>
      </c>
      <c r="V9" s="2">
        <v>0.08</v>
      </c>
      <c r="W9" s="2">
        <f t="shared" si="5"/>
        <v>1200</v>
      </c>
      <c r="X9" s="2">
        <f t="shared" si="6"/>
        <v>200</v>
      </c>
      <c r="Y9" s="2" t="s">
        <v>47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s="10" customFormat="1" x14ac:dyDescent="0.15">
      <c r="A10" s="10">
        <v>1</v>
      </c>
      <c r="B10" s="10">
        <v>1</v>
      </c>
      <c r="C10" s="2">
        <f t="shared" si="7"/>
        <v>1.3</v>
      </c>
      <c r="D10" s="9">
        <v>100001</v>
      </c>
      <c r="E10" s="10">
        <v>6</v>
      </c>
      <c r="F10" s="10">
        <v>0.5</v>
      </c>
      <c r="G10" s="10">
        <v>0.46589999999999998</v>
      </c>
      <c r="H10" s="2">
        <v>0.5454</v>
      </c>
      <c r="I10" s="10">
        <v>0.53</v>
      </c>
      <c r="J10" s="9">
        <v>0.52694254198621604</v>
      </c>
      <c r="K10" s="9">
        <f>ABS(G10-J10)/G10*100</f>
        <v>13.102069539861786</v>
      </c>
      <c r="L10" s="9">
        <f t="shared" si="1"/>
        <v>3.3842057230993685</v>
      </c>
      <c r="M10" s="10">
        <v>2E-3</v>
      </c>
      <c r="N10" s="10">
        <f t="shared" si="2"/>
        <v>0.01</v>
      </c>
      <c r="O10" s="10">
        <f t="shared" si="3"/>
        <v>0.04</v>
      </c>
      <c r="P10" s="10" t="s">
        <v>44</v>
      </c>
      <c r="Q10" s="10" t="s">
        <v>45</v>
      </c>
      <c r="R10" s="10" t="s">
        <v>46</v>
      </c>
      <c r="S10" s="10">
        <v>300</v>
      </c>
      <c r="T10" s="10">
        <f t="shared" si="4"/>
        <v>2E-3</v>
      </c>
      <c r="U10" s="10">
        <v>0.22</v>
      </c>
      <c r="V10" s="10">
        <v>0.04</v>
      </c>
      <c r="W10" s="10">
        <f t="shared" si="5"/>
        <v>3000</v>
      </c>
      <c r="X10" s="10">
        <f t="shared" si="6"/>
        <v>500</v>
      </c>
      <c r="Y10" s="10" t="s">
        <v>47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s="27" customFormat="1" x14ac:dyDescent="0.15">
      <c r="A11" s="20">
        <v>1</v>
      </c>
      <c r="B11" s="20">
        <v>1</v>
      </c>
      <c r="C11" s="20">
        <f t="shared" si="7"/>
        <v>1.3</v>
      </c>
      <c r="D11" s="26">
        <f>100000</f>
        <v>100000</v>
      </c>
      <c r="E11" s="20">
        <v>6</v>
      </c>
      <c r="F11" s="20">
        <v>0.5</v>
      </c>
      <c r="G11" s="27">
        <v>0.46589999999999998</v>
      </c>
      <c r="H11" s="20">
        <v>0.5454</v>
      </c>
      <c r="I11" s="20">
        <v>0.53</v>
      </c>
      <c r="J11" s="26"/>
      <c r="K11" s="20"/>
      <c r="L11" s="28">
        <f>ABS(H11-J11)/H11*100</f>
        <v>100</v>
      </c>
      <c r="M11" s="20">
        <v>2E-3</v>
      </c>
      <c r="N11" s="20">
        <f t="shared" si="2"/>
        <v>0.01</v>
      </c>
      <c r="O11" s="20">
        <f t="shared" si="3"/>
        <v>0.04</v>
      </c>
      <c r="P11" s="20" t="s">
        <v>44</v>
      </c>
      <c r="Q11" s="20" t="s">
        <v>45</v>
      </c>
      <c r="R11" s="29" t="s">
        <v>46</v>
      </c>
      <c r="S11" s="20">
        <v>300</v>
      </c>
      <c r="T11" s="20">
        <f t="shared" si="4"/>
        <v>2E-3</v>
      </c>
      <c r="U11" s="20"/>
      <c r="V11" s="20"/>
      <c r="W11" s="20">
        <f t="shared" si="5"/>
        <v>3000</v>
      </c>
      <c r="X11" s="20">
        <f t="shared" si="6"/>
        <v>500</v>
      </c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</row>
    <row r="12" spans="1:36" s="10" customFormat="1" x14ac:dyDescent="0.15">
      <c r="A12" s="2"/>
      <c r="B12" s="2"/>
      <c r="C12" s="2"/>
      <c r="D12" s="7"/>
      <c r="E12" s="2"/>
      <c r="F12" s="2"/>
      <c r="G12" s="2"/>
      <c r="H12" s="2"/>
      <c r="I12" s="2"/>
      <c r="J12" s="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s="10" customFormat="1" x14ac:dyDescent="0.15">
      <c r="A13" s="23" t="s">
        <v>49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>
        <f>20*M13</f>
        <v>0</v>
      </c>
      <c r="P13" s="23"/>
      <c r="Q13" s="23"/>
      <c r="R13" s="23"/>
      <c r="S13" s="23"/>
      <c r="T13" s="23"/>
      <c r="U13" s="23"/>
      <c r="V13" s="23"/>
      <c r="W13" s="23"/>
      <c r="X13" s="11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outlineLevel="1" x14ac:dyDescent="0.15">
      <c r="A14">
        <v>1</v>
      </c>
      <c r="B14">
        <v>1</v>
      </c>
      <c r="C14" s="2">
        <f t="shared" ref="C14:C15" si="8">B14*(1+(3/2)*M14/N14)</f>
        <v>1.3</v>
      </c>
      <c r="D14" s="5">
        <v>100001</v>
      </c>
      <c r="E14">
        <v>6</v>
      </c>
      <c r="F14">
        <v>0.5</v>
      </c>
      <c r="G14">
        <v>0.46589999999999998</v>
      </c>
      <c r="H14" s="2">
        <v>0.5454</v>
      </c>
      <c r="I14">
        <v>0.53</v>
      </c>
      <c r="J14" s="5">
        <v>0.52197689202699504</v>
      </c>
      <c r="K14">
        <f>ABS(G14-J14)/G14*100</f>
        <v>12.036250703368763</v>
      </c>
      <c r="L14">
        <f>ABS(H14-J14)/H14*100</f>
        <v>4.2946659283104056</v>
      </c>
      <c r="M14" s="2">
        <v>5.0000000000000001E-3</v>
      </c>
      <c r="N14" s="2">
        <f>5*M14</f>
        <v>2.5000000000000001E-2</v>
      </c>
      <c r="O14">
        <f>20*M14</f>
        <v>0.1</v>
      </c>
      <c r="P14" s="2" t="s">
        <v>44</v>
      </c>
      <c r="Q14" s="2" t="s">
        <v>45</v>
      </c>
      <c r="R14" s="8" t="s">
        <v>46</v>
      </c>
      <c r="S14" s="12">
        <v>250</v>
      </c>
      <c r="T14">
        <f>M14</f>
        <v>5.0000000000000001E-3</v>
      </c>
      <c r="U14">
        <v>0.15</v>
      </c>
      <c r="V14">
        <v>0.15</v>
      </c>
      <c r="W14">
        <f>6/T14</f>
        <v>1200</v>
      </c>
      <c r="X14">
        <f>1/T14</f>
        <v>200</v>
      </c>
      <c r="Y14" t="s">
        <v>47</v>
      </c>
    </row>
    <row r="15" spans="1:36" s="15" customFormat="1" outlineLevel="1" x14ac:dyDescent="0.15">
      <c r="A15" s="15">
        <v>1</v>
      </c>
      <c r="B15" s="15">
        <v>1</v>
      </c>
      <c r="C15" s="2">
        <f t="shared" si="8"/>
        <v>1.3</v>
      </c>
      <c r="D15" s="17">
        <v>100001</v>
      </c>
      <c r="E15" s="15">
        <v>6</v>
      </c>
      <c r="F15" s="15">
        <v>0.5</v>
      </c>
      <c r="G15" s="15">
        <v>0.46589999999999998</v>
      </c>
      <c r="H15" s="2">
        <v>0.5454</v>
      </c>
      <c r="I15" s="15">
        <v>0.53</v>
      </c>
      <c r="J15" s="17">
        <v>0.52395329616751496</v>
      </c>
      <c r="K15" s="15">
        <f>ABS(G15-J15)/G15*100</f>
        <v>12.460462796204116</v>
      </c>
      <c r="L15" s="15">
        <f>ABS(H15-J15)/H15*100</f>
        <v>3.9322889315154081</v>
      </c>
      <c r="M15" s="15">
        <v>2E-3</v>
      </c>
      <c r="N15" s="15">
        <f>5*M15</f>
        <v>0.01</v>
      </c>
      <c r="O15" s="15">
        <f>20*M15</f>
        <v>0.04</v>
      </c>
      <c r="P15" s="15" t="s">
        <v>44</v>
      </c>
      <c r="Q15" s="15" t="s">
        <v>45</v>
      </c>
      <c r="R15" s="15" t="s">
        <v>46</v>
      </c>
      <c r="S15" s="15">
        <v>300</v>
      </c>
      <c r="T15" s="15">
        <f>M15</f>
        <v>2E-3</v>
      </c>
      <c r="U15" s="15">
        <v>0.16</v>
      </c>
      <c r="V15" s="15">
        <v>0.06</v>
      </c>
      <c r="W15" s="15">
        <f>6/T15</f>
        <v>3000</v>
      </c>
      <c r="X15" s="15">
        <f>1/T15</f>
        <v>500</v>
      </c>
      <c r="Y15" s="15" t="s">
        <v>47</v>
      </c>
    </row>
    <row r="16" spans="1:36" x14ac:dyDescent="0.15">
      <c r="A16" s="23" t="s">
        <v>50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spans="1:26" x14ac:dyDescent="0.15">
      <c r="A17" s="2">
        <v>1</v>
      </c>
      <c r="B17" s="2">
        <v>1</v>
      </c>
      <c r="C17" s="2">
        <f t="shared" ref="C17:C18" si="9">B17*(1+(3/2)*M17/N17)</f>
        <v>1.3</v>
      </c>
      <c r="D17" s="7">
        <v>100001</v>
      </c>
      <c r="E17" s="2">
        <v>6</v>
      </c>
      <c r="F17" s="2">
        <v>0.5</v>
      </c>
      <c r="G17" s="10">
        <v>0.46589999999999998</v>
      </c>
      <c r="H17" s="2">
        <v>0.5454</v>
      </c>
      <c r="I17" s="10">
        <v>0.53</v>
      </c>
      <c r="J17" s="7">
        <v>0.519920705566292</v>
      </c>
      <c r="K17" s="9">
        <f>ABS(G17-J17)/G17*100</f>
        <v>11.594914266214213</v>
      </c>
      <c r="L17" s="18">
        <f t="shared" ref="L17" si="10">ABS(H17-J17)/H17*100</f>
        <v>4.671671146627796</v>
      </c>
      <c r="M17">
        <v>5.0000000000000001E-3</v>
      </c>
      <c r="N17" s="10">
        <f>5*M17</f>
        <v>2.5000000000000001E-2</v>
      </c>
      <c r="O17" s="15">
        <f>20*M17</f>
        <v>0.1</v>
      </c>
      <c r="S17">
        <v>325</v>
      </c>
      <c r="T17" s="10">
        <f>M17</f>
        <v>5.0000000000000001E-3</v>
      </c>
      <c r="U17">
        <v>0.1</v>
      </c>
      <c r="V17" t="s">
        <v>71</v>
      </c>
      <c r="Z17" t="s">
        <v>130</v>
      </c>
    </row>
    <row r="18" spans="1:26" x14ac:dyDescent="0.15">
      <c r="A18" s="10">
        <v>1</v>
      </c>
      <c r="B18" s="10">
        <v>1</v>
      </c>
      <c r="C18" s="2">
        <f t="shared" si="9"/>
        <v>1.3</v>
      </c>
      <c r="D18" s="9">
        <v>100001</v>
      </c>
      <c r="E18" s="10">
        <v>6</v>
      </c>
      <c r="F18" s="10">
        <v>0.5</v>
      </c>
      <c r="G18" s="10">
        <v>0.46589999999999998</v>
      </c>
      <c r="H18" s="2">
        <v>0.5454</v>
      </c>
      <c r="I18" s="10">
        <v>0.53</v>
      </c>
      <c r="J18" s="9">
        <v>0.52395329616749997</v>
      </c>
      <c r="K18" s="10">
        <f>ABS(G18-J18)/G18*100</f>
        <v>12.4604627962009</v>
      </c>
      <c r="L18" s="10">
        <f>ABS(H18-J18)/H18*100</f>
        <v>3.9322889315181562</v>
      </c>
      <c r="M18" s="10">
        <v>2E-3</v>
      </c>
      <c r="N18" s="10">
        <f>5*M18</f>
        <v>0.01</v>
      </c>
      <c r="O18" s="10">
        <f>20*M18</f>
        <v>0.04</v>
      </c>
      <c r="P18" s="10" t="s">
        <v>44</v>
      </c>
      <c r="Q18" s="10" t="s">
        <v>45</v>
      </c>
      <c r="R18" s="10" t="s">
        <v>46</v>
      </c>
      <c r="S18" s="10">
        <v>300</v>
      </c>
      <c r="T18" s="10">
        <f>M18</f>
        <v>2E-3</v>
      </c>
      <c r="U18" s="10">
        <v>0.16</v>
      </c>
      <c r="V18" s="10" t="s">
        <v>71</v>
      </c>
      <c r="W18" s="10">
        <f>6/T18</f>
        <v>3000</v>
      </c>
      <c r="X18" s="10">
        <f>1/T18</f>
        <v>500</v>
      </c>
      <c r="Y18" s="10" t="s">
        <v>47</v>
      </c>
    </row>
    <row r="19" spans="1:26" x14ac:dyDescent="0.15">
      <c r="J19" s="5"/>
    </row>
    <row r="20" spans="1:26" x14ac:dyDescent="0.15">
      <c r="A20" s="23" t="s">
        <v>51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spans="1:26" x14ac:dyDescent="0.15">
      <c r="A21" t="s">
        <v>10</v>
      </c>
      <c r="B21" t="s">
        <v>11</v>
      </c>
      <c r="C21" t="s">
        <v>23</v>
      </c>
      <c r="D21" t="s">
        <v>13</v>
      </c>
      <c r="E21" s="4" t="s">
        <v>6</v>
      </c>
      <c r="F21" s="4" t="s">
        <v>7</v>
      </c>
      <c r="G21" s="8" t="s">
        <v>132</v>
      </c>
      <c r="H21" s="2" t="s">
        <v>131</v>
      </c>
      <c r="I21" s="4" t="s">
        <v>0</v>
      </c>
      <c r="J21" t="s">
        <v>24</v>
      </c>
      <c r="K21" t="s">
        <v>25</v>
      </c>
      <c r="L21" t="s">
        <v>26</v>
      </c>
      <c r="M21" s="4" t="s">
        <v>8</v>
      </c>
      <c r="N21" t="s">
        <v>9</v>
      </c>
      <c r="O21" t="s">
        <v>52</v>
      </c>
      <c r="P21" t="s">
        <v>28</v>
      </c>
      <c r="Q21" t="s">
        <v>29</v>
      </c>
      <c r="R21" t="s">
        <v>30</v>
      </c>
      <c r="S21" t="s">
        <v>1</v>
      </c>
      <c r="T21" t="s">
        <v>31</v>
      </c>
      <c r="U21" t="s">
        <v>32</v>
      </c>
      <c r="V21" t="s">
        <v>33</v>
      </c>
      <c r="W21" t="s">
        <v>34</v>
      </c>
      <c r="X21" t="s">
        <v>35</v>
      </c>
      <c r="Y21" t="s">
        <v>36</v>
      </c>
    </row>
    <row r="22" spans="1:26" x14ac:dyDescent="0.15">
      <c r="A22">
        <v>1</v>
      </c>
      <c r="B22">
        <v>1</v>
      </c>
      <c r="C22" s="2">
        <f t="shared" ref="C22:C23" si="11">B22*(1+(3/2)*M22/N22)</f>
        <v>1.3</v>
      </c>
      <c r="D22" s="5">
        <v>100000</v>
      </c>
      <c r="E22">
        <v>6</v>
      </c>
      <c r="F22">
        <v>0.5</v>
      </c>
      <c r="G22">
        <v>0.46589999999999998</v>
      </c>
      <c r="H22">
        <v>0.48659999999999998</v>
      </c>
      <c r="I22">
        <v>0.53</v>
      </c>
      <c r="J22" s="5"/>
      <c r="K22">
        <f>ABS(G22-J22)/G22*100</f>
        <v>100</v>
      </c>
      <c r="L22">
        <f>ABS(H22-J22)/H22*100</f>
        <v>100</v>
      </c>
      <c r="M22">
        <v>0.02</v>
      </c>
      <c r="N22">
        <f>5*M22</f>
        <v>0.1</v>
      </c>
      <c r="O22">
        <f>M22*20</f>
        <v>0.4</v>
      </c>
      <c r="P22" t="s">
        <v>44</v>
      </c>
      <c r="Q22" s="2" t="s">
        <v>45</v>
      </c>
      <c r="R22" t="s">
        <v>41</v>
      </c>
      <c r="S22">
        <v>53</v>
      </c>
      <c r="W22">
        <f>E22/M22</f>
        <v>300</v>
      </c>
      <c r="X22">
        <f>F22*2/M22</f>
        <v>50</v>
      </c>
    </row>
    <row r="23" spans="1:26" x14ac:dyDescent="0.15">
      <c r="A23">
        <v>1</v>
      </c>
      <c r="B23">
        <v>1</v>
      </c>
      <c r="C23" s="2">
        <f t="shared" si="11"/>
        <v>1.3</v>
      </c>
      <c r="D23" s="5">
        <v>100000</v>
      </c>
      <c r="E23">
        <v>6</v>
      </c>
      <c r="F23">
        <v>0.5</v>
      </c>
      <c r="G23">
        <v>0.46589999999999998</v>
      </c>
      <c r="H23">
        <v>0.48659999999999998</v>
      </c>
      <c r="I23">
        <v>0.53</v>
      </c>
      <c r="J23" s="5"/>
      <c r="K23">
        <f>ABS(G23-J23)/G23*100</f>
        <v>100</v>
      </c>
      <c r="L23">
        <f>ABS(H23-J23)/H23*100</f>
        <v>100</v>
      </c>
      <c r="M23">
        <v>5.0000000000000001E-3</v>
      </c>
      <c r="N23">
        <f>5*M23</f>
        <v>2.5000000000000001E-2</v>
      </c>
      <c r="O23">
        <f>M23*20</f>
        <v>0.1</v>
      </c>
      <c r="P23" t="s">
        <v>44</v>
      </c>
      <c r="Q23" s="2" t="s">
        <v>45</v>
      </c>
      <c r="R23" t="s">
        <v>41</v>
      </c>
      <c r="S23">
        <v>200</v>
      </c>
      <c r="T23" s="2">
        <v>5.0000000000000001E-3</v>
      </c>
      <c r="U23" s="2">
        <v>0.2</v>
      </c>
      <c r="V23" s="2">
        <v>0.1</v>
      </c>
      <c r="W23" s="2">
        <f>6/T23</f>
        <v>1200</v>
      </c>
      <c r="X23" s="2">
        <f>V23*2/T23</f>
        <v>40</v>
      </c>
    </row>
    <row r="25" spans="1:26" x14ac:dyDescent="0.15">
      <c r="A25" s="2"/>
      <c r="B25" s="2"/>
      <c r="C25" s="2"/>
      <c r="D25" s="7"/>
      <c r="E25" s="2"/>
      <c r="F25" s="2"/>
      <c r="G25" s="15"/>
      <c r="H25" s="15"/>
      <c r="I25" s="15"/>
      <c r="J25" s="17"/>
      <c r="K25" s="15"/>
      <c r="L25" s="15"/>
      <c r="M25" s="15"/>
      <c r="N25" s="15"/>
      <c r="O25" s="15"/>
      <c r="P25" s="15"/>
      <c r="Q25" s="15"/>
      <c r="R25" s="19"/>
      <c r="S25" s="15"/>
      <c r="T25" s="15"/>
      <c r="U25" s="2"/>
      <c r="V25" s="2"/>
      <c r="W25" s="2"/>
      <c r="X25" s="2"/>
      <c r="Y25" s="2"/>
    </row>
    <row r="26" spans="1:26" s="2" customFormat="1" x14ac:dyDescent="0.15">
      <c r="D26" s="7"/>
      <c r="G26" s="15"/>
      <c r="H26" s="15"/>
      <c r="I26" s="15"/>
      <c r="J26" s="17"/>
      <c r="K26" s="17"/>
      <c r="L26" s="17"/>
      <c r="M26" s="15"/>
      <c r="N26" s="15"/>
      <c r="O26" s="15"/>
      <c r="P26" s="15"/>
      <c r="Q26" s="15"/>
      <c r="R26" s="15"/>
      <c r="S26" s="15"/>
      <c r="T26" s="15"/>
    </row>
    <row r="30" spans="1:26" x14ac:dyDescent="0.15">
      <c r="F30" t="s">
        <v>128</v>
      </c>
      <c r="G30" t="s">
        <v>127</v>
      </c>
      <c r="H30" t="s">
        <v>126</v>
      </c>
    </row>
    <row r="31" spans="1:26" x14ac:dyDescent="0.15">
      <c r="F31" s="2">
        <v>0.5454</v>
      </c>
      <c r="G31" s="7">
        <v>0.52098733289366195</v>
      </c>
      <c r="H31" s="7">
        <v>0.519920705566292</v>
      </c>
    </row>
    <row r="32" spans="1:26" x14ac:dyDescent="0.15">
      <c r="E32" t="s">
        <v>129</v>
      </c>
      <c r="G32" s="7">
        <f>L9</f>
        <v>4.4761032464866242</v>
      </c>
      <c r="H32" s="7">
        <f>L17</f>
        <v>4.671671146627796</v>
      </c>
    </row>
    <row r="34" spans="2:9" x14ac:dyDescent="0.15">
      <c r="B34" s="2"/>
      <c r="C34" s="2"/>
      <c r="D34" s="2"/>
      <c r="E34" s="8"/>
      <c r="F34" s="2"/>
      <c r="G34" s="2"/>
      <c r="H34" s="2"/>
      <c r="I34" s="2"/>
    </row>
    <row r="35" spans="2:9" x14ac:dyDescent="0.15">
      <c r="E35" s="10"/>
      <c r="F35" s="2"/>
      <c r="G35" s="9"/>
    </row>
  </sheetData>
  <mergeCells count="3">
    <mergeCell ref="A13:W13"/>
    <mergeCell ref="A16:W16"/>
    <mergeCell ref="A20:W20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43D5-12C4-0D42-AE16-5A90BC5D5773}">
  <dimension ref="A1:S11"/>
  <sheetViews>
    <sheetView tabSelected="1" workbookViewId="0">
      <selection activeCell="Q15" sqref="Q15"/>
    </sheetView>
  </sheetViews>
  <sheetFormatPr baseColWidth="10" defaultRowHeight="13" x14ac:dyDescent="0.15"/>
  <sheetData>
    <row r="1" spans="1:19" x14ac:dyDescent="0.15">
      <c r="A1" t="s">
        <v>10</v>
      </c>
      <c r="B1" t="s">
        <v>11</v>
      </c>
      <c r="C1" t="s">
        <v>23</v>
      </c>
      <c r="D1" t="s">
        <v>132</v>
      </c>
      <c r="E1" t="s">
        <v>131</v>
      </c>
      <c r="F1" t="s">
        <v>24</v>
      </c>
      <c r="G1" t="s">
        <v>133</v>
      </c>
      <c r="H1" t="s">
        <v>134</v>
      </c>
      <c r="I1" t="s">
        <v>8</v>
      </c>
      <c r="J1" t="s">
        <v>9</v>
      </c>
    </row>
    <row r="2" spans="1:19" x14ac:dyDescent="0.15">
      <c r="A2">
        <v>1</v>
      </c>
      <c r="B2">
        <v>1</v>
      </c>
      <c r="C2">
        <v>1.3</v>
      </c>
      <c r="D2">
        <v>0.46589999999999998</v>
      </c>
      <c r="E2">
        <v>0.5454</v>
      </c>
      <c r="F2" s="7">
        <v>0.51</v>
      </c>
      <c r="G2">
        <v>9.4106153900000002</v>
      </c>
      <c r="H2">
        <v>6.5375766259999999</v>
      </c>
      <c r="I2">
        <v>0.02</v>
      </c>
      <c r="J2">
        <v>0.1</v>
      </c>
    </row>
    <row r="3" spans="1:19" x14ac:dyDescent="0.15">
      <c r="A3">
        <v>1</v>
      </c>
      <c r="B3">
        <v>1</v>
      </c>
      <c r="C3">
        <v>1.3</v>
      </c>
      <c r="D3">
        <v>0.46589999999999998</v>
      </c>
      <c r="E3">
        <v>0.5454</v>
      </c>
      <c r="F3" s="7">
        <v>0.51</v>
      </c>
      <c r="G3">
        <v>9.5283552900000004</v>
      </c>
      <c r="H3">
        <v>6.4369990259999996</v>
      </c>
      <c r="I3">
        <v>1.2E-2</v>
      </c>
      <c r="J3">
        <v>0.06</v>
      </c>
    </row>
    <row r="4" spans="1:19" x14ac:dyDescent="0.15">
      <c r="A4">
        <v>1</v>
      </c>
      <c r="B4">
        <v>1</v>
      </c>
      <c r="C4">
        <v>1.3</v>
      </c>
      <c r="D4">
        <v>0.46589999999999998</v>
      </c>
      <c r="E4">
        <v>0.5454</v>
      </c>
      <c r="F4" s="7">
        <v>0.52</v>
      </c>
      <c r="G4">
        <v>11.6211804</v>
      </c>
      <c r="H4">
        <v>4.6492336849999996</v>
      </c>
      <c r="I4">
        <v>1.2E-2</v>
      </c>
      <c r="J4">
        <v>0.06</v>
      </c>
    </row>
    <row r="5" spans="1:19" x14ac:dyDescent="0.15">
      <c r="A5">
        <v>1</v>
      </c>
      <c r="B5">
        <v>1</v>
      </c>
      <c r="C5">
        <v>1.3</v>
      </c>
      <c r="D5">
        <v>0.46589999999999998</v>
      </c>
      <c r="E5">
        <v>0.5454</v>
      </c>
      <c r="F5" s="7">
        <v>0.52</v>
      </c>
      <c r="G5">
        <v>11.6627145</v>
      </c>
      <c r="H5">
        <v>4.6137537789999996</v>
      </c>
      <c r="I5">
        <v>0.01</v>
      </c>
      <c r="J5">
        <v>0.05</v>
      </c>
    </row>
    <row r="6" spans="1:19" x14ac:dyDescent="0.15">
      <c r="A6">
        <v>1</v>
      </c>
      <c r="B6">
        <v>1</v>
      </c>
      <c r="C6">
        <v>1.3</v>
      </c>
      <c r="D6">
        <v>0.46589999999999998</v>
      </c>
      <c r="E6">
        <v>0.5454</v>
      </c>
      <c r="F6" s="7">
        <v>0.51400000000000001</v>
      </c>
      <c r="G6">
        <v>10.3392041</v>
      </c>
      <c r="H6">
        <v>5.7443432789999997</v>
      </c>
      <c r="I6">
        <v>0.01</v>
      </c>
      <c r="J6">
        <v>0.05</v>
      </c>
    </row>
    <row r="7" spans="1:19" x14ac:dyDescent="0.15">
      <c r="A7">
        <v>1</v>
      </c>
      <c r="B7">
        <v>1</v>
      </c>
      <c r="C7">
        <v>1.3</v>
      </c>
      <c r="D7">
        <v>0.46589999999999998</v>
      </c>
      <c r="E7">
        <v>0.5454</v>
      </c>
      <c r="F7" s="7">
        <v>0.52</v>
      </c>
      <c r="G7">
        <v>11.6627145</v>
      </c>
      <c r="H7">
        <v>4.6137537789999996</v>
      </c>
      <c r="I7">
        <v>6.0000000000000001E-3</v>
      </c>
      <c r="J7">
        <v>0.03</v>
      </c>
    </row>
    <row r="8" spans="1:19" x14ac:dyDescent="0.15">
      <c r="A8">
        <v>1</v>
      </c>
      <c r="B8">
        <v>1</v>
      </c>
      <c r="C8">
        <v>1.3</v>
      </c>
      <c r="D8">
        <v>0.46589999999999998</v>
      </c>
      <c r="E8">
        <v>0.5454</v>
      </c>
      <c r="F8" s="7">
        <v>0.52</v>
      </c>
      <c r="G8">
        <v>11.6627145</v>
      </c>
      <c r="H8">
        <v>4.6137537789999996</v>
      </c>
      <c r="I8">
        <v>5.0000000000000001E-3</v>
      </c>
      <c r="J8">
        <v>2.5000000000000001E-2</v>
      </c>
    </row>
    <row r="9" spans="1:19" x14ac:dyDescent="0.15">
      <c r="A9">
        <v>1</v>
      </c>
      <c r="B9">
        <v>1</v>
      </c>
      <c r="C9">
        <v>1.3</v>
      </c>
      <c r="D9">
        <v>0.46589999999999998</v>
      </c>
      <c r="E9">
        <v>0.5454</v>
      </c>
      <c r="F9" s="7">
        <v>0.52100000000000002</v>
      </c>
      <c r="G9">
        <v>11.823853400000001</v>
      </c>
      <c r="H9" s="30">
        <v>4.4761032460000001</v>
      </c>
      <c r="I9">
        <v>5.0000000000000001E-3</v>
      </c>
      <c r="J9">
        <v>2.5000000000000001E-2</v>
      </c>
    </row>
    <row r="10" spans="1:19" x14ac:dyDescent="0.15">
      <c r="A10" s="10">
        <v>1</v>
      </c>
      <c r="B10" s="10">
        <v>1</v>
      </c>
      <c r="C10">
        <v>1.3</v>
      </c>
      <c r="D10" s="10">
        <v>0.46589999999999998</v>
      </c>
      <c r="E10">
        <v>0.5454</v>
      </c>
      <c r="F10" s="9">
        <v>0.52700000000000002</v>
      </c>
      <c r="G10" s="9">
        <v>13.1</v>
      </c>
      <c r="H10" s="9">
        <v>3.38</v>
      </c>
      <c r="I10" s="10">
        <v>2E-3</v>
      </c>
      <c r="J10" s="10">
        <v>0.01</v>
      </c>
    </row>
    <row r="11" spans="1:19" x14ac:dyDescent="0.15">
      <c r="A11" s="31">
        <v>1</v>
      </c>
      <c r="B11" s="31">
        <v>1</v>
      </c>
      <c r="C11" s="31">
        <v>1.3</v>
      </c>
      <c r="D11" s="33">
        <v>0.46589999999999998</v>
      </c>
      <c r="E11" s="31">
        <v>0.5454</v>
      </c>
      <c r="F11" s="32"/>
      <c r="G11" s="31"/>
      <c r="H11" s="34">
        <v>100</v>
      </c>
      <c r="I11" s="31">
        <v>2E-3</v>
      </c>
      <c r="J11" s="31">
        <v>0.01</v>
      </c>
      <c r="K11" s="31"/>
      <c r="L11" s="31"/>
      <c r="M11" s="31"/>
      <c r="N11" s="31"/>
      <c r="O11" s="31"/>
      <c r="P11" s="31"/>
      <c r="Q11" s="31"/>
      <c r="R11" s="31"/>
      <c r="S11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6"/>
  <sheetViews>
    <sheetView zoomScaleNormal="100" workbookViewId="0">
      <selection activeCell="H6" sqref="H6"/>
    </sheetView>
  </sheetViews>
  <sheetFormatPr baseColWidth="10" defaultColWidth="8.83203125" defaultRowHeight="13" x14ac:dyDescent="0.15"/>
  <cols>
    <col min="1" max="4" width="7.83203125" customWidth="1"/>
    <col min="5" max="5" width="6.33203125" customWidth="1"/>
    <col min="6" max="6" width="8.33203125" customWidth="1"/>
    <col min="7" max="7" width="5.1640625" customWidth="1"/>
    <col min="8" max="9" width="4.1640625" customWidth="1"/>
    <col min="10" max="10" width="5.5" customWidth="1"/>
    <col min="11" max="11" width="5" customWidth="1"/>
    <col min="12" max="12" width="5.6640625" customWidth="1"/>
    <col min="13" max="13" width="10.1640625" customWidth="1"/>
    <col min="14" max="14" width="8.6640625" customWidth="1"/>
    <col min="15" max="15" width="9" customWidth="1"/>
    <col min="16" max="16" width="8.1640625" customWidth="1"/>
    <col min="17" max="17" width="6.1640625" customWidth="1"/>
    <col min="18" max="19" width="8.6640625" customWidth="1"/>
    <col min="20" max="20" width="7.33203125" customWidth="1"/>
    <col min="21" max="21" width="5.5" customWidth="1"/>
    <col min="22" max="22" width="4.6640625" customWidth="1"/>
    <col min="23" max="23" width="8.33203125" customWidth="1"/>
    <col min="24" max="25" width="12.33203125" customWidth="1"/>
    <col min="26" max="1024" width="11.5"/>
  </cols>
  <sheetData>
    <row r="1" spans="1:29" x14ac:dyDescent="0.15">
      <c r="A1" t="s">
        <v>11</v>
      </c>
      <c r="B1" t="s">
        <v>13</v>
      </c>
      <c r="C1" t="s">
        <v>10</v>
      </c>
      <c r="D1" t="s">
        <v>31</v>
      </c>
      <c r="E1" t="s">
        <v>32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0</v>
      </c>
      <c r="U1" t="s">
        <v>1</v>
      </c>
      <c r="V1" t="s">
        <v>67</v>
      </c>
      <c r="W1" t="s">
        <v>68</v>
      </c>
      <c r="X1" s="23" t="s">
        <v>69</v>
      </c>
      <c r="Y1" s="23"/>
      <c r="Z1" s="23"/>
      <c r="AA1" s="23"/>
      <c r="AB1" s="23"/>
      <c r="AC1" s="23"/>
    </row>
    <row r="2" spans="1:29" x14ac:dyDescent="0.15">
      <c r="D2">
        <v>8.0000000000000002E-3</v>
      </c>
      <c r="E2">
        <v>0.4</v>
      </c>
      <c r="F2">
        <v>8</v>
      </c>
      <c r="G2">
        <v>6</v>
      </c>
      <c r="H2">
        <v>2</v>
      </c>
      <c r="I2">
        <v>9.5</v>
      </c>
      <c r="J2">
        <v>0.8</v>
      </c>
      <c r="K2">
        <v>5.5</v>
      </c>
      <c r="L2">
        <f>SQRT(K2^2-(F2/2)^2)</f>
        <v>3.7749172176353749</v>
      </c>
      <c r="M2">
        <f>I2/2+L2</f>
        <v>8.5249172176353749</v>
      </c>
      <c r="N2">
        <f>L2+I2/2</f>
        <v>8.5249172176353749</v>
      </c>
      <c r="O2">
        <f>G2/D2</f>
        <v>750</v>
      </c>
      <c r="P2">
        <f>J2/D2</f>
        <v>100</v>
      </c>
      <c r="Q2">
        <v>1</v>
      </c>
      <c r="R2" t="s">
        <v>41</v>
      </c>
      <c r="U2">
        <v>50</v>
      </c>
      <c r="V2" t="s">
        <v>70</v>
      </c>
      <c r="W2" t="s">
        <v>42</v>
      </c>
    </row>
    <row r="3" spans="1:29" x14ac:dyDescent="0.15">
      <c r="Q3">
        <v>5</v>
      </c>
      <c r="R3" t="s">
        <v>41</v>
      </c>
      <c r="U3">
        <v>100</v>
      </c>
      <c r="V3" t="s">
        <v>70</v>
      </c>
      <c r="W3" t="s">
        <v>42</v>
      </c>
    </row>
    <row r="4" spans="1:29" x14ac:dyDescent="0.15">
      <c r="Q4">
        <v>5</v>
      </c>
      <c r="R4" t="s">
        <v>41</v>
      </c>
      <c r="S4">
        <v>4.3718599999999999</v>
      </c>
      <c r="U4">
        <v>200</v>
      </c>
      <c r="V4" t="s">
        <v>70</v>
      </c>
      <c r="W4" t="s">
        <v>42</v>
      </c>
    </row>
    <row r="5" spans="1:29" x14ac:dyDescent="0.15">
      <c r="D5">
        <v>8.0000000000000002E-3</v>
      </c>
      <c r="E5">
        <v>0.4</v>
      </c>
      <c r="F5">
        <v>8</v>
      </c>
      <c r="G5" t="s">
        <v>71</v>
      </c>
      <c r="H5">
        <v>2</v>
      </c>
      <c r="I5">
        <v>9.5</v>
      </c>
      <c r="J5">
        <v>0.8</v>
      </c>
      <c r="K5">
        <v>5.5</v>
      </c>
      <c r="L5">
        <f>SQRT(K5^2-(F5/2)^2)</f>
        <v>3.7749172176353749</v>
      </c>
      <c r="M5">
        <f>I5/2+L5</f>
        <v>8.5249172176353749</v>
      </c>
      <c r="N5">
        <f>L5+I5/2</f>
        <v>8.5249172176353749</v>
      </c>
      <c r="O5">
        <f>F5/D5</f>
        <v>1000</v>
      </c>
      <c r="P5">
        <f>J5/D5</f>
        <v>100</v>
      </c>
      <c r="Q5">
        <v>4.5</v>
      </c>
      <c r="R5" t="s">
        <v>41</v>
      </c>
      <c r="S5">
        <v>2.7181199999999999</v>
      </c>
      <c r="U5">
        <v>150</v>
      </c>
      <c r="V5" t="s">
        <v>70</v>
      </c>
      <c r="W5" t="s">
        <v>42</v>
      </c>
    </row>
    <row r="6" spans="1:29" x14ac:dyDescent="0.15">
      <c r="A6" s="20">
        <v>1</v>
      </c>
      <c r="B6" s="20">
        <v>1000</v>
      </c>
      <c r="C6" s="20">
        <v>1</v>
      </c>
      <c r="D6" s="20">
        <v>8.0000000000000002E-3</v>
      </c>
      <c r="E6" s="20">
        <v>0.4</v>
      </c>
      <c r="F6" s="21">
        <v>8</v>
      </c>
      <c r="G6" s="20" t="s">
        <v>71</v>
      </c>
      <c r="H6" s="20">
        <v>2</v>
      </c>
      <c r="I6" s="21">
        <v>9.5</v>
      </c>
      <c r="J6" s="20">
        <v>0.8</v>
      </c>
      <c r="K6" s="21">
        <v>5</v>
      </c>
      <c r="L6" s="20">
        <f>SQRT(K6^2-(F6/2)^2)</f>
        <v>3</v>
      </c>
      <c r="M6" s="20">
        <f>I6/2+L6</f>
        <v>7.75</v>
      </c>
      <c r="N6" s="20">
        <f>L6+I6/2</f>
        <v>7.75</v>
      </c>
      <c r="O6" s="20">
        <f>F6/D6</f>
        <v>1000</v>
      </c>
      <c r="P6" s="20">
        <f>J6/D6</f>
        <v>100</v>
      </c>
      <c r="Q6" s="20">
        <v>2.75</v>
      </c>
      <c r="R6" s="20" t="s">
        <v>41</v>
      </c>
      <c r="S6" s="20">
        <v>2.5273500000000002</v>
      </c>
      <c r="T6" s="20" t="s">
        <v>71</v>
      </c>
      <c r="U6" s="20">
        <v>275</v>
      </c>
      <c r="V6" s="20" t="s">
        <v>70</v>
      </c>
      <c r="W6" t="s">
        <v>47</v>
      </c>
    </row>
    <row r="7" spans="1:29" x14ac:dyDescent="0.15">
      <c r="D7">
        <v>4.0000000000000001E-3</v>
      </c>
      <c r="E7">
        <v>0.4</v>
      </c>
      <c r="F7" s="2">
        <v>8</v>
      </c>
      <c r="G7" s="2" t="s">
        <v>71</v>
      </c>
      <c r="H7" s="2">
        <v>2</v>
      </c>
      <c r="I7" s="2">
        <v>9.5</v>
      </c>
      <c r="J7" s="2">
        <v>0.8</v>
      </c>
      <c r="K7" s="2">
        <v>5</v>
      </c>
      <c r="L7">
        <f>SQRT(K7^2-(F7/2)^2)</f>
        <v>3</v>
      </c>
      <c r="M7">
        <f>I7/2+L7</f>
        <v>7.75</v>
      </c>
      <c r="N7">
        <f>L7+I7/2</f>
        <v>7.75</v>
      </c>
      <c r="O7">
        <f>F7/D7</f>
        <v>2000</v>
      </c>
      <c r="P7">
        <f>J7/D7</f>
        <v>200</v>
      </c>
      <c r="Q7">
        <v>2</v>
      </c>
      <c r="R7" s="2" t="s">
        <v>72</v>
      </c>
      <c r="S7" t="s">
        <v>73</v>
      </c>
      <c r="T7" s="2" t="s">
        <v>71</v>
      </c>
      <c r="U7" s="2">
        <v>200</v>
      </c>
      <c r="V7" t="s">
        <v>70</v>
      </c>
      <c r="W7" t="s">
        <v>42</v>
      </c>
    </row>
    <row r="8" spans="1:29" x14ac:dyDescent="0.15">
      <c r="F8" s="2"/>
      <c r="G8" s="2"/>
      <c r="H8" s="2"/>
      <c r="I8" s="2"/>
      <c r="J8" s="2"/>
      <c r="K8" s="2"/>
      <c r="Q8">
        <v>2.6</v>
      </c>
      <c r="R8" s="2" t="s">
        <v>41</v>
      </c>
      <c r="S8" t="s">
        <v>73</v>
      </c>
      <c r="U8">
        <v>260</v>
      </c>
      <c r="V8" t="s">
        <v>70</v>
      </c>
      <c r="W8" t="s">
        <v>42</v>
      </c>
    </row>
    <row r="9" spans="1:29" x14ac:dyDescent="0.15">
      <c r="F9" s="2"/>
      <c r="G9" s="2"/>
      <c r="H9" s="2"/>
      <c r="I9" s="2"/>
      <c r="J9" s="2"/>
      <c r="K9" s="2"/>
      <c r="Q9">
        <v>2.75</v>
      </c>
      <c r="R9" s="2" t="s">
        <v>41</v>
      </c>
      <c r="T9">
        <v>2.669708</v>
      </c>
      <c r="U9">
        <v>275</v>
      </c>
      <c r="V9" t="s">
        <v>74</v>
      </c>
      <c r="W9" t="s">
        <v>42</v>
      </c>
    </row>
    <row r="10" spans="1:29" x14ac:dyDescent="0.15">
      <c r="F10" s="2"/>
      <c r="G10" s="2"/>
      <c r="H10" s="2"/>
      <c r="I10" s="2"/>
      <c r="J10" s="2"/>
      <c r="K10" s="2"/>
      <c r="Q10">
        <v>2.7</v>
      </c>
      <c r="R10" s="2" t="s">
        <v>41</v>
      </c>
      <c r="T10">
        <v>2.6638799999999998</v>
      </c>
      <c r="U10">
        <v>300</v>
      </c>
      <c r="V10" t="s">
        <v>74</v>
      </c>
      <c r="W10" t="s">
        <v>47</v>
      </c>
    </row>
    <row r="11" spans="1:29" x14ac:dyDescent="0.15">
      <c r="F11" s="2"/>
      <c r="G11" s="2"/>
      <c r="H11" s="2"/>
      <c r="I11" s="2"/>
      <c r="J11" s="2"/>
      <c r="K11" s="2"/>
      <c r="Q11">
        <v>2.7</v>
      </c>
      <c r="R11" s="2" t="s">
        <v>41</v>
      </c>
      <c r="T11">
        <v>2.6639400000000002</v>
      </c>
      <c r="U11">
        <v>600</v>
      </c>
      <c r="V11" t="s">
        <v>74</v>
      </c>
    </row>
    <row r="12" spans="1:29" x14ac:dyDescent="0.15">
      <c r="F12" s="2"/>
      <c r="G12" s="2"/>
      <c r="H12" s="2"/>
      <c r="I12" s="2"/>
      <c r="J12" s="2"/>
      <c r="K12" s="2"/>
      <c r="Q12">
        <v>2.7</v>
      </c>
      <c r="R12" s="2" t="s">
        <v>41</v>
      </c>
      <c r="T12">
        <v>2.6639699999999999</v>
      </c>
      <c r="U12">
        <v>1200</v>
      </c>
      <c r="V12" t="s">
        <v>74</v>
      </c>
    </row>
    <row r="13" spans="1:29" x14ac:dyDescent="0.15">
      <c r="F13" s="2"/>
      <c r="G13" s="2"/>
      <c r="H13" s="2"/>
      <c r="I13" s="2"/>
      <c r="J13" s="2"/>
      <c r="K13" s="2"/>
      <c r="Q13">
        <v>3.7</v>
      </c>
      <c r="R13" s="2" t="s">
        <v>41</v>
      </c>
      <c r="T13">
        <v>2.6621809999999999</v>
      </c>
      <c r="U13">
        <v>2000</v>
      </c>
      <c r="V13" t="s">
        <v>74</v>
      </c>
    </row>
    <row r="14" spans="1:29" ht="46.25" customHeight="1" x14ac:dyDescent="0.15">
      <c r="D14">
        <v>4.0000000000000001E-3</v>
      </c>
      <c r="E14">
        <v>0.4</v>
      </c>
      <c r="F14">
        <v>8</v>
      </c>
      <c r="G14" t="s">
        <v>71</v>
      </c>
      <c r="H14">
        <v>2</v>
      </c>
      <c r="I14">
        <v>9.5</v>
      </c>
      <c r="J14">
        <v>0.3</v>
      </c>
      <c r="K14">
        <v>5</v>
      </c>
      <c r="L14">
        <f>SQRT(K14^2-(F14/2)^2)</f>
        <v>3</v>
      </c>
      <c r="M14">
        <f>I14/2+L14</f>
        <v>7.75</v>
      </c>
      <c r="N14">
        <f>L14+I14/2</f>
        <v>7.75</v>
      </c>
      <c r="O14">
        <f>F14/D14</f>
        <v>2000</v>
      </c>
      <c r="P14">
        <f>J14/D14</f>
        <v>75</v>
      </c>
      <c r="Q14">
        <v>3</v>
      </c>
      <c r="R14" t="s">
        <v>41</v>
      </c>
      <c r="T14">
        <v>2.575758</v>
      </c>
      <c r="U14">
        <v>100</v>
      </c>
      <c r="V14" t="s">
        <v>74</v>
      </c>
      <c r="W14" t="s">
        <v>42</v>
      </c>
      <c r="X14" s="24" t="s">
        <v>75</v>
      </c>
      <c r="Y14" s="24"/>
      <c r="Z14" s="24"/>
      <c r="AA14" s="24"/>
      <c r="AB14" s="24"/>
      <c r="AC14" s="24"/>
    </row>
    <row r="15" spans="1:29" x14ac:dyDescent="0.15">
      <c r="Q15">
        <v>3</v>
      </c>
      <c r="R15" t="s">
        <v>72</v>
      </c>
      <c r="T15">
        <v>2.5702470000000002</v>
      </c>
      <c r="U15">
        <v>200</v>
      </c>
      <c r="V15" t="s">
        <v>74</v>
      </c>
      <c r="X15" t="s">
        <v>76</v>
      </c>
    </row>
    <row r="16" spans="1:29" x14ac:dyDescent="0.15">
      <c r="Q16" s="2">
        <v>2.6</v>
      </c>
      <c r="R16" s="2" t="s">
        <v>72</v>
      </c>
      <c r="S16" s="2"/>
      <c r="T16" s="2">
        <v>2.5695049999999999</v>
      </c>
      <c r="U16" s="2">
        <v>200</v>
      </c>
      <c r="V16" t="s">
        <v>74</v>
      </c>
      <c r="X16" t="s">
        <v>77</v>
      </c>
    </row>
    <row r="17" spans="1:29" ht="46.25" customHeight="1" x14ac:dyDescent="0.15">
      <c r="D17">
        <v>2E-3</v>
      </c>
      <c r="E17">
        <v>0.4</v>
      </c>
      <c r="F17">
        <v>8</v>
      </c>
      <c r="G17" t="s">
        <v>71</v>
      </c>
      <c r="H17">
        <v>2</v>
      </c>
      <c r="I17">
        <v>9.5</v>
      </c>
      <c r="J17">
        <v>0.1</v>
      </c>
      <c r="K17">
        <v>5.5</v>
      </c>
      <c r="L17">
        <f>SQRT(K17^2-(F17/2)^2)</f>
        <v>3.7749172176353749</v>
      </c>
      <c r="M17">
        <f>I17/2+L17</f>
        <v>8.5249172176353749</v>
      </c>
      <c r="N17">
        <f>L17+I17/2</f>
        <v>8.5249172176353749</v>
      </c>
      <c r="O17">
        <f>F17/D17</f>
        <v>4000</v>
      </c>
      <c r="P17">
        <f>J17/D17</f>
        <v>50</v>
      </c>
      <c r="Q17">
        <v>3</v>
      </c>
      <c r="R17" t="s">
        <v>41</v>
      </c>
      <c r="T17">
        <v>2.7878790000000002</v>
      </c>
      <c r="U17">
        <v>100</v>
      </c>
      <c r="V17" t="s">
        <v>74</v>
      </c>
      <c r="W17" t="s">
        <v>42</v>
      </c>
      <c r="X17" s="24" t="s">
        <v>78</v>
      </c>
      <c r="Y17" s="24"/>
      <c r="Z17" s="24"/>
      <c r="AA17" s="24"/>
      <c r="AB17" s="24"/>
      <c r="AC17" s="24"/>
    </row>
    <row r="21" spans="1:29" x14ac:dyDescent="0.15">
      <c r="A21" s="2" t="s">
        <v>121</v>
      </c>
      <c r="B21" s="2" t="s">
        <v>120</v>
      </c>
      <c r="C21" s="2" t="s">
        <v>122</v>
      </c>
      <c r="D21" s="2" t="s">
        <v>123</v>
      </c>
      <c r="E21" s="2" t="s">
        <v>124</v>
      </c>
    </row>
    <row r="22" spans="1:29" x14ac:dyDescent="0.15">
      <c r="A22" s="2">
        <v>2.75</v>
      </c>
      <c r="B22" s="2">
        <v>274</v>
      </c>
      <c r="C22">
        <v>0</v>
      </c>
      <c r="D22" s="2">
        <f>A22/B22*C22</f>
        <v>0</v>
      </c>
      <c r="E22">
        <f>D22+9.5</f>
        <v>9.5</v>
      </c>
      <c r="F22">
        <f>(E22-9.5)/9.5*100</f>
        <v>0</v>
      </c>
    </row>
    <row r="23" spans="1:29" x14ac:dyDescent="0.15">
      <c r="A23" s="2">
        <v>2.75</v>
      </c>
      <c r="B23" s="2">
        <v>274</v>
      </c>
      <c r="C23">
        <v>50</v>
      </c>
      <c r="D23" s="2">
        <v>1.4388399999999999</v>
      </c>
      <c r="E23" s="2">
        <f t="shared" ref="E23:E26" si="0">D23+9.5</f>
        <v>10.938839999999999</v>
      </c>
      <c r="F23" s="2">
        <f t="shared" ref="F23:F26" si="1">(E23-9.5)/9.5*100</f>
        <v>15.145684210526305</v>
      </c>
    </row>
    <row r="24" spans="1:29" x14ac:dyDescent="0.15">
      <c r="A24" s="2">
        <v>2.75</v>
      </c>
      <c r="B24" s="2">
        <v>274</v>
      </c>
      <c r="C24">
        <v>150</v>
      </c>
      <c r="D24" s="2">
        <v>2.1477400000000002</v>
      </c>
      <c r="E24" s="2">
        <f t="shared" si="0"/>
        <v>11.647740000000001</v>
      </c>
      <c r="F24" s="2">
        <f t="shared" si="1"/>
        <v>22.607789473684218</v>
      </c>
    </row>
    <row r="25" spans="1:29" x14ac:dyDescent="0.15">
      <c r="A25" s="2">
        <v>2.75</v>
      </c>
      <c r="B25" s="2">
        <v>274</v>
      </c>
      <c r="C25">
        <v>191</v>
      </c>
      <c r="D25" s="2">
        <v>2.5175800000000002</v>
      </c>
      <c r="E25" s="2">
        <f t="shared" si="0"/>
        <v>12.017580000000001</v>
      </c>
      <c r="F25" s="2">
        <f t="shared" si="1"/>
        <v>26.50084210526316</v>
      </c>
      <c r="I25" t="s">
        <v>79</v>
      </c>
    </row>
    <row r="26" spans="1:29" x14ac:dyDescent="0.15">
      <c r="A26" s="2">
        <v>2.75</v>
      </c>
      <c r="B26" s="2">
        <v>274</v>
      </c>
      <c r="C26">
        <v>192</v>
      </c>
      <c r="D26" s="2">
        <v>2.5273500000000002</v>
      </c>
      <c r="E26" s="2">
        <f t="shared" si="0"/>
        <v>12.02735</v>
      </c>
      <c r="F26" s="2">
        <f t="shared" si="1"/>
        <v>26.603684210526318</v>
      </c>
      <c r="M26" t="s">
        <v>80</v>
      </c>
    </row>
  </sheetData>
  <mergeCells count="3">
    <mergeCell ref="X1:AC1"/>
    <mergeCell ref="X14:AC14"/>
    <mergeCell ref="X17:AC17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64"/>
  <sheetViews>
    <sheetView topLeftCell="A31" zoomScaleNormal="100" workbookViewId="0">
      <selection activeCell="K66" sqref="K66"/>
    </sheetView>
  </sheetViews>
  <sheetFormatPr baseColWidth="10" defaultColWidth="8.83203125" defaultRowHeight="13" x14ac:dyDescent="0.15"/>
  <cols>
    <col min="1" max="1" width="6.1640625" customWidth="1"/>
    <col min="2" max="2" width="5" customWidth="1"/>
    <col min="3" max="3" width="6.33203125" customWidth="1"/>
    <col min="4" max="4" width="5.5" customWidth="1"/>
    <col min="5" max="5" width="6.5" customWidth="1"/>
    <col min="6" max="6" width="8.83203125" customWidth="1"/>
    <col min="7" max="7" width="6.33203125" customWidth="1"/>
    <col min="8" max="8" width="6" customWidth="1"/>
    <col min="9" max="9" width="5.1640625" customWidth="1"/>
    <col min="10" max="10" width="11.5"/>
    <col min="11" max="11" width="6.1640625" customWidth="1"/>
    <col min="12" max="12" width="5.5" customWidth="1"/>
    <col min="13" max="13" width="5.6640625" customWidth="1"/>
    <col min="14" max="14" width="4.5" customWidth="1"/>
    <col min="15" max="15" width="9.6640625" customWidth="1"/>
    <col min="16" max="16" width="6.1640625" customWidth="1"/>
    <col min="17" max="23" width="11.5"/>
    <col min="24" max="24" width="13.1640625" customWidth="1"/>
    <col min="25" max="1024" width="11.5"/>
  </cols>
  <sheetData>
    <row r="1" spans="1:28" x14ac:dyDescent="0.15">
      <c r="A1" t="s">
        <v>11</v>
      </c>
      <c r="B1" t="s">
        <v>10</v>
      </c>
      <c r="C1" t="s">
        <v>13</v>
      </c>
      <c r="D1" t="s">
        <v>81</v>
      </c>
      <c r="E1" t="s">
        <v>82</v>
      </c>
      <c r="F1" t="s">
        <v>83</v>
      </c>
      <c r="G1" t="s">
        <v>7</v>
      </c>
      <c r="H1" t="s">
        <v>84</v>
      </c>
      <c r="I1" t="s">
        <v>85</v>
      </c>
      <c r="J1" t="s">
        <v>86</v>
      </c>
      <c r="L1" t="s">
        <v>87</v>
      </c>
      <c r="M1" t="s">
        <v>88</v>
      </c>
      <c r="N1" t="s">
        <v>89</v>
      </c>
      <c r="O1" t="s">
        <v>34</v>
      </c>
      <c r="P1" t="s">
        <v>90</v>
      </c>
      <c r="Q1" t="s">
        <v>0</v>
      </c>
      <c r="R1" t="s">
        <v>0</v>
      </c>
      <c r="S1" t="s">
        <v>91</v>
      </c>
      <c r="T1" t="s">
        <v>65</v>
      </c>
      <c r="U1" t="s">
        <v>92</v>
      </c>
      <c r="V1" t="s">
        <v>42</v>
      </c>
    </row>
    <row r="2" spans="1:28" x14ac:dyDescent="0.15">
      <c r="A2">
        <v>1</v>
      </c>
      <c r="B2">
        <v>1</v>
      </c>
      <c r="C2">
        <v>1000</v>
      </c>
      <c r="F2">
        <v>0.01</v>
      </c>
      <c r="G2">
        <f>10*F2</f>
        <v>0.1</v>
      </c>
      <c r="H2">
        <v>0.5</v>
      </c>
      <c r="I2">
        <v>3</v>
      </c>
      <c r="J2">
        <f>-10*F2</f>
        <v>-0.1</v>
      </c>
      <c r="K2">
        <f>-J2*2</f>
        <v>0.2</v>
      </c>
      <c r="L2">
        <f>10*F2</f>
        <v>0.1</v>
      </c>
      <c r="M2">
        <f>5*F2</f>
        <v>0.05</v>
      </c>
      <c r="N2">
        <f>M2</f>
        <v>0.05</v>
      </c>
      <c r="O2">
        <f>I2/F2</f>
        <v>300</v>
      </c>
      <c r="P2">
        <f>L2/F2</f>
        <v>10</v>
      </c>
      <c r="Q2">
        <v>3</v>
      </c>
      <c r="S2">
        <v>120</v>
      </c>
      <c r="U2" t="s">
        <v>93</v>
      </c>
    </row>
    <row r="3" spans="1:28" x14ac:dyDescent="0.15">
      <c r="Q3">
        <v>1</v>
      </c>
      <c r="S3">
        <v>50</v>
      </c>
      <c r="U3" t="s">
        <v>94</v>
      </c>
    </row>
    <row r="4" spans="1:28" x14ac:dyDescent="0.15">
      <c r="A4">
        <v>1</v>
      </c>
      <c r="B4">
        <v>1</v>
      </c>
      <c r="C4">
        <v>1000</v>
      </c>
      <c r="F4">
        <v>0.01</v>
      </c>
      <c r="G4">
        <f>10*F4</f>
        <v>0.1</v>
      </c>
      <c r="H4">
        <v>0.5</v>
      </c>
      <c r="I4">
        <v>3</v>
      </c>
      <c r="J4">
        <f>-5*F4</f>
        <v>-0.05</v>
      </c>
      <c r="K4">
        <f>-J4*2</f>
        <v>0.1</v>
      </c>
      <c r="L4">
        <f>10*F4</f>
        <v>0.1</v>
      </c>
      <c r="M4">
        <f>5*F4</f>
        <v>0.05</v>
      </c>
      <c r="N4">
        <f>M4</f>
        <v>0.05</v>
      </c>
      <c r="O4">
        <f>I4/F4</f>
        <v>300</v>
      </c>
      <c r="P4">
        <f>L4/F4</f>
        <v>10</v>
      </c>
      <c r="Q4">
        <v>2</v>
      </c>
      <c r="S4">
        <v>80</v>
      </c>
      <c r="U4" t="s">
        <v>95</v>
      </c>
    </row>
    <row r="5" spans="1:28" x14ac:dyDescent="0.15">
      <c r="Q5">
        <v>4</v>
      </c>
      <c r="R5">
        <v>3.4285709999999998</v>
      </c>
      <c r="S5">
        <v>120</v>
      </c>
      <c r="T5" t="s">
        <v>41</v>
      </c>
      <c r="U5" t="s">
        <v>96</v>
      </c>
      <c r="W5" s="24" t="s">
        <v>97</v>
      </c>
      <c r="X5" s="24"/>
      <c r="Y5" s="24"/>
      <c r="Z5" s="24"/>
      <c r="AA5" s="24"/>
      <c r="AB5" s="24"/>
    </row>
    <row r="6" spans="1:28" x14ac:dyDescent="0.15">
      <c r="Q6">
        <v>3.5</v>
      </c>
      <c r="S6">
        <v>200</v>
      </c>
      <c r="T6" t="s">
        <v>98</v>
      </c>
      <c r="U6" t="s">
        <v>96</v>
      </c>
      <c r="V6" t="s">
        <v>42</v>
      </c>
      <c r="W6" t="s">
        <v>99</v>
      </c>
    </row>
    <row r="7" spans="1:28" x14ac:dyDescent="0.15">
      <c r="Q7">
        <v>5</v>
      </c>
      <c r="R7">
        <v>3.4343430000000001</v>
      </c>
      <c r="S7">
        <v>100</v>
      </c>
      <c r="T7" t="s">
        <v>41</v>
      </c>
      <c r="W7" s="24" t="s">
        <v>100</v>
      </c>
      <c r="X7" s="24"/>
      <c r="Y7" s="24"/>
      <c r="Z7" s="24"/>
      <c r="AA7" s="24"/>
      <c r="AB7" s="24"/>
    </row>
    <row r="9" spans="1:28" x14ac:dyDescent="0.15">
      <c r="A9">
        <v>1</v>
      </c>
      <c r="B9">
        <v>1</v>
      </c>
      <c r="C9">
        <v>1000</v>
      </c>
      <c r="F9">
        <v>5.0000000000000001E-3</v>
      </c>
      <c r="G9">
        <f>10*F9</f>
        <v>0.05</v>
      </c>
      <c r="H9">
        <v>0.5</v>
      </c>
      <c r="I9">
        <v>0.75</v>
      </c>
      <c r="J9">
        <f>-2*F9</f>
        <v>-0.01</v>
      </c>
      <c r="K9">
        <f>-J9*2/4</f>
        <v>5.0000000000000001E-3</v>
      </c>
      <c r="L9">
        <f>4*F9</f>
        <v>0.02</v>
      </c>
      <c r="M9">
        <f>2*F9</f>
        <v>0.01</v>
      </c>
      <c r="N9">
        <f>M9</f>
        <v>0.01</v>
      </c>
      <c r="O9">
        <f>I9/F9</f>
        <v>150</v>
      </c>
      <c r="P9">
        <f>L9/F9</f>
        <v>4</v>
      </c>
      <c r="Q9">
        <v>3.5</v>
      </c>
      <c r="S9">
        <v>200</v>
      </c>
      <c r="T9" t="s">
        <v>41</v>
      </c>
      <c r="U9" t="s">
        <v>96</v>
      </c>
      <c r="V9" t="s">
        <v>42</v>
      </c>
    </row>
    <row r="10" spans="1:28" x14ac:dyDescent="0.15">
      <c r="Q10">
        <v>3.5</v>
      </c>
      <c r="R10">
        <v>3.5069999999999997E-2</v>
      </c>
      <c r="S10">
        <v>500</v>
      </c>
      <c r="T10" t="s">
        <v>41</v>
      </c>
      <c r="U10" t="s">
        <v>96</v>
      </c>
    </row>
    <row r="11" spans="1:28" x14ac:dyDescent="0.15">
      <c r="Q11">
        <v>2</v>
      </c>
      <c r="R11">
        <v>4.0201000000000001E-2</v>
      </c>
      <c r="S11">
        <v>200</v>
      </c>
      <c r="U11" t="s">
        <v>96</v>
      </c>
      <c r="V11" t="s">
        <v>42</v>
      </c>
    </row>
    <row r="12" spans="1:28" x14ac:dyDescent="0.15">
      <c r="Q12">
        <v>1</v>
      </c>
      <c r="R12">
        <v>0.02</v>
      </c>
      <c r="S12">
        <v>200</v>
      </c>
      <c r="T12" t="s">
        <v>41</v>
      </c>
      <c r="U12" t="s">
        <v>96</v>
      </c>
      <c r="V12" t="s">
        <v>42</v>
      </c>
    </row>
    <row r="13" spans="1:28" x14ac:dyDescent="0.15">
      <c r="Q13">
        <v>2</v>
      </c>
      <c r="R13">
        <v>2.0101000000000001E-2</v>
      </c>
      <c r="S13">
        <v>200</v>
      </c>
      <c r="U13" t="s">
        <v>96</v>
      </c>
      <c r="V13" t="s">
        <v>101</v>
      </c>
    </row>
    <row r="14" spans="1:28" x14ac:dyDescent="0.15">
      <c r="A14">
        <v>1</v>
      </c>
      <c r="B14">
        <v>1</v>
      </c>
      <c r="C14">
        <v>1000</v>
      </c>
      <c r="D14">
        <f>(3*C14-2*B14)/(2*(B14+3*C14))</f>
        <v>0.49950016661112961</v>
      </c>
      <c r="E14">
        <f>2*B14*(1+D14)</f>
        <v>2.9990003332222592</v>
      </c>
      <c r="F14">
        <v>6.0000000000000001E-3</v>
      </c>
      <c r="G14">
        <f>8*F14</f>
        <v>4.8000000000000001E-2</v>
      </c>
      <c r="H14">
        <v>0.5</v>
      </c>
      <c r="I14">
        <v>0.75</v>
      </c>
      <c r="J14">
        <f>-2*F14</f>
        <v>-1.2E-2</v>
      </c>
      <c r="K14">
        <f>-J14*2</f>
        <v>2.4E-2</v>
      </c>
      <c r="L14">
        <f>4*F14</f>
        <v>2.4E-2</v>
      </c>
      <c r="M14">
        <f>2*F14</f>
        <v>1.2E-2</v>
      </c>
      <c r="N14">
        <f>M14</f>
        <v>1.2E-2</v>
      </c>
      <c r="O14">
        <f>I14/F14</f>
        <v>125</v>
      </c>
      <c r="P14" s="2">
        <f>L14/F14</f>
        <v>4</v>
      </c>
      <c r="Q14" s="2">
        <v>2</v>
      </c>
      <c r="R14" s="2">
        <v>0.99497500000000005</v>
      </c>
      <c r="S14" s="2">
        <v>200</v>
      </c>
      <c r="T14" s="2" t="s">
        <v>41</v>
      </c>
      <c r="U14" t="s">
        <v>96</v>
      </c>
      <c r="V14" t="s">
        <v>42</v>
      </c>
    </row>
    <row r="15" spans="1:28" x14ac:dyDescent="0.15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</row>
    <row r="16" spans="1:28" x14ac:dyDescent="0.15">
      <c r="B16">
        <v>1</v>
      </c>
      <c r="C16">
        <v>1000</v>
      </c>
      <c r="D16">
        <f>(3*C16-2*B16)/(2*(B16+3*C16))</f>
        <v>0.49950016661112961</v>
      </c>
      <c r="E16">
        <f>2*B16*(1+D16)</f>
        <v>2.9990003332222592</v>
      </c>
      <c r="F16">
        <v>6.0000000000000001E-3</v>
      </c>
      <c r="G16">
        <f>8*F16</f>
        <v>4.8000000000000001E-2</v>
      </c>
      <c r="H16">
        <v>0.5</v>
      </c>
      <c r="I16">
        <v>0.75</v>
      </c>
      <c r="J16">
        <f>-2*F16</f>
        <v>-1.2E-2</v>
      </c>
      <c r="K16">
        <f>-J16*2</f>
        <v>2.4E-2</v>
      </c>
      <c r="L16">
        <f>4*F16</f>
        <v>2.4E-2</v>
      </c>
      <c r="M16">
        <f>2*F16</f>
        <v>1.2E-2</v>
      </c>
      <c r="N16">
        <f>M16</f>
        <v>1.2E-2</v>
      </c>
      <c r="O16">
        <f>I16/F16</f>
        <v>125</v>
      </c>
      <c r="P16" s="2">
        <f>L16/F16</f>
        <v>4</v>
      </c>
      <c r="Q16" s="2">
        <v>4</v>
      </c>
      <c r="R16" s="13">
        <v>0.42211100000000001</v>
      </c>
      <c r="S16" s="2">
        <v>200</v>
      </c>
      <c r="T16" t="s">
        <v>41</v>
      </c>
      <c r="U16" t="s">
        <v>96</v>
      </c>
      <c r="V16" t="s">
        <v>42</v>
      </c>
      <c r="W16" t="s">
        <v>102</v>
      </c>
    </row>
    <row r="17" spans="1:24" x14ac:dyDescent="0.15">
      <c r="Q17" s="2">
        <v>3.5</v>
      </c>
      <c r="R17" s="13">
        <v>0.39799299999999999</v>
      </c>
      <c r="S17" s="2">
        <v>300</v>
      </c>
      <c r="T17" t="s">
        <v>41</v>
      </c>
      <c r="U17" t="s">
        <v>96</v>
      </c>
      <c r="V17" t="s">
        <v>42</v>
      </c>
      <c r="W17" t="s">
        <v>103</v>
      </c>
    </row>
    <row r="18" spans="1:24" x14ac:dyDescent="0.15">
      <c r="B18">
        <v>1</v>
      </c>
      <c r="C18">
        <v>1000</v>
      </c>
      <c r="D18">
        <f>(3*C18-2*B18)/(2*(B18+3*C18))</f>
        <v>0.49950016661112961</v>
      </c>
      <c r="E18">
        <f>2*B18*(1+D18)</f>
        <v>2.9990003332222592</v>
      </c>
      <c r="F18">
        <v>0.01</v>
      </c>
      <c r="G18">
        <f>8*F18</f>
        <v>0.08</v>
      </c>
      <c r="H18">
        <v>0.5</v>
      </c>
      <c r="I18">
        <v>0.75</v>
      </c>
      <c r="J18">
        <f>-2*F18</f>
        <v>-0.02</v>
      </c>
      <c r="K18">
        <f>-J18*2</f>
        <v>0.04</v>
      </c>
      <c r="L18">
        <f>4*F18</f>
        <v>0.04</v>
      </c>
      <c r="M18">
        <f>2*F18</f>
        <v>0.02</v>
      </c>
      <c r="N18">
        <f>M18</f>
        <v>0.02</v>
      </c>
      <c r="O18">
        <f>I18/F18</f>
        <v>75</v>
      </c>
      <c r="P18" s="2">
        <f>L18/F18</f>
        <v>4</v>
      </c>
      <c r="Q18" s="2">
        <v>3</v>
      </c>
      <c r="R18" s="2"/>
      <c r="S18" s="2">
        <v>300</v>
      </c>
      <c r="T18" t="s">
        <v>41</v>
      </c>
      <c r="V18" t="s">
        <v>42</v>
      </c>
      <c r="W18" t="s">
        <v>104</v>
      </c>
    </row>
    <row r="19" spans="1:24" x14ac:dyDescent="0.15">
      <c r="Q19" s="2">
        <v>3</v>
      </c>
      <c r="R19" s="2"/>
      <c r="S19" s="2">
        <v>600</v>
      </c>
      <c r="T19" t="s">
        <v>41</v>
      </c>
      <c r="U19" t="s">
        <v>105</v>
      </c>
      <c r="W19" t="s">
        <v>104</v>
      </c>
    </row>
    <row r="20" spans="1:24" x14ac:dyDescent="0.15">
      <c r="A20">
        <v>1</v>
      </c>
      <c r="B20">
        <v>0.2</v>
      </c>
      <c r="C20">
        <v>200</v>
      </c>
      <c r="D20">
        <f>(3*C20-2*B20)/(2*(B20+3*C20))</f>
        <v>0.49950016661112961</v>
      </c>
      <c r="E20">
        <f>2*B20*(1+D20)</f>
        <v>0.59980006664445185</v>
      </c>
      <c r="F20">
        <v>0.01</v>
      </c>
      <c r="G20">
        <f>8*F20</f>
        <v>0.08</v>
      </c>
      <c r="H20">
        <v>0.5</v>
      </c>
      <c r="I20">
        <v>0.75</v>
      </c>
      <c r="J20">
        <f>-2*F20</f>
        <v>-0.02</v>
      </c>
      <c r="K20">
        <f>-J20*2</f>
        <v>0.04</v>
      </c>
      <c r="L20">
        <f>4*F20</f>
        <v>0.04</v>
      </c>
      <c r="M20">
        <f>2*F20</f>
        <v>0.02</v>
      </c>
      <c r="N20">
        <f>M20</f>
        <v>0.02</v>
      </c>
      <c r="O20">
        <f>I20/F20</f>
        <v>75</v>
      </c>
      <c r="P20" s="2">
        <f>L20/F20</f>
        <v>4</v>
      </c>
      <c r="Q20" s="2">
        <v>3</v>
      </c>
      <c r="R20" s="2"/>
      <c r="S20" s="2">
        <v>200</v>
      </c>
      <c r="T20" t="s">
        <v>41</v>
      </c>
      <c r="V20" t="s">
        <v>47</v>
      </c>
      <c r="W20" t="s">
        <v>106</v>
      </c>
    </row>
    <row r="21" spans="1:24" x14ac:dyDescent="0.15">
      <c r="A21">
        <v>1</v>
      </c>
      <c r="B21">
        <v>0.2</v>
      </c>
      <c r="C21">
        <v>200</v>
      </c>
      <c r="D21">
        <f>(3*C21-2*B21)/(2*(B21+3*C21))</f>
        <v>0.49950016661112961</v>
      </c>
      <c r="E21">
        <f>2*B21*(1+D21)</f>
        <v>0.59980006664445185</v>
      </c>
      <c r="F21">
        <v>0.01</v>
      </c>
      <c r="G21">
        <v>0.1</v>
      </c>
      <c r="H21">
        <v>0.5</v>
      </c>
      <c r="I21">
        <v>0.75</v>
      </c>
      <c r="J21">
        <f>-F21</f>
        <v>-0.01</v>
      </c>
      <c r="K21">
        <f>-J21*2</f>
        <v>0.02</v>
      </c>
      <c r="L21">
        <f>4*F21</f>
        <v>0.04</v>
      </c>
      <c r="M21">
        <f>2*F21</f>
        <v>0.02</v>
      </c>
      <c r="N21">
        <f>M21</f>
        <v>0.02</v>
      </c>
      <c r="O21">
        <f>I21/F21</f>
        <v>75</v>
      </c>
      <c r="P21" s="2">
        <f>L21/F21</f>
        <v>4</v>
      </c>
      <c r="Q21" s="2">
        <v>3</v>
      </c>
      <c r="R21" s="2"/>
      <c r="S21" s="2">
        <v>100</v>
      </c>
      <c r="T21" t="s">
        <v>41</v>
      </c>
      <c r="U21" t="s">
        <v>96</v>
      </c>
      <c r="V21" t="s">
        <v>42</v>
      </c>
      <c r="W21" t="s">
        <v>107</v>
      </c>
    </row>
    <row r="22" spans="1:24" x14ac:dyDescent="0.15">
      <c r="Q22" s="2">
        <v>4</v>
      </c>
      <c r="R22" s="2">
        <v>2.6666699999999999</v>
      </c>
      <c r="S22" s="2">
        <v>100</v>
      </c>
      <c r="T22" t="s">
        <v>41</v>
      </c>
      <c r="U22" t="s">
        <v>94</v>
      </c>
      <c r="V22" t="s">
        <v>42</v>
      </c>
    </row>
    <row r="23" spans="1:24" x14ac:dyDescent="0.15">
      <c r="P23" s="2"/>
      <c r="Q23" s="2">
        <v>2.75</v>
      </c>
      <c r="R23" s="2"/>
      <c r="S23" s="2">
        <v>275</v>
      </c>
      <c r="T23" t="s">
        <v>41</v>
      </c>
      <c r="U23" t="s">
        <v>94</v>
      </c>
    </row>
    <row r="24" spans="1:24" x14ac:dyDescent="0.15">
      <c r="A24">
        <v>1</v>
      </c>
      <c r="B24">
        <v>0.2</v>
      </c>
      <c r="C24">
        <v>200</v>
      </c>
      <c r="D24">
        <f>(3*C24-2*B24)/(2*(B24+3*C24))</f>
        <v>0.49950016661112961</v>
      </c>
      <c r="E24">
        <f>2*B24*(1+D24)</f>
        <v>0.59980006664445185</v>
      </c>
      <c r="F24">
        <v>0.01</v>
      </c>
      <c r="G24">
        <v>0.05</v>
      </c>
      <c r="H24">
        <v>0.5</v>
      </c>
      <c r="I24">
        <v>0.75</v>
      </c>
      <c r="J24">
        <f>-F24</f>
        <v>-0.01</v>
      </c>
      <c r="K24">
        <f>-J24*2</f>
        <v>0.02</v>
      </c>
      <c r="L24">
        <f>4*F24</f>
        <v>0.04</v>
      </c>
      <c r="M24">
        <f>2*F24</f>
        <v>0.02</v>
      </c>
      <c r="N24">
        <f>M24</f>
        <v>0.02</v>
      </c>
      <c r="O24">
        <f>I24/F24</f>
        <v>75</v>
      </c>
      <c r="P24" s="2">
        <f>L24/F24</f>
        <v>4</v>
      </c>
      <c r="Q24">
        <v>2.75</v>
      </c>
      <c r="S24">
        <v>275</v>
      </c>
      <c r="T24" t="s">
        <v>41</v>
      </c>
    </row>
    <row r="25" spans="1:24" x14ac:dyDescent="0.15">
      <c r="Q25" s="14">
        <v>2.75</v>
      </c>
      <c r="R25" s="14"/>
      <c r="S25" s="14">
        <v>200</v>
      </c>
      <c r="T25" s="14" t="s">
        <v>41</v>
      </c>
      <c r="U25" s="14" t="s">
        <v>94</v>
      </c>
      <c r="V25" t="s">
        <v>47</v>
      </c>
      <c r="W25" t="s">
        <v>108</v>
      </c>
      <c r="X25" t="s">
        <v>109</v>
      </c>
    </row>
    <row r="26" spans="1:24" x14ac:dyDescent="0.15">
      <c r="Q26" s="2">
        <v>2.75</v>
      </c>
      <c r="R26" s="2">
        <v>2.4874399999999999</v>
      </c>
      <c r="S26" s="2">
        <v>550</v>
      </c>
      <c r="T26" t="s">
        <v>41</v>
      </c>
      <c r="U26" t="s">
        <v>96</v>
      </c>
      <c r="V26" t="s">
        <v>42</v>
      </c>
      <c r="W26" t="s">
        <v>108</v>
      </c>
      <c r="X26" t="s">
        <v>110</v>
      </c>
    </row>
    <row r="27" spans="1:24" x14ac:dyDescent="0.15">
      <c r="Q27" s="2">
        <v>2.75</v>
      </c>
      <c r="R27">
        <v>2.649635</v>
      </c>
      <c r="S27">
        <v>275</v>
      </c>
      <c r="T27" t="s">
        <v>41</v>
      </c>
      <c r="U27" t="s">
        <v>96</v>
      </c>
    </row>
    <row r="28" spans="1:24" x14ac:dyDescent="0.15">
      <c r="Q28" s="14">
        <v>2.75</v>
      </c>
      <c r="R28" s="14"/>
      <c r="S28" s="14">
        <v>250</v>
      </c>
      <c r="T28" s="14" t="s">
        <v>41</v>
      </c>
      <c r="U28" s="14" t="s">
        <v>94</v>
      </c>
      <c r="V28" t="s">
        <v>47</v>
      </c>
    </row>
    <row r="29" spans="1:24" x14ac:dyDescent="0.15">
      <c r="Q29" s="2">
        <v>2.75</v>
      </c>
      <c r="R29" s="2"/>
      <c r="S29" s="2">
        <v>200</v>
      </c>
      <c r="T29" t="s">
        <v>41</v>
      </c>
      <c r="U29" t="s">
        <v>96</v>
      </c>
      <c r="W29" t="s">
        <v>111</v>
      </c>
    </row>
    <row r="30" spans="1:24" x14ac:dyDescent="0.15">
      <c r="Q30" s="2">
        <v>2.75</v>
      </c>
      <c r="R30" s="2">
        <v>2.6396000000000002</v>
      </c>
      <c r="S30" s="2">
        <v>275</v>
      </c>
      <c r="U30" t="s">
        <v>96</v>
      </c>
      <c r="W30" t="s">
        <v>108</v>
      </c>
    </row>
    <row r="31" spans="1:24" x14ac:dyDescent="0.15">
      <c r="Q31" s="14">
        <v>2.75</v>
      </c>
      <c r="R31" s="14"/>
      <c r="S31" s="14">
        <v>250</v>
      </c>
      <c r="T31" s="14"/>
      <c r="U31" s="14" t="s">
        <v>94</v>
      </c>
      <c r="V31" t="s">
        <v>47</v>
      </c>
      <c r="X31" t="s">
        <v>112</v>
      </c>
    </row>
    <row r="32" spans="1:24" x14ac:dyDescent="0.15">
      <c r="Q32" s="2">
        <v>2.75</v>
      </c>
      <c r="R32" s="2">
        <v>2.6394500000000001</v>
      </c>
      <c r="S32" s="2">
        <v>200</v>
      </c>
      <c r="U32" t="s">
        <v>96</v>
      </c>
    </row>
    <row r="33" spans="1:23" x14ac:dyDescent="0.15">
      <c r="A33" t="s">
        <v>11</v>
      </c>
      <c r="B33" t="s">
        <v>10</v>
      </c>
      <c r="C33" t="s">
        <v>13</v>
      </c>
      <c r="D33" t="s">
        <v>81</v>
      </c>
      <c r="E33" t="s">
        <v>82</v>
      </c>
      <c r="F33" t="s">
        <v>83</v>
      </c>
      <c r="G33" t="s">
        <v>7</v>
      </c>
      <c r="H33" t="s">
        <v>84</v>
      </c>
      <c r="I33" t="s">
        <v>85</v>
      </c>
      <c r="J33" t="s">
        <v>86</v>
      </c>
      <c r="L33" t="s">
        <v>87</v>
      </c>
      <c r="M33" t="s">
        <v>88</v>
      </c>
      <c r="N33" t="s">
        <v>89</v>
      </c>
      <c r="O33" t="s">
        <v>34</v>
      </c>
      <c r="P33" t="s">
        <v>90</v>
      </c>
      <c r="Q33" s="2"/>
      <c r="R33" s="2"/>
      <c r="S33" s="2"/>
    </row>
    <row r="34" spans="1:23" x14ac:dyDescent="0.15">
      <c r="A34">
        <v>1</v>
      </c>
      <c r="B34">
        <v>0.2</v>
      </c>
      <c r="C34">
        <v>200</v>
      </c>
      <c r="D34">
        <f>(3*C34-2*B34)/(2*(B34+3*C34))</f>
        <v>0.49950016661112961</v>
      </c>
      <c r="E34">
        <f>2*B34*(1+D34)</f>
        <v>0.59980006664445185</v>
      </c>
      <c r="F34">
        <v>0.01</v>
      </c>
      <c r="G34">
        <v>0.04</v>
      </c>
      <c r="H34">
        <v>0.5</v>
      </c>
      <c r="I34">
        <v>0.75</v>
      </c>
      <c r="J34">
        <f>-F34</f>
        <v>-0.01</v>
      </c>
      <c r="K34">
        <f>-J34*2</f>
        <v>0.02</v>
      </c>
      <c r="L34">
        <f>10 *F34</f>
        <v>0.1</v>
      </c>
      <c r="M34">
        <f>2*F34</f>
        <v>0.02</v>
      </c>
      <c r="N34">
        <f>M34</f>
        <v>0.02</v>
      </c>
      <c r="O34">
        <f>I34/F34</f>
        <v>75</v>
      </c>
      <c r="P34" s="2">
        <f>L34/F34</f>
        <v>10</v>
      </c>
      <c r="Q34" s="2">
        <v>2.75</v>
      </c>
      <c r="R34" s="2">
        <v>2.7198899999999999</v>
      </c>
      <c r="S34" s="2">
        <v>275</v>
      </c>
      <c r="T34" t="s">
        <v>41</v>
      </c>
      <c r="U34" t="s">
        <v>113</v>
      </c>
      <c r="V34" t="s">
        <v>42</v>
      </c>
    </row>
    <row r="35" spans="1:23" x14ac:dyDescent="0.15">
      <c r="Q35" s="14">
        <v>2.75</v>
      </c>
      <c r="R35" s="14"/>
      <c r="S35" s="14">
        <v>350</v>
      </c>
      <c r="T35" s="14"/>
      <c r="U35" s="14" t="s">
        <v>94</v>
      </c>
      <c r="W35" t="s">
        <v>114</v>
      </c>
    </row>
    <row r="36" spans="1:23" x14ac:dyDescent="0.15">
      <c r="Q36" s="2">
        <v>2.75</v>
      </c>
      <c r="R36" s="2">
        <v>0.13395399999999999</v>
      </c>
      <c r="S36" s="15">
        <v>350</v>
      </c>
      <c r="T36" s="15"/>
      <c r="U36" t="s">
        <v>113</v>
      </c>
      <c r="W36" t="s">
        <v>115</v>
      </c>
    </row>
    <row r="37" spans="1:23" x14ac:dyDescent="0.15">
      <c r="Q37" s="2">
        <v>2.75</v>
      </c>
      <c r="R37" s="2"/>
      <c r="S37" s="15">
        <v>350</v>
      </c>
      <c r="T37" s="15"/>
      <c r="U37" t="s">
        <v>113</v>
      </c>
      <c r="W37" t="s">
        <v>116</v>
      </c>
    </row>
    <row r="38" spans="1:23" x14ac:dyDescent="0.15">
      <c r="Q38" s="15">
        <v>3.5</v>
      </c>
      <c r="R38" s="15"/>
      <c r="S38" s="15">
        <v>350</v>
      </c>
      <c r="T38" s="15"/>
      <c r="U38" s="15"/>
      <c r="W38" t="s">
        <v>116</v>
      </c>
    </row>
    <row r="39" spans="1:23" x14ac:dyDescent="0.15">
      <c r="Q39" s="2"/>
      <c r="R39" s="15"/>
      <c r="S39" s="15">
        <v>700</v>
      </c>
      <c r="T39" s="15"/>
      <c r="U39" s="15"/>
    </row>
    <row r="40" spans="1:23" x14ac:dyDescent="0.15">
      <c r="A40">
        <v>1</v>
      </c>
      <c r="B40">
        <v>0.2</v>
      </c>
      <c r="C40">
        <v>200</v>
      </c>
      <c r="D40">
        <f>(3*C40-2*B40)/(2*(B40+3*C40))</f>
        <v>0.49950016661112961</v>
      </c>
      <c r="E40">
        <f>2*B40*(1+D40)</f>
        <v>0.59980006664445185</v>
      </c>
      <c r="F40">
        <v>0.01</v>
      </c>
      <c r="G40">
        <v>0.01</v>
      </c>
      <c r="H40">
        <v>0.5</v>
      </c>
      <c r="I40">
        <v>0.75</v>
      </c>
      <c r="J40">
        <f>-F40</f>
        <v>-0.01</v>
      </c>
      <c r="K40">
        <f>-J40*2</f>
        <v>0.02</v>
      </c>
      <c r="L40">
        <f>4*F40</f>
        <v>0.04</v>
      </c>
      <c r="M40">
        <f>2*F40</f>
        <v>0.02</v>
      </c>
      <c r="N40">
        <f>M40</f>
        <v>0.02</v>
      </c>
      <c r="O40">
        <f>I40/F40</f>
        <v>75</v>
      </c>
      <c r="P40" s="2">
        <f>L40/F40</f>
        <v>4</v>
      </c>
      <c r="Q40">
        <v>2.75</v>
      </c>
      <c r="R40">
        <v>2.6496400000000002</v>
      </c>
      <c r="S40">
        <v>275</v>
      </c>
      <c r="U40" t="s">
        <v>96</v>
      </c>
      <c r="V40" t="s">
        <v>42</v>
      </c>
      <c r="W40" t="s">
        <v>117</v>
      </c>
    </row>
    <row r="41" spans="1:23" x14ac:dyDescent="0.15">
      <c r="A41">
        <v>1</v>
      </c>
      <c r="B41">
        <v>0.2</v>
      </c>
      <c r="C41">
        <v>200</v>
      </c>
      <c r="D41">
        <f>(3*C41-2*B41)/(2*(B41+3*C41))</f>
        <v>0.49950016661112961</v>
      </c>
      <c r="E41">
        <f>2*B41*(1+D41)</f>
        <v>0.59980006664445185</v>
      </c>
      <c r="F41">
        <v>8.0000000000000002E-3</v>
      </c>
      <c r="G41">
        <v>0.04</v>
      </c>
      <c r="H41">
        <v>0.5</v>
      </c>
      <c r="I41">
        <v>0.75</v>
      </c>
      <c r="J41">
        <f>-2*F41</f>
        <v>-1.6E-2</v>
      </c>
      <c r="K41">
        <f>-J41*2</f>
        <v>3.2000000000000001E-2</v>
      </c>
      <c r="L41">
        <f>4*F41</f>
        <v>3.2000000000000001E-2</v>
      </c>
      <c r="M41">
        <f>2*F41</f>
        <v>1.6E-2</v>
      </c>
      <c r="N41">
        <f>M41</f>
        <v>1.6E-2</v>
      </c>
      <c r="O41">
        <f>I41/F41</f>
        <v>93.75</v>
      </c>
      <c r="P41" s="2">
        <f>L41/F41</f>
        <v>4</v>
      </c>
      <c r="Q41" s="2">
        <v>2.75</v>
      </c>
      <c r="R41" s="2" t="s">
        <v>118</v>
      </c>
      <c r="S41" s="2">
        <v>275</v>
      </c>
      <c r="T41" t="s">
        <v>41</v>
      </c>
      <c r="V41" t="s">
        <v>42</v>
      </c>
      <c r="W41" t="s">
        <v>117</v>
      </c>
    </row>
    <row r="42" spans="1:23" x14ac:dyDescent="0.15">
      <c r="Q42">
        <v>4</v>
      </c>
      <c r="R42">
        <v>2.7669199999999998</v>
      </c>
      <c r="S42">
        <v>400</v>
      </c>
      <c r="V42" t="s">
        <v>42</v>
      </c>
    </row>
    <row r="43" spans="1:23" x14ac:dyDescent="0.15">
      <c r="A43" s="20">
        <v>1</v>
      </c>
      <c r="B43" s="20">
        <v>0.2</v>
      </c>
      <c r="C43" s="20">
        <v>200</v>
      </c>
      <c r="D43" s="20">
        <f>(3*C43-2*B43)/(2*(B43+3*C43))</f>
        <v>0.49950016661112961</v>
      </c>
      <c r="E43" s="20">
        <f>2*B43*(1+D43)</f>
        <v>0.59980006664445185</v>
      </c>
      <c r="F43" s="20">
        <v>8.0000000000000002E-3</v>
      </c>
      <c r="G43" s="20">
        <v>0.04</v>
      </c>
      <c r="H43" s="20">
        <v>0.5</v>
      </c>
      <c r="I43" s="20">
        <v>0.75</v>
      </c>
      <c r="J43" s="20">
        <f>-2*F43</f>
        <v>-1.6E-2</v>
      </c>
      <c r="K43" s="20">
        <f>-J43*2</f>
        <v>3.2000000000000001E-2</v>
      </c>
      <c r="L43" s="20">
        <f>4*F43</f>
        <v>3.2000000000000001E-2</v>
      </c>
      <c r="M43" s="20">
        <f>2*F43</f>
        <v>1.6E-2</v>
      </c>
      <c r="N43" s="20">
        <f>M43</f>
        <v>1.6E-2</v>
      </c>
      <c r="O43" s="20">
        <f>I43/F43</f>
        <v>93.75</v>
      </c>
      <c r="P43" s="20">
        <f>L43/F43</f>
        <v>4</v>
      </c>
      <c r="Q43" s="22">
        <v>3</v>
      </c>
      <c r="R43" s="22">
        <v>2.7591999999999999</v>
      </c>
      <c r="S43" s="22">
        <v>300</v>
      </c>
      <c r="T43" s="22" t="s">
        <v>41</v>
      </c>
      <c r="U43" s="22" t="s">
        <v>94</v>
      </c>
      <c r="V43" s="22" t="s">
        <v>47</v>
      </c>
      <c r="W43" t="s">
        <v>114</v>
      </c>
    </row>
    <row r="44" spans="1:23" x14ac:dyDescent="0.15">
      <c r="A44">
        <v>1</v>
      </c>
      <c r="B44">
        <v>0.2</v>
      </c>
      <c r="C44">
        <v>200</v>
      </c>
      <c r="D44">
        <f>(3*C44-2*B44)/(2*(B44+3*C44))</f>
        <v>0.49950016661112961</v>
      </c>
      <c r="E44">
        <f>2*B44*(1+D44)</f>
        <v>0.59980006664445185</v>
      </c>
      <c r="F44">
        <v>8.0000000000000002E-3</v>
      </c>
      <c r="G44">
        <v>0.04</v>
      </c>
      <c r="H44">
        <v>0.5</v>
      </c>
      <c r="I44">
        <v>0.75</v>
      </c>
      <c r="J44">
        <f>-1*F44</f>
        <v>-8.0000000000000002E-3</v>
      </c>
      <c r="K44">
        <f>-J44*2</f>
        <v>1.6E-2</v>
      </c>
      <c r="L44">
        <f>10*F44</f>
        <v>0.08</v>
      </c>
      <c r="M44">
        <f>2*F44</f>
        <v>1.6E-2</v>
      </c>
      <c r="N44">
        <f>M44</f>
        <v>1.6E-2</v>
      </c>
      <c r="O44">
        <f>I44/F44</f>
        <v>93.75</v>
      </c>
      <c r="P44" s="2">
        <f>L44/F44</f>
        <v>10</v>
      </c>
      <c r="Q44">
        <v>2.8</v>
      </c>
      <c r="R44">
        <v>2.7498200000000002</v>
      </c>
      <c r="S44">
        <v>280</v>
      </c>
      <c r="U44" t="s">
        <v>96</v>
      </c>
    </row>
    <row r="45" spans="1:23" x14ac:dyDescent="0.15">
      <c r="Q45" s="2">
        <v>2.85</v>
      </c>
      <c r="R45" s="2"/>
      <c r="S45" s="2">
        <v>400</v>
      </c>
      <c r="U45" t="s">
        <v>113</v>
      </c>
    </row>
    <row r="46" spans="1:23" x14ac:dyDescent="0.15">
      <c r="Q46">
        <v>2.85</v>
      </c>
      <c r="S46">
        <v>450</v>
      </c>
      <c r="U46" t="s">
        <v>113</v>
      </c>
    </row>
    <row r="47" spans="1:23" x14ac:dyDescent="0.15">
      <c r="S47">
        <v>500</v>
      </c>
    </row>
    <row r="48" spans="1:23" x14ac:dyDescent="0.15">
      <c r="A48" s="2">
        <v>1</v>
      </c>
      <c r="B48" s="2">
        <v>0.2</v>
      </c>
      <c r="C48" s="2">
        <v>200</v>
      </c>
      <c r="D48" s="2">
        <f>(3*C48-2*B48)/(2*(B48+3*C48))</f>
        <v>0.49950016661112961</v>
      </c>
      <c r="E48" s="2">
        <f>2*B48*(1+D48)</f>
        <v>0.59980006664445185</v>
      </c>
      <c r="F48" s="2">
        <v>8.0000000000000002E-3</v>
      </c>
      <c r="G48" s="2">
        <v>0.04</v>
      </c>
      <c r="H48" s="2">
        <v>0.5</v>
      </c>
      <c r="I48" s="2">
        <v>0.75</v>
      </c>
      <c r="J48" s="2">
        <f>-1*F48</f>
        <v>-8.0000000000000002E-3</v>
      </c>
      <c r="K48" s="2">
        <f>-J48*2</f>
        <v>1.6E-2</v>
      </c>
      <c r="L48" s="2">
        <f>20*F48</f>
        <v>0.16</v>
      </c>
      <c r="M48" s="2">
        <f>2*F48</f>
        <v>1.6E-2</v>
      </c>
      <c r="N48" s="2">
        <f>M48</f>
        <v>1.6E-2</v>
      </c>
      <c r="O48" s="2">
        <f>I48/F48</f>
        <v>93.75</v>
      </c>
      <c r="P48" s="2">
        <f>L48/F48</f>
        <v>20</v>
      </c>
      <c r="Q48">
        <v>2.85</v>
      </c>
      <c r="S48">
        <v>400</v>
      </c>
      <c r="U48" t="s">
        <v>96</v>
      </c>
      <c r="V48" t="s">
        <v>42</v>
      </c>
    </row>
    <row r="49" spans="1:22" x14ac:dyDescent="0.15">
      <c r="Q49">
        <v>2.85</v>
      </c>
      <c r="S49">
        <v>285</v>
      </c>
      <c r="U49" t="s">
        <v>119</v>
      </c>
      <c r="V49" t="s">
        <v>42</v>
      </c>
    </row>
    <row r="50" spans="1:22" x14ac:dyDescent="0.15">
      <c r="A50" s="2">
        <v>1</v>
      </c>
      <c r="B50" s="2">
        <v>0.2</v>
      </c>
      <c r="C50" s="2">
        <v>200</v>
      </c>
      <c r="D50" s="2">
        <f>(3*C50-2*B50)/(2*(B50+3*C50))</f>
        <v>0.49950016661112961</v>
      </c>
      <c r="E50" s="2">
        <f>2*B50*(1+D50)</f>
        <v>0.59980006664445185</v>
      </c>
      <c r="F50" s="2">
        <v>8.0000000000000002E-3</v>
      </c>
      <c r="G50" s="2">
        <v>0.04</v>
      </c>
      <c r="H50" s="2">
        <v>0.5</v>
      </c>
      <c r="I50" s="2">
        <v>0.75</v>
      </c>
      <c r="J50" s="2">
        <f>-1*F50</f>
        <v>-8.0000000000000002E-3</v>
      </c>
      <c r="K50" s="2">
        <f>-J50*2</f>
        <v>1.6E-2</v>
      </c>
      <c r="L50" s="2">
        <f>18*F50</f>
        <v>0.14400000000000002</v>
      </c>
      <c r="M50" s="2">
        <f>2*F50</f>
        <v>1.6E-2</v>
      </c>
      <c r="N50" s="2">
        <f>M50</f>
        <v>1.6E-2</v>
      </c>
      <c r="O50" s="2">
        <f>I50/F50</f>
        <v>93.75</v>
      </c>
      <c r="P50" s="2">
        <f>L50/F50</f>
        <v>18</v>
      </c>
      <c r="Q50" s="2">
        <v>2.85</v>
      </c>
      <c r="R50">
        <v>2.7295769999999999</v>
      </c>
      <c r="S50">
        <v>285</v>
      </c>
      <c r="U50" t="s">
        <v>119</v>
      </c>
    </row>
    <row r="51" spans="1:22" x14ac:dyDescent="0.15">
      <c r="S51">
        <v>350</v>
      </c>
    </row>
    <row r="53" spans="1:22" x14ac:dyDescent="0.15">
      <c r="A53" s="2" t="s">
        <v>11</v>
      </c>
      <c r="B53" s="2" t="s">
        <v>10</v>
      </c>
      <c r="C53" s="2" t="s">
        <v>13</v>
      </c>
      <c r="D53" s="2" t="s">
        <v>81</v>
      </c>
      <c r="E53" s="2" t="s">
        <v>82</v>
      </c>
      <c r="F53" s="2" t="s">
        <v>83</v>
      </c>
      <c r="G53" s="2" t="s">
        <v>7</v>
      </c>
      <c r="H53" s="2" t="s">
        <v>84</v>
      </c>
      <c r="I53" s="2" t="s">
        <v>85</v>
      </c>
      <c r="J53" s="2" t="s">
        <v>86</v>
      </c>
      <c r="K53" s="2"/>
      <c r="L53" s="2" t="s">
        <v>87</v>
      </c>
      <c r="M53" s="2" t="s">
        <v>88</v>
      </c>
      <c r="N53" s="2" t="s">
        <v>89</v>
      </c>
      <c r="O53" s="2" t="s">
        <v>34</v>
      </c>
      <c r="P53" s="2" t="s">
        <v>90</v>
      </c>
      <c r="Q53" s="2" t="s">
        <v>0</v>
      </c>
      <c r="R53" s="2" t="s">
        <v>0</v>
      </c>
      <c r="S53" s="2" t="s">
        <v>91</v>
      </c>
      <c r="T53" s="2" t="s">
        <v>65</v>
      </c>
      <c r="U53" s="2" t="s">
        <v>92</v>
      </c>
      <c r="V53" s="2" t="s">
        <v>42</v>
      </c>
    </row>
    <row r="54" spans="1:22" x14ac:dyDescent="0.15">
      <c r="A54" s="2">
        <v>1</v>
      </c>
      <c r="B54" s="2">
        <v>0.2</v>
      </c>
      <c r="C54" s="2">
        <v>200</v>
      </c>
      <c r="D54" s="2">
        <f>(3*C54-2*B54)/(2*(B54+3*C54))</f>
        <v>0.49950016661112961</v>
      </c>
      <c r="E54" s="2">
        <f>2*B54*(1+D54)</f>
        <v>0.59980006664445185</v>
      </c>
      <c r="F54" s="2">
        <v>8.0000000000000002E-3</v>
      </c>
      <c r="G54" s="2">
        <v>0.04</v>
      </c>
      <c r="H54" s="2">
        <v>0.5</v>
      </c>
      <c r="I54" s="2">
        <v>0.75</v>
      </c>
      <c r="J54" s="2">
        <f>-2*F54</f>
        <v>-1.6E-2</v>
      </c>
      <c r="K54" s="2">
        <f>-J54*2</f>
        <v>3.2000000000000001E-2</v>
      </c>
      <c r="L54" s="2">
        <f>4*F54</f>
        <v>3.2000000000000001E-2</v>
      </c>
      <c r="M54" s="2">
        <f>2*F54</f>
        <v>1.6E-2</v>
      </c>
      <c r="N54" s="2">
        <f>M54</f>
        <v>1.6E-2</v>
      </c>
      <c r="O54" s="2">
        <f>I54/F54</f>
        <v>93.75</v>
      </c>
      <c r="P54" s="2">
        <f>L54/F54</f>
        <v>4</v>
      </c>
      <c r="Q54" s="14">
        <v>3</v>
      </c>
      <c r="R54" s="14">
        <v>2.7591999999999999</v>
      </c>
      <c r="S54" s="14">
        <v>300</v>
      </c>
      <c r="T54" s="14" t="s">
        <v>41</v>
      </c>
      <c r="U54" s="14" t="s">
        <v>94</v>
      </c>
      <c r="V54" s="14" t="s">
        <v>47</v>
      </c>
    </row>
    <row r="58" spans="1:22" x14ac:dyDescent="0.15">
      <c r="C58" t="s">
        <v>121</v>
      </c>
      <c r="D58" t="s">
        <v>120</v>
      </c>
      <c r="E58" t="s">
        <v>122</v>
      </c>
      <c r="F58" t="s">
        <v>123</v>
      </c>
      <c r="G58" t="s">
        <v>124</v>
      </c>
      <c r="H58" t="s">
        <v>125</v>
      </c>
    </row>
    <row r="59" spans="1:22" x14ac:dyDescent="0.15">
      <c r="C59">
        <v>3</v>
      </c>
      <c r="D59">
        <v>299</v>
      </c>
      <c r="E59">
        <v>0</v>
      </c>
      <c r="F59">
        <f>C59/D59*E59</f>
        <v>0</v>
      </c>
      <c r="G59">
        <f>1.5+F59</f>
        <v>1.5</v>
      </c>
      <c r="H59">
        <f t="shared" ref="H59:H64" si="0">(G59-1.5)/1.5*100</f>
        <v>0</v>
      </c>
      <c r="M59">
        <v>3</v>
      </c>
      <c r="N59">
        <v>299</v>
      </c>
      <c r="O59">
        <f>M59/N59</f>
        <v>1.0033444816053512E-2</v>
      </c>
      <c r="P59">
        <f>O59*275</f>
        <v>2.7591973244147159</v>
      </c>
    </row>
    <row r="60" spans="1:22" x14ac:dyDescent="0.15">
      <c r="C60" s="2">
        <v>3</v>
      </c>
      <c r="D60" s="2">
        <v>299</v>
      </c>
      <c r="E60">
        <v>50</v>
      </c>
      <c r="F60" s="2">
        <f t="shared" ref="F60:F64" si="1">C60/D60*E60</f>
        <v>0.50167224080267558</v>
      </c>
      <c r="G60" s="2">
        <f t="shared" ref="G60:G64" si="2">1.5+F60</f>
        <v>2.0016722408026757</v>
      </c>
      <c r="H60" s="2">
        <f t="shared" si="0"/>
        <v>33.444816053511708</v>
      </c>
    </row>
    <row r="61" spans="1:22" x14ac:dyDescent="0.15">
      <c r="C61" s="2">
        <v>3</v>
      </c>
      <c r="D61" s="2">
        <v>299</v>
      </c>
      <c r="E61">
        <v>150</v>
      </c>
      <c r="F61" s="2">
        <f t="shared" si="1"/>
        <v>1.5050167224080269</v>
      </c>
      <c r="G61" s="2">
        <f t="shared" si="2"/>
        <v>3.0050167224080271</v>
      </c>
      <c r="H61" s="2">
        <f t="shared" si="0"/>
        <v>100.33444816053515</v>
      </c>
    </row>
    <row r="62" spans="1:22" x14ac:dyDescent="0.15">
      <c r="C62" s="2">
        <v>3</v>
      </c>
      <c r="D62" s="2">
        <v>299</v>
      </c>
      <c r="E62">
        <v>250</v>
      </c>
      <c r="F62" s="2">
        <f t="shared" si="1"/>
        <v>2.508361204013378</v>
      </c>
      <c r="G62" s="2">
        <f t="shared" si="2"/>
        <v>4.0083612040133776</v>
      </c>
      <c r="H62" s="2">
        <f t="shared" si="0"/>
        <v>167.22408026755852</v>
      </c>
    </row>
    <row r="63" spans="1:22" x14ac:dyDescent="0.15">
      <c r="C63" s="2">
        <v>3</v>
      </c>
      <c r="D63" s="2">
        <v>299</v>
      </c>
      <c r="E63">
        <v>274</v>
      </c>
      <c r="F63" s="2">
        <f t="shared" si="1"/>
        <v>2.7491638795986622</v>
      </c>
      <c r="G63" s="2">
        <f t="shared" si="2"/>
        <v>4.2491638795986617</v>
      </c>
      <c r="H63" s="2">
        <f t="shared" si="0"/>
        <v>183.27759197324411</v>
      </c>
    </row>
    <row r="64" spans="1:22" x14ac:dyDescent="0.15">
      <c r="C64" s="2">
        <v>3</v>
      </c>
      <c r="D64" s="2">
        <v>299</v>
      </c>
      <c r="E64">
        <v>275</v>
      </c>
      <c r="F64" s="2">
        <f t="shared" si="1"/>
        <v>2.7591973244147159</v>
      </c>
      <c r="G64" s="2">
        <f t="shared" si="2"/>
        <v>4.2591973244147159</v>
      </c>
      <c r="H64" s="2">
        <f t="shared" si="0"/>
        <v>183.94648829431441</v>
      </c>
    </row>
  </sheetData>
  <mergeCells count="3">
    <mergeCell ref="W5:AB5"/>
    <mergeCell ref="W7:AB7"/>
    <mergeCell ref="B15:V15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43588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ExpLoad</vt:lpstr>
      <vt:lpstr>Task2_Prelim</vt:lpstr>
      <vt:lpstr>Task2</vt:lpstr>
      <vt:lpstr>Summary</vt:lpstr>
      <vt:lpstr>Task3</vt:lpstr>
      <vt:lpstr>Task4-3D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Ang, Ida Cee</cp:lastModifiedBy>
  <cp:revision>287</cp:revision>
  <dcterms:created xsi:type="dcterms:W3CDTF">2021-05-17T13:09:58Z</dcterms:created>
  <dcterms:modified xsi:type="dcterms:W3CDTF">2021-07-16T12:55:37Z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