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IES_Feb23/run/"/>
    </mc:Choice>
  </mc:AlternateContent>
  <xr:revisionPtr revIDLastSave="0" documentId="13_ncr:1_{70831F6D-C55C-9B4F-A390-63D177012F68}" xr6:coauthVersionLast="47" xr6:coauthVersionMax="47" xr10:uidLastSave="{00000000-0000-0000-0000-000000000000}"/>
  <bookViews>
    <workbookView xWindow="2480" yWindow="1000" windowWidth="33360" windowHeight="19680" activeTab="2" xr2:uid="{0E0AD5E1-F50E-5F4E-9139-BDA2035603EC}"/>
  </bookViews>
  <sheets>
    <sheet name="cases" sheetId="1" r:id="rId1"/>
    <sheet name="data" sheetId="4" r:id="rId2"/>
    <sheet name="braidwood_S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D20" i="2"/>
  <c r="C20" i="2"/>
  <c r="B20" i="2"/>
  <c r="G12" i="2"/>
  <c r="G13" i="2"/>
  <c r="F12" i="2"/>
  <c r="F13" i="2"/>
  <c r="E12" i="2"/>
  <c r="E13" i="2"/>
  <c r="D12" i="2"/>
  <c r="D13" i="2"/>
  <c r="O4" i="1"/>
  <c r="O5" i="1"/>
  <c r="O6" i="1"/>
  <c r="O7" i="1"/>
  <c r="O3" i="1"/>
  <c r="M4" i="1"/>
  <c r="M5" i="1"/>
  <c r="M6" i="1"/>
  <c r="M7" i="1"/>
  <c r="M3" i="1"/>
  <c r="K4" i="1"/>
  <c r="K5" i="1"/>
  <c r="K6" i="1"/>
  <c r="K7" i="1"/>
  <c r="K3" i="1"/>
  <c r="J4" i="1"/>
  <c r="L4" i="1" s="1"/>
  <c r="N4" i="1" s="1"/>
  <c r="J5" i="1"/>
  <c r="L5" i="1" s="1"/>
  <c r="N5" i="1" s="1"/>
  <c r="J6" i="1"/>
  <c r="L6" i="1" s="1"/>
  <c r="N6" i="1" s="1"/>
  <c r="J7" i="1"/>
  <c r="J3" i="1"/>
  <c r="L3" i="1" s="1"/>
  <c r="N3" i="1" s="1"/>
  <c r="P3" i="1" s="1"/>
  <c r="F4" i="1"/>
  <c r="F5" i="1"/>
  <c r="F6" i="1"/>
  <c r="F7" i="1"/>
  <c r="F3" i="1"/>
  <c r="E4" i="1"/>
  <c r="E5" i="1"/>
  <c r="E6" i="1"/>
  <c r="E7" i="1"/>
  <c r="E3" i="1"/>
  <c r="C4" i="1"/>
  <c r="C5" i="1"/>
  <c r="C6" i="1"/>
  <c r="C7" i="1"/>
  <c r="D7" i="1" s="1"/>
  <c r="C3" i="1"/>
  <c r="D3" i="1" s="1"/>
  <c r="B4" i="1"/>
  <c r="B5" i="1"/>
  <c r="B6" i="1"/>
  <c r="B7" i="1"/>
  <c r="A4" i="1"/>
  <c r="A5" i="1"/>
  <c r="A6" i="1"/>
  <c r="A7" i="1"/>
  <c r="A3" i="1"/>
  <c r="B3" i="1"/>
  <c r="B16" i="1"/>
  <c r="F10" i="2"/>
  <c r="F11" i="2"/>
  <c r="E19" i="2" s="1"/>
  <c r="E10" i="2"/>
  <c r="B19" i="2" s="1"/>
  <c r="E11" i="2"/>
  <c r="C19" i="2" s="1"/>
  <c r="D10" i="2"/>
  <c r="D11" i="2"/>
  <c r="F8" i="2"/>
  <c r="D18" i="2" s="1"/>
  <c r="F9" i="2"/>
  <c r="E18" i="2" s="1"/>
  <c r="E8" i="2"/>
  <c r="B18" i="2" s="1"/>
  <c r="E9" i="2"/>
  <c r="C18" i="2" s="1"/>
  <c r="D8" i="2"/>
  <c r="D9" i="2"/>
  <c r="F3" i="2"/>
  <c r="F4" i="2"/>
  <c r="D16" i="2" s="1"/>
  <c r="F5" i="2"/>
  <c r="E16" i="2" s="1"/>
  <c r="F6" i="2"/>
  <c r="D17" i="2" s="1"/>
  <c r="F7" i="2"/>
  <c r="F2" i="2"/>
  <c r="E2" i="2"/>
  <c r="E4" i="2"/>
  <c r="B16" i="2" s="1"/>
  <c r="E5" i="2"/>
  <c r="C16" i="2" s="1"/>
  <c r="E6" i="2"/>
  <c r="B17" i="2" s="1"/>
  <c r="E7" i="2"/>
  <c r="C17" i="2" s="1"/>
  <c r="E3" i="2"/>
  <c r="D3" i="2"/>
  <c r="D4" i="2"/>
  <c r="D5" i="2"/>
  <c r="D6" i="2"/>
  <c r="D7" i="2"/>
  <c r="D2" i="2"/>
  <c r="P4" i="1" l="1"/>
  <c r="P6" i="1"/>
  <c r="P5" i="1"/>
  <c r="L7" i="1"/>
  <c r="N7" i="1" s="1"/>
  <c r="P7" i="1" s="1"/>
  <c r="G7" i="1"/>
  <c r="G2" i="2"/>
  <c r="G3" i="2"/>
  <c r="G10" i="2"/>
  <c r="G3" i="1"/>
  <c r="D5" i="1"/>
  <c r="G5" i="1" s="1"/>
  <c r="D6" i="1"/>
  <c r="G6" i="1" s="1"/>
  <c r="D4" i="1"/>
  <c r="G4" i="1" s="1"/>
  <c r="G11" i="2"/>
  <c r="D19" i="2"/>
  <c r="G9" i="2"/>
  <c r="G8" i="2"/>
  <c r="G7" i="2"/>
  <c r="E17" i="2"/>
  <c r="G6" i="2"/>
  <c r="G5" i="2"/>
  <c r="G4" i="2"/>
</calcChain>
</file>

<file path=xl/sharedStrings.xml><?xml version="1.0" encoding="utf-8"?>
<sst xmlns="http://schemas.openxmlformats.org/spreadsheetml/2006/main" count="110" uniqueCount="97">
  <si>
    <t>Location</t>
  </si>
  <si>
    <t>Baseline NPV</t>
  </si>
  <si>
    <t>Opt NPV</t>
  </si>
  <si>
    <t>Delta NPV</t>
  </si>
  <si>
    <t>Std baseline NPV</t>
  </si>
  <si>
    <t>Std opt NPV</t>
  </si>
  <si>
    <t>Std delta NPV (%)</t>
  </si>
  <si>
    <t>NPP (MWe)</t>
  </si>
  <si>
    <t>HTSE (MWe)</t>
  </si>
  <si>
    <t>H2 storage (ton-H2)</t>
  </si>
  <si>
    <t>Delta NPV (M$)</t>
  </si>
  <si>
    <t>Std Delta NPV</t>
  </si>
  <si>
    <t>Case</t>
  </si>
  <si>
    <t>Mean NPV</t>
  </si>
  <si>
    <t>Std NPV</t>
  </si>
  <si>
    <t>Std NPv (%)</t>
  </si>
  <si>
    <t>Std delta NPV</t>
  </si>
  <si>
    <t>Reference</t>
  </si>
  <si>
    <t>braidwood</t>
  </si>
  <si>
    <t>cooper</t>
  </si>
  <si>
    <t>prairie_island</t>
  </si>
  <si>
    <t>stp</t>
  </si>
  <si>
    <t>davis_besse</t>
  </si>
  <si>
    <t>Low</t>
  </si>
  <si>
    <t>High</t>
  </si>
  <si>
    <t>Std low</t>
  </si>
  <si>
    <t>Std high</t>
  </si>
  <si>
    <t>Synfuel Price</t>
  </si>
  <si>
    <t>CAPEX</t>
  </si>
  <si>
    <t>CO2 Cost</t>
  </si>
  <si>
    <t>BAU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</si>
  <si>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</si>
  <si>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</si>
  <si>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</si>
  <si>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</si>
  <si>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</si>
  <si>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</si>
  <si>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</si>
  <si>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</si>
  <si>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</si>
  <si>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FT (ton-H2/h)</t>
  </si>
  <si>
    <t>HTSE (ton-H2/h)</t>
  </si>
  <si>
    <t>Components Capacities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</si>
  <si>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</si>
  <si>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</si>
  <si>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</si>
  <si>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</si>
  <si>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</si>
  <si>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</si>
  <si>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</si>
  <si>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</si>
  <si>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</si>
  <si>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</si>
  <si>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</si>
  <si>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</si>
  <si>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</si>
  <si>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</si>
  <si>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</si>
  <si>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</si>
  <si>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</si>
  <si>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</si>
  <si>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</si>
  <si>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</si>
  <si>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</si>
  <si>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</si>
  <si>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</si>
  <si>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</si>
  <si>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</si>
  <si>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</si>
  <si>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</si>
  <si>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</si>
  <si>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ref</t>
  </si>
  <si>
    <t>illinois</t>
  </si>
  <si>
    <t>covid</t>
  </si>
  <si>
    <t>nebraska</t>
  </si>
  <si>
    <t>#</t>
  </si>
  <si>
    <t>davis-besse</t>
  </si>
  <si>
    <t>ohio</t>
  </si>
  <si>
    <t>prairie-island</t>
  </si>
  <si>
    <t>minnesota</t>
  </si>
  <si>
    <t>south_texas_project</t>
  </si>
  <si>
    <t>west_south_central</t>
  </si>
  <si>
    <t>Storage/HTSE(day) ratio</t>
  </si>
  <si>
    <t>synfuel 0.75</t>
  </si>
  <si>
    <t>synfuel 1.25</t>
  </si>
  <si>
    <t>capex 0.75</t>
  </si>
  <si>
    <t>capex 1.25</t>
  </si>
  <si>
    <t>co2 cost med</t>
  </si>
  <si>
    <t>co2 cost high</t>
  </si>
  <si>
    <t>o&amp;m 0.75</t>
  </si>
  <si>
    <t>o&amp;m1.25</t>
  </si>
  <si>
    <t>O&amp;M</t>
  </si>
  <si>
    <t>Standardized added value (M$/MWh)</t>
  </si>
  <si>
    <t>2Std Delta NPV (M$)</t>
  </si>
  <si>
    <t>ptc100</t>
  </si>
  <si>
    <t>ptc270</t>
  </si>
  <si>
    <t>H2 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</si>
</sst>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9" fontId="0" fillId="0" borderId="0" xfId="2" applyFont="1" applyBorder="1"/>
    <xf numFmtId="0" fontId="0" fillId="0" borderId="0" xfId="0" applyAlignment="1">
      <alignment horizontal="center"/>
    </xf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cases!$N$2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plus>
            <c:minus>
              <c:numRef>
                <c:f>cases!$O$3:$O$7</c:f>
                <c:numCache>
                  <c:formatCode>General</c:formatCode>
                  <c:ptCount val="5"/>
                  <c:pt idx="0">
                    <c:v>20884350.143897209</c:v>
                  </c:pt>
                  <c:pt idx="1">
                    <c:v>59328188.226587601</c:v>
                  </c:pt>
                  <c:pt idx="2">
                    <c:v>2154.9278573199999</c:v>
                  </c:pt>
                  <c:pt idx="3">
                    <c:v>1111634.6500761474</c:v>
                  </c:pt>
                  <c:pt idx="4">
                    <c:v>171798092.53633958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STP</c:v>
                </c:pt>
              </c:strCache>
            </c:strRef>
          </c:cat>
          <c:val>
            <c:numRef>
              <c:f>cases!$N$3:$N$7</c:f>
              <c:numCache>
                <c:formatCode>_("$"* #,##0.00_);_("$"* \(#,##0.00\);_("$"* "-"??_);_(@_)</c:formatCode>
                <c:ptCount val="5"/>
                <c:pt idx="0">
                  <c:v>1305897263.1300001</c:v>
                </c:pt>
                <c:pt idx="1">
                  <c:v>882854724.43999994</c:v>
                </c:pt>
                <c:pt idx="2">
                  <c:v>591488449.03000021</c:v>
                </c:pt>
                <c:pt idx="3">
                  <c:v>914678100.61800003</c:v>
                </c:pt>
                <c:pt idx="4">
                  <c:v>138177069.53999996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794E-A7DC-932C02F6F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76018574601252"/>
          <c:y val="0.13282057494292504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</a:ln>
            <a:effectLst/>
          </c:spPr>
          <c:invertIfNegative val="0"/>
          <c:cat>
            <c:strRef>
              <c:f>braidwood_SA!$A$16:$A$20</c:f>
              <c:strCache>
                <c:ptCount val="5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  <c:pt idx="4">
                  <c:v>H2 PTC</c:v>
                </c:pt>
              </c:strCache>
            </c:strRef>
          </c:cat>
          <c:val>
            <c:numRef>
              <c:f>braidwood_SA!$B$16:$B$20</c:f>
              <c:numCache>
                <c:formatCode>General</c:formatCode>
                <c:ptCount val="5"/>
                <c:pt idx="0">
                  <c:v>972150087.25999975</c:v>
                </c:pt>
                <c:pt idx="1">
                  <c:v>1535805647.1199999</c:v>
                </c:pt>
                <c:pt idx="2">
                  <c:v>895252871.1500001</c:v>
                </c:pt>
                <c:pt idx="3">
                  <c:v>1488603302.1199999</c:v>
                </c:pt>
                <c:pt idx="4">
                  <c:v>-1849336819.7800002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6-DF46-825B-52CEF0CBC6B4}"/>
            </c:ext>
          </c:extLst>
        </c:ser>
        <c:ser>
          <c:idx val="1"/>
          <c:order val="1"/>
          <c:tx>
            <c:strRef>
              <c:f>braidwood_SA!$C$15</c:f>
              <c:strCache>
                <c:ptCount val="1"/>
                <c:pt idx="0">
                  <c:v>High</c:v>
                </c:pt>
              </c:strCache>
            </c:strRef>
          </c:tx>
          <c:spPr>
            <a:noFill/>
            <a:ln w="28575">
              <a:solidFill>
                <a:schemeClr val="accent6"/>
              </a:solidFill>
            </a:ln>
            <a:effectLst/>
          </c:spPr>
          <c:invertIfNegative val="0"/>
          <c:cat>
            <c:strRef>
              <c:f>braidwood_SA!$A$16:$A$20</c:f>
              <c:strCache>
                <c:ptCount val="5"/>
                <c:pt idx="0">
                  <c:v>Synfuel Price</c:v>
                </c:pt>
                <c:pt idx="1">
                  <c:v>CAPEX</c:v>
                </c:pt>
                <c:pt idx="2">
                  <c:v>CO2 Cost</c:v>
                </c:pt>
                <c:pt idx="3">
                  <c:v>O&amp;M</c:v>
                </c:pt>
                <c:pt idx="4">
                  <c:v>H2 PTC</c:v>
                </c:pt>
              </c:strCache>
            </c:strRef>
          </c:cat>
          <c:val>
            <c:numRef>
              <c:f>braidwood_SA!$C$16:$C$20</c:f>
              <c:numCache>
                <c:formatCode>General</c:formatCode>
                <c:ptCount val="5"/>
                <c:pt idx="0">
                  <c:v>1639644093.5799999</c:v>
                </c:pt>
                <c:pt idx="1">
                  <c:v>1075988715.1199999</c:v>
                </c:pt>
                <c:pt idx="2">
                  <c:v>484607417.11999989</c:v>
                </c:pt>
                <c:pt idx="3">
                  <c:v>1123190020.5299997</c:v>
                </c:pt>
                <c:pt idx="4">
                  <c:v>-946118919.88000011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6-DF46-825B-52CEF0CB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977900</xdr:colOff>
      <xdr:row>14</xdr:row>
      <xdr:rowOff>190500</xdr:rowOff>
    </xdr:from>
    <xdr:to>
      <xdr:col>13</xdr:col>
      <xdr:colOff>647700</xdr:colOff>
      <xdr:row>36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791DDA-9A7C-F0A4-11B7-20F0EC0741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21</xdr:row>
      <xdr:rowOff>19050</xdr:rowOff>
    </xdr:from>
    <xdr:to>
      <xdr:col>14</xdr:col>
      <xdr:colOff>584200</xdr:colOff>
      <xdr:row>47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0287DE-5719-7713-E572-18F3E1BCA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0.00486</cdr:x>
      <cdr:y>0.85414</cdr:y>
    </cdr:from>
    <cdr:to>
      <cdr:x>0.09444</cdr:x>
      <cdr:y>0.92583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CFB347-86E3-68C2-1ACD-C064B58A522B}"/>
            </a:ext>
          </a:extLst>
        </cdr:cNvPr>
        <cdr:cNvSpPr txBox="1"/>
      </cdr:nvSpPr>
      <cdr:spPr>
        <a:xfrm xmlns:a="http://schemas.openxmlformats.org/drawingml/2006/main">
          <a:off x="57150" y="4387850"/>
          <a:ext cx="1054100" cy="368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0.02887</cdr:x>
      <cdr:y>0.54571</cdr:y>
    </cdr:from>
    <cdr:to>
      <cdr:x>0.11306</cdr:x>
      <cdr:y>0.61987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2866D9-D847-D3F5-3422-E895513A3DB1}"/>
            </a:ext>
          </a:extLst>
        </cdr:cNvPr>
        <cdr:cNvSpPr txBox="1"/>
      </cdr:nvSpPr>
      <cdr:spPr>
        <a:xfrm xmlns:a="http://schemas.openxmlformats.org/drawingml/2006/main">
          <a:off x="358967" y="2928153"/>
          <a:ext cx="1046760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30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60</a:t>
          </a:r>
          <a:r>
            <a:rPr lang="en-US" sz="1200"/>
            <a:t>]</a:t>
          </a:r>
          <a:r>
            <a:rPr lang="en-US" sz="1200" baseline="0"/>
            <a:t> $/ton</a:t>
          </a:r>
          <a:endParaRPr lang="en-US" sz="1200"/>
        </a:p>
      </cdr:txBody>
    </cdr:sp>
  </cdr:relSizeAnchor>
  <cdr:relSizeAnchor xmlns:cdr="http://schemas.openxmlformats.org/drawingml/2006/chartDrawing">
    <cdr:from>
      <cdr:x>0</cdr:x>
      <cdr:y>0.38343</cdr:y>
    </cdr:from>
    <cdr:to>
      <cdr:x>0.11487</cdr:x>
      <cdr:y>0.46272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0" y="2057398"/>
          <a:ext cx="1428213" cy="425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(FT+HTSE+H2 sto.)</a:t>
          </a:r>
          <a:endParaRPr lang="en-US" sz="1200"/>
        </a:p>
      </cdr:txBody>
    </cdr:sp>
  </cdr:relSizeAnchor>
  <cdr:relSizeAnchor xmlns:cdr="http://schemas.openxmlformats.org/drawingml/2006/chartDrawing">
    <cdr:from>
      <cdr:x>0.02871</cdr:x>
      <cdr:y>0.22012</cdr:y>
    </cdr:from>
    <cdr:to>
      <cdr:x>0.1129</cdr:x>
      <cdr:y>0.29428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BAE259CA-9266-FB6F-5812-9B6CCD141894}"/>
            </a:ext>
          </a:extLst>
        </cdr:cNvPr>
        <cdr:cNvSpPr txBox="1"/>
      </cdr:nvSpPr>
      <cdr:spPr>
        <a:xfrm xmlns:a="http://schemas.openxmlformats.org/drawingml/2006/main">
          <a:off x="356978" y="1181133"/>
          <a:ext cx="1046760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  <cdr:relSizeAnchor xmlns:cdr="http://schemas.openxmlformats.org/drawingml/2006/chartDrawing">
    <cdr:from>
      <cdr:x>0.46769</cdr:x>
      <cdr:y>0.01538</cdr:y>
    </cdr:from>
    <cdr:to>
      <cdr:x>0.71077</cdr:x>
      <cdr:y>0.09112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73A233EE-B2CE-5ED7-10F4-960E333D34BB}"/>
            </a:ext>
          </a:extLst>
        </cdr:cNvPr>
        <cdr:cNvSpPr txBox="1"/>
      </cdr:nvSpPr>
      <cdr:spPr>
        <a:xfrm xmlns:a="http://schemas.openxmlformats.org/drawingml/2006/main">
          <a:off x="5791203" y="82542"/>
          <a:ext cx="3009938" cy="406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 b="1">
              <a:solidFill>
                <a:srgbClr val="C00000"/>
              </a:solidFill>
            </a:rPr>
            <a:t>Braidwood</a:t>
          </a:r>
          <a:r>
            <a:rPr lang="en-US" sz="1400" b="1" baseline="0">
              <a:solidFill>
                <a:srgbClr val="C00000"/>
              </a:solidFill>
            </a:rPr>
            <a:t> Ref. Δ(NPV) = $bn 1.306</a:t>
          </a:r>
          <a:endParaRPr lang="en-US" sz="14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0.01532</cdr:x>
      <cdr:y>0.8643</cdr:y>
    </cdr:from>
    <cdr:to>
      <cdr:x>0.12002</cdr:x>
      <cdr:y>0.93846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8D30689B-9DF2-BBC6-DA64-945EE317525F}"/>
            </a:ext>
          </a:extLst>
        </cdr:cNvPr>
        <cdr:cNvSpPr txBox="1"/>
      </cdr:nvSpPr>
      <cdr:spPr>
        <a:xfrm xmlns:a="http://schemas.openxmlformats.org/drawingml/2006/main">
          <a:off x="190500" y="4637644"/>
          <a:ext cx="1301767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1.0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2.7</a:t>
          </a:r>
          <a:r>
            <a:rPr lang="en-US" sz="1200"/>
            <a:t>]</a:t>
          </a:r>
          <a:r>
            <a:rPr lang="en-US" sz="1200" baseline="0"/>
            <a:t> $/kg-H2</a:t>
          </a:r>
          <a:endParaRPr lang="en-US" sz="1200"/>
        </a:p>
      </cdr:txBody>
    </cdr:sp>
  </cdr:relSizeAnchor>
  <cdr:relSizeAnchor xmlns:cdr="http://schemas.openxmlformats.org/drawingml/2006/chartDrawing">
    <cdr:from>
      <cdr:x>0.03575</cdr:x>
      <cdr:y>0.70059</cdr:y>
    </cdr:from>
    <cdr:to>
      <cdr:x>0.11994</cdr:x>
      <cdr:y>0.77475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BDC46EDB-3304-493A-113E-4B832002B71E}"/>
            </a:ext>
          </a:extLst>
        </cdr:cNvPr>
        <cdr:cNvSpPr txBox="1"/>
      </cdr:nvSpPr>
      <cdr:spPr>
        <a:xfrm xmlns:a="http://schemas.openxmlformats.org/drawingml/2006/main">
          <a:off x="444500" y="3759200"/>
          <a:ext cx="1046760" cy="3979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200"/>
            <a:t>[</a:t>
          </a:r>
          <a:r>
            <a:rPr lang="en-US" sz="1200" b="1">
              <a:solidFill>
                <a:schemeClr val="accent1"/>
              </a:solidFill>
            </a:rPr>
            <a:t>x0.75</a:t>
          </a:r>
          <a:r>
            <a:rPr lang="en-US" sz="1200"/>
            <a:t>,</a:t>
          </a:r>
          <a:r>
            <a:rPr lang="en-US" sz="1200">
              <a:solidFill>
                <a:schemeClr val="accent6"/>
              </a:solidFill>
            </a:rPr>
            <a:t>x1.25</a:t>
          </a:r>
          <a:r>
            <a:rPr lang="en-US" sz="1200"/>
            <a:t>]</a:t>
          </a:r>
          <a:r>
            <a:rPr lang="en-US" sz="1200" baseline="0"/>
            <a:t> </a:t>
          </a:r>
          <a:endParaRPr lang="en-US" sz="12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E355D-8072-1247-9790-841EBA440D66}">
  <dimension ref="A1:AK32"/>
  <sheetViews>
    <sheetView workbookViewId="0">
      <selection activeCell="O17" sqref="O17"/>
    </sheetView>
  </sheetViews>
  <sheetFormatPr baseColWidth="10" defaultRowHeight="16" x14ac:dyDescent="0.2"/>
  <cols>
    <col min="1" max="1" width="17.33203125" bestFit="1" customWidth="1"/>
    <col min="2" max="2" width="11.83203125" customWidth="1"/>
    <col min="3" max="3" width="11.6640625" bestFit="1" customWidth="1"/>
    <col min="4" max="4" width="17.5" customWidth="1"/>
    <col min="5" max="5" width="14.33203125" bestFit="1" customWidth="1"/>
    <col min="6" max="6" width="17.5" bestFit="1" customWidth="1"/>
    <col min="7" max="7" width="21" bestFit="1" customWidth="1"/>
    <col min="8" max="8" width="12.83203125" bestFit="1" customWidth="1"/>
    <col min="9" max="9" width="15.1640625" bestFit="1" customWidth="1"/>
    <col min="10" max="10" width="12.6640625" customWidth="1"/>
    <col min="11" max="12" width="12.1640625" bestFit="1" customWidth="1"/>
    <col min="13" max="13" width="12.6640625" bestFit="1" customWidth="1"/>
    <col min="14" max="14" width="20.6640625" customWidth="1"/>
    <col min="15" max="15" width="23.33203125" customWidth="1"/>
    <col min="16" max="16" width="17.5" bestFit="1" customWidth="1"/>
    <col min="17" max="18" width="17.6640625" bestFit="1" customWidth="1"/>
    <col min="29" max="29" width="16" bestFit="1" customWidth="1"/>
    <col min="30" max="30" width="12.83203125" bestFit="1" customWidth="1"/>
  </cols>
  <sheetData>
    <row r="1" spans="1:37" x14ac:dyDescent="0.2">
      <c r="B1" s="11" t="s">
        <v>42</v>
      </c>
      <c r="C1" s="11"/>
      <c r="D1" s="11"/>
      <c r="E1" s="11"/>
      <c r="F1" s="11"/>
      <c r="G1" s="7"/>
    </row>
    <row r="2" spans="1:37" x14ac:dyDescent="0.2">
      <c r="A2" t="s">
        <v>0</v>
      </c>
      <c r="B2" t="s">
        <v>7</v>
      </c>
      <c r="C2" t="s">
        <v>8</v>
      </c>
      <c r="D2" t="s">
        <v>41</v>
      </c>
      <c r="E2" t="s">
        <v>40</v>
      </c>
      <c r="F2" t="s">
        <v>9</v>
      </c>
      <c r="G2" t="s">
        <v>82</v>
      </c>
      <c r="H2" t="s">
        <v>1</v>
      </c>
      <c r="I2" t="s">
        <v>4</v>
      </c>
      <c r="J2" t="s">
        <v>2</v>
      </c>
      <c r="K2" t="s">
        <v>5</v>
      </c>
      <c r="L2" t="s">
        <v>3</v>
      </c>
      <c r="M2" t="s">
        <v>11</v>
      </c>
      <c r="N2" t="s">
        <v>10</v>
      </c>
      <c r="O2" t="s">
        <v>93</v>
      </c>
      <c r="P2" t="s">
        <v>92</v>
      </c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37" x14ac:dyDescent="0.2">
      <c r="A3" t="str">
        <f>UPPER(data!A2)</f>
        <v>BRAIDWOOD</v>
      </c>
      <c r="B3">
        <f>data!C2</f>
        <v>1193</v>
      </c>
      <c r="C3">
        <f>data!D2</f>
        <v>-1178</v>
      </c>
      <c r="D3" s="8">
        <f>ABS(C3)*$B$16</f>
        <v>29.597989949748744</v>
      </c>
      <c r="E3" s="8">
        <f>ABS(data!E2/1000)</f>
        <v>29.60314</v>
      </c>
      <c r="F3" s="10">
        <f>data!K2/1000</f>
        <v>0.01</v>
      </c>
      <c r="G3" s="6">
        <f>F3/(24*D3)</f>
        <v>1.4077532541029996E-5</v>
      </c>
      <c r="H3">
        <v>2102483898.8800001</v>
      </c>
      <c r="I3">
        <v>10442175</v>
      </c>
      <c r="J3">
        <f>data!P2</f>
        <v>3408381162.0100002</v>
      </c>
      <c r="K3">
        <f>data!Q2</f>
        <v>1225.80578418</v>
      </c>
      <c r="L3">
        <f>J3-H3</f>
        <v>1305897263.1300001</v>
      </c>
      <c r="M3">
        <f>SQRT(POWER(K3,2)+POWER(I3,2))</f>
        <v>10442175.071948605</v>
      </c>
      <c r="N3" s="1">
        <f>L3</f>
        <v>1305897263.1300001</v>
      </c>
      <c r="O3" s="1">
        <f>2*M3</f>
        <v>20884350.143897209</v>
      </c>
      <c r="P3" s="1">
        <f>N3/B3</f>
        <v>1094633.0789019279</v>
      </c>
      <c r="Q3" s="1"/>
      <c r="R3" s="5"/>
      <c r="S3" s="5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2">
      <c r="A4" t="str">
        <f>UPPER(data!A3)</f>
        <v>COOPER</v>
      </c>
      <c r="B4">
        <f>data!C3</f>
        <v>769</v>
      </c>
      <c r="C4">
        <f>data!D3</f>
        <v>-754</v>
      </c>
      <c r="D4" s="8">
        <f t="shared" ref="D4:D7" si="0">ABS(C4)*$B$16</f>
        <v>18.944723618090453</v>
      </c>
      <c r="E4" s="8">
        <f>ABS(data!E3/1000)</f>
        <v>18.948</v>
      </c>
      <c r="F4" s="10">
        <f>data!K3/1000</f>
        <v>0.01</v>
      </c>
      <c r="G4" s="6">
        <f t="shared" ref="G4:G7" si="1">F4/(24*D4)</f>
        <v>2.1993810786914232E-5</v>
      </c>
      <c r="H4">
        <v>1058570571.16</v>
      </c>
      <c r="I4">
        <v>29664093.298599999</v>
      </c>
      <c r="J4">
        <f>data!P3</f>
        <v>1941425295.5999999</v>
      </c>
      <c r="K4">
        <f>data!Q3</f>
        <v>6952.2878666099996</v>
      </c>
      <c r="L4">
        <f>J4-H4</f>
        <v>882854724.43999994</v>
      </c>
      <c r="M4">
        <f t="shared" ref="M4:M7" si="2">SQRT(POWER(K4,2)+POWER(I4,2))</f>
        <v>29664094.113293801</v>
      </c>
      <c r="N4" s="1">
        <f>L4</f>
        <v>882854724.43999994</v>
      </c>
      <c r="O4" s="1">
        <f t="shared" ref="O4:O7" si="3">2*M4</f>
        <v>59328188.226587601</v>
      </c>
      <c r="P4" s="1">
        <f>N4/B4</f>
        <v>1148055.5584395318</v>
      </c>
      <c r="Q4" s="1"/>
      <c r="R4" s="5"/>
      <c r="S4" s="5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</row>
    <row r="5" spans="1:37" x14ac:dyDescent="0.2">
      <c r="A5" t="str">
        <f>UPPER(data!A4)</f>
        <v>DAVIS-BESSE</v>
      </c>
      <c r="B5">
        <f>data!C4</f>
        <v>894</v>
      </c>
      <c r="C5">
        <f>data!D4</f>
        <v>-879</v>
      </c>
      <c r="D5" s="8">
        <f t="shared" si="0"/>
        <v>22.085427135678394</v>
      </c>
      <c r="E5" s="8">
        <f>ABS(data!E4/1000)</f>
        <v>22.088999999999999</v>
      </c>
      <c r="F5" s="10">
        <f>data!K4/1000</f>
        <v>0.01</v>
      </c>
      <c r="G5" s="6">
        <f t="shared" si="1"/>
        <v>1.8866135760333712E-5</v>
      </c>
      <c r="H5">
        <v>1765764570.5999999</v>
      </c>
      <c r="I5">
        <v>0</v>
      </c>
      <c r="J5">
        <f>data!P4</f>
        <v>2357253019.6300001</v>
      </c>
      <c r="K5">
        <f>data!Q4</f>
        <v>1077.46392866</v>
      </c>
      <c r="L5">
        <f>J5-H5</f>
        <v>591488449.03000021</v>
      </c>
      <c r="M5">
        <f t="shared" si="2"/>
        <v>1077.46392866</v>
      </c>
      <c r="N5" s="1">
        <f>L5</f>
        <v>591488449.03000021</v>
      </c>
      <c r="O5" s="1">
        <f t="shared" si="3"/>
        <v>2154.9278573199999</v>
      </c>
      <c r="P5" s="1">
        <f>N5/B5</f>
        <v>661620.18907158857</v>
      </c>
      <c r="Q5" s="1"/>
      <c r="R5" s="5"/>
      <c r="S5" s="5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</row>
    <row r="6" spans="1:37" x14ac:dyDescent="0.2">
      <c r="A6" t="str">
        <f>UPPER(data!A5)</f>
        <v>PRAIRIE-ISLAND</v>
      </c>
      <c r="B6">
        <f>data!C5</f>
        <v>522</v>
      </c>
      <c r="C6">
        <f>data!D5</f>
        <v>-507</v>
      </c>
      <c r="D6" s="8">
        <f t="shared" si="0"/>
        <v>12.738693467336685</v>
      </c>
      <c r="E6" s="8">
        <f>ABS(data!E5/1000)</f>
        <v>12.741</v>
      </c>
      <c r="F6" s="10">
        <f>data!K5/1000</f>
        <v>35</v>
      </c>
      <c r="G6" s="6">
        <f t="shared" si="1"/>
        <v>0.11448060486522026</v>
      </c>
      <c r="H6">
        <v>262400619.102</v>
      </c>
      <c r="I6">
        <v>553965.52426600002</v>
      </c>
      <c r="J6">
        <f>data!P5</f>
        <v>1177078719.72</v>
      </c>
      <c r="K6">
        <f>data!Q5</f>
        <v>45333.174797</v>
      </c>
      <c r="L6">
        <f>J6-H6</f>
        <v>914678100.61800003</v>
      </c>
      <c r="M6">
        <f t="shared" si="2"/>
        <v>555817.3250380737</v>
      </c>
      <c r="N6" s="1">
        <f>L6</f>
        <v>914678100.61800003</v>
      </c>
      <c r="O6" s="1">
        <f t="shared" si="3"/>
        <v>1111634.6500761474</v>
      </c>
      <c r="P6" s="1">
        <f>N6/B6</f>
        <v>1752256.8977356323</v>
      </c>
      <c r="Q6" s="1"/>
      <c r="R6" s="5"/>
      <c r="S6" s="5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</row>
    <row r="7" spans="1:37" x14ac:dyDescent="0.2">
      <c r="A7" t="str">
        <f>UPPER(data!A6)</f>
        <v>STP</v>
      </c>
      <c r="B7">
        <f>data!C6</f>
        <v>1280</v>
      </c>
      <c r="C7">
        <f>data!D6</f>
        <v>-1265</v>
      </c>
      <c r="D7" s="8">
        <f t="shared" si="0"/>
        <v>31.78391959798995</v>
      </c>
      <c r="E7" s="8">
        <f>ABS(data!E6/1000)</f>
        <v>31.789000000000001</v>
      </c>
      <c r="F7" s="10">
        <f>data!K6/1000</f>
        <v>2000</v>
      </c>
      <c r="G7" s="6">
        <f t="shared" si="1"/>
        <v>2.6218708827404478</v>
      </c>
      <c r="H7">
        <v>2742484812.48</v>
      </c>
      <c r="I7">
        <v>83894741.873400003</v>
      </c>
      <c r="J7">
        <f>data!P6</f>
        <v>2880661882.02</v>
      </c>
      <c r="K7">
        <f>data!Q6</f>
        <v>18447721.6961</v>
      </c>
      <c r="L7">
        <f>J7-H7</f>
        <v>138177069.53999996</v>
      </c>
      <c r="M7">
        <f t="shared" si="2"/>
        <v>85899046.268169791</v>
      </c>
      <c r="N7" s="1">
        <f>L7</f>
        <v>138177069.53999996</v>
      </c>
      <c r="O7" s="1">
        <f t="shared" si="3"/>
        <v>171798092.53633958</v>
      </c>
      <c r="P7" s="1">
        <f>N7/B7</f>
        <v>107950.83557812497</v>
      </c>
      <c r="Q7" s="1"/>
      <c r="R7" s="5"/>
      <c r="S7" s="5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</row>
    <row r="8" spans="1:37" x14ac:dyDescent="0.2">
      <c r="N8" s="1"/>
      <c r="O8" s="1"/>
      <c r="P8" s="1"/>
      <c r="Q8" s="1"/>
      <c r="R8" s="4"/>
    </row>
    <row r="10" spans="1:37" x14ac:dyDescent="0.2">
      <c r="A10" t="s">
        <v>31</v>
      </c>
    </row>
    <row r="11" spans="1:37" x14ac:dyDescent="0.2">
      <c r="A11" t="s">
        <v>32</v>
      </c>
    </row>
    <row r="12" spans="1:37" x14ac:dyDescent="0.2">
      <c r="A12" t="s">
        <v>33</v>
      </c>
      <c r="B12">
        <v>39.799999999999997</v>
      </c>
      <c r="D12" t="s">
        <v>34</v>
      </c>
    </row>
    <row r="13" spans="1:37" x14ac:dyDescent="0.2">
      <c r="A13" t="s">
        <v>35</v>
      </c>
    </row>
    <row r="14" spans="1:37" x14ac:dyDescent="0.2">
      <c r="A14" t="s">
        <v>36</v>
      </c>
      <c r="B14">
        <v>2.5125628140703519E-2</v>
      </c>
      <c r="D14" t="s">
        <v>37</v>
      </c>
    </row>
    <row r="15" spans="1:37" x14ac:dyDescent="0.2">
      <c r="B15">
        <v>25.125628140703519</v>
      </c>
      <c r="D15" t="s">
        <v>38</v>
      </c>
    </row>
    <row r="16" spans="1:37" x14ac:dyDescent="0.2">
      <c r="B16">
        <f>B15/1000</f>
        <v>2.5125628140703519E-2</v>
      </c>
      <c r="D16" t="s">
        <v>39</v>
      </c>
    </row>
    <row r="22" spans="3:11" x14ac:dyDescent="0.2">
      <c r="C22" s="8"/>
      <c r="D22" s="8"/>
      <c r="E22" s="8"/>
      <c r="F22" s="8"/>
      <c r="G22" s="8"/>
      <c r="J22" s="8"/>
      <c r="K22" s="10"/>
    </row>
    <row r="23" spans="3:11" x14ac:dyDescent="0.2">
      <c r="C23" s="8"/>
      <c r="D23" s="8"/>
      <c r="E23" s="8"/>
      <c r="F23" s="8"/>
      <c r="G23" s="8"/>
      <c r="J23" s="8"/>
      <c r="K23" s="10"/>
    </row>
    <row r="24" spans="3:11" x14ac:dyDescent="0.2">
      <c r="C24" s="10"/>
      <c r="D24" s="10"/>
      <c r="E24" s="10"/>
      <c r="F24" s="10"/>
      <c r="G24" s="10"/>
      <c r="J24" s="8"/>
      <c r="K24" s="10"/>
    </row>
    <row r="25" spans="3:11" x14ac:dyDescent="0.2">
      <c r="J25" s="8"/>
      <c r="K25" s="10"/>
    </row>
    <row r="29" spans="3:11" x14ac:dyDescent="0.2">
      <c r="C29" s="8"/>
      <c r="D29" s="8"/>
      <c r="E29" s="10"/>
    </row>
    <row r="30" spans="3:11" x14ac:dyDescent="0.2">
      <c r="C30" s="8"/>
      <c r="D30" s="8"/>
      <c r="E30" s="10"/>
    </row>
    <row r="31" spans="3:11" x14ac:dyDescent="0.2">
      <c r="C31" s="8"/>
      <c r="D31" s="8"/>
      <c r="E31" s="10"/>
    </row>
    <row r="32" spans="3:11" x14ac:dyDescent="0.2">
      <c r="C32" s="8"/>
      <c r="D32" s="8"/>
      <c r="E32" s="10"/>
    </row>
  </sheetData>
  <mergeCells count="1">
    <mergeCell ref="B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F0C96-D3AA-4F4B-9456-DE375A306C8A}">
  <dimension ref="A1:AD6"/>
  <sheetViews>
    <sheetView topLeftCell="C1" workbookViewId="0">
      <selection activeCell="Q6" sqref="Q6"/>
    </sheetView>
  </sheetViews>
  <sheetFormatPr baseColWidth="10" defaultRowHeight="16" x14ac:dyDescent="0.2"/>
  <sheetData>
    <row r="1" spans="1:30" x14ac:dyDescent="0.2">
      <c r="A1" t="s">
        <v>12</v>
      </c>
      <c r="B1" t="s">
        <v>75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68</v>
      </c>
      <c r="AC1" t="s">
        <v>69</v>
      </c>
      <c r="AD1" t="s">
        <v>70</v>
      </c>
    </row>
    <row r="2" spans="1:30" x14ac:dyDescent="0.2">
      <c r="A2" t="s">
        <v>18</v>
      </c>
      <c r="B2">
        <v>3</v>
      </c>
      <c r="C2">
        <v>1193</v>
      </c>
      <c r="D2">
        <v>-1178</v>
      </c>
      <c r="E2">
        <v>-29603.14</v>
      </c>
      <c r="F2">
        <v>-14.9</v>
      </c>
      <c r="G2" s="9">
        <v>-9.9999999999999997E+199</v>
      </c>
      <c r="H2" s="9">
        <v>-9.9999999999999997E+199</v>
      </c>
      <c r="I2" s="9">
        <v>-9.9999999999999997E+199</v>
      </c>
      <c r="J2" s="9">
        <v>-9.9999999999999997E+199</v>
      </c>
      <c r="K2">
        <v>10</v>
      </c>
      <c r="L2" t="s">
        <v>71</v>
      </c>
      <c r="M2" t="s">
        <v>18</v>
      </c>
      <c r="N2" t="s">
        <v>72</v>
      </c>
      <c r="O2" t="s">
        <v>73</v>
      </c>
      <c r="P2">
        <v>3408381162.0100002</v>
      </c>
      <c r="Q2">
        <v>1225.80578418</v>
      </c>
      <c r="R2">
        <v>3408381275.7399998</v>
      </c>
      <c r="S2">
        <v>3408382533.2399998</v>
      </c>
      <c r="T2">
        <v>3408379563.3400002</v>
      </c>
      <c r="U2">
        <v>3408379797.4699998</v>
      </c>
      <c r="V2">
        <v>3408382367.3400002</v>
      </c>
      <c r="W2">
        <v>4</v>
      </c>
      <c r="X2">
        <v>1502599.82054</v>
      </c>
      <c r="Y2">
        <v>1</v>
      </c>
      <c r="Z2">
        <v>0.24493882102600001</v>
      </c>
      <c r="AA2">
        <v>1.9309406027700001E-3</v>
      </c>
      <c r="AB2">
        <v>2.4976248812400001E-2</v>
      </c>
      <c r="AC2">
        <v>0.31563421828900001</v>
      </c>
      <c r="AD2" s="9">
        <v>3.7621523992799998E-13</v>
      </c>
    </row>
    <row r="3" spans="1:30" x14ac:dyDescent="0.2">
      <c r="A3" t="s">
        <v>19</v>
      </c>
      <c r="B3">
        <v>0</v>
      </c>
      <c r="C3">
        <v>769</v>
      </c>
      <c r="D3">
        <v>-754</v>
      </c>
      <c r="E3">
        <v>-18948</v>
      </c>
      <c r="F3">
        <v>-14.9</v>
      </c>
      <c r="G3" s="9">
        <v>-9.9999999999999997E+199</v>
      </c>
      <c r="H3" s="9">
        <v>-9.9999999999999997E+199</v>
      </c>
      <c r="I3" s="9">
        <v>-9.9999999999999997E+199</v>
      </c>
      <c r="J3" s="9">
        <v>-9.9999999999999997E+199</v>
      </c>
      <c r="K3">
        <v>10</v>
      </c>
      <c r="L3" t="s">
        <v>71</v>
      </c>
      <c r="M3" t="s">
        <v>19</v>
      </c>
      <c r="N3" t="s">
        <v>74</v>
      </c>
      <c r="O3" t="s">
        <v>73</v>
      </c>
      <c r="P3">
        <v>1941425295.5999999</v>
      </c>
      <c r="Q3">
        <v>6952.2878666099996</v>
      </c>
      <c r="R3">
        <v>1941428170.23</v>
      </c>
      <c r="S3">
        <v>1941429832.72</v>
      </c>
      <c r="T3">
        <v>1941415009.23</v>
      </c>
      <c r="U3">
        <v>1941416830.3699999</v>
      </c>
      <c r="V3">
        <v>1941429736.3599999</v>
      </c>
      <c r="W3">
        <v>4</v>
      </c>
      <c r="X3">
        <v>48334306.580200002</v>
      </c>
      <c r="Y3">
        <v>0.263848935103</v>
      </c>
      <c r="Z3">
        <v>2.1611600770599999E-2</v>
      </c>
      <c r="AA3">
        <v>0.30264679038600001</v>
      </c>
      <c r="AB3" s="9">
        <v>1.22768367385E-12</v>
      </c>
      <c r="AC3">
        <v>1</v>
      </c>
      <c r="AD3">
        <v>0.27064220183499998</v>
      </c>
    </row>
    <row r="4" spans="1:30" x14ac:dyDescent="0.2">
      <c r="A4" t="s">
        <v>76</v>
      </c>
      <c r="B4">
        <v>2</v>
      </c>
      <c r="C4">
        <v>894</v>
      </c>
      <c r="D4">
        <v>-879</v>
      </c>
      <c r="E4">
        <v>-22089</v>
      </c>
      <c r="F4">
        <v>-14.9</v>
      </c>
      <c r="G4" s="9">
        <v>-9.9999999999999997E+199</v>
      </c>
      <c r="H4" s="9">
        <v>-9.9999999999999997E+199</v>
      </c>
      <c r="I4" s="9">
        <v>-9.9999999999999997E+199</v>
      </c>
      <c r="J4" s="9">
        <v>-9.9999999999999997E+199</v>
      </c>
      <c r="K4">
        <v>10</v>
      </c>
      <c r="L4" t="s">
        <v>71</v>
      </c>
      <c r="M4" t="s">
        <v>22</v>
      </c>
      <c r="N4" t="s">
        <v>77</v>
      </c>
      <c r="O4" t="s">
        <v>73</v>
      </c>
      <c r="P4">
        <v>2357253019.6300001</v>
      </c>
      <c r="Q4">
        <v>1077.46392866</v>
      </c>
      <c r="R4">
        <v>2357252830.3800001</v>
      </c>
      <c r="S4">
        <v>2357254371.6500001</v>
      </c>
      <c r="T4">
        <v>2357252046.0900002</v>
      </c>
      <c r="U4">
        <v>2357252079.1900001</v>
      </c>
      <c r="V4">
        <v>2357254225.0100002</v>
      </c>
      <c r="W4">
        <v>4</v>
      </c>
      <c r="X4">
        <v>1160928.5175600001</v>
      </c>
      <c r="Y4">
        <v>2.1252890767700001E-2</v>
      </c>
      <c r="Z4">
        <v>0.30877094401299998</v>
      </c>
      <c r="AA4">
        <v>1</v>
      </c>
      <c r="AB4" s="9">
        <v>7.2869255798000005E-13</v>
      </c>
      <c r="AC4">
        <v>0.275353016688</v>
      </c>
      <c r="AD4">
        <v>0.24997221913500001</v>
      </c>
    </row>
    <row r="5" spans="1:30" x14ac:dyDescent="0.2">
      <c r="A5" t="s">
        <v>78</v>
      </c>
      <c r="B5">
        <v>0</v>
      </c>
      <c r="C5">
        <v>522</v>
      </c>
      <c r="D5">
        <v>-507</v>
      </c>
      <c r="E5">
        <v>-12741</v>
      </c>
      <c r="F5">
        <v>-14.9</v>
      </c>
      <c r="G5" s="9">
        <v>-9.9999999999999997E+199</v>
      </c>
      <c r="H5" s="9">
        <v>-9.9999999999999997E+199</v>
      </c>
      <c r="I5" s="9">
        <v>-9.9999999999999997E+199</v>
      </c>
      <c r="J5" s="9">
        <v>-9.9999999999999997E+199</v>
      </c>
      <c r="K5">
        <v>35000</v>
      </c>
      <c r="L5" t="s">
        <v>71</v>
      </c>
      <c r="M5" t="s">
        <v>20</v>
      </c>
      <c r="N5" t="s">
        <v>79</v>
      </c>
      <c r="O5" t="s">
        <v>73</v>
      </c>
      <c r="P5">
        <v>1177078719.72</v>
      </c>
      <c r="Q5">
        <v>45333.174797</v>
      </c>
      <c r="R5">
        <v>1177087754.28</v>
      </c>
      <c r="S5">
        <v>1177118966.7</v>
      </c>
      <c r="T5">
        <v>1177020403.6300001</v>
      </c>
      <c r="U5">
        <v>1177027183.3699999</v>
      </c>
      <c r="V5">
        <v>1177117607.7</v>
      </c>
      <c r="W5">
        <v>4</v>
      </c>
      <c r="X5">
        <v>2055096737.1700001</v>
      </c>
      <c r="Y5">
        <v>5.2021435833E-2</v>
      </c>
      <c r="Z5">
        <v>0.5</v>
      </c>
      <c r="AA5">
        <v>4</v>
      </c>
      <c r="AB5">
        <v>0.315724815725</v>
      </c>
      <c r="AC5" s="9">
        <v>3.4322497171699999E-12</v>
      </c>
      <c r="AD5">
        <v>0.32953656628900002</v>
      </c>
    </row>
    <row r="6" spans="1:30" x14ac:dyDescent="0.2">
      <c r="A6" t="s">
        <v>21</v>
      </c>
      <c r="B6">
        <v>0</v>
      </c>
      <c r="C6">
        <v>1280</v>
      </c>
      <c r="D6">
        <v>-1265</v>
      </c>
      <c r="E6">
        <v>-31789</v>
      </c>
      <c r="F6">
        <v>-14.9</v>
      </c>
      <c r="G6" s="9">
        <v>-9.9999999999999997E+199</v>
      </c>
      <c r="H6" s="9">
        <v>-9.9999999999999997E+199</v>
      </c>
      <c r="I6" s="9">
        <v>-9.9999999999999997E+199</v>
      </c>
      <c r="J6" s="9">
        <v>-9.9999999999999997E+199</v>
      </c>
      <c r="K6">
        <v>2000000</v>
      </c>
      <c r="L6" t="s">
        <v>71</v>
      </c>
      <c r="M6" t="s">
        <v>80</v>
      </c>
      <c r="N6" t="s">
        <v>81</v>
      </c>
      <c r="O6" t="s">
        <v>73</v>
      </c>
      <c r="P6">
        <v>2880661882.02</v>
      </c>
      <c r="Q6">
        <v>18447721.6961</v>
      </c>
      <c r="R6">
        <v>2882183403.02</v>
      </c>
      <c r="S6">
        <v>2919873833.9099998</v>
      </c>
      <c r="T6">
        <v>2851246232.9899998</v>
      </c>
      <c r="U6">
        <v>2856011739.0500002</v>
      </c>
      <c r="V6">
        <v>2905799143.7800002</v>
      </c>
      <c r="W6">
        <v>10</v>
      </c>
      <c r="X6" s="9">
        <v>340318435777000</v>
      </c>
      <c r="Y6">
        <v>10</v>
      </c>
      <c r="Z6">
        <v>0.28673657603500002</v>
      </c>
      <c r="AA6">
        <v>0.26394849785399999</v>
      </c>
      <c r="AB6">
        <v>1.8921016736099999E-2</v>
      </c>
      <c r="AC6" s="9">
        <v>1.46600182842E-14</v>
      </c>
      <c r="AD6">
        <v>0.25000125000599999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1661-1357-8E4D-8878-EEFCBAD9628D}">
  <dimension ref="A1:G20"/>
  <sheetViews>
    <sheetView tabSelected="1" topLeftCell="A3" workbookViewId="0">
      <selection activeCell="R26" sqref="R26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3</v>
      </c>
      <c r="F1" t="s">
        <v>16</v>
      </c>
      <c r="G1" t="s">
        <v>6</v>
      </c>
    </row>
    <row r="2" spans="1:7" x14ac:dyDescent="0.2">
      <c r="A2" t="s">
        <v>30</v>
      </c>
      <c r="B2">
        <v>2102483898.8800001</v>
      </c>
      <c r="C2">
        <v>10442175.4814</v>
      </c>
      <c r="D2" s="2">
        <f>C2/B2</f>
        <v>4.966589987662964E-3</v>
      </c>
      <c r="E2">
        <f>B2-$B$2</f>
        <v>0</v>
      </c>
      <c r="F2">
        <f>SQRT(POWER($C$2,2)+POWER(C2,2))</f>
        <v>14767466.186475683</v>
      </c>
      <c r="G2" s="2" t="e">
        <f>F2/E2</f>
        <v>#DIV/0!</v>
      </c>
    </row>
    <row r="3" spans="1:7" x14ac:dyDescent="0.2">
      <c r="A3" t="s">
        <v>17</v>
      </c>
      <c r="B3">
        <v>3408381162.0100002</v>
      </c>
      <c r="C3">
        <v>1225.80578418</v>
      </c>
      <c r="D3" s="2">
        <f t="shared" ref="D3:D13" si="0">C3/B3</f>
        <v>3.5964457198710559E-7</v>
      </c>
      <c r="E3">
        <f>B3-$B$2</f>
        <v>1305897263.1300001</v>
      </c>
      <c r="F3">
        <f t="shared" ref="F3:F13" si="1">SQRT(POWER($C$2,2)+POWER(C3,2))</f>
        <v>10442175.553348601</v>
      </c>
      <c r="G3" s="2">
        <f>F3/E3</f>
        <v>7.9961692609115276E-3</v>
      </c>
    </row>
    <row r="4" spans="1:7" x14ac:dyDescent="0.2">
      <c r="A4" t="s">
        <v>83</v>
      </c>
      <c r="B4">
        <v>3074633986.1399999</v>
      </c>
      <c r="C4">
        <v>512.38935146899996</v>
      </c>
      <c r="D4" s="2">
        <f t="shared" si="0"/>
        <v>1.6665051963218262E-7</v>
      </c>
      <c r="E4">
        <f t="shared" ref="E4:E13" si="2">B4-$B$2</f>
        <v>972150087.25999975</v>
      </c>
      <c r="F4">
        <f t="shared" si="1"/>
        <v>10442175.493971271</v>
      </c>
      <c r="G4" s="2">
        <f t="shared" ref="G4:G13" si="3">F4/E4</f>
        <v>1.0741320327813261E-2</v>
      </c>
    </row>
    <row r="5" spans="1:7" x14ac:dyDescent="0.2">
      <c r="A5" t="s">
        <v>84</v>
      </c>
      <c r="B5">
        <v>3742127992.46</v>
      </c>
      <c r="C5">
        <v>327.84723676099998</v>
      </c>
      <c r="D5" s="2">
        <f t="shared" si="0"/>
        <v>8.7609840556383468E-8</v>
      </c>
      <c r="E5">
        <f t="shared" si="2"/>
        <v>1639644093.5799999</v>
      </c>
      <c r="F5">
        <f t="shared" si="1"/>
        <v>10442175.486546619</v>
      </c>
      <c r="G5" s="2">
        <f t="shared" si="3"/>
        <v>6.3685622553289398E-3</v>
      </c>
    </row>
    <row r="6" spans="1:7" x14ac:dyDescent="0.2">
      <c r="A6" t="s">
        <v>85</v>
      </c>
      <c r="B6" s="3">
        <v>3638289546</v>
      </c>
      <c r="C6" s="3">
        <v>1495.11133</v>
      </c>
      <c r="D6" s="2">
        <f t="shared" si="0"/>
        <v>4.1093797266458682E-7</v>
      </c>
      <c r="E6">
        <f t="shared" si="2"/>
        <v>1535805647.1199999</v>
      </c>
      <c r="F6">
        <f t="shared" si="1"/>
        <v>10442175.588435065</v>
      </c>
      <c r="G6" s="2">
        <f t="shared" si="3"/>
        <v>6.7991517077806186E-3</v>
      </c>
    </row>
    <row r="7" spans="1:7" x14ac:dyDescent="0.2">
      <c r="A7" t="s">
        <v>86</v>
      </c>
      <c r="B7" s="3">
        <v>3178472614</v>
      </c>
      <c r="C7" s="3">
        <v>707.38896</v>
      </c>
      <c r="D7" s="2">
        <f t="shared" si="0"/>
        <v>2.2255625449916178E-7</v>
      </c>
      <c r="E7">
        <f t="shared" si="2"/>
        <v>1075988715.1199999</v>
      </c>
      <c r="F7">
        <f t="shared" si="1"/>
        <v>10442175.505360482</v>
      </c>
      <c r="G7" s="2">
        <f t="shared" si="3"/>
        <v>9.7047258569026122E-3</v>
      </c>
    </row>
    <row r="8" spans="1:7" x14ac:dyDescent="0.2">
      <c r="A8" t="s">
        <v>87</v>
      </c>
      <c r="B8">
        <v>2997736770.0300002</v>
      </c>
      <c r="C8">
        <v>667.62040469600004</v>
      </c>
      <c r="D8" s="2">
        <f t="shared" si="0"/>
        <v>2.227081481504858E-7</v>
      </c>
      <c r="E8">
        <f t="shared" si="2"/>
        <v>895252871.1500001</v>
      </c>
      <c r="F8">
        <f t="shared" si="1"/>
        <v>10442175.502742153</v>
      </c>
      <c r="G8" s="2">
        <f t="shared" si="3"/>
        <v>1.1663939697092087E-2</v>
      </c>
    </row>
    <row r="9" spans="1:7" x14ac:dyDescent="0.2">
      <c r="A9" t="s">
        <v>88</v>
      </c>
      <c r="B9" s="3">
        <v>2587091316</v>
      </c>
      <c r="C9" s="3">
        <v>1407.3527200000001</v>
      </c>
      <c r="D9" s="2">
        <f t="shared" si="0"/>
        <v>5.4399035368259108E-7</v>
      </c>
      <c r="E9">
        <f t="shared" si="2"/>
        <v>484607417.11999989</v>
      </c>
      <c r="F9">
        <f t="shared" si="1"/>
        <v>10442175.576238554</v>
      </c>
      <c r="G9" s="2">
        <f t="shared" si="3"/>
        <v>2.1547700689964536E-2</v>
      </c>
    </row>
    <row r="10" spans="1:7" x14ac:dyDescent="0.2">
      <c r="A10" t="s">
        <v>89</v>
      </c>
      <c r="B10">
        <v>3591087201</v>
      </c>
      <c r="C10">
        <v>476.18838690899997</v>
      </c>
      <c r="D10" s="2">
        <f t="shared" si="0"/>
        <v>1.3260284706436457E-7</v>
      </c>
      <c r="E10">
        <f t="shared" si="2"/>
        <v>1488603302.1199999</v>
      </c>
      <c r="F10">
        <f t="shared" si="1"/>
        <v>10442175.49225767</v>
      </c>
      <c r="G10" s="2">
        <f t="shared" si="3"/>
        <v>7.0147469627310421E-3</v>
      </c>
    </row>
    <row r="11" spans="1:7" x14ac:dyDescent="0.2">
      <c r="A11" t="s">
        <v>90</v>
      </c>
      <c r="B11">
        <v>3225673919.4099998</v>
      </c>
      <c r="C11">
        <v>1255.44823124</v>
      </c>
      <c r="D11" s="2">
        <f t="shared" si="0"/>
        <v>3.8920494216279338E-7</v>
      </c>
      <c r="E11">
        <f t="shared" si="2"/>
        <v>1123190020.5299997</v>
      </c>
      <c r="F11">
        <f t="shared" si="1"/>
        <v>10442175.556870397</v>
      </c>
      <c r="G11" s="2">
        <f t="shared" si="3"/>
        <v>9.2968913238234141E-3</v>
      </c>
    </row>
    <row r="12" spans="1:7" x14ac:dyDescent="0.2">
      <c r="A12" t="s">
        <v>94</v>
      </c>
      <c r="B12">
        <v>253147079.09999999</v>
      </c>
      <c r="C12">
        <v>7678473.3109999998</v>
      </c>
      <c r="D12" s="2">
        <f t="shared" si="0"/>
        <v>3.0332063629961117E-2</v>
      </c>
      <c r="E12">
        <f t="shared" si="2"/>
        <v>-1849336819.7800002</v>
      </c>
      <c r="F12">
        <f t="shared" si="1"/>
        <v>12961403.518604403</v>
      </c>
      <c r="G12" s="2">
        <f t="shared" si="3"/>
        <v>-7.00867650498967E-3</v>
      </c>
    </row>
    <row r="13" spans="1:7" x14ac:dyDescent="0.2">
      <c r="A13" t="s">
        <v>95</v>
      </c>
      <c r="B13">
        <v>1156364979</v>
      </c>
      <c r="C13">
        <v>11451206.1</v>
      </c>
      <c r="D13" s="2">
        <f t="shared" si="0"/>
        <v>9.902761072808311E-3</v>
      </c>
      <c r="E13">
        <f t="shared" si="2"/>
        <v>-946118919.88000011</v>
      </c>
      <c r="F13">
        <f t="shared" si="1"/>
        <v>15497391.713737784</v>
      </c>
      <c r="G13" s="2">
        <f t="shared" si="3"/>
        <v>-1.6379961744875979E-2</v>
      </c>
    </row>
    <row r="15" spans="1:7" x14ac:dyDescent="0.2">
      <c r="A15" t="s">
        <v>3</v>
      </c>
      <c r="B15" t="s">
        <v>23</v>
      </c>
      <c r="C15" t="s">
        <v>24</v>
      </c>
      <c r="D15" t="s">
        <v>25</v>
      </c>
      <c r="E15" t="s">
        <v>26</v>
      </c>
    </row>
    <row r="16" spans="1:7" x14ac:dyDescent="0.2">
      <c r="A16" t="s">
        <v>27</v>
      </c>
      <c r="B16">
        <f>E4</f>
        <v>972150087.25999975</v>
      </c>
      <c r="C16">
        <f>E5</f>
        <v>1639644093.5799999</v>
      </c>
      <c r="D16">
        <f>F4</f>
        <v>10442175.493971271</v>
      </c>
      <c r="E16">
        <f>F5</f>
        <v>10442175.486546619</v>
      </c>
    </row>
    <row r="17" spans="1:5" x14ac:dyDescent="0.2">
      <c r="A17" t="s">
        <v>28</v>
      </c>
      <c r="B17">
        <f>E6</f>
        <v>1535805647.1199999</v>
      </c>
      <c r="C17">
        <f>E7</f>
        <v>1075988715.1199999</v>
      </c>
      <c r="D17">
        <f>F6</f>
        <v>10442175.588435065</v>
      </c>
      <c r="E17">
        <f>F7</f>
        <v>10442175.505360482</v>
      </c>
    </row>
    <row r="18" spans="1:5" x14ac:dyDescent="0.2">
      <c r="A18" t="s">
        <v>29</v>
      </c>
      <c r="B18">
        <f>E8</f>
        <v>895252871.1500001</v>
      </c>
      <c r="C18">
        <f>E9</f>
        <v>484607417.11999989</v>
      </c>
      <c r="D18">
        <f>F8</f>
        <v>10442175.502742153</v>
      </c>
      <c r="E18">
        <f>F9</f>
        <v>10442175.576238554</v>
      </c>
    </row>
    <row r="19" spans="1:5" x14ac:dyDescent="0.2">
      <c r="A19" t="s">
        <v>91</v>
      </c>
      <c r="B19">
        <f>E10</f>
        <v>1488603302.1199999</v>
      </c>
      <c r="C19">
        <f>E11</f>
        <v>1123190020.5299997</v>
      </c>
      <c r="D19">
        <f>F10</f>
        <v>10442175.49225767</v>
      </c>
      <c r="E19">
        <f>F11</f>
        <v>10442175.556870397</v>
      </c>
    </row>
    <row r="20" spans="1:5" x14ac:dyDescent="0.2">
      <c r="A20" t="s">
        <v>96</v>
      </c>
      <c r="B20">
        <f>E12</f>
        <v>-1849336819.7800002</v>
      </c>
      <c r="C20">
        <f>E13</f>
        <v>-946118919.88000011</v>
      </c>
      <c r="D20">
        <f>F12</f>
        <v>12961403.518604403</v>
      </c>
      <c r="E20">
        <f>F13</f>
        <v>15497391.713737784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data</vt:lpstr>
      <vt:lpstr>braidwood_SA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2023-04-27T17:42:35Z</dcterms:modified>
</cp:coreProperties>
</file>