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m/FORCE/use_cases/2022_05/data/"/>
    </mc:Choice>
  </mc:AlternateContent>
  <xr:revisionPtr revIDLastSave="0" documentId="13_ncr:1_{16041B77-245B-6446-A565-87CC7CE80620}" xr6:coauthVersionLast="47" xr6:coauthVersionMax="47" xr10:uidLastSave="{00000000-0000-0000-0000-000000000000}"/>
  <bookViews>
    <workbookView xWindow="0" yWindow="500" windowWidth="35840" windowHeight="20200" activeTab="9" xr2:uid="{3CE7F202-39F9-48AF-B0C7-575379157397}"/>
  </bookViews>
  <sheets>
    <sheet name="MACRS" sheetId="1" r:id="rId1"/>
    <sheet name="HTSE" sheetId="2" r:id="rId2"/>
    <sheet name="FT" sheetId="11" r:id="rId3"/>
    <sheet name="FT_old" sheetId="7" r:id="rId4"/>
    <sheet name="Syn_base" sheetId="8" r:id="rId5"/>
    <sheet name="Boundaries" sheetId="10" r:id="rId6"/>
    <sheet name="FT_HTSE_combined" sheetId="12" r:id="rId7"/>
    <sheet name="FT_HTSE_combined_old" sheetId="9" r:id="rId8"/>
    <sheet name="Capacity_Market" sheetId="3" r:id="rId9"/>
    <sheet name="Transfer_rates" sheetId="4" r:id="rId10"/>
    <sheet name="grid_sellall_test" sheetId="5" r:id="rId11"/>
    <sheet name="grid_sellnothing_test" sheetId="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" i="4" l="1"/>
  <c r="D17" i="12"/>
  <c r="H29" i="12"/>
  <c r="H28" i="12"/>
  <c r="H27" i="12"/>
  <c r="B15" i="11"/>
  <c r="B21" i="11"/>
  <c r="B25" i="11"/>
  <c r="J10" i="11"/>
  <c r="K10" i="11"/>
  <c r="I10" i="11"/>
  <c r="J9" i="11"/>
  <c r="I8" i="11"/>
  <c r="I9" i="11" s="1"/>
  <c r="K8" i="11"/>
  <c r="K9" i="11" s="1"/>
  <c r="B8" i="3"/>
  <c r="H26" i="9"/>
  <c r="H25" i="9"/>
  <c r="H24" i="9"/>
  <c r="C6" i="8"/>
  <c r="C7" i="8" s="1"/>
  <c r="C3" i="8"/>
  <c r="D3" i="8"/>
  <c r="D6" i="8" s="1"/>
  <c r="D7" i="8" s="1"/>
  <c r="B3" i="8"/>
  <c r="B6" i="8" s="1"/>
  <c r="B7" i="8" s="1"/>
  <c r="G61" i="7"/>
  <c r="F62" i="7"/>
  <c r="G62" i="7"/>
  <c r="H62" i="7"/>
  <c r="I62" i="7"/>
  <c r="J62" i="7"/>
  <c r="K62" i="7"/>
  <c r="L62" i="7"/>
  <c r="M62" i="7"/>
  <c r="E62" i="7"/>
  <c r="F60" i="7"/>
  <c r="G60" i="7"/>
  <c r="H60" i="7"/>
  <c r="I60" i="7"/>
  <c r="J60" i="7"/>
  <c r="K60" i="7"/>
  <c r="L60" i="7"/>
  <c r="M60" i="7"/>
  <c r="E60" i="7"/>
  <c r="F25" i="7"/>
  <c r="E26" i="7"/>
  <c r="F26" i="7"/>
  <c r="G26" i="7"/>
  <c r="H26" i="7"/>
  <c r="I26" i="7"/>
  <c r="J26" i="7"/>
  <c r="K26" i="7"/>
  <c r="L26" i="7"/>
  <c r="M26" i="7"/>
  <c r="E27" i="7"/>
  <c r="F27" i="7"/>
  <c r="G27" i="7"/>
  <c r="H27" i="7"/>
  <c r="I27" i="7"/>
  <c r="J27" i="7"/>
  <c r="K27" i="7"/>
  <c r="L27" i="7"/>
  <c r="M27" i="7"/>
  <c r="E28" i="7"/>
  <c r="F28" i="7"/>
  <c r="F61" i="7" s="1"/>
  <c r="F63" i="7" s="1"/>
  <c r="G28" i="7"/>
  <c r="H28" i="7"/>
  <c r="I28" i="7"/>
  <c r="J28" i="7"/>
  <c r="K28" i="7"/>
  <c r="L28" i="7"/>
  <c r="M28" i="7"/>
  <c r="E29" i="7"/>
  <c r="E61" i="7" s="1"/>
  <c r="E63" i="7" s="1"/>
  <c r="F29" i="7"/>
  <c r="G29" i="7"/>
  <c r="H29" i="7"/>
  <c r="I29" i="7"/>
  <c r="J29" i="7"/>
  <c r="K29" i="7"/>
  <c r="L29" i="7"/>
  <c r="M29" i="7"/>
  <c r="M61" i="7" s="1"/>
  <c r="M63" i="7" s="1"/>
  <c r="E30" i="7"/>
  <c r="F30" i="7"/>
  <c r="G30" i="7"/>
  <c r="H30" i="7"/>
  <c r="I30" i="7"/>
  <c r="J30" i="7"/>
  <c r="K30" i="7"/>
  <c r="L30" i="7"/>
  <c r="L61" i="7" s="1"/>
  <c r="L63" i="7" s="1"/>
  <c r="M30" i="7"/>
  <c r="E31" i="7"/>
  <c r="F31" i="7"/>
  <c r="G31" i="7"/>
  <c r="H31" i="7"/>
  <c r="I31" i="7"/>
  <c r="J31" i="7"/>
  <c r="K31" i="7"/>
  <c r="L31" i="7"/>
  <c r="M31" i="7"/>
  <c r="E32" i="7"/>
  <c r="F32" i="7"/>
  <c r="G32" i="7"/>
  <c r="H32" i="7"/>
  <c r="I32" i="7"/>
  <c r="J32" i="7"/>
  <c r="K32" i="7"/>
  <c r="L32" i="7"/>
  <c r="M32" i="7"/>
  <c r="E33" i="7"/>
  <c r="F33" i="7"/>
  <c r="G33" i="7"/>
  <c r="H33" i="7"/>
  <c r="I33" i="7"/>
  <c r="J33" i="7"/>
  <c r="K33" i="7"/>
  <c r="L33" i="7"/>
  <c r="M33" i="7"/>
  <c r="E34" i="7"/>
  <c r="F34" i="7"/>
  <c r="G34" i="7"/>
  <c r="H34" i="7"/>
  <c r="I34" i="7"/>
  <c r="J34" i="7"/>
  <c r="K34" i="7"/>
  <c r="L34" i="7"/>
  <c r="M34" i="7"/>
  <c r="E35" i="7"/>
  <c r="F35" i="7"/>
  <c r="G35" i="7"/>
  <c r="H35" i="7"/>
  <c r="I35" i="7"/>
  <c r="J35" i="7"/>
  <c r="K35" i="7"/>
  <c r="L35" i="7"/>
  <c r="M35" i="7"/>
  <c r="E36" i="7"/>
  <c r="F36" i="7"/>
  <c r="G36" i="7"/>
  <c r="H36" i="7"/>
  <c r="I36" i="7"/>
  <c r="J36" i="7"/>
  <c r="K36" i="7"/>
  <c r="L36" i="7"/>
  <c r="M36" i="7"/>
  <c r="E37" i="7"/>
  <c r="F37" i="7"/>
  <c r="G37" i="7"/>
  <c r="H37" i="7"/>
  <c r="I37" i="7"/>
  <c r="J37" i="7"/>
  <c r="K37" i="7"/>
  <c r="L37" i="7"/>
  <c r="M37" i="7"/>
  <c r="E38" i="7"/>
  <c r="F38" i="7"/>
  <c r="G38" i="7"/>
  <c r="H38" i="7"/>
  <c r="I38" i="7"/>
  <c r="J38" i="7"/>
  <c r="K38" i="7"/>
  <c r="L38" i="7"/>
  <c r="M38" i="7"/>
  <c r="E39" i="7"/>
  <c r="F39" i="7"/>
  <c r="G39" i="7"/>
  <c r="H39" i="7"/>
  <c r="I39" i="7"/>
  <c r="J39" i="7"/>
  <c r="K39" i="7"/>
  <c r="L39" i="7"/>
  <c r="M39" i="7"/>
  <c r="E40" i="7"/>
  <c r="F40" i="7"/>
  <c r="G40" i="7"/>
  <c r="H40" i="7"/>
  <c r="I40" i="7"/>
  <c r="J40" i="7"/>
  <c r="K40" i="7"/>
  <c r="L40" i="7"/>
  <c r="M40" i="7"/>
  <c r="E41" i="7"/>
  <c r="F41" i="7"/>
  <c r="G41" i="7"/>
  <c r="H41" i="7"/>
  <c r="I41" i="7"/>
  <c r="J41" i="7"/>
  <c r="K41" i="7"/>
  <c r="L41" i="7"/>
  <c r="M41" i="7"/>
  <c r="E42" i="7"/>
  <c r="F42" i="7"/>
  <c r="G42" i="7"/>
  <c r="H42" i="7"/>
  <c r="I42" i="7"/>
  <c r="J42" i="7"/>
  <c r="K42" i="7"/>
  <c r="L42" i="7"/>
  <c r="M42" i="7"/>
  <c r="E43" i="7"/>
  <c r="F43" i="7"/>
  <c r="G43" i="7"/>
  <c r="H43" i="7"/>
  <c r="I43" i="7"/>
  <c r="J43" i="7"/>
  <c r="K43" i="7"/>
  <c r="L43" i="7"/>
  <c r="M43" i="7"/>
  <c r="E44" i="7"/>
  <c r="F44" i="7"/>
  <c r="G44" i="7"/>
  <c r="H44" i="7"/>
  <c r="I44" i="7"/>
  <c r="J44" i="7"/>
  <c r="K44" i="7"/>
  <c r="L44" i="7"/>
  <c r="M44" i="7"/>
  <c r="E45" i="7"/>
  <c r="F45" i="7"/>
  <c r="G45" i="7"/>
  <c r="H45" i="7"/>
  <c r="I45" i="7"/>
  <c r="J45" i="7"/>
  <c r="K45" i="7"/>
  <c r="L45" i="7"/>
  <c r="M45" i="7"/>
  <c r="E46" i="7"/>
  <c r="F46" i="7"/>
  <c r="G46" i="7"/>
  <c r="H46" i="7"/>
  <c r="I46" i="7"/>
  <c r="J46" i="7"/>
  <c r="K46" i="7"/>
  <c r="L46" i="7"/>
  <c r="M46" i="7"/>
  <c r="E47" i="7"/>
  <c r="F47" i="7"/>
  <c r="G47" i="7"/>
  <c r="H47" i="7"/>
  <c r="I47" i="7"/>
  <c r="J47" i="7"/>
  <c r="K47" i="7"/>
  <c r="L47" i="7"/>
  <c r="M47" i="7"/>
  <c r="E48" i="7"/>
  <c r="F48" i="7"/>
  <c r="G48" i="7"/>
  <c r="H48" i="7"/>
  <c r="I48" i="7"/>
  <c r="J48" i="7"/>
  <c r="K48" i="7"/>
  <c r="L48" i="7"/>
  <c r="M48" i="7"/>
  <c r="E49" i="7"/>
  <c r="F49" i="7"/>
  <c r="G49" i="7"/>
  <c r="H49" i="7"/>
  <c r="I49" i="7"/>
  <c r="J49" i="7"/>
  <c r="K49" i="7"/>
  <c r="L49" i="7"/>
  <c r="M49" i="7"/>
  <c r="E50" i="7"/>
  <c r="F50" i="7"/>
  <c r="G50" i="7"/>
  <c r="H50" i="7"/>
  <c r="I50" i="7"/>
  <c r="J50" i="7"/>
  <c r="K50" i="7"/>
  <c r="L50" i="7"/>
  <c r="M50" i="7"/>
  <c r="E51" i="7"/>
  <c r="F51" i="7"/>
  <c r="G51" i="7"/>
  <c r="H51" i="7"/>
  <c r="I51" i="7"/>
  <c r="J51" i="7"/>
  <c r="K51" i="7"/>
  <c r="L51" i="7"/>
  <c r="M51" i="7"/>
  <c r="E52" i="7"/>
  <c r="F52" i="7"/>
  <c r="G52" i="7"/>
  <c r="H52" i="7"/>
  <c r="I52" i="7"/>
  <c r="J52" i="7"/>
  <c r="K52" i="7"/>
  <c r="L52" i="7"/>
  <c r="M52" i="7"/>
  <c r="E53" i="7"/>
  <c r="F53" i="7"/>
  <c r="G53" i="7"/>
  <c r="H53" i="7"/>
  <c r="I53" i="7"/>
  <c r="J53" i="7"/>
  <c r="K53" i="7"/>
  <c r="L53" i="7"/>
  <c r="M53" i="7"/>
  <c r="E54" i="7"/>
  <c r="F54" i="7"/>
  <c r="G54" i="7"/>
  <c r="H54" i="7"/>
  <c r="I54" i="7"/>
  <c r="J54" i="7"/>
  <c r="K54" i="7"/>
  <c r="L54" i="7"/>
  <c r="M54" i="7"/>
  <c r="E55" i="7"/>
  <c r="F55" i="7"/>
  <c r="G55" i="7"/>
  <c r="H55" i="7"/>
  <c r="I55" i="7"/>
  <c r="J55" i="7"/>
  <c r="K55" i="7"/>
  <c r="L55" i="7"/>
  <c r="M55" i="7"/>
  <c r="E56" i="7"/>
  <c r="F56" i="7"/>
  <c r="G56" i="7"/>
  <c r="H56" i="7"/>
  <c r="I56" i="7"/>
  <c r="J56" i="7"/>
  <c r="K56" i="7"/>
  <c r="L56" i="7"/>
  <c r="M56" i="7"/>
  <c r="E57" i="7"/>
  <c r="F57" i="7"/>
  <c r="G57" i="7"/>
  <c r="H57" i="7"/>
  <c r="I57" i="7"/>
  <c r="J57" i="7"/>
  <c r="K57" i="7"/>
  <c r="L57" i="7"/>
  <c r="M57" i="7"/>
  <c r="E58" i="7"/>
  <c r="F58" i="7"/>
  <c r="G58" i="7"/>
  <c r="H58" i="7"/>
  <c r="I58" i="7"/>
  <c r="J58" i="7"/>
  <c r="K58" i="7"/>
  <c r="L58" i="7"/>
  <c r="M58" i="7"/>
  <c r="G25" i="7"/>
  <c r="G63" i="7" s="1"/>
  <c r="H25" i="7"/>
  <c r="H61" i="7" s="1"/>
  <c r="H63" i="7" s="1"/>
  <c r="I25" i="7"/>
  <c r="I61" i="7" s="1"/>
  <c r="I63" i="7" s="1"/>
  <c r="J25" i="7"/>
  <c r="J61" i="7" s="1"/>
  <c r="J63" i="7" s="1"/>
  <c r="K25" i="7"/>
  <c r="K61" i="7" s="1"/>
  <c r="K63" i="7" s="1"/>
  <c r="L25" i="7"/>
  <c r="M25" i="7"/>
  <c r="E25" i="7"/>
  <c r="C18" i="7"/>
  <c r="C13" i="7"/>
  <c r="C10" i="7"/>
  <c r="C8" i="7"/>
  <c r="C9" i="7" s="1"/>
  <c r="C6" i="7"/>
  <c r="C5" i="7"/>
  <c r="C4" i="7"/>
  <c r="B4" i="2"/>
  <c r="B19" i="4"/>
  <c r="F12" i="4"/>
  <c r="F13" i="4"/>
  <c r="F11" i="4"/>
  <c r="F8" i="4"/>
  <c r="F7" i="4"/>
  <c r="D7" i="4"/>
  <c r="D8" i="4"/>
  <c r="D11" i="4"/>
  <c r="D12" i="4"/>
  <c r="D13" i="4"/>
  <c r="C11" i="7" l="1"/>
  <c r="C14" i="7" s="1"/>
  <c r="C16" i="7" s="1"/>
</calcChain>
</file>

<file path=xl/sharedStrings.xml><?xml version="1.0" encoding="utf-8"?>
<sst xmlns="http://schemas.openxmlformats.org/spreadsheetml/2006/main" count="589" uniqueCount="292">
  <si>
    <t>Source</t>
  </si>
  <si>
    <t>https://www.irs.gov/publications/p946</t>
  </si>
  <si>
    <t>Class</t>
  </si>
  <si>
    <t>Industrial Steam and Electric Generation and/or Distribution Systems</t>
  </si>
  <si>
    <t>MACRS</t>
  </si>
  <si>
    <t>00.4</t>
  </si>
  <si>
    <t>13.3</t>
  </si>
  <si>
    <t>Petroleum Refining</t>
  </si>
  <si>
    <t>49.221</t>
  </si>
  <si>
    <t>Gas Utility Substitute Natural Gas (SNG) Production Plant (naphta or light hydrocarbon feedstocks)</t>
  </si>
  <si>
    <t>https://cs.thomsonreuters.com/ua/fixa/cs_us_en/ass_life_tbl/hid_help_asset_lives.htm</t>
  </si>
  <si>
    <t>Sources</t>
  </si>
  <si>
    <t>49.24</t>
  </si>
  <si>
    <t>Gas Utility Trunk Pipelines and Related Storage Facilities</t>
  </si>
  <si>
    <t>Component</t>
  </si>
  <si>
    <t>FT</t>
  </si>
  <si>
    <t>H2 storage</t>
  </si>
  <si>
    <t>HTSE</t>
  </si>
  <si>
    <t>CO2 source ?</t>
  </si>
  <si>
    <t>From</t>
  </si>
  <si>
    <t>49.222</t>
  </si>
  <si>
    <t>Gas Utility Manufactured Gas Production Plants</t>
  </si>
  <si>
    <t>28.0</t>
  </si>
  <si>
    <t>Manufacture of Chemicals and Allied Products</t>
  </si>
  <si>
    <t>High-Temperature Steam Electrolysis Process Performance and Cost Estimates, D. Wendt</t>
  </si>
  <si>
    <t>Electricity required</t>
  </si>
  <si>
    <t>QoI</t>
  </si>
  <si>
    <t>Value</t>
  </si>
  <si>
    <t>Unit</t>
  </si>
  <si>
    <t>kWh-e/kg-H2</t>
  </si>
  <si>
    <t>Thermal energy required</t>
  </si>
  <si>
    <t>kWh-t/kg-H2</t>
  </si>
  <si>
    <t>Direct Capital Cost (NOAK)</t>
  </si>
  <si>
    <t>$/kW-dc</t>
  </si>
  <si>
    <t>No</t>
  </si>
  <si>
    <t>Total Capital Investment (NOAK)</t>
  </si>
  <si>
    <t>Direct Capital Cost (FOAK)</t>
  </si>
  <si>
    <t>Total Capital Investment (FOAK)</t>
  </si>
  <si>
    <t>Project duration</t>
  </si>
  <si>
    <t>years</t>
  </si>
  <si>
    <t>FOM</t>
  </si>
  <si>
    <t>$/kw-dc-year</t>
  </si>
  <si>
    <t>VOM (excl. energy cost)</t>
  </si>
  <si>
    <t>$/MWh-dc</t>
  </si>
  <si>
    <t>IRR</t>
  </si>
  <si>
    <t>%</t>
  </si>
  <si>
    <t>Depreciation schedule (MACRS)</t>
  </si>
  <si>
    <t>PJM Capacity Market Clearing Price</t>
  </si>
  <si>
    <t>Period</t>
  </si>
  <si>
    <t>Price ($/MWe-day)</t>
  </si>
  <si>
    <t>EFORd</t>
  </si>
  <si>
    <t>EFORd (%)</t>
  </si>
  <si>
    <t>2021/2022</t>
  </si>
  <si>
    <t>2020/2021</t>
  </si>
  <si>
    <t>2019/2020</t>
  </si>
  <si>
    <t>2018/2019</t>
  </si>
  <si>
    <t>Capacity sold = UCAP</t>
  </si>
  <si>
    <t>UCAP = Installed Cap *(1-EFORd)</t>
  </si>
  <si>
    <t>Equivalent forced outage rate demand</t>
  </si>
  <si>
    <t>UCAP</t>
  </si>
  <si>
    <t>Unforced CAPacity</t>
  </si>
  <si>
    <t>FT process</t>
  </si>
  <si>
    <t>Inputs</t>
  </si>
  <si>
    <t>CO2</t>
  </si>
  <si>
    <t>H2</t>
  </si>
  <si>
    <t>Electricity</t>
  </si>
  <si>
    <t>MWe</t>
  </si>
  <si>
    <t>MT/day</t>
  </si>
  <si>
    <t>Outputs</t>
  </si>
  <si>
    <t>Naphta</t>
  </si>
  <si>
    <t>Jet Fuel</t>
  </si>
  <si>
    <t>Diesel</t>
  </si>
  <si>
    <t>kg/s</t>
  </si>
  <si>
    <t>kWe</t>
  </si>
  <si>
    <t>kWh/kg-H2</t>
  </si>
  <si>
    <t>kg/h</t>
  </si>
  <si>
    <t>kg-H2/kWh</t>
  </si>
  <si>
    <t>Electricity price</t>
  </si>
  <si>
    <t>$/MWh</t>
  </si>
  <si>
    <t>$/kWh</t>
  </si>
  <si>
    <t>Bounds</t>
  </si>
  <si>
    <t>$/kg</t>
  </si>
  <si>
    <t xml:space="preserve">Low </t>
  </si>
  <si>
    <t>High</t>
  </si>
  <si>
    <t>Turbine</t>
  </si>
  <si>
    <t>Quantity</t>
  </si>
  <si>
    <t>Elec</t>
  </si>
  <si>
    <t>CO2 source</t>
  </si>
  <si>
    <t xml:space="preserve">kg </t>
  </si>
  <si>
    <t>Should sell as much as possible to grid</t>
  </si>
  <si>
    <t>Expected results</t>
  </si>
  <si>
    <t>Optimized capacity</t>
  </si>
  <si>
    <t>Should sell as little as possible to grid</t>
  </si>
  <si>
    <t>Still smallest possible since constant prices everywhere</t>
  </si>
  <si>
    <t xml:space="preserve"> </t>
  </si>
  <si>
    <t>Fixed no matter production level</t>
  </si>
  <si>
    <t>Modeled as separate electricity consuming component</t>
  </si>
  <si>
    <t>Using NOAK values</t>
  </si>
  <si>
    <t>kg-H2/kWh-e</t>
  </si>
  <si>
    <t>Performance and cost analysis of liquid fuel production form H2 and CO2 based on the FT process</t>
  </si>
  <si>
    <t>Description</t>
  </si>
  <si>
    <t>Total Direct Capital Costs, sum of equipment installed costs</t>
  </si>
  <si>
    <t>TDCC</t>
  </si>
  <si>
    <t>Depreciable Capital Costs</t>
  </si>
  <si>
    <t>Non-depreciable Capital Costs</t>
  </si>
  <si>
    <t>Land</t>
  </si>
  <si>
    <t>$USD (2016)</t>
  </si>
  <si>
    <t>Project contingency</t>
  </si>
  <si>
    <t>Upfront permitting costs</t>
  </si>
  <si>
    <t>Eng and design</t>
  </si>
  <si>
    <t>Total Capital Investment</t>
  </si>
  <si>
    <t>Site preparation</t>
  </si>
  <si>
    <t>TCI</t>
  </si>
  <si>
    <t>Total depreciable capital costs</t>
  </si>
  <si>
    <t>Catalyst first fill fee</t>
  </si>
  <si>
    <t>LC</t>
  </si>
  <si>
    <t>Labor Cost</t>
  </si>
  <si>
    <t>$USD (2016)/year</t>
  </si>
  <si>
    <t>Gen and admin</t>
  </si>
  <si>
    <t>Property taxes and insurance</t>
  </si>
  <si>
    <t>2% TCI</t>
  </si>
  <si>
    <t>20% LC</t>
  </si>
  <si>
    <t>Materials costs for maintenance</t>
  </si>
  <si>
    <t>Total Fixed Operating Costs</t>
  </si>
  <si>
    <t>None Energy material and utilities costs</t>
  </si>
  <si>
    <t>Total Variable Operating Costs (excl. feedstock and elec)</t>
  </si>
  <si>
    <t>Depreciation schedule</t>
  </si>
  <si>
    <t>Equipment Installed costs</t>
  </si>
  <si>
    <t>Equipment</t>
  </si>
  <si>
    <t>Base cost</t>
  </si>
  <si>
    <t>Installation factor</t>
  </si>
  <si>
    <t>Scaling exponent</t>
  </si>
  <si>
    <t>CO2 compressor 1</t>
  </si>
  <si>
    <t>CO2 compressor 2</t>
  </si>
  <si>
    <t>H2 compressor</t>
  </si>
  <si>
    <t>RWGS reactor</t>
  </si>
  <si>
    <t>Syngas preheater</t>
  </si>
  <si>
    <t>CO2 separator</t>
  </si>
  <si>
    <t>Syngas cooler</t>
  </si>
  <si>
    <t>Flash separator</t>
  </si>
  <si>
    <t>Syngas compressor</t>
  </si>
  <si>
    <t>FT synthesis reactor</t>
  </si>
  <si>
    <t>Wax separator</t>
  </si>
  <si>
    <t>Gas/liquid separator</t>
  </si>
  <si>
    <t>Flue gas heat exchanger</t>
  </si>
  <si>
    <t>Flue gas cooler</t>
  </si>
  <si>
    <t>Dryer FT-synthesis</t>
  </si>
  <si>
    <t>Dryer RWGS</t>
  </si>
  <si>
    <t>Flue gas compressor</t>
  </si>
  <si>
    <t>PSA H2 separator</t>
  </si>
  <si>
    <t>Wax preheater</t>
  </si>
  <si>
    <t>Wax cooler</t>
  </si>
  <si>
    <t>Wax dryer</t>
  </si>
  <si>
    <t>Liquid cooler and dryer</t>
  </si>
  <si>
    <t>Wax hydrocracking</t>
  </si>
  <si>
    <t>Gas separator</t>
  </si>
  <si>
    <t>Naphta distillation</t>
  </si>
  <si>
    <t>Jet fuel distillation</t>
  </si>
  <si>
    <t>Naphta dryer and cooler</t>
  </si>
  <si>
    <t>Boiler steam generator</t>
  </si>
  <si>
    <t>Steam turbine</t>
  </si>
  <si>
    <t>Boiler auxiliary device</t>
  </si>
  <si>
    <t>Cooling tower</t>
  </si>
  <si>
    <t>Fuel storage</t>
  </si>
  <si>
    <t>Wastewater treatment</t>
  </si>
  <si>
    <t>Diesel distillation</t>
  </si>
  <si>
    <t>Size factor</t>
  </si>
  <si>
    <t>Log TCI</t>
  </si>
  <si>
    <t>Log size factor</t>
  </si>
  <si>
    <t>FT elec consumption</t>
  </si>
  <si>
    <t>HTSE: elec to h2</t>
  </si>
  <si>
    <t>kg/MWe</t>
  </si>
  <si>
    <t>HTSE h2 prod</t>
  </si>
  <si>
    <t>FT h2 capacity</t>
  </si>
  <si>
    <t>electricity</t>
  </si>
  <si>
    <t>Cashflows</t>
  </si>
  <si>
    <t>Capacity</t>
  </si>
  <si>
    <t>HTSE capacity (MWe)</t>
  </si>
  <si>
    <t>All cashflows will be calculated based on it</t>
  </si>
  <si>
    <t>Name</t>
  </si>
  <si>
    <t>Driver</t>
  </si>
  <si>
    <t>Repeating?</t>
  </si>
  <si>
    <t>htse_capex</t>
  </si>
  <si>
    <t>htse_noak_capex Function</t>
  </si>
  <si>
    <t>None</t>
  </si>
  <si>
    <t>htse_fom</t>
  </si>
  <si>
    <t>htse_capacity</t>
  </si>
  <si>
    <t>$/MW-ac-year</t>
  </si>
  <si>
    <t>year</t>
  </si>
  <si>
    <t>yes</t>
  </si>
  <si>
    <t>htse_vom</t>
  </si>
  <si>
    <t>electricity (activity)</t>
  </si>
  <si>
    <t>$/MWh-ac</t>
  </si>
  <si>
    <t>hour</t>
  </si>
  <si>
    <t>elec_cap_market</t>
  </si>
  <si>
    <t>$/MWe-year</t>
  </si>
  <si>
    <t>ft_capex</t>
  </si>
  <si>
    <t>scaling factor</t>
  </si>
  <si>
    <t>$/2020</t>
  </si>
  <si>
    <t>none</t>
  </si>
  <si>
    <t>no</t>
  </si>
  <si>
    <t>depreciate</t>
  </si>
  <si>
    <t>ft_fom</t>
  </si>
  <si>
    <t>$/year (2020)</t>
  </si>
  <si>
    <t>ft_vom</t>
  </si>
  <si>
    <t>h2</t>
  </si>
  <si>
    <t>$/kg-h2</t>
  </si>
  <si>
    <t>co2_shipping</t>
  </si>
  <si>
    <t>Rate</t>
  </si>
  <si>
    <t>Current transfer rates</t>
  </si>
  <si>
    <t>Resource</t>
  </si>
  <si>
    <t>naphtha</t>
  </si>
  <si>
    <t>jet_fuel</t>
  </si>
  <si>
    <t>diesel</t>
  </si>
  <si>
    <t>Combined HTSE+FT</t>
  </si>
  <si>
    <t>Mwe</t>
  </si>
  <si>
    <t>kg</t>
  </si>
  <si>
    <t>FT (capacity expressed in kg-H2)</t>
  </si>
  <si>
    <t>Just need to redefine this</t>
  </si>
  <si>
    <t xml:space="preserve"> Nuclear refinery dedicated to synthetic fuel production, not connected to the grid</t>
  </si>
  <si>
    <t>Synfuel baseline case</t>
  </si>
  <si>
    <t>Performance and Cost Analysis of Liquid Fuel Production from H2 and CO2 Based on the Fischer-Tropsch Process</t>
  </si>
  <si>
    <t>Assumption</t>
  </si>
  <si>
    <t xml:space="preserve">: </t>
  </si>
  <si>
    <t>Every component size increases in the same way as the whole process</t>
  </si>
  <si>
    <t>Electricity (MWe)</t>
  </si>
  <si>
    <t>Comment</t>
  </si>
  <si>
    <t>Case without h2 storage, HTSE and FT combined into 1 component</t>
  </si>
  <si>
    <t>Acronyms</t>
  </si>
  <si>
    <t>Equations</t>
  </si>
  <si>
    <t>Average</t>
  </si>
  <si>
    <t>Used to compute a negative cashflow for the capacity of the NPP not sold on the capacity market</t>
  </si>
  <si>
    <t>FT ANL report</t>
  </si>
  <si>
    <t>Dan Wendt report</t>
  </si>
  <si>
    <t>Components capacities optimization boundaries calculation</t>
  </si>
  <si>
    <t>Fixed components</t>
  </si>
  <si>
    <t>Purpose</t>
  </si>
  <si>
    <t>Capacity negative when component is consuming a resource</t>
  </si>
  <si>
    <t>Optimized components</t>
  </si>
  <si>
    <t>Lower</t>
  </si>
  <si>
    <t>Upper</t>
  </si>
  <si>
    <t>kg-H2</t>
  </si>
  <si>
    <t xml:space="preserve">Elec to H2 rate (HTSE) = 25.13 </t>
  </si>
  <si>
    <t xml:space="preserve">Capacity  </t>
  </si>
  <si>
    <t>Added to help optimization ($10000/kg-H2)</t>
  </si>
  <si>
    <t>htse</t>
  </si>
  <si>
    <t>ft</t>
  </si>
  <si>
    <t>h2_export</t>
  </si>
  <si>
    <t>turbine</t>
  </si>
  <si>
    <t>ft_elec_consumption</t>
  </si>
  <si>
    <t>elec_markte</t>
  </si>
  <si>
    <t>jet_fuel_market</t>
  </si>
  <si>
    <t>diesel_market</t>
  </si>
  <si>
    <t>naphtha_market</t>
  </si>
  <si>
    <t>h2_storage</t>
  </si>
  <si>
    <t>10 kg initially stored, upper bound ~ 2h of storage for max capacity of FT</t>
  </si>
  <si>
    <t>Update from ANL August 2022</t>
  </si>
  <si>
    <t>The Modeling of the Synfuel Production Process, H.E Delgado and all, June 2022</t>
  </si>
  <si>
    <t>Financial assumptions</t>
  </si>
  <si>
    <t xml:space="preserve">Basis year </t>
  </si>
  <si>
    <t xml:space="preserve">Depreciation </t>
  </si>
  <si>
    <t>20 year MACRS</t>
  </si>
  <si>
    <t xml:space="preserve">Inflation </t>
  </si>
  <si>
    <t xml:space="preserve">Plant life </t>
  </si>
  <si>
    <t>40 years</t>
  </si>
  <si>
    <t>CAPEX</t>
  </si>
  <si>
    <t>driver</t>
  </si>
  <si>
    <t>ft_capacity</t>
  </si>
  <si>
    <t>reference driver</t>
  </si>
  <si>
    <t>Node</t>
  </si>
  <si>
    <t>value</t>
  </si>
  <si>
    <t>unit</t>
  </si>
  <si>
    <t>kg-H2/h</t>
  </si>
  <si>
    <t>Table 3 (255MT-h2/day)</t>
  </si>
  <si>
    <t>Data</t>
  </si>
  <si>
    <t>FT-400</t>
  </si>
  <si>
    <t>reference price</t>
  </si>
  <si>
    <t>Total Capital Cost TCI</t>
  </si>
  <si>
    <t>Size (MW)</t>
  </si>
  <si>
    <t xml:space="preserve">Log TCI </t>
  </si>
  <si>
    <t>VOM</t>
  </si>
  <si>
    <t>Not considering H2 cost, CO2 taken into account in supply curve, utilities only</t>
  </si>
  <si>
    <t>convert $2016 to $2020 using inflation rate</t>
  </si>
  <si>
    <t>$(2020)</t>
  </si>
  <si>
    <t>Case without h2 storage, HTSE and FT combined into 1 component, updated data from ANL</t>
  </si>
  <si>
    <t>FT (capacity expressed in MW of corresponding HTSE)</t>
  </si>
  <si>
    <t>htse_ft_capacity</t>
  </si>
  <si>
    <t>scaling_factor_x</t>
  </si>
  <si>
    <t>reference_driver</t>
  </si>
  <si>
    <t>MW</t>
  </si>
  <si>
    <t>reference_price</t>
  </si>
  <si>
    <t>kg-H2/MWh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</si>
</sst>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2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0" borderId="0" applyNumberFormat="0" applyFill="0" applyBorder="0" applyAlignment="0" applyProtection="0"/>
  </cellStyleXfs>
  <cellXfs count="49">
    <xf numFmtId="0" fontId="0" fillId="0" borderId="0" xfId="0"/>
    <xf numFmtId="49" fontId="0" fillId="0" borderId="0" xfId="0" applyNumberFormat="1"/>
    <xf numFmtId="11" fontId="0" fillId="0" borderId="0" xfId="0" applyNumberFormat="1"/>
    <xf numFmtId="11" fontId="4" fillId="0" borderId="0" xfId="0" applyNumberFormat="1" applyFont="1"/>
    <xf numFmtId="0" fontId="4" fillId="0" borderId="0" xfId="0" applyFont="1"/>
    <xf numFmtId="11" fontId="3" fillId="0" borderId="0" xfId="0" applyNumberFormat="1" applyFont="1"/>
    <xf numFmtId="0" fontId="3" fillId="0" borderId="0" xfId="0" applyFont="1"/>
    <xf numFmtId="0" fontId="2" fillId="2" borderId="0" xfId="2"/>
    <xf numFmtId="0" fontId="0" fillId="0" borderId="0" xfId="0" applyAlignment="1">
      <alignment wrapText="1"/>
    </xf>
    <xf numFmtId="49" fontId="0" fillId="0" borderId="1" xfId="0" applyNumberFormat="1" applyBorder="1" applyAlignment="1">
      <alignment wrapText="1"/>
    </xf>
    <xf numFmtId="0" fontId="0" fillId="0" borderId="1" xfId="0" applyBorder="1"/>
    <xf numFmtId="49" fontId="0" fillId="0" borderId="0" xfId="0" applyNumberFormat="1" applyAlignment="1">
      <alignment wrapText="1"/>
    </xf>
    <xf numFmtId="0" fontId="0" fillId="0" borderId="2" xfId="0" applyBorder="1"/>
    <xf numFmtId="0" fontId="2" fillId="2" borderId="0" xfId="2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2" fillId="2" borderId="13" xfId="2" applyBorder="1"/>
    <xf numFmtId="0" fontId="0" fillId="0" borderId="14" xfId="0" applyBorder="1"/>
    <xf numFmtId="44" fontId="0" fillId="0" borderId="1" xfId="1" applyFont="1" applyBorder="1"/>
    <xf numFmtId="44" fontId="0" fillId="0" borderId="0" xfId="1" applyFont="1" applyBorder="1"/>
    <xf numFmtId="44" fontId="2" fillId="2" borderId="2" xfId="1" applyFont="1" applyFill="1" applyBorder="1"/>
    <xf numFmtId="44" fontId="2" fillId="2" borderId="0" xfId="1" applyFont="1" applyFill="1" applyBorder="1"/>
    <xf numFmtId="164" fontId="0" fillId="0" borderId="0" xfId="1" applyNumberFormat="1" applyFont="1"/>
    <xf numFmtId="164" fontId="0" fillId="0" borderId="0" xfId="0" applyNumberFormat="1"/>
    <xf numFmtId="0" fontId="2" fillId="2" borderId="9" xfId="2" applyBorder="1"/>
    <xf numFmtId="0" fontId="2" fillId="2" borderId="14" xfId="2" applyBorder="1"/>
    <xf numFmtId="6" fontId="0" fillId="0" borderId="0" xfId="0" applyNumberFormat="1"/>
    <xf numFmtId="0" fontId="5" fillId="3" borderId="12" xfId="3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6" fillId="0" borderId="0" xfId="4"/>
    <xf numFmtId="10" fontId="0" fillId="0" borderId="0" xfId="0" applyNumberFormat="1"/>
    <xf numFmtId="44" fontId="0" fillId="0" borderId="0" xfId="0" applyNumberFormat="1"/>
    <xf numFmtId="0" fontId="7" fillId="0" borderId="0" xfId="0" applyFont="1"/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5">
    <cellStyle name="Bad" xfId="3" builtinId="27"/>
    <cellStyle name="Currency" xfId="1" builtinId="4"/>
    <cellStyle name="Good" xfId="2" builtinId="26"/>
    <cellStyle name="Hy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TCI logrithmic regression</a:t>
            </a:r>
          </a:p>
          <a:p>
            <a:pPr>
              <a:defRPr/>
            </a:pPr>
            <a:r>
              <a:rPr lang="en-US"/>
              <a:t>Goal:</a:t>
            </a:r>
            <a:r>
              <a:rPr lang="en-US" baseline="0"/>
              <a:t> Compute scaling factor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FT!$H$10</c:f>
              <c:strCache>
                <c:ptCount val="1"/>
                <c:pt idx="0">
                  <c:v>Log TCI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FT!$I$9:$K$9</c:f>
              <c:numCache>
                <c:formatCode>General</c:formatCode>
                <c:ptCount val="3"/>
                <c:pt idx="0">
                  <c:v>-0.6020599913279624</c:v>
                </c:pt>
                <c:pt idx="1">
                  <c:v>0</c:v>
                </c:pt>
                <c:pt idx="2">
                  <c:v>0.3979400086720376</c:v>
                </c:pt>
              </c:numCache>
            </c:numRef>
          </c:xVal>
          <c:yVal>
            <c:numRef>
              <c:f>FT!$I$10:$K$10</c:f>
              <c:numCache>
                <c:formatCode>General</c:formatCode>
                <c:ptCount val="3"/>
                <c:pt idx="0">
                  <c:v>7.8386476320849576</c:v>
                </c:pt>
                <c:pt idx="1">
                  <c:v>8.1907657756496093</c:v>
                </c:pt>
                <c:pt idx="2">
                  <c:v>8.4682380044363352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95-2841-B186-F8BEF29CA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176783"/>
        <c:axId val="2098178431"/>
      </c:scatterChart>
      <c:valAx>
        <c:axId val="209817678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178431"/>
        <c:crosses val="autoZero"/>
        <c:crossBetween val="midCat"/>
      </c:valAx>
      <c:valAx>
        <c:axId val="209817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176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TCI logarithmic</a:t>
            </a:r>
            <a:r>
              <a:rPr lang="en-US" baseline="0"/>
              <a:t> regression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FT_old!$D$63</c:f>
              <c:strCache>
                <c:ptCount val="1"/>
                <c:pt idx="0">
                  <c:v>Log TCI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FT_old!$E$62:$M$62</c:f>
              <c:numCache>
                <c:formatCode>General</c:formatCode>
                <c:ptCount val="9"/>
                <c:pt idx="0">
                  <c:v>-0.6020599913279624</c:v>
                </c:pt>
                <c:pt idx="1">
                  <c:v>-0.3010299956639812</c:v>
                </c:pt>
                <c:pt idx="2">
                  <c:v>0</c:v>
                </c:pt>
                <c:pt idx="3">
                  <c:v>9.691001300805642E-2</c:v>
                </c:pt>
                <c:pt idx="4">
                  <c:v>0.17609125905568124</c:v>
                </c:pt>
                <c:pt idx="5">
                  <c:v>0.3010299956639812</c:v>
                </c:pt>
                <c:pt idx="6">
                  <c:v>0.6020599913279624</c:v>
                </c:pt>
                <c:pt idx="7">
                  <c:v>0.69897000433601886</c:v>
                </c:pt>
                <c:pt idx="8">
                  <c:v>1</c:v>
                </c:pt>
              </c:numCache>
            </c:numRef>
          </c:xVal>
          <c:yVal>
            <c:numRef>
              <c:f>FT_old!$E$63:$M$63</c:f>
              <c:numCache>
                <c:formatCode>General</c:formatCode>
                <c:ptCount val="9"/>
                <c:pt idx="0">
                  <c:v>8.0156193531831796</c:v>
                </c:pt>
                <c:pt idx="1">
                  <c:v>8.2128604602155431</c:v>
                </c:pt>
                <c:pt idx="2">
                  <c:v>8.411284001279153</c:v>
                </c:pt>
                <c:pt idx="3">
                  <c:v>8.4754249287508117</c:v>
                </c:pt>
                <c:pt idx="4">
                  <c:v>8.5279296264238802</c:v>
                </c:pt>
                <c:pt idx="5">
                  <c:v>8.6109577543918885</c:v>
                </c:pt>
                <c:pt idx="6">
                  <c:v>8.8119472733677942</c:v>
                </c:pt>
                <c:pt idx="7">
                  <c:v>8.8769417662830747</c:v>
                </c:pt>
                <c:pt idx="8">
                  <c:v>9.0797652001107316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70-4815-83E6-4DB228577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646064"/>
        <c:axId val="837647312"/>
      </c:scatterChart>
      <c:valAx>
        <c:axId val="83764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log(Size factor)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647312"/>
        <c:crosses val="autoZero"/>
        <c:crossBetween val="midCat"/>
      </c:valAx>
      <c:valAx>
        <c:axId val="83764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log(TCI)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646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672042</xdr:colOff>
      <xdr:row>17</xdr:row>
      <xdr:rowOff>83607</xdr:rowOff>
    </xdr:from>
    <xdr:to>
      <xdr:col>14</xdr:col>
      <xdr:colOff>190500</xdr:colOff>
      <xdr:row>38</xdr:row>
      <xdr:rowOff>42332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8A9670-7B55-8F7C-E0DA-99E95918D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779462</xdr:colOff>
      <xdr:row>63</xdr:row>
      <xdr:rowOff>160336</xdr:rowOff>
    </xdr:from>
    <xdr:to>
      <xdr:col>13</xdr:col>
      <xdr:colOff>457200</xdr:colOff>
      <xdr:row>92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656C37-AFFE-1C1C-5B7A-E46941F34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osti.gov/biblio/1867883" TargetMode="External"/><Relationship Id="rId1" Type="http://schemas.openxmlformats.org/officeDocument/2006/relationships/hyperlink" Target="https://www.sciencedirect.com/science/article/pii/S221298202100026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62179-2135-43B7-98DA-D4A6A7868310}">
  <dimension ref="A1:H8"/>
  <sheetViews>
    <sheetView workbookViewId="0">
      <selection activeCell="H15" sqref="H15"/>
    </sheetView>
  </sheetViews>
  <sheetFormatPr baseColWidth="10" defaultColWidth="8.83203125" defaultRowHeight="15" x14ac:dyDescent="0.2"/>
  <cols>
    <col min="1" max="1" width="8.6640625" style="1"/>
    <col min="2" max="2" width="85.6640625" bestFit="1" customWidth="1"/>
  </cols>
  <sheetData>
    <row r="1" spans="1:8" x14ac:dyDescent="0.2">
      <c r="A1" s="1" t="s">
        <v>11</v>
      </c>
      <c r="B1" t="s">
        <v>1</v>
      </c>
      <c r="C1" t="s">
        <v>10</v>
      </c>
    </row>
    <row r="2" spans="1:8" x14ac:dyDescent="0.2">
      <c r="A2" s="44" t="s">
        <v>2</v>
      </c>
      <c r="B2" s="44"/>
      <c r="C2" t="s">
        <v>4</v>
      </c>
      <c r="F2" t="s">
        <v>14</v>
      </c>
      <c r="G2" t="s">
        <v>4</v>
      </c>
      <c r="H2" t="s">
        <v>19</v>
      </c>
    </row>
    <row r="3" spans="1:8" x14ac:dyDescent="0.2">
      <c r="A3" s="1" t="s">
        <v>5</v>
      </c>
      <c r="B3" t="s">
        <v>3</v>
      </c>
      <c r="C3">
        <v>15</v>
      </c>
      <c r="F3" t="s">
        <v>15</v>
      </c>
      <c r="G3">
        <v>7</v>
      </c>
      <c r="H3">
        <v>49.222000000000001</v>
      </c>
    </row>
    <row r="4" spans="1:8" x14ac:dyDescent="0.2">
      <c r="A4" s="1" t="s">
        <v>6</v>
      </c>
      <c r="B4" t="s">
        <v>7</v>
      </c>
      <c r="C4">
        <v>10</v>
      </c>
      <c r="F4" t="s">
        <v>16</v>
      </c>
      <c r="G4">
        <v>15</v>
      </c>
      <c r="H4">
        <v>49.24</v>
      </c>
    </row>
    <row r="5" spans="1:8" x14ac:dyDescent="0.2">
      <c r="A5" s="1" t="s">
        <v>20</v>
      </c>
      <c r="B5" t="s">
        <v>9</v>
      </c>
      <c r="C5">
        <v>7</v>
      </c>
      <c r="F5" t="s">
        <v>17</v>
      </c>
      <c r="G5">
        <v>20</v>
      </c>
      <c r="H5">
        <v>49.220999999999997</v>
      </c>
    </row>
    <row r="6" spans="1:8" x14ac:dyDescent="0.2">
      <c r="A6" s="1" t="s">
        <v>12</v>
      </c>
      <c r="B6" t="s">
        <v>13</v>
      </c>
      <c r="C6">
        <v>15</v>
      </c>
      <c r="E6" t="s">
        <v>34</v>
      </c>
      <c r="F6" t="s">
        <v>18</v>
      </c>
      <c r="G6">
        <v>20</v>
      </c>
      <c r="H6">
        <v>49.220999999999997</v>
      </c>
    </row>
    <row r="7" spans="1:8" x14ac:dyDescent="0.2">
      <c r="A7" s="1" t="s">
        <v>8</v>
      </c>
      <c r="B7" t="s">
        <v>21</v>
      </c>
      <c r="C7">
        <v>20</v>
      </c>
    </row>
    <row r="8" spans="1:8" x14ac:dyDescent="0.2">
      <c r="A8" s="1" t="s">
        <v>22</v>
      </c>
      <c r="B8" t="s">
        <v>23</v>
      </c>
      <c r="C8">
        <v>5</v>
      </c>
    </row>
  </sheetData>
  <mergeCells count="1">
    <mergeCell ref="A2:B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ACCEB-6613-41C3-AB8E-7E632C9D30FD}">
  <dimension ref="A1:H20"/>
  <sheetViews>
    <sheetView tabSelected="1" topLeftCell="A4" zoomScale="120" zoomScaleNormal="120" workbookViewId="0">
      <selection activeCell="C21" sqref="C21"/>
    </sheetView>
  </sheetViews>
  <sheetFormatPr baseColWidth="10" defaultColWidth="8.83203125" defaultRowHeight="15" x14ac:dyDescent="0.2"/>
  <cols>
    <col min="1" max="1" width="9.5" bestFit="1" customWidth="1"/>
    <col min="2" max="2" width="12.1640625" bestFit="1" customWidth="1"/>
    <col min="4" max="4" width="10.33203125" bestFit="1" customWidth="1"/>
  </cols>
  <sheetData>
    <row r="1" spans="1:8" x14ac:dyDescent="0.2">
      <c r="A1" t="s">
        <v>11</v>
      </c>
    </row>
    <row r="2" spans="1:8" x14ac:dyDescent="0.2">
      <c r="A2" t="s">
        <v>15</v>
      </c>
      <c r="B2" s="40" t="s">
        <v>232</v>
      </c>
    </row>
    <row r="3" spans="1:8" x14ac:dyDescent="0.2">
      <c r="A3" t="s">
        <v>17</v>
      </c>
      <c r="B3" s="40" t="s">
        <v>233</v>
      </c>
    </row>
    <row r="4" spans="1:8" x14ac:dyDescent="0.2">
      <c r="B4" s="40"/>
    </row>
    <row r="5" spans="1:8" x14ac:dyDescent="0.2">
      <c r="A5" s="44" t="s">
        <v>61</v>
      </c>
      <c r="B5" s="44"/>
      <c r="C5" s="44"/>
      <c r="D5" s="44"/>
      <c r="E5" s="44"/>
      <c r="F5" s="44"/>
      <c r="G5" s="44"/>
    </row>
    <row r="6" spans="1:8" x14ac:dyDescent="0.2">
      <c r="A6" s="44" t="s">
        <v>62</v>
      </c>
      <c r="B6" s="44"/>
      <c r="C6" s="44"/>
      <c r="D6" s="44"/>
      <c r="E6" s="44"/>
      <c r="F6" s="44"/>
      <c r="G6" s="44"/>
    </row>
    <row r="7" spans="1:8" x14ac:dyDescent="0.2">
      <c r="A7" t="s">
        <v>63</v>
      </c>
      <c r="B7">
        <v>1580</v>
      </c>
      <c r="C7" t="s">
        <v>67</v>
      </c>
      <c r="D7" s="3">
        <f>B7*1000/(24*3600)</f>
        <v>18.287037037037038</v>
      </c>
      <c r="E7" s="4" t="s">
        <v>72</v>
      </c>
      <c r="F7" s="5">
        <f>B7*1000/24</f>
        <v>65833.333333333328</v>
      </c>
      <c r="G7" t="s">
        <v>75</v>
      </c>
    </row>
    <row r="8" spans="1:8" x14ac:dyDescent="0.2">
      <c r="A8" t="s">
        <v>64</v>
      </c>
      <c r="B8">
        <v>255</v>
      </c>
      <c r="C8" t="s">
        <v>67</v>
      </c>
      <c r="D8" s="3">
        <f>B8*1000/(24*3600)</f>
        <v>2.9513888888888888</v>
      </c>
      <c r="E8" s="4" t="s">
        <v>72</v>
      </c>
      <c r="F8" s="5">
        <f>B8*1000/24</f>
        <v>10625</v>
      </c>
      <c r="G8" t="s">
        <v>75</v>
      </c>
    </row>
    <row r="9" spans="1:8" x14ac:dyDescent="0.2">
      <c r="A9" t="s">
        <v>65</v>
      </c>
      <c r="B9">
        <v>14.9</v>
      </c>
      <c r="C9" t="s">
        <v>66</v>
      </c>
      <c r="D9" s="2" t="s">
        <v>95</v>
      </c>
      <c r="E9" t="s">
        <v>96</v>
      </c>
      <c r="F9" s="2"/>
      <c r="H9" s="2"/>
    </row>
    <row r="10" spans="1:8" x14ac:dyDescent="0.2">
      <c r="A10" s="44" t="s">
        <v>68</v>
      </c>
      <c r="B10" s="44"/>
      <c r="C10" s="44"/>
      <c r="D10" s="44"/>
      <c r="E10" s="44"/>
      <c r="F10" s="44"/>
      <c r="G10" s="44"/>
    </row>
    <row r="11" spans="1:8" x14ac:dyDescent="0.2">
      <c r="A11" t="s">
        <v>69</v>
      </c>
      <c r="B11">
        <v>176</v>
      </c>
      <c r="C11" t="s">
        <v>67</v>
      </c>
      <c r="D11" s="3">
        <f>B11*1000/(24*3600)</f>
        <v>2.0370370370370372</v>
      </c>
      <c r="E11" s="4" t="s">
        <v>72</v>
      </c>
      <c r="F11" s="5">
        <f>B11*1000/24</f>
        <v>7333.333333333333</v>
      </c>
      <c r="G11" t="s">
        <v>75</v>
      </c>
    </row>
    <row r="12" spans="1:8" x14ac:dyDescent="0.2">
      <c r="A12" t="s">
        <v>70</v>
      </c>
      <c r="B12">
        <v>213</v>
      </c>
      <c r="C12" t="s">
        <v>67</v>
      </c>
      <c r="D12" s="3">
        <f t="shared" ref="D12:D13" si="0">B12*1000/(24*3600)</f>
        <v>2.4652777777777777</v>
      </c>
      <c r="E12" s="4" t="s">
        <v>72</v>
      </c>
      <c r="F12" s="5">
        <f t="shared" ref="F12:F13" si="1">B12*1000/24</f>
        <v>8875</v>
      </c>
      <c r="G12" t="s">
        <v>75</v>
      </c>
    </row>
    <row r="13" spans="1:8" x14ac:dyDescent="0.2">
      <c r="A13" t="s">
        <v>71</v>
      </c>
      <c r="B13">
        <v>118</v>
      </c>
      <c r="C13" t="s">
        <v>67</v>
      </c>
      <c r="D13" s="3">
        <f t="shared" si="0"/>
        <v>1.3657407407407407</v>
      </c>
      <c r="E13" s="4" t="s">
        <v>72</v>
      </c>
      <c r="F13" s="5">
        <f t="shared" si="1"/>
        <v>4916.666666666667</v>
      </c>
      <c r="G13" t="s">
        <v>75</v>
      </c>
    </row>
    <row r="15" spans="1:8" x14ac:dyDescent="0.2">
      <c r="A15" s="44" t="s">
        <v>17</v>
      </c>
      <c r="B15" s="44"/>
      <c r="C15" s="44"/>
      <c r="D15" s="44"/>
      <c r="E15" s="44"/>
      <c r="F15" s="44"/>
      <c r="G15" s="44"/>
    </row>
    <row r="16" spans="1:8" x14ac:dyDescent="0.2">
      <c r="A16" s="44" t="s">
        <v>62</v>
      </c>
      <c r="B16" s="44"/>
      <c r="C16" s="44"/>
    </row>
    <row r="17" spans="1:3" x14ac:dyDescent="0.2">
      <c r="A17" t="s">
        <v>65</v>
      </c>
      <c r="B17">
        <v>39.799999999999997</v>
      </c>
      <c r="C17" t="s">
        <v>74</v>
      </c>
    </row>
    <row r="18" spans="1:3" x14ac:dyDescent="0.2">
      <c r="A18" s="44" t="s">
        <v>68</v>
      </c>
      <c r="B18" s="44"/>
      <c r="C18" s="44"/>
    </row>
    <row r="19" spans="1:3" x14ac:dyDescent="0.2">
      <c r="A19" t="s">
        <v>64</v>
      </c>
      <c r="B19" s="6">
        <f>1/B17</f>
        <v>2.5125628140703519E-2</v>
      </c>
      <c r="C19" t="s">
        <v>76</v>
      </c>
    </row>
    <row r="20" spans="1:3" x14ac:dyDescent="0.2">
      <c r="B20">
        <f>B19*1000</f>
        <v>25.125628140703519</v>
      </c>
      <c r="C20" t="s">
        <v>291</v>
      </c>
    </row>
  </sheetData>
  <mergeCells count="6">
    <mergeCell ref="A16:C16"/>
    <mergeCell ref="A18:C18"/>
    <mergeCell ref="A6:G6"/>
    <mergeCell ref="A10:G10"/>
    <mergeCell ref="A5:G5"/>
    <mergeCell ref="A15:G15"/>
  </mergeCells>
  <hyperlinks>
    <hyperlink ref="B2" r:id="rId1" xr:uid="{D47EE4A2-649A-42B4-8738-DF2E48262124}"/>
    <hyperlink ref="B3" r:id="rId2" xr:uid="{49708E60-D8BD-48F2-8030-EEB685223FB9}"/>
  </hyperlinks>
  <pageMargins left="0.7" right="0.7" top="0.75" bottom="0.75" header="0.3" footer="0.3"/>
  <pageSetup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4092A-9167-4B1E-A144-D4BB7A88B529}">
  <dimension ref="A1:E22"/>
  <sheetViews>
    <sheetView workbookViewId="0">
      <selection activeCell="A35" sqref="A35"/>
    </sheetView>
  </sheetViews>
  <sheetFormatPr baseColWidth="10" defaultColWidth="8.83203125" defaultRowHeight="15" x14ac:dyDescent="0.2"/>
  <cols>
    <col min="1" max="1" width="32.83203125" bestFit="1" customWidth="1"/>
    <col min="2" max="3" width="9" bestFit="1" customWidth="1"/>
  </cols>
  <sheetData>
    <row r="1" spans="1:5" x14ac:dyDescent="0.2">
      <c r="A1" t="s">
        <v>77</v>
      </c>
      <c r="B1">
        <v>500</v>
      </c>
      <c r="C1" t="s">
        <v>78</v>
      </c>
    </row>
    <row r="2" spans="1:5" x14ac:dyDescent="0.2">
      <c r="B2">
        <v>0.5</v>
      </c>
      <c r="C2" t="s">
        <v>79</v>
      </c>
    </row>
    <row r="3" spans="1:5" x14ac:dyDescent="0.2">
      <c r="A3" t="s">
        <v>69</v>
      </c>
      <c r="B3" s="2">
        <v>1E-4</v>
      </c>
      <c r="C3" t="s">
        <v>81</v>
      </c>
    </row>
    <row r="4" spans="1:5" x14ac:dyDescent="0.2">
      <c r="A4" t="s">
        <v>70</v>
      </c>
      <c r="B4" s="2">
        <v>1E-4</v>
      </c>
      <c r="C4" t="s">
        <v>81</v>
      </c>
    </row>
    <row r="5" spans="1:5" x14ac:dyDescent="0.2">
      <c r="A5" t="s">
        <v>71</v>
      </c>
      <c r="B5" s="2">
        <v>1E-4</v>
      </c>
      <c r="C5" t="s">
        <v>81</v>
      </c>
    </row>
    <row r="7" spans="1:5" x14ac:dyDescent="0.2">
      <c r="A7" t="s">
        <v>80</v>
      </c>
    </row>
    <row r="8" spans="1:5" x14ac:dyDescent="0.2">
      <c r="A8" t="s">
        <v>14</v>
      </c>
      <c r="B8" t="s">
        <v>82</v>
      </c>
      <c r="C8" t="s">
        <v>83</v>
      </c>
      <c r="D8" t="s">
        <v>28</v>
      </c>
      <c r="E8" t="s">
        <v>85</v>
      </c>
    </row>
    <row r="9" spans="1:5" x14ac:dyDescent="0.2">
      <c r="A9" t="s">
        <v>84</v>
      </c>
      <c r="B9" s="2">
        <v>1000</v>
      </c>
      <c r="C9" s="2">
        <v>750000</v>
      </c>
      <c r="D9" t="s">
        <v>73</v>
      </c>
      <c r="E9" t="s">
        <v>86</v>
      </c>
    </row>
    <row r="10" spans="1:5" x14ac:dyDescent="0.2">
      <c r="A10" t="s">
        <v>17</v>
      </c>
      <c r="B10" s="2">
        <v>-750000</v>
      </c>
      <c r="C10" s="2">
        <v>-1000</v>
      </c>
      <c r="D10" t="s">
        <v>73</v>
      </c>
      <c r="E10" t="s">
        <v>86</v>
      </c>
    </row>
    <row r="11" spans="1:5" x14ac:dyDescent="0.2">
      <c r="A11" t="s">
        <v>15</v>
      </c>
      <c r="B11" s="2">
        <v>-100000</v>
      </c>
      <c r="C11" s="2">
        <v>-1000</v>
      </c>
      <c r="D11" t="s">
        <v>75</v>
      </c>
      <c r="E11" t="s">
        <v>64</v>
      </c>
    </row>
    <row r="12" spans="1:5" x14ac:dyDescent="0.2">
      <c r="A12" t="s">
        <v>87</v>
      </c>
      <c r="B12" s="2">
        <v>1000</v>
      </c>
      <c r="C12" s="2">
        <v>500000</v>
      </c>
      <c r="D12" t="s">
        <v>75</v>
      </c>
      <c r="E12" t="s">
        <v>63</v>
      </c>
    </row>
    <row r="13" spans="1:5" x14ac:dyDescent="0.2">
      <c r="A13" t="s">
        <v>16</v>
      </c>
      <c r="B13" s="2">
        <v>1000</v>
      </c>
      <c r="C13" s="2">
        <v>200000</v>
      </c>
      <c r="D13" t="s">
        <v>88</v>
      </c>
      <c r="E13" t="s">
        <v>64</v>
      </c>
    </row>
    <row r="15" spans="1:5" x14ac:dyDescent="0.2">
      <c r="A15" t="s">
        <v>89</v>
      </c>
    </row>
    <row r="16" spans="1:5" x14ac:dyDescent="0.2">
      <c r="A16" t="s">
        <v>90</v>
      </c>
    </row>
    <row r="17" spans="1:4" x14ac:dyDescent="0.2">
      <c r="A17" t="s">
        <v>14</v>
      </c>
      <c r="B17" t="s">
        <v>91</v>
      </c>
      <c r="C17" t="s">
        <v>28</v>
      </c>
      <c r="D17" t="s">
        <v>85</v>
      </c>
    </row>
    <row r="18" spans="1:4" x14ac:dyDescent="0.2">
      <c r="A18" t="s">
        <v>84</v>
      </c>
    </row>
    <row r="19" spans="1:4" x14ac:dyDescent="0.2">
      <c r="A19" t="s">
        <v>17</v>
      </c>
      <c r="B19" s="2">
        <v>-1000</v>
      </c>
      <c r="C19" t="s">
        <v>73</v>
      </c>
      <c r="D19" t="s">
        <v>86</v>
      </c>
    </row>
    <row r="20" spans="1:4" x14ac:dyDescent="0.2">
      <c r="A20" t="s">
        <v>15</v>
      </c>
      <c r="B20" s="2">
        <v>-1000</v>
      </c>
      <c r="C20" t="s">
        <v>75</v>
      </c>
      <c r="D20" t="s">
        <v>64</v>
      </c>
    </row>
    <row r="21" spans="1:4" x14ac:dyDescent="0.2">
      <c r="A21" t="s">
        <v>87</v>
      </c>
    </row>
    <row r="22" spans="1:4" x14ac:dyDescent="0.2">
      <c r="A22" t="s">
        <v>16</v>
      </c>
      <c r="B22" s="2">
        <v>1000</v>
      </c>
      <c r="C22" t="s">
        <v>88</v>
      </c>
      <c r="D22" t="s">
        <v>64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27ECA-5F74-4389-B5A8-A15818A92C9F}">
  <dimension ref="A1:E42"/>
  <sheetViews>
    <sheetView workbookViewId="0">
      <selection activeCell="G8" sqref="G8"/>
    </sheetView>
  </sheetViews>
  <sheetFormatPr baseColWidth="10" defaultColWidth="8.83203125" defaultRowHeight="15" x14ac:dyDescent="0.2"/>
  <cols>
    <col min="1" max="1" width="31.83203125" bestFit="1" customWidth="1"/>
    <col min="2" max="2" width="16.6640625" bestFit="1" customWidth="1"/>
    <col min="3" max="3" width="9" bestFit="1" customWidth="1"/>
  </cols>
  <sheetData>
    <row r="1" spans="1:5" x14ac:dyDescent="0.2">
      <c r="A1" t="s">
        <v>77</v>
      </c>
      <c r="B1">
        <v>0</v>
      </c>
      <c r="C1" t="s">
        <v>78</v>
      </c>
    </row>
    <row r="2" spans="1:5" x14ac:dyDescent="0.2">
      <c r="B2">
        <v>0</v>
      </c>
      <c r="C2" t="s">
        <v>79</v>
      </c>
    </row>
    <row r="3" spans="1:5" x14ac:dyDescent="0.2">
      <c r="A3" t="s">
        <v>69</v>
      </c>
      <c r="B3" s="2">
        <v>10000</v>
      </c>
      <c r="C3" t="s">
        <v>81</v>
      </c>
    </row>
    <row r="4" spans="1:5" x14ac:dyDescent="0.2">
      <c r="A4" t="s">
        <v>70</v>
      </c>
      <c r="B4" s="2">
        <v>10000</v>
      </c>
      <c r="C4" t="s">
        <v>81</v>
      </c>
    </row>
    <row r="5" spans="1:5" x14ac:dyDescent="0.2">
      <c r="A5" t="s">
        <v>71</v>
      </c>
      <c r="B5" s="2">
        <v>10000</v>
      </c>
      <c r="C5" t="s">
        <v>81</v>
      </c>
    </row>
    <row r="7" spans="1:5" x14ac:dyDescent="0.2">
      <c r="A7" t="s">
        <v>80</v>
      </c>
    </row>
    <row r="8" spans="1:5" x14ac:dyDescent="0.2">
      <c r="A8" t="s">
        <v>14</v>
      </c>
      <c r="B8" t="s">
        <v>82</v>
      </c>
      <c r="C8" t="s">
        <v>83</v>
      </c>
      <c r="D8" t="s">
        <v>28</v>
      </c>
      <c r="E8" t="s">
        <v>85</v>
      </c>
    </row>
    <row r="9" spans="1:5" x14ac:dyDescent="0.2">
      <c r="A9" t="s">
        <v>84</v>
      </c>
      <c r="B9" s="2">
        <v>1000</v>
      </c>
      <c r="C9" s="2">
        <v>750000</v>
      </c>
      <c r="D9" t="s">
        <v>73</v>
      </c>
      <c r="E9" t="s">
        <v>86</v>
      </c>
    </row>
    <row r="10" spans="1:5" x14ac:dyDescent="0.2">
      <c r="A10" t="s">
        <v>17</v>
      </c>
      <c r="B10" s="2">
        <v>-750000</v>
      </c>
      <c r="C10" s="2">
        <v>-1000</v>
      </c>
      <c r="D10" t="s">
        <v>73</v>
      </c>
      <c r="E10" t="s">
        <v>86</v>
      </c>
    </row>
    <row r="11" spans="1:5" x14ac:dyDescent="0.2">
      <c r="A11" t="s">
        <v>15</v>
      </c>
      <c r="B11" s="2">
        <v>-100000</v>
      </c>
      <c r="C11" s="2">
        <v>-1000</v>
      </c>
      <c r="D11" t="s">
        <v>75</v>
      </c>
      <c r="E11" t="s">
        <v>64</v>
      </c>
    </row>
    <row r="12" spans="1:5" x14ac:dyDescent="0.2">
      <c r="A12" t="s">
        <v>87</v>
      </c>
      <c r="B12" s="2">
        <v>1000</v>
      </c>
      <c r="C12" s="2">
        <v>500000</v>
      </c>
      <c r="D12" t="s">
        <v>75</v>
      </c>
      <c r="E12" t="s">
        <v>63</v>
      </c>
    </row>
    <row r="13" spans="1:5" x14ac:dyDescent="0.2">
      <c r="A13" t="s">
        <v>16</v>
      </c>
      <c r="B13" s="2">
        <v>1000</v>
      </c>
      <c r="C13" s="2">
        <v>200000</v>
      </c>
      <c r="D13" t="s">
        <v>88</v>
      </c>
      <c r="E13" t="s">
        <v>64</v>
      </c>
    </row>
    <row r="15" spans="1:5" x14ac:dyDescent="0.2">
      <c r="A15" t="s">
        <v>92</v>
      </c>
    </row>
    <row r="16" spans="1:5" x14ac:dyDescent="0.2">
      <c r="A16" t="s">
        <v>90</v>
      </c>
    </row>
    <row r="17" spans="1:5" x14ac:dyDescent="0.2">
      <c r="A17" t="s">
        <v>14</v>
      </c>
      <c r="B17" t="s">
        <v>91</v>
      </c>
      <c r="C17" t="s">
        <v>28</v>
      </c>
      <c r="D17" t="s">
        <v>85</v>
      </c>
    </row>
    <row r="18" spans="1:5" x14ac:dyDescent="0.2">
      <c r="A18" t="s">
        <v>84</v>
      </c>
      <c r="B18" s="2">
        <v>750000</v>
      </c>
      <c r="C18" t="s">
        <v>73</v>
      </c>
      <c r="D18" t="s">
        <v>86</v>
      </c>
    </row>
    <row r="19" spans="1:5" x14ac:dyDescent="0.2">
      <c r="A19" t="s">
        <v>17</v>
      </c>
      <c r="B19" s="2">
        <v>-750000</v>
      </c>
      <c r="C19" t="s">
        <v>73</v>
      </c>
      <c r="D19" t="s">
        <v>86</v>
      </c>
    </row>
    <row r="20" spans="1:5" x14ac:dyDescent="0.2">
      <c r="A20" t="s">
        <v>15</v>
      </c>
      <c r="B20" s="2">
        <v>-100000</v>
      </c>
      <c r="C20" t="s">
        <v>75</v>
      </c>
      <c r="D20" t="s">
        <v>64</v>
      </c>
    </row>
    <row r="21" spans="1:5" x14ac:dyDescent="0.2">
      <c r="A21" t="s">
        <v>87</v>
      </c>
    </row>
    <row r="22" spans="1:5" x14ac:dyDescent="0.2">
      <c r="A22" t="s">
        <v>16</v>
      </c>
      <c r="B22" s="2">
        <v>1000</v>
      </c>
      <c r="C22" t="s">
        <v>88</v>
      </c>
      <c r="D22" t="s">
        <v>64</v>
      </c>
      <c r="E22" t="s">
        <v>93</v>
      </c>
    </row>
    <row r="42" spans="5:5" x14ac:dyDescent="0.2">
      <c r="E42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15393-90AE-4217-9780-C6903F6FBFD3}">
  <dimension ref="A1:C16"/>
  <sheetViews>
    <sheetView workbookViewId="0">
      <selection activeCell="H35" sqref="H35"/>
    </sheetView>
  </sheetViews>
  <sheetFormatPr baseColWidth="10" defaultColWidth="8.83203125" defaultRowHeight="15" x14ac:dyDescent="0.2"/>
  <cols>
    <col min="1" max="1" width="29" bestFit="1" customWidth="1"/>
    <col min="2" max="2" width="15.33203125" customWidth="1"/>
    <col min="3" max="3" width="12.1640625" bestFit="1" customWidth="1"/>
  </cols>
  <sheetData>
    <row r="1" spans="1:3" ht="16" thickBot="1" x14ac:dyDescent="0.25">
      <c r="A1" t="s">
        <v>0</v>
      </c>
      <c r="B1" t="s">
        <v>24</v>
      </c>
    </row>
    <row r="2" spans="1:3" x14ac:dyDescent="0.2">
      <c r="A2" s="14" t="s">
        <v>26</v>
      </c>
      <c r="B2" s="15" t="s">
        <v>27</v>
      </c>
      <c r="C2" s="16" t="s">
        <v>28</v>
      </c>
    </row>
    <row r="3" spans="1:3" x14ac:dyDescent="0.2">
      <c r="A3" s="19" t="s">
        <v>25</v>
      </c>
      <c r="B3" s="13">
        <v>36.799999999999997</v>
      </c>
      <c r="C3" s="20" t="s">
        <v>29</v>
      </c>
    </row>
    <row r="4" spans="1:3" x14ac:dyDescent="0.2">
      <c r="A4" s="19"/>
      <c r="B4" s="13">
        <f>1/B3</f>
        <v>2.7173913043478264E-2</v>
      </c>
      <c r="C4" s="20" t="s">
        <v>98</v>
      </c>
    </row>
    <row r="5" spans="1:3" x14ac:dyDescent="0.2">
      <c r="A5" s="19" t="s">
        <v>30</v>
      </c>
      <c r="B5">
        <v>6.4</v>
      </c>
      <c r="C5" s="20" t="s">
        <v>31</v>
      </c>
    </row>
    <row r="6" spans="1:3" x14ac:dyDescent="0.2">
      <c r="A6" s="19" t="s">
        <v>36</v>
      </c>
      <c r="B6">
        <v>590</v>
      </c>
      <c r="C6" s="20" t="s">
        <v>33</v>
      </c>
    </row>
    <row r="7" spans="1:3" x14ac:dyDescent="0.2">
      <c r="A7" s="19" t="s">
        <v>37</v>
      </c>
      <c r="B7">
        <v>763</v>
      </c>
      <c r="C7" s="20" t="s">
        <v>33</v>
      </c>
    </row>
    <row r="8" spans="1:3" x14ac:dyDescent="0.2">
      <c r="A8" s="19" t="s">
        <v>32</v>
      </c>
      <c r="B8">
        <v>544</v>
      </c>
      <c r="C8" s="20" t="s">
        <v>33</v>
      </c>
    </row>
    <row r="9" spans="1:3" x14ac:dyDescent="0.2">
      <c r="A9" s="19" t="s">
        <v>35</v>
      </c>
      <c r="B9" s="13">
        <v>703</v>
      </c>
      <c r="C9" s="20" t="s">
        <v>33</v>
      </c>
    </row>
    <row r="10" spans="1:3" x14ac:dyDescent="0.2">
      <c r="A10" s="19" t="s">
        <v>38</v>
      </c>
      <c r="B10">
        <v>20</v>
      </c>
      <c r="C10" s="20" t="s">
        <v>39</v>
      </c>
    </row>
    <row r="11" spans="1:3" x14ac:dyDescent="0.2">
      <c r="A11" s="19" t="s">
        <v>40</v>
      </c>
      <c r="B11" s="13">
        <v>32.64</v>
      </c>
      <c r="C11" s="20" t="s">
        <v>41</v>
      </c>
    </row>
    <row r="12" spans="1:3" x14ac:dyDescent="0.2">
      <c r="A12" s="19" t="s">
        <v>42</v>
      </c>
      <c r="B12" s="13">
        <v>3.41</v>
      </c>
      <c r="C12" s="20" t="s">
        <v>43</v>
      </c>
    </row>
    <row r="13" spans="1:3" x14ac:dyDescent="0.2">
      <c r="A13" s="19" t="s">
        <v>44</v>
      </c>
      <c r="B13">
        <v>10</v>
      </c>
      <c r="C13" s="20" t="s">
        <v>45</v>
      </c>
    </row>
    <row r="14" spans="1:3" ht="16" thickBot="1" x14ac:dyDescent="0.25">
      <c r="A14" s="23" t="s">
        <v>46</v>
      </c>
      <c r="B14" s="25">
        <v>20</v>
      </c>
      <c r="C14" s="26" t="s">
        <v>39</v>
      </c>
    </row>
    <row r="16" spans="1:3" x14ac:dyDescent="0.2">
      <c r="A16" s="7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19D22-7A01-ED42-B8B2-84358A3D7717}">
  <dimension ref="A1:K25"/>
  <sheetViews>
    <sheetView zoomScale="120" zoomScaleNormal="120" workbookViewId="0">
      <selection activeCell="L17" sqref="L17"/>
    </sheetView>
  </sheetViews>
  <sheetFormatPr baseColWidth="10" defaultRowHeight="15" x14ac:dyDescent="0.2"/>
  <cols>
    <col min="1" max="1" width="24.1640625" bestFit="1" customWidth="1"/>
    <col min="2" max="2" width="31.6640625" customWidth="1"/>
  </cols>
  <sheetData>
    <row r="1" spans="1:11" x14ac:dyDescent="0.2">
      <c r="A1" t="s">
        <v>256</v>
      </c>
    </row>
    <row r="2" spans="1:11" x14ac:dyDescent="0.2">
      <c r="A2" t="s">
        <v>11</v>
      </c>
      <c r="B2" t="s">
        <v>257</v>
      </c>
    </row>
    <row r="3" spans="1:11" ht="17" customHeight="1" x14ac:dyDescent="0.2">
      <c r="B3" s="8" t="s">
        <v>99</v>
      </c>
    </row>
    <row r="4" spans="1:11" x14ac:dyDescent="0.2">
      <c r="A4" t="s">
        <v>258</v>
      </c>
    </row>
    <row r="5" spans="1:11" x14ac:dyDescent="0.2">
      <c r="A5" t="s">
        <v>259</v>
      </c>
      <c r="B5">
        <v>2019</v>
      </c>
      <c r="H5" t="s">
        <v>277</v>
      </c>
    </row>
    <row r="6" spans="1:11" x14ac:dyDescent="0.2">
      <c r="A6" t="s">
        <v>260</v>
      </c>
      <c r="B6" t="s">
        <v>261</v>
      </c>
      <c r="H6" t="s">
        <v>278</v>
      </c>
      <c r="I6">
        <v>100</v>
      </c>
      <c r="J6">
        <v>400</v>
      </c>
      <c r="K6">
        <v>1000</v>
      </c>
    </row>
    <row r="7" spans="1:11" x14ac:dyDescent="0.2">
      <c r="A7" t="s">
        <v>262</v>
      </c>
      <c r="B7" s="41">
        <v>1.9E-2</v>
      </c>
      <c r="H7" t="s">
        <v>112</v>
      </c>
      <c r="I7">
        <v>68968000</v>
      </c>
      <c r="J7">
        <v>155155000</v>
      </c>
      <c r="K7">
        <v>293926000</v>
      </c>
    </row>
    <row r="8" spans="1:11" x14ac:dyDescent="0.2">
      <c r="A8" t="s">
        <v>263</v>
      </c>
      <c r="B8" t="s">
        <v>264</v>
      </c>
      <c r="H8" t="s">
        <v>166</v>
      </c>
      <c r="I8">
        <f>I6/J6</f>
        <v>0.25</v>
      </c>
      <c r="J8">
        <v>1</v>
      </c>
      <c r="K8">
        <f>K6/J6</f>
        <v>2.5</v>
      </c>
    </row>
    <row r="9" spans="1:11" x14ac:dyDescent="0.2">
      <c r="A9" t="s">
        <v>274</v>
      </c>
      <c r="B9" t="s">
        <v>275</v>
      </c>
      <c r="H9" t="s">
        <v>168</v>
      </c>
      <c r="I9">
        <f>LOG(I8)</f>
        <v>-0.6020599913279624</v>
      </c>
      <c r="J9">
        <f t="shared" ref="J9:K9" si="0">LOG(J8)</f>
        <v>0</v>
      </c>
      <c r="K9">
        <f t="shared" si="0"/>
        <v>0.3979400086720376</v>
      </c>
    </row>
    <row r="10" spans="1:11" x14ac:dyDescent="0.2">
      <c r="H10" t="s">
        <v>279</v>
      </c>
      <c r="I10">
        <f>LOG(I7)</f>
        <v>7.8386476320849576</v>
      </c>
      <c r="J10">
        <f t="shared" ref="J10:K10" si="1">LOG(J7)</f>
        <v>8.1907657756496093</v>
      </c>
      <c r="K10">
        <f t="shared" si="1"/>
        <v>8.4682380044363352</v>
      </c>
    </row>
    <row r="11" spans="1:11" x14ac:dyDescent="0.2">
      <c r="A11" t="s">
        <v>265</v>
      </c>
    </row>
    <row r="12" spans="1:11" x14ac:dyDescent="0.2">
      <c r="A12" t="s">
        <v>269</v>
      </c>
      <c r="B12" t="s">
        <v>270</v>
      </c>
      <c r="C12" t="s">
        <v>271</v>
      </c>
      <c r="D12" t="s">
        <v>0</v>
      </c>
    </row>
    <row r="13" spans="1:11" x14ac:dyDescent="0.2">
      <c r="A13" t="s">
        <v>266</v>
      </c>
      <c r="B13" t="s">
        <v>267</v>
      </c>
    </row>
    <row r="14" spans="1:11" x14ac:dyDescent="0.2">
      <c r="A14" t="s">
        <v>268</v>
      </c>
      <c r="B14">
        <v>10625</v>
      </c>
      <c r="C14" s="1" t="s">
        <v>272</v>
      </c>
      <c r="D14" t="s">
        <v>273</v>
      </c>
    </row>
    <row r="15" spans="1:11" x14ac:dyDescent="0.2">
      <c r="A15" t="s">
        <v>276</v>
      </c>
      <c r="B15">
        <f>155155000*(1+B7)</f>
        <v>158102945</v>
      </c>
      <c r="C15" s="1" t="s">
        <v>283</v>
      </c>
    </row>
    <row r="16" spans="1:11" x14ac:dyDescent="0.2">
      <c r="A16" t="s">
        <v>197</v>
      </c>
      <c r="B16">
        <v>0.626</v>
      </c>
      <c r="C16" s="1"/>
    </row>
    <row r="17" spans="1:3" x14ac:dyDescent="0.2">
      <c r="A17" t="s">
        <v>201</v>
      </c>
      <c r="B17">
        <v>20</v>
      </c>
      <c r="C17" s="1" t="s">
        <v>39</v>
      </c>
    </row>
    <row r="19" spans="1:3" x14ac:dyDescent="0.2">
      <c r="A19" t="s">
        <v>280</v>
      </c>
      <c r="B19" t="s">
        <v>281</v>
      </c>
    </row>
    <row r="20" spans="1:3" x14ac:dyDescent="0.2">
      <c r="A20" t="s">
        <v>266</v>
      </c>
      <c r="B20">
        <v>1</v>
      </c>
    </row>
    <row r="21" spans="1:3" x14ac:dyDescent="0.2">
      <c r="A21" t="s">
        <v>276</v>
      </c>
      <c r="B21" s="42">
        <f>POWER(1+B7,4)*FT_old!C18</f>
        <v>7640007.3719816608</v>
      </c>
    </row>
    <row r="23" spans="1:3" x14ac:dyDescent="0.2">
      <c r="A23" t="s">
        <v>40</v>
      </c>
    </row>
    <row r="24" spans="1:3" x14ac:dyDescent="0.2">
      <c r="A24" t="s">
        <v>266</v>
      </c>
      <c r="B24">
        <v>1</v>
      </c>
    </row>
    <row r="25" spans="1:3" x14ac:dyDescent="0.2">
      <c r="A25" t="s">
        <v>276</v>
      </c>
      <c r="B25" s="42">
        <f>POWER(1+B7,4)*FT_old!C16</f>
        <v>21732221.278079256</v>
      </c>
      <c r="C25" t="s">
        <v>282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C99A-39AC-4C72-B859-1A7DCC98EEE1}">
  <dimension ref="A1:M63"/>
  <sheetViews>
    <sheetView zoomScale="130" zoomScaleNormal="130" workbookViewId="0">
      <selection activeCell="B1" sqref="B1"/>
    </sheetView>
  </sheetViews>
  <sheetFormatPr baseColWidth="10" defaultColWidth="8.83203125" defaultRowHeight="15" x14ac:dyDescent="0.2"/>
  <cols>
    <col min="1" max="1" width="27" bestFit="1" customWidth="1"/>
    <col min="2" max="2" width="34.83203125" customWidth="1"/>
    <col min="3" max="3" width="15.6640625" bestFit="1" customWidth="1"/>
    <col min="4" max="4" width="15.5" bestFit="1" customWidth="1"/>
    <col min="5" max="5" width="14.83203125" bestFit="1" customWidth="1"/>
    <col min="6" max="12" width="13.1640625" bestFit="1" customWidth="1"/>
    <col min="13" max="13" width="14.5" bestFit="1" customWidth="1"/>
  </cols>
  <sheetData>
    <row r="1" spans="1:4" ht="49" thickBot="1" x14ac:dyDescent="0.25">
      <c r="A1" t="s">
        <v>0</v>
      </c>
      <c r="B1" s="8" t="s">
        <v>99</v>
      </c>
    </row>
    <row r="2" spans="1:4" x14ac:dyDescent="0.2">
      <c r="A2" s="14" t="s">
        <v>26</v>
      </c>
      <c r="B2" s="15" t="s">
        <v>100</v>
      </c>
      <c r="C2" s="15" t="s">
        <v>27</v>
      </c>
      <c r="D2" s="16" t="s">
        <v>28</v>
      </c>
    </row>
    <row r="3" spans="1:4" ht="32" x14ac:dyDescent="0.2">
      <c r="A3" s="17" t="s">
        <v>102</v>
      </c>
      <c r="B3" s="9" t="s">
        <v>101</v>
      </c>
      <c r="C3" s="27">
        <v>257800644</v>
      </c>
      <c r="D3" s="18" t="s">
        <v>106</v>
      </c>
    </row>
    <row r="4" spans="1:4" ht="16" x14ac:dyDescent="0.2">
      <c r="A4" s="19" t="s">
        <v>103</v>
      </c>
      <c r="B4" s="11" t="s">
        <v>111</v>
      </c>
      <c r="C4" s="28">
        <f>0.02*C3</f>
        <v>5156012.88</v>
      </c>
      <c r="D4" s="20" t="s">
        <v>106</v>
      </c>
    </row>
    <row r="5" spans="1:4" ht="16" x14ac:dyDescent="0.2">
      <c r="A5" s="19"/>
      <c r="B5" s="11" t="s">
        <v>109</v>
      </c>
      <c r="C5" s="28">
        <f>0.1*C3</f>
        <v>25780064.400000002</v>
      </c>
      <c r="D5" s="20" t="s">
        <v>106</v>
      </c>
    </row>
    <row r="6" spans="1:4" ht="16" x14ac:dyDescent="0.2">
      <c r="A6" s="19"/>
      <c r="B6" s="11" t="s">
        <v>107</v>
      </c>
      <c r="C6" s="28">
        <f>0.15*C3</f>
        <v>38670096.600000001</v>
      </c>
      <c r="D6" s="20" t="s">
        <v>106</v>
      </c>
    </row>
    <row r="7" spans="1:4" ht="16" x14ac:dyDescent="0.2">
      <c r="A7" s="19"/>
      <c r="B7" s="11" t="s">
        <v>114</v>
      </c>
      <c r="C7" s="28">
        <v>12251143</v>
      </c>
      <c r="D7" s="20" t="s">
        <v>106</v>
      </c>
    </row>
    <row r="8" spans="1:4" ht="16" x14ac:dyDescent="0.2">
      <c r="A8" s="19"/>
      <c r="B8" s="11" t="s">
        <v>108</v>
      </c>
      <c r="C8" s="28">
        <f>0.15*C3</f>
        <v>38670096.600000001</v>
      </c>
      <c r="D8" s="20" t="s">
        <v>106</v>
      </c>
    </row>
    <row r="9" spans="1:4" x14ac:dyDescent="0.2">
      <c r="A9" s="19" t="s">
        <v>113</v>
      </c>
      <c r="B9" s="11"/>
      <c r="C9" s="28">
        <f>SUM(C4:C8)</f>
        <v>120527413.47999999</v>
      </c>
      <c r="D9" s="20" t="s">
        <v>106</v>
      </c>
    </row>
    <row r="10" spans="1:4" ht="16" x14ac:dyDescent="0.2">
      <c r="A10" s="19" t="s">
        <v>104</v>
      </c>
      <c r="B10" s="11" t="s">
        <v>105</v>
      </c>
      <c r="C10" s="28">
        <f>10*55036</f>
        <v>550360</v>
      </c>
      <c r="D10" s="20" t="s">
        <v>106</v>
      </c>
    </row>
    <row r="11" spans="1:4" x14ac:dyDescent="0.2">
      <c r="A11" s="21" t="s">
        <v>112</v>
      </c>
      <c r="B11" s="12" t="s">
        <v>110</v>
      </c>
      <c r="C11" s="29">
        <f>SUM(C3,C9,C10)</f>
        <v>378878417.48000002</v>
      </c>
      <c r="D11" s="22" t="s">
        <v>106</v>
      </c>
    </row>
    <row r="12" spans="1:4" ht="16" x14ac:dyDescent="0.2">
      <c r="A12" s="17" t="s">
        <v>115</v>
      </c>
      <c r="B12" s="9" t="s">
        <v>116</v>
      </c>
      <c r="C12" s="27">
        <v>9607972</v>
      </c>
      <c r="D12" s="18" t="s">
        <v>117</v>
      </c>
    </row>
    <row r="13" spans="1:4" ht="16" x14ac:dyDescent="0.2">
      <c r="A13" s="19" t="s">
        <v>118</v>
      </c>
      <c r="B13" s="11" t="s">
        <v>121</v>
      </c>
      <c r="C13" s="28">
        <f>0.2*C12</f>
        <v>1921594.4000000001</v>
      </c>
      <c r="D13" s="20" t="s">
        <v>117</v>
      </c>
    </row>
    <row r="14" spans="1:4" ht="16" x14ac:dyDescent="0.2">
      <c r="A14" s="19" t="s">
        <v>119</v>
      </c>
      <c r="B14" s="11" t="s">
        <v>120</v>
      </c>
      <c r="C14" s="28">
        <f>0.02*C11</f>
        <v>7577568.3496000003</v>
      </c>
      <c r="D14" s="20" t="s">
        <v>117</v>
      </c>
    </row>
    <row r="15" spans="1:4" x14ac:dyDescent="0.2">
      <c r="A15" s="19" t="s">
        <v>122</v>
      </c>
      <c r="C15" s="28">
        <v>1049006</v>
      </c>
      <c r="D15" s="20" t="s">
        <v>117</v>
      </c>
    </row>
    <row r="16" spans="1:4" x14ac:dyDescent="0.2">
      <c r="A16" s="19" t="s">
        <v>123</v>
      </c>
      <c r="C16" s="30">
        <f>SUM(C12:C15)</f>
        <v>20156140.749600001</v>
      </c>
      <c r="D16" s="20" t="s">
        <v>117</v>
      </c>
    </row>
    <row r="17" spans="1:13" x14ac:dyDescent="0.2">
      <c r="A17" s="17" t="s">
        <v>124</v>
      </c>
      <c r="B17" s="10"/>
      <c r="C17" s="27">
        <v>7085933</v>
      </c>
      <c r="D17" s="18" t="s">
        <v>117</v>
      </c>
    </row>
    <row r="18" spans="1:13" x14ac:dyDescent="0.2">
      <c r="A18" s="21" t="s">
        <v>125</v>
      </c>
      <c r="B18" s="12"/>
      <c r="C18" s="29">
        <f>C17</f>
        <v>7085933</v>
      </c>
      <c r="D18" s="22" t="s">
        <v>117</v>
      </c>
    </row>
    <row r="19" spans="1:13" ht="16" thickBot="1" x14ac:dyDescent="0.25">
      <c r="A19" s="23" t="s">
        <v>126</v>
      </c>
      <c r="B19" s="24" t="s">
        <v>4</v>
      </c>
      <c r="C19" s="24">
        <v>20</v>
      </c>
      <c r="D19" s="26" t="s">
        <v>39</v>
      </c>
    </row>
    <row r="20" spans="1:13" x14ac:dyDescent="0.2">
      <c r="A20" s="19" t="s">
        <v>0</v>
      </c>
      <c r="B20" t="s">
        <v>221</v>
      </c>
    </row>
    <row r="21" spans="1:13" x14ac:dyDescent="0.2">
      <c r="A21" t="s">
        <v>222</v>
      </c>
      <c r="B21" t="s">
        <v>224</v>
      </c>
    </row>
    <row r="22" spans="1:13" x14ac:dyDescent="0.2">
      <c r="A22" t="s">
        <v>127</v>
      </c>
      <c r="C22" t="s">
        <v>223</v>
      </c>
    </row>
    <row r="23" spans="1:13" x14ac:dyDescent="0.2">
      <c r="E23" t="s">
        <v>166</v>
      </c>
    </row>
    <row r="24" spans="1:13" x14ac:dyDescent="0.2">
      <c r="A24" t="s">
        <v>128</v>
      </c>
      <c r="B24" t="s">
        <v>129</v>
      </c>
      <c r="C24" t="s">
        <v>130</v>
      </c>
      <c r="D24" t="s">
        <v>131</v>
      </c>
      <c r="E24">
        <v>0.25</v>
      </c>
      <c r="F24">
        <v>0.5</v>
      </c>
      <c r="G24">
        <v>1</v>
      </c>
      <c r="H24">
        <v>1.25</v>
      </c>
      <c r="I24">
        <v>1.5</v>
      </c>
      <c r="J24">
        <v>2</v>
      </c>
      <c r="K24">
        <v>4</v>
      </c>
      <c r="L24">
        <v>5</v>
      </c>
      <c r="M24">
        <v>10</v>
      </c>
    </row>
    <row r="25" spans="1:13" x14ac:dyDescent="0.2">
      <c r="A25" t="s">
        <v>132</v>
      </c>
      <c r="B25" s="31">
        <v>11807922</v>
      </c>
      <c r="C25">
        <v>2.4700000000000002</v>
      </c>
      <c r="D25">
        <v>0.65</v>
      </c>
      <c r="E25" s="32">
        <f>$B25*POWER(E$24,$D25)</f>
        <v>4795506.4702437567</v>
      </c>
      <c r="F25" s="32">
        <f>$B25*POWER(F$24,$D25)</f>
        <v>7524956.2358284583</v>
      </c>
      <c r="G25" s="32">
        <f t="shared" ref="F25:M40" si="0">$B25*POWER(G$24,$D25)</f>
        <v>11807922</v>
      </c>
      <c r="H25" s="32">
        <f t="shared" si="0"/>
        <v>13651016.264884572</v>
      </c>
      <c r="I25" s="32">
        <f t="shared" si="0"/>
        <v>15368546.448911712</v>
      </c>
      <c r="J25" s="32">
        <f t="shared" si="0"/>
        <v>18528615.660810392</v>
      </c>
      <c r="K25" s="32">
        <f t="shared" si="0"/>
        <v>29074514.407025062</v>
      </c>
      <c r="L25" s="32">
        <f t="shared" si="0"/>
        <v>33612744.821986459</v>
      </c>
      <c r="M25" s="32">
        <f t="shared" si="0"/>
        <v>52744050.147983856</v>
      </c>
    </row>
    <row r="26" spans="1:13" x14ac:dyDescent="0.2">
      <c r="A26" t="s">
        <v>133</v>
      </c>
      <c r="B26" s="31">
        <v>17388504</v>
      </c>
      <c r="C26">
        <v>2.4700000000000002</v>
      </c>
      <c r="D26">
        <v>0.8</v>
      </c>
      <c r="E26" s="32">
        <f t="shared" ref="E26:M58" si="1">$B26*POWER(E$24,$D26)</f>
        <v>5736067.1461265292</v>
      </c>
      <c r="F26" s="32">
        <f t="shared" si="0"/>
        <v>9987072.9703296833</v>
      </c>
      <c r="G26" s="32">
        <f t="shared" si="0"/>
        <v>17388504</v>
      </c>
      <c r="H26" s="32">
        <f t="shared" si="0"/>
        <v>20786924.085011322</v>
      </c>
      <c r="I26" s="32">
        <f t="shared" si="0"/>
        <v>24051115.660847504</v>
      </c>
      <c r="J26" s="32">
        <f t="shared" si="0"/>
        <v>30275143.904153816</v>
      </c>
      <c r="K26" s="32">
        <f t="shared" si="0"/>
        <v>52712087.159264646</v>
      </c>
      <c r="L26" s="32">
        <f t="shared" si="0"/>
        <v>63014170.40489132</v>
      </c>
      <c r="M26" s="32">
        <f t="shared" si="0"/>
        <v>109714043.08323221</v>
      </c>
    </row>
    <row r="27" spans="1:13" x14ac:dyDescent="0.2">
      <c r="A27" t="s">
        <v>134</v>
      </c>
      <c r="B27" s="31">
        <v>2547995</v>
      </c>
      <c r="C27">
        <v>2.4700000000000002</v>
      </c>
      <c r="D27">
        <v>0.6</v>
      </c>
      <c r="E27" s="32">
        <f t="shared" si="1"/>
        <v>1109079.2412628538</v>
      </c>
      <c r="F27" s="32">
        <f t="shared" si="0"/>
        <v>1681049.7795548902</v>
      </c>
      <c r="G27" s="32">
        <f t="shared" si="0"/>
        <v>2547995</v>
      </c>
      <c r="H27" s="32">
        <f t="shared" si="0"/>
        <v>2913027.4644639199</v>
      </c>
      <c r="I27" s="32">
        <f t="shared" si="0"/>
        <v>3249775.2504720115</v>
      </c>
      <c r="J27" s="32">
        <f t="shared" si="0"/>
        <v>3862038.2328856615</v>
      </c>
      <c r="K27" s="32">
        <f t="shared" si="0"/>
        <v>5853755.3300813409</v>
      </c>
      <c r="L27" s="32">
        <f t="shared" si="0"/>
        <v>6692379.7129817763</v>
      </c>
      <c r="M27" s="32">
        <f t="shared" si="0"/>
        <v>10143750.800344583</v>
      </c>
    </row>
    <row r="28" spans="1:13" x14ac:dyDescent="0.2">
      <c r="A28" t="s">
        <v>135</v>
      </c>
      <c r="B28" s="31">
        <v>22972192</v>
      </c>
      <c r="C28">
        <v>2.4700000000000002</v>
      </c>
      <c r="D28">
        <v>0.6</v>
      </c>
      <c r="E28" s="32">
        <f t="shared" si="1"/>
        <v>9999227.3428733572</v>
      </c>
      <c r="F28" s="32">
        <f t="shared" si="0"/>
        <v>15155994.535896897</v>
      </c>
      <c r="G28" s="32">
        <f t="shared" si="0"/>
        <v>22972192</v>
      </c>
      <c r="H28" s="32">
        <f t="shared" si="0"/>
        <v>26263248.638611279</v>
      </c>
      <c r="I28" s="32">
        <f t="shared" si="0"/>
        <v>29299296.509879783</v>
      </c>
      <c r="J28" s="32">
        <f t="shared" si="0"/>
        <v>34819331.983457632</v>
      </c>
      <c r="K28" s="32">
        <f t="shared" si="0"/>
        <v>52776238.322152101</v>
      </c>
      <c r="L28" s="32">
        <f t="shared" si="0"/>
        <v>60337101.016101778</v>
      </c>
      <c r="M28" s="32">
        <f t="shared" si="0"/>
        <v>91453943.585316852</v>
      </c>
    </row>
    <row r="29" spans="1:13" x14ac:dyDescent="0.2">
      <c r="A29" t="s">
        <v>136</v>
      </c>
      <c r="B29" s="31">
        <v>6248204</v>
      </c>
      <c r="C29">
        <v>2.4700000000000002</v>
      </c>
      <c r="D29">
        <v>0.6</v>
      </c>
      <c r="E29" s="32">
        <f t="shared" si="1"/>
        <v>2719688.7558945478</v>
      </c>
      <c r="F29" s="32">
        <f t="shared" si="0"/>
        <v>4122277.3030614201</v>
      </c>
      <c r="G29" s="32">
        <f t="shared" si="0"/>
        <v>6248204</v>
      </c>
      <c r="H29" s="32">
        <f t="shared" si="0"/>
        <v>7143338.1366813211</v>
      </c>
      <c r="I29" s="32">
        <f t="shared" si="0"/>
        <v>7969112.4665080681</v>
      </c>
      <c r="J29" s="32">
        <f t="shared" si="0"/>
        <v>9470506.3137365356</v>
      </c>
      <c r="K29" s="32">
        <f t="shared" si="0"/>
        <v>14354603.312971789</v>
      </c>
      <c r="L29" s="32">
        <f t="shared" si="0"/>
        <v>16411081.533586834</v>
      </c>
      <c r="M29" s="32">
        <f t="shared" si="0"/>
        <v>24874548.15481044</v>
      </c>
    </row>
    <row r="30" spans="1:13" x14ac:dyDescent="0.2">
      <c r="A30" t="s">
        <v>137</v>
      </c>
      <c r="B30" s="31">
        <v>32995221</v>
      </c>
      <c r="C30">
        <v>2.4700000000000002</v>
      </c>
      <c r="D30">
        <v>0.6</v>
      </c>
      <c r="E30" s="32">
        <f t="shared" si="1"/>
        <v>14362004.113815052</v>
      </c>
      <c r="F30" s="32">
        <f t="shared" si="0"/>
        <v>21768727.563599963</v>
      </c>
      <c r="G30" s="32">
        <f t="shared" si="0"/>
        <v>32995221</v>
      </c>
      <c r="H30" s="32">
        <f t="shared" si="0"/>
        <v>37722203.131896526</v>
      </c>
      <c r="I30" s="32">
        <f t="shared" si="0"/>
        <v>42082913.266962603</v>
      </c>
      <c r="J30" s="32">
        <f t="shared" si="0"/>
        <v>50011403.085371777</v>
      </c>
      <c r="K30" s="32">
        <f t="shared" si="0"/>
        <v>75803112.170927256</v>
      </c>
      <c r="L30" s="32">
        <f t="shared" si="0"/>
        <v>86662865.368947059</v>
      </c>
      <c r="M30" s="32">
        <f t="shared" si="0"/>
        <v>131356340.74097335</v>
      </c>
    </row>
    <row r="31" spans="1:13" x14ac:dyDescent="0.2">
      <c r="A31" t="s">
        <v>138</v>
      </c>
      <c r="B31" s="31">
        <v>4186906</v>
      </c>
      <c r="C31">
        <v>3.23</v>
      </c>
      <c r="D31">
        <v>0.7</v>
      </c>
      <c r="E31" s="32">
        <f t="shared" si="1"/>
        <v>1586540.6966554464</v>
      </c>
      <c r="F31" s="32">
        <f t="shared" si="0"/>
        <v>2577342.9655501549</v>
      </c>
      <c r="G31" s="32">
        <f t="shared" si="0"/>
        <v>4186906</v>
      </c>
      <c r="H31" s="32">
        <f t="shared" si="0"/>
        <v>4894746.672099025</v>
      </c>
      <c r="I31" s="32">
        <f t="shared" si="0"/>
        <v>5561053.740726185</v>
      </c>
      <c r="J31" s="32">
        <f t="shared" si="0"/>
        <v>6801648.8636366008</v>
      </c>
      <c r="K31" s="32">
        <f t="shared" si="0"/>
        <v>11049311.17732499</v>
      </c>
      <c r="L31" s="32">
        <f t="shared" si="0"/>
        <v>12917313.910127921</v>
      </c>
      <c r="M31" s="32">
        <f t="shared" si="0"/>
        <v>20984238.355974279</v>
      </c>
    </row>
    <row r="32" spans="1:13" x14ac:dyDescent="0.2">
      <c r="A32" t="s">
        <v>139</v>
      </c>
      <c r="B32" s="31">
        <v>807728</v>
      </c>
      <c r="C32">
        <v>1.82</v>
      </c>
      <c r="D32">
        <v>0.7</v>
      </c>
      <c r="E32" s="32">
        <f t="shared" si="1"/>
        <v>306071.67770857771</v>
      </c>
      <c r="F32" s="32">
        <f t="shared" si="0"/>
        <v>497214.90735113126</v>
      </c>
      <c r="G32" s="32">
        <f t="shared" si="0"/>
        <v>807728</v>
      </c>
      <c r="H32" s="32">
        <f t="shared" si="0"/>
        <v>944282.94782858784</v>
      </c>
      <c r="I32" s="32">
        <f t="shared" si="0"/>
        <v>1072825.3311369494</v>
      </c>
      <c r="J32" s="32">
        <f t="shared" si="0"/>
        <v>1312158.0072080588</v>
      </c>
      <c r="K32" s="32">
        <f t="shared" si="0"/>
        <v>2131606.9715055367</v>
      </c>
      <c r="L32" s="32">
        <f t="shared" si="0"/>
        <v>2491977.6393355392</v>
      </c>
      <c r="M32" s="32">
        <f t="shared" si="0"/>
        <v>4048229.6184328939</v>
      </c>
    </row>
    <row r="33" spans="1:13" x14ac:dyDescent="0.2">
      <c r="A33" t="s">
        <v>147</v>
      </c>
      <c r="B33" s="31">
        <v>75501</v>
      </c>
      <c r="C33">
        <v>2</v>
      </c>
      <c r="D33">
        <v>0.7</v>
      </c>
      <c r="E33" s="32">
        <f t="shared" si="1"/>
        <v>28609.529122025393</v>
      </c>
      <c r="F33" s="32">
        <f t="shared" si="0"/>
        <v>46476.317175977267</v>
      </c>
      <c r="G33" s="32">
        <f t="shared" si="0"/>
        <v>75501</v>
      </c>
      <c r="H33" s="32">
        <f t="shared" si="0"/>
        <v>88265.24132381966</v>
      </c>
      <c r="I33" s="32">
        <f t="shared" si="0"/>
        <v>100280.52181696167</v>
      </c>
      <c r="J33" s="32">
        <f t="shared" si="0"/>
        <v>122651.73635458427</v>
      </c>
      <c r="K33" s="32">
        <f t="shared" si="0"/>
        <v>199248.33354252856</v>
      </c>
      <c r="L33" s="32">
        <f t="shared" si="0"/>
        <v>232933.3683461172</v>
      </c>
      <c r="M33" s="32">
        <f t="shared" si="0"/>
        <v>378401.37326092686</v>
      </c>
    </row>
    <row r="34" spans="1:13" x14ac:dyDescent="0.2">
      <c r="A34" t="s">
        <v>140</v>
      </c>
      <c r="B34" s="31">
        <v>11461600</v>
      </c>
      <c r="C34">
        <v>2.4700000000000002</v>
      </c>
      <c r="D34">
        <v>0.65</v>
      </c>
      <c r="E34" s="32">
        <f t="shared" si="1"/>
        <v>4654856.0330383144</v>
      </c>
      <c r="F34" s="32">
        <f t="shared" si="0"/>
        <v>7304252.0430412283</v>
      </c>
      <c r="G34" s="32">
        <f t="shared" si="0"/>
        <v>11461600</v>
      </c>
      <c r="H34" s="32">
        <f t="shared" si="0"/>
        <v>13250636.989438193</v>
      </c>
      <c r="I34" s="32">
        <f t="shared" si="0"/>
        <v>14917792.646229072</v>
      </c>
      <c r="J34" s="32">
        <f t="shared" si="0"/>
        <v>17985178.192906797</v>
      </c>
      <c r="K34" s="32">
        <f t="shared" si="0"/>
        <v>28221769.615988184</v>
      </c>
      <c r="L34" s="32">
        <f t="shared" si="0"/>
        <v>32626895.405616667</v>
      </c>
      <c r="M34" s="32">
        <f t="shared" si="0"/>
        <v>51197086.5979748</v>
      </c>
    </row>
    <row r="35" spans="1:13" x14ac:dyDescent="0.2">
      <c r="A35" t="s">
        <v>141</v>
      </c>
      <c r="B35" s="31">
        <v>36681585</v>
      </c>
      <c r="C35">
        <v>2.75</v>
      </c>
      <c r="D35">
        <v>0.8</v>
      </c>
      <c r="E35" s="32">
        <f t="shared" si="1"/>
        <v>12100410.396797085</v>
      </c>
      <c r="F35" s="32">
        <f t="shared" si="0"/>
        <v>21068038.174091958</v>
      </c>
      <c r="G35" s="32">
        <f t="shared" si="0"/>
        <v>36681585</v>
      </c>
      <c r="H35" s="32">
        <f t="shared" si="0"/>
        <v>43850656.888763405</v>
      </c>
      <c r="I35" s="32">
        <f t="shared" si="0"/>
        <v>50736569.601284206</v>
      </c>
      <c r="J35" s="32">
        <f t="shared" si="0"/>
        <v>63866348.968689315</v>
      </c>
      <c r="K35" s="32">
        <f t="shared" si="0"/>
        <v>111197772.14071864</v>
      </c>
      <c r="L35" s="32">
        <f t="shared" si="0"/>
        <v>132930334.19732401</v>
      </c>
      <c r="M35" s="32">
        <f t="shared" si="0"/>
        <v>231445154.62924495</v>
      </c>
    </row>
    <row r="36" spans="1:13" x14ac:dyDescent="0.2">
      <c r="A36" t="s">
        <v>142</v>
      </c>
      <c r="B36" s="31">
        <v>144155</v>
      </c>
      <c r="C36">
        <v>3.02</v>
      </c>
      <c r="D36">
        <v>0.6</v>
      </c>
      <c r="E36" s="32">
        <f t="shared" si="1"/>
        <v>62747.108225976386</v>
      </c>
      <c r="F36" s="32">
        <f t="shared" si="0"/>
        <v>95106.831438733279</v>
      </c>
      <c r="G36" s="32">
        <f t="shared" si="0"/>
        <v>144155</v>
      </c>
      <c r="H36" s="32">
        <f t="shared" si="0"/>
        <v>164807.02440145935</v>
      </c>
      <c r="I36" s="32">
        <f t="shared" si="0"/>
        <v>183858.81888771086</v>
      </c>
      <c r="J36" s="32">
        <f t="shared" si="0"/>
        <v>218498.12164530641</v>
      </c>
      <c r="K36" s="32">
        <f t="shared" si="0"/>
        <v>331181.2227291952</v>
      </c>
      <c r="L36" s="32">
        <f t="shared" si="0"/>
        <v>378627.11564382503</v>
      </c>
      <c r="M36" s="32">
        <f t="shared" si="0"/>
        <v>573891.39171139395</v>
      </c>
    </row>
    <row r="37" spans="1:13" x14ac:dyDescent="0.2">
      <c r="A37" t="s">
        <v>143</v>
      </c>
      <c r="B37" s="31">
        <v>6595713</v>
      </c>
      <c r="C37">
        <v>1.69</v>
      </c>
      <c r="D37">
        <v>0.7</v>
      </c>
      <c r="E37" s="32">
        <f t="shared" si="1"/>
        <v>2499307.8655119995</v>
      </c>
      <c r="F37" s="32">
        <f t="shared" si="0"/>
        <v>4060137.6059882189</v>
      </c>
      <c r="G37" s="32">
        <f t="shared" si="0"/>
        <v>6595713</v>
      </c>
      <c r="H37" s="32">
        <f t="shared" si="0"/>
        <v>7710787.9319168562</v>
      </c>
      <c r="I37" s="32">
        <f t="shared" si="0"/>
        <v>8760434.1849103682</v>
      </c>
      <c r="J37" s="32">
        <f t="shared" si="0"/>
        <v>10714767.379855949</v>
      </c>
      <c r="K37" s="32">
        <f t="shared" si="0"/>
        <v>17406190.961375237</v>
      </c>
      <c r="L37" s="32">
        <f t="shared" si="0"/>
        <v>20348891.348912913</v>
      </c>
      <c r="M37" s="32">
        <f t="shared" si="0"/>
        <v>33056871.522694372</v>
      </c>
    </row>
    <row r="38" spans="1:13" x14ac:dyDescent="0.2">
      <c r="A38" t="s">
        <v>144</v>
      </c>
      <c r="B38" s="31">
        <v>1626125</v>
      </c>
      <c r="C38">
        <v>1.52</v>
      </c>
      <c r="D38">
        <v>0.7</v>
      </c>
      <c r="E38" s="32">
        <f t="shared" si="1"/>
        <v>616186.15042918036</v>
      </c>
      <c r="F38" s="32">
        <f t="shared" si="0"/>
        <v>1000997.354575251</v>
      </c>
      <c r="G38" s="32">
        <f t="shared" si="0"/>
        <v>1626125</v>
      </c>
      <c r="H38" s="32">
        <f t="shared" si="0"/>
        <v>1901038.6027694501</v>
      </c>
      <c r="I38" s="32">
        <f t="shared" si="0"/>
        <v>2159821.2413028539</v>
      </c>
      <c r="J38" s="32">
        <f t="shared" si="0"/>
        <v>2641647.856049567</v>
      </c>
      <c r="K38" s="32">
        <f t="shared" si="0"/>
        <v>4291369.6028111456</v>
      </c>
      <c r="L38" s="32">
        <f t="shared" si="0"/>
        <v>5016870.9500778774</v>
      </c>
      <c r="M38" s="32">
        <f t="shared" si="0"/>
        <v>8149930.9028214812</v>
      </c>
    </row>
    <row r="39" spans="1:13" x14ac:dyDescent="0.2">
      <c r="A39" t="s">
        <v>145</v>
      </c>
      <c r="B39" s="31">
        <v>980551</v>
      </c>
      <c r="C39">
        <v>2.0299999999999998</v>
      </c>
      <c r="D39">
        <v>0.7</v>
      </c>
      <c r="E39" s="32">
        <f t="shared" si="1"/>
        <v>371559.34875208436</v>
      </c>
      <c r="F39" s="32">
        <f t="shared" si="0"/>
        <v>603599.94282488548</v>
      </c>
      <c r="G39" s="32">
        <f t="shared" si="0"/>
        <v>980551</v>
      </c>
      <c r="H39" s="32">
        <f t="shared" si="0"/>
        <v>1146323.5009511488</v>
      </c>
      <c r="I39" s="32">
        <f t="shared" si="0"/>
        <v>1302369.0540276761</v>
      </c>
      <c r="J39" s="32">
        <f t="shared" si="0"/>
        <v>1592909.7989990062</v>
      </c>
      <c r="K39" s="32">
        <f t="shared" si="0"/>
        <v>2587689.6028325441</v>
      </c>
      <c r="L39" s="32">
        <f t="shared" si="0"/>
        <v>3025165.8556198403</v>
      </c>
      <c r="M39" s="32">
        <f t="shared" si="0"/>
        <v>4914396.4312045546</v>
      </c>
    </row>
    <row r="40" spans="1:13" x14ac:dyDescent="0.2">
      <c r="A40" t="s">
        <v>146</v>
      </c>
      <c r="B40" s="31">
        <v>123670</v>
      </c>
      <c r="C40">
        <v>3.02</v>
      </c>
      <c r="D40">
        <v>0.6</v>
      </c>
      <c r="E40" s="32">
        <f t="shared" si="1"/>
        <v>53830.494081415833</v>
      </c>
      <c r="F40" s="32">
        <f t="shared" si="0"/>
        <v>81591.771662641913</v>
      </c>
      <c r="G40" s="32">
        <f t="shared" si="0"/>
        <v>123670</v>
      </c>
      <c r="H40" s="32">
        <f t="shared" si="0"/>
        <v>141387.28942963114</v>
      </c>
      <c r="I40" s="32">
        <f t="shared" si="0"/>
        <v>157731.74799239152</v>
      </c>
      <c r="J40" s="32">
        <f t="shared" si="0"/>
        <v>187448.66778034091</v>
      </c>
      <c r="K40" s="32">
        <f t="shared" si="0"/>
        <v>284119.05112496665</v>
      </c>
      <c r="L40" s="32">
        <f t="shared" si="0"/>
        <v>324822.69357061386</v>
      </c>
      <c r="M40" s="32">
        <f t="shared" si="0"/>
        <v>492339.1378235101</v>
      </c>
    </row>
    <row r="41" spans="1:13" x14ac:dyDescent="0.2">
      <c r="A41" t="s">
        <v>148</v>
      </c>
      <c r="B41" s="31">
        <v>718300</v>
      </c>
      <c r="C41">
        <v>2.4700000000000002</v>
      </c>
      <c r="D41">
        <v>0.8</v>
      </c>
      <c r="E41" s="32">
        <f t="shared" si="1"/>
        <v>236950.63307704253</v>
      </c>
      <c r="F41" s="32">
        <f t="shared" si="1"/>
        <v>412555.01419718517</v>
      </c>
      <c r="G41" s="32">
        <f t="shared" si="1"/>
        <v>718300</v>
      </c>
      <c r="H41" s="32">
        <f t="shared" si="1"/>
        <v>858685.00074897939</v>
      </c>
      <c r="I41" s="32">
        <f t="shared" si="1"/>
        <v>993525.16922598751</v>
      </c>
      <c r="J41" s="32">
        <f t="shared" si="1"/>
        <v>1250632.939231212</v>
      </c>
      <c r="K41" s="32">
        <f t="shared" si="1"/>
        <v>2177478.4194488376</v>
      </c>
      <c r="L41" s="32">
        <f t="shared" si="1"/>
        <v>2603046.1620984436</v>
      </c>
      <c r="M41" s="32">
        <f t="shared" si="1"/>
        <v>4532166.6054012291</v>
      </c>
    </row>
    <row r="42" spans="1:13" x14ac:dyDescent="0.2">
      <c r="A42" t="s">
        <v>149</v>
      </c>
      <c r="B42" s="31">
        <v>7495642</v>
      </c>
      <c r="C42">
        <v>2.4700000000000002</v>
      </c>
      <c r="D42">
        <v>0.6</v>
      </c>
      <c r="E42" s="32">
        <f t="shared" si="1"/>
        <v>3262667.6826830432</v>
      </c>
      <c r="F42" s="32">
        <f t="shared" si="1"/>
        <v>4945279.4576607794</v>
      </c>
      <c r="G42" s="32">
        <f t="shared" si="1"/>
        <v>7495642</v>
      </c>
      <c r="H42" s="32">
        <f t="shared" si="1"/>
        <v>8569487.3850966208</v>
      </c>
      <c r="I42" s="32">
        <f t="shared" si="1"/>
        <v>9560125.4547197036</v>
      </c>
      <c r="J42" s="32">
        <f t="shared" si="1"/>
        <v>11361268.756031133</v>
      </c>
      <c r="K42" s="32">
        <f t="shared" si="1"/>
        <v>17220463.270093374</v>
      </c>
      <c r="L42" s="32">
        <f t="shared" si="1"/>
        <v>19687512.124856662</v>
      </c>
      <c r="M42" s="32">
        <f t="shared" si="1"/>
        <v>29840688.281019572</v>
      </c>
    </row>
    <row r="43" spans="1:13" x14ac:dyDescent="0.2">
      <c r="A43" t="s">
        <v>150</v>
      </c>
      <c r="B43" s="31">
        <v>969104</v>
      </c>
      <c r="C43">
        <v>1.52</v>
      </c>
      <c r="D43">
        <v>0.7</v>
      </c>
      <c r="E43" s="32">
        <f t="shared" si="1"/>
        <v>367221.74686787324</v>
      </c>
      <c r="F43" s="32">
        <f t="shared" si="1"/>
        <v>596553.48777510587</v>
      </c>
      <c r="G43" s="32">
        <f t="shared" si="1"/>
        <v>969104</v>
      </c>
      <c r="H43" s="32">
        <f t="shared" si="1"/>
        <v>1132941.2647233671</v>
      </c>
      <c r="I43" s="32">
        <f t="shared" si="1"/>
        <v>1287165.1344340448</v>
      </c>
      <c r="J43" s="32">
        <f t="shared" si="1"/>
        <v>1574314.0926368264</v>
      </c>
      <c r="K43" s="32">
        <f t="shared" si="1"/>
        <v>2557480.7887233095</v>
      </c>
      <c r="L43" s="32">
        <f t="shared" si="1"/>
        <v>2989849.9224870605</v>
      </c>
      <c r="M43" s="32">
        <f t="shared" si="1"/>
        <v>4857025.5285712406</v>
      </c>
    </row>
    <row r="44" spans="1:13" x14ac:dyDescent="0.2">
      <c r="A44" t="s">
        <v>151</v>
      </c>
      <c r="B44" s="31">
        <v>29456</v>
      </c>
      <c r="C44">
        <v>2.33</v>
      </c>
      <c r="D44">
        <v>0.7</v>
      </c>
      <c r="E44" s="32">
        <f t="shared" si="1"/>
        <v>11161.736795782572</v>
      </c>
      <c r="F44" s="32">
        <f t="shared" si="1"/>
        <v>18132.294919743927</v>
      </c>
      <c r="G44" s="32">
        <f t="shared" si="1"/>
        <v>29456</v>
      </c>
      <c r="H44" s="32">
        <f t="shared" si="1"/>
        <v>34435.847848828918</v>
      </c>
      <c r="I44" s="32">
        <f t="shared" si="1"/>
        <v>39123.495723770851</v>
      </c>
      <c r="J44" s="32">
        <f t="shared" si="1"/>
        <v>47851.413174138543</v>
      </c>
      <c r="K44" s="32">
        <f t="shared" si="1"/>
        <v>77734.850039452736</v>
      </c>
      <c r="L44" s="32">
        <f t="shared" si="1"/>
        <v>90876.747301403011</v>
      </c>
      <c r="M44" s="32">
        <f t="shared" si="1"/>
        <v>147629.71153724933</v>
      </c>
    </row>
    <row r="45" spans="1:13" x14ac:dyDescent="0.2">
      <c r="A45" t="s">
        <v>152</v>
      </c>
      <c r="B45" s="31">
        <v>21715</v>
      </c>
      <c r="C45">
        <v>3.02</v>
      </c>
      <c r="D45">
        <v>0.6</v>
      </c>
      <c r="E45" s="32">
        <f t="shared" si="1"/>
        <v>9452.0027409876675</v>
      </c>
      <c r="F45" s="32">
        <f t="shared" si="1"/>
        <v>14326.557141216699</v>
      </c>
      <c r="G45" s="32">
        <f t="shared" si="1"/>
        <v>21715</v>
      </c>
      <c r="H45" s="32">
        <f t="shared" si="1"/>
        <v>24825.948006504732</v>
      </c>
      <c r="I45" s="32">
        <f t="shared" si="1"/>
        <v>27695.843031089047</v>
      </c>
      <c r="J45" s="32">
        <f t="shared" si="1"/>
        <v>32913.785241773294</v>
      </c>
      <c r="K45" s="32">
        <f t="shared" si="1"/>
        <v>49887.969557521232</v>
      </c>
      <c r="L45" s="32">
        <f t="shared" si="1"/>
        <v>57035.051272627803</v>
      </c>
      <c r="M45" s="32">
        <f t="shared" si="1"/>
        <v>86448.97208569193</v>
      </c>
    </row>
    <row r="46" spans="1:13" x14ac:dyDescent="0.2">
      <c r="A46" t="s">
        <v>153</v>
      </c>
      <c r="B46" s="31">
        <v>50244</v>
      </c>
      <c r="C46">
        <v>1.52</v>
      </c>
      <c r="D46">
        <v>0.7</v>
      </c>
      <c r="E46" s="32">
        <f t="shared" si="1"/>
        <v>19038.915791937114</v>
      </c>
      <c r="F46" s="32">
        <f t="shared" si="1"/>
        <v>30928.809952050986</v>
      </c>
      <c r="G46" s="32">
        <f t="shared" si="1"/>
        <v>50244</v>
      </c>
      <c r="H46" s="32">
        <f t="shared" si="1"/>
        <v>58738.27876549973</v>
      </c>
      <c r="I46" s="32">
        <f t="shared" si="1"/>
        <v>66734.143099712877</v>
      </c>
      <c r="J46" s="32">
        <f t="shared" si="1"/>
        <v>81621.618805045393</v>
      </c>
      <c r="K46" s="32">
        <f t="shared" si="1"/>
        <v>132594.7109377466</v>
      </c>
      <c r="L46" s="32">
        <f t="shared" si="1"/>
        <v>155011.24699252081</v>
      </c>
      <c r="M46" s="32">
        <f t="shared" si="1"/>
        <v>251816.5136636867</v>
      </c>
    </row>
    <row r="47" spans="1:13" x14ac:dyDescent="0.2">
      <c r="A47" t="s">
        <v>154</v>
      </c>
      <c r="B47" s="31">
        <v>33067253</v>
      </c>
      <c r="C47">
        <v>2.4700000000000002</v>
      </c>
      <c r="D47">
        <v>0.65</v>
      </c>
      <c r="E47" s="32">
        <f t="shared" si="1"/>
        <v>13429477.745083958</v>
      </c>
      <c r="F47" s="32">
        <f t="shared" si="1"/>
        <v>21073109.363702379</v>
      </c>
      <c r="G47" s="32">
        <f t="shared" si="1"/>
        <v>33067253</v>
      </c>
      <c r="H47" s="32">
        <f t="shared" si="1"/>
        <v>38228708.534664541</v>
      </c>
      <c r="I47" s="32">
        <f t="shared" si="1"/>
        <v>43038530.714245498</v>
      </c>
      <c r="J47" s="32">
        <f t="shared" si="1"/>
        <v>51888081.729857251</v>
      </c>
      <c r="K47" s="32">
        <f t="shared" si="1"/>
        <v>81421127.591225848</v>
      </c>
      <c r="L47" s="32">
        <f t="shared" si="1"/>
        <v>94130121.883686736</v>
      </c>
      <c r="M47" s="32">
        <f t="shared" si="1"/>
        <v>147705993.52604714</v>
      </c>
    </row>
    <row r="48" spans="1:13" x14ac:dyDescent="0.2">
      <c r="A48" t="s">
        <v>155</v>
      </c>
      <c r="B48" s="31">
        <v>411911</v>
      </c>
      <c r="C48">
        <v>2.4700000000000002</v>
      </c>
      <c r="D48">
        <v>0.65</v>
      </c>
      <c r="E48" s="32">
        <f t="shared" si="1"/>
        <v>167287.84841774666</v>
      </c>
      <c r="F48" s="32">
        <f t="shared" si="1"/>
        <v>262502.77127985231</v>
      </c>
      <c r="G48" s="32">
        <f t="shared" si="1"/>
        <v>411911</v>
      </c>
      <c r="H48" s="32">
        <f t="shared" si="1"/>
        <v>476206.03868190094</v>
      </c>
      <c r="I48" s="32">
        <f t="shared" si="1"/>
        <v>536120.86329141329</v>
      </c>
      <c r="J48" s="32">
        <f t="shared" si="1"/>
        <v>646357.64069749706</v>
      </c>
      <c r="K48" s="32">
        <f t="shared" si="1"/>
        <v>1014243.8528906356</v>
      </c>
      <c r="L48" s="32">
        <f t="shared" si="1"/>
        <v>1172556.808248671</v>
      </c>
      <c r="M48" s="32">
        <f t="shared" si="1"/>
        <v>1839938.8512649538</v>
      </c>
    </row>
    <row r="49" spans="1:13" x14ac:dyDescent="0.2">
      <c r="A49" t="s">
        <v>156</v>
      </c>
      <c r="B49" s="31">
        <v>585966</v>
      </c>
      <c r="C49">
        <v>2.4700000000000002</v>
      </c>
      <c r="D49">
        <v>0.65</v>
      </c>
      <c r="E49" s="32">
        <f t="shared" si="1"/>
        <v>237976.14384163893</v>
      </c>
      <c r="F49" s="32">
        <f t="shared" si="1"/>
        <v>373424.5962738794</v>
      </c>
      <c r="G49" s="32">
        <f t="shared" si="1"/>
        <v>585966</v>
      </c>
      <c r="H49" s="32">
        <f t="shared" si="1"/>
        <v>677429.22054103622</v>
      </c>
      <c r="I49" s="32">
        <f t="shared" si="1"/>
        <v>762661.34621172119</v>
      </c>
      <c r="J49" s="32">
        <f t="shared" si="1"/>
        <v>919479.21101633494</v>
      </c>
      <c r="K49" s="32">
        <f t="shared" si="1"/>
        <v>1442817.5346201344</v>
      </c>
      <c r="L49" s="32">
        <f t="shared" si="1"/>
        <v>1668026.4006113959</v>
      </c>
      <c r="M49" s="32">
        <f t="shared" si="1"/>
        <v>2617413.9775833129</v>
      </c>
    </row>
    <row r="50" spans="1:13" x14ac:dyDescent="0.2">
      <c r="A50" t="s">
        <v>157</v>
      </c>
      <c r="B50" s="31">
        <v>326304</v>
      </c>
      <c r="C50">
        <v>2.4700000000000002</v>
      </c>
      <c r="D50">
        <v>0.65</v>
      </c>
      <c r="E50" s="32">
        <f t="shared" si="1"/>
        <v>132520.60297031252</v>
      </c>
      <c r="F50" s="32">
        <f t="shared" si="1"/>
        <v>207947.11546839227</v>
      </c>
      <c r="G50" s="32">
        <f t="shared" si="1"/>
        <v>326304</v>
      </c>
      <c r="H50" s="32">
        <f t="shared" si="1"/>
        <v>377236.67308243527</v>
      </c>
      <c r="I50" s="32">
        <f t="shared" si="1"/>
        <v>424699.46705827554</v>
      </c>
      <c r="J50" s="32">
        <f t="shared" si="1"/>
        <v>512025.85896020272</v>
      </c>
      <c r="K50" s="32">
        <f t="shared" si="1"/>
        <v>803454.69330419914</v>
      </c>
      <c r="L50" s="32">
        <f t="shared" si="1"/>
        <v>928865.6451485256</v>
      </c>
      <c r="M50" s="32">
        <f t="shared" si="1"/>
        <v>1457546.4285322789</v>
      </c>
    </row>
    <row r="51" spans="1:13" x14ac:dyDescent="0.2">
      <c r="A51" t="s">
        <v>165</v>
      </c>
      <c r="B51" s="31">
        <v>178050</v>
      </c>
      <c r="C51">
        <v>2.4700000000000002</v>
      </c>
      <c r="D51">
        <v>0.65</v>
      </c>
      <c r="E51" s="32">
        <f t="shared" si="1"/>
        <v>72310.76958561386</v>
      </c>
      <c r="F51" s="32">
        <f t="shared" si="1"/>
        <v>113467.75984709732</v>
      </c>
      <c r="G51" s="32">
        <f t="shared" si="1"/>
        <v>178050</v>
      </c>
      <c r="H51" s="32">
        <f t="shared" si="1"/>
        <v>205841.75996104124</v>
      </c>
      <c r="I51" s="32">
        <f t="shared" si="1"/>
        <v>231740.15675482361</v>
      </c>
      <c r="J51" s="32">
        <f t="shared" si="1"/>
        <v>279390.39726103295</v>
      </c>
      <c r="K51" s="32">
        <f t="shared" si="1"/>
        <v>438410.52559212467</v>
      </c>
      <c r="L51" s="32">
        <f t="shared" si="1"/>
        <v>506841.86561824247</v>
      </c>
      <c r="M51" s="32">
        <f t="shared" si="1"/>
        <v>795320.13582478999</v>
      </c>
    </row>
    <row r="52" spans="1:13" x14ac:dyDescent="0.2">
      <c r="A52" t="s">
        <v>158</v>
      </c>
      <c r="B52" s="31">
        <v>223100</v>
      </c>
      <c r="C52">
        <v>4.99</v>
      </c>
      <c r="D52">
        <v>0.7</v>
      </c>
      <c r="E52" s="32">
        <f t="shared" si="1"/>
        <v>84539.091497117464</v>
      </c>
      <c r="F52" s="32">
        <f t="shared" si="1"/>
        <v>137334.15930862541</v>
      </c>
      <c r="G52" s="32">
        <f t="shared" si="1"/>
        <v>223100</v>
      </c>
      <c r="H52" s="32">
        <f t="shared" si="1"/>
        <v>260817.4108865335</v>
      </c>
      <c r="I52" s="32">
        <f t="shared" si="1"/>
        <v>296321.69663135783</v>
      </c>
      <c r="J52" s="32">
        <f t="shared" si="1"/>
        <v>362427.01925415226</v>
      </c>
      <c r="K52" s="32">
        <f t="shared" si="1"/>
        <v>588764.42978686537</v>
      </c>
      <c r="L52" s="32">
        <f t="shared" si="1"/>
        <v>688301.27386417065</v>
      </c>
      <c r="M52" s="32">
        <f t="shared" si="1"/>
        <v>1118148.7182224444</v>
      </c>
    </row>
    <row r="53" spans="1:13" x14ac:dyDescent="0.2">
      <c r="A53" t="s">
        <v>159</v>
      </c>
      <c r="B53" s="31">
        <v>27883640</v>
      </c>
      <c r="C53">
        <v>1.8</v>
      </c>
      <c r="D53">
        <v>0.6</v>
      </c>
      <c r="E53" s="32">
        <f t="shared" si="1"/>
        <v>12137059.254373169</v>
      </c>
      <c r="F53" s="32">
        <f t="shared" si="1"/>
        <v>18396341.780571751</v>
      </c>
      <c r="G53" s="32">
        <f t="shared" si="1"/>
        <v>27883640</v>
      </c>
      <c r="H53" s="32">
        <f t="shared" si="1"/>
        <v>31878323.595307186</v>
      </c>
      <c r="I53" s="32">
        <f t="shared" si="1"/>
        <v>35563477.622629322</v>
      </c>
      <c r="J53" s="32">
        <f t="shared" si="1"/>
        <v>42263695.082611993</v>
      </c>
      <c r="K53" s="32">
        <f t="shared" si="1"/>
        <v>64059782.798659056</v>
      </c>
      <c r="L53" s="32">
        <f t="shared" si="1"/>
        <v>73237155.74798505</v>
      </c>
      <c r="M53" s="32">
        <f t="shared" si="1"/>
        <v>111006770.25132319</v>
      </c>
    </row>
    <row r="54" spans="1:13" x14ac:dyDescent="0.2">
      <c r="A54" t="s">
        <v>160</v>
      </c>
      <c r="B54" s="31">
        <v>11065762</v>
      </c>
      <c r="C54">
        <v>1.8</v>
      </c>
      <c r="D54">
        <v>0.6</v>
      </c>
      <c r="E54" s="32">
        <f t="shared" si="1"/>
        <v>4816652.6712004226</v>
      </c>
      <c r="F54" s="32">
        <f t="shared" si="1"/>
        <v>7300680.2488650419</v>
      </c>
      <c r="G54" s="32">
        <f t="shared" si="1"/>
        <v>11065762</v>
      </c>
      <c r="H54" s="32">
        <f t="shared" si="1"/>
        <v>12651072.165063588</v>
      </c>
      <c r="I54" s="32">
        <f t="shared" si="1"/>
        <v>14113543.972893851</v>
      </c>
      <c r="J54" s="32">
        <f t="shared" si="1"/>
        <v>16772558.784461234</v>
      </c>
      <c r="K54" s="32">
        <f t="shared" si="1"/>
        <v>25422445.212377403</v>
      </c>
      <c r="L54" s="32">
        <f t="shared" si="1"/>
        <v>29064531.569914639</v>
      </c>
      <c r="M54" s="32">
        <f t="shared" si="1"/>
        <v>44053591.998384088</v>
      </c>
    </row>
    <row r="55" spans="1:13" x14ac:dyDescent="0.2">
      <c r="A55" t="s">
        <v>161</v>
      </c>
      <c r="B55" s="31">
        <v>6015366</v>
      </c>
      <c r="C55">
        <v>1.8</v>
      </c>
      <c r="D55">
        <v>0.6</v>
      </c>
      <c r="E55" s="32">
        <f t="shared" si="1"/>
        <v>2618340.1298661763</v>
      </c>
      <c r="F55" s="32">
        <f t="shared" si="1"/>
        <v>3968661.5115971509</v>
      </c>
      <c r="G55" s="32">
        <f t="shared" si="1"/>
        <v>6015366</v>
      </c>
      <c r="H55" s="32">
        <f t="shared" si="1"/>
        <v>6877143.152479684</v>
      </c>
      <c r="I55" s="32">
        <f t="shared" si="1"/>
        <v>7672145.1766313603</v>
      </c>
      <c r="J55" s="32">
        <f t="shared" si="1"/>
        <v>9117589.8998233862</v>
      </c>
      <c r="K55" s="32">
        <f t="shared" si="1"/>
        <v>13819682.057810189</v>
      </c>
      <c r="L55" s="32">
        <f t="shared" si="1"/>
        <v>15799526.05266507</v>
      </c>
      <c r="M55" s="32">
        <f t="shared" si="1"/>
        <v>23947603.381037086</v>
      </c>
    </row>
    <row r="56" spans="1:13" x14ac:dyDescent="0.2">
      <c r="A56" t="s">
        <v>164</v>
      </c>
      <c r="B56" s="31">
        <v>1779507</v>
      </c>
      <c r="C56">
        <v>1.41</v>
      </c>
      <c r="D56">
        <v>0.6</v>
      </c>
      <c r="E56" s="32">
        <f t="shared" si="1"/>
        <v>774575.410619698</v>
      </c>
      <c r="F56" s="32">
        <f t="shared" si="1"/>
        <v>1174036.7818878703</v>
      </c>
      <c r="G56" s="32">
        <f t="shared" si="1"/>
        <v>1779507</v>
      </c>
      <c r="H56" s="32">
        <f t="shared" si="1"/>
        <v>2034443.8526001018</v>
      </c>
      <c r="I56" s="32">
        <f t="shared" si="1"/>
        <v>2269626.8268350991</v>
      </c>
      <c r="J56" s="32">
        <f t="shared" si="1"/>
        <v>2697228.2401212188</v>
      </c>
      <c r="K56" s="32">
        <f t="shared" si="1"/>
        <v>4088233.5272114179</v>
      </c>
      <c r="L56" s="32">
        <f t="shared" si="1"/>
        <v>4673924.6136311339</v>
      </c>
      <c r="M56" s="32">
        <f t="shared" si="1"/>
        <v>7084344.9675014224</v>
      </c>
    </row>
    <row r="57" spans="1:13" x14ac:dyDescent="0.2">
      <c r="A57" t="s">
        <v>162</v>
      </c>
      <c r="B57" s="31">
        <v>2929758</v>
      </c>
      <c r="C57">
        <v>1.5</v>
      </c>
      <c r="D57">
        <v>0.6</v>
      </c>
      <c r="E57" s="32">
        <f t="shared" si="1"/>
        <v>1275251.238610663</v>
      </c>
      <c r="F57" s="32">
        <f t="shared" si="1"/>
        <v>1932919.4288250864</v>
      </c>
      <c r="G57" s="32">
        <f t="shared" si="1"/>
        <v>2929758</v>
      </c>
      <c r="H57" s="32">
        <f t="shared" si="1"/>
        <v>3349482.8358112499</v>
      </c>
      <c r="I57" s="32">
        <f t="shared" si="1"/>
        <v>3736685.1341044153</v>
      </c>
      <c r="J57" s="32">
        <f t="shared" si="1"/>
        <v>4440682.7364663705</v>
      </c>
      <c r="K57" s="32">
        <f t="shared" si="1"/>
        <v>6730816.3902788069</v>
      </c>
      <c r="L57" s="32">
        <f t="shared" si="1"/>
        <v>7695090.8471743716</v>
      </c>
      <c r="M57" s="32">
        <f t="shared" si="1"/>
        <v>11663576.67786473</v>
      </c>
    </row>
    <row r="58" spans="1:13" x14ac:dyDescent="0.2">
      <c r="A58" t="s">
        <v>163</v>
      </c>
      <c r="B58" s="31">
        <v>7405996</v>
      </c>
      <c r="C58">
        <v>3.02</v>
      </c>
      <c r="D58">
        <v>0.65</v>
      </c>
      <c r="E58" s="32">
        <f t="shared" si="1"/>
        <v>3007768.9992023474</v>
      </c>
      <c r="F58" s="32">
        <f t="shared" si="1"/>
        <v>4719695.4538419731</v>
      </c>
      <c r="G58" s="32">
        <f t="shared" si="1"/>
        <v>7405996</v>
      </c>
      <c r="H58" s="32">
        <f t="shared" si="1"/>
        <v>8561995.2311397456</v>
      </c>
      <c r="I58" s="32">
        <f t="shared" si="1"/>
        <v>9639239.9548755772</v>
      </c>
      <c r="J58" s="32">
        <f t="shared" si="1"/>
        <v>11621253.38137389</v>
      </c>
      <c r="K58" s="32">
        <f t="shared" si="1"/>
        <v>18235701.201309595</v>
      </c>
      <c r="L58" s="32">
        <f t="shared" si="1"/>
        <v>21082105.191807028</v>
      </c>
      <c r="M58" s="32">
        <f t="shared" si="1"/>
        <v>33081368.967356648</v>
      </c>
    </row>
    <row r="60" spans="1:13" x14ac:dyDescent="0.2">
      <c r="D60" t="s">
        <v>166</v>
      </c>
      <c r="E60">
        <f>E24</f>
        <v>0.25</v>
      </c>
      <c r="F60">
        <f t="shared" ref="F60:M60" si="2">F24</f>
        <v>0.5</v>
      </c>
      <c r="G60">
        <f t="shared" si="2"/>
        <v>1</v>
      </c>
      <c r="H60">
        <f t="shared" si="2"/>
        <v>1.25</v>
      </c>
      <c r="I60">
        <f t="shared" si="2"/>
        <v>1.5</v>
      </c>
      <c r="J60">
        <f t="shared" si="2"/>
        <v>2</v>
      </c>
      <c r="K60">
        <f t="shared" si="2"/>
        <v>4</v>
      </c>
      <c r="L60">
        <f t="shared" si="2"/>
        <v>5</v>
      </c>
      <c r="M60">
        <f t="shared" si="2"/>
        <v>10</v>
      </c>
    </row>
    <row r="61" spans="1:13" x14ac:dyDescent="0.2">
      <c r="D61" t="s">
        <v>112</v>
      </c>
      <c r="E61" s="32">
        <f>SUM(E25:E58)</f>
        <v>103661944.99376373</v>
      </c>
      <c r="F61" s="32">
        <f t="shared" ref="F61:M61" si="3">SUM(F25:F58)</f>
        <v>163252732.89508671</v>
      </c>
      <c r="G61" s="32">
        <f>SUM(G25:G58)</f>
        <v>257800646</v>
      </c>
      <c r="H61" s="32">
        <f t="shared" si="3"/>
        <v>298830505.00587934</v>
      </c>
      <c r="I61" s="32">
        <f t="shared" si="3"/>
        <v>337232658.66429305</v>
      </c>
      <c r="J61" s="32">
        <f t="shared" si="3"/>
        <v>408279669.36056608</v>
      </c>
      <c r="K61" s="32">
        <f t="shared" si="3"/>
        <v>648555689.20624173</v>
      </c>
      <c r="L61" s="32">
        <f t="shared" si="3"/>
        <v>753254554.49843431</v>
      </c>
      <c r="M61" s="32">
        <f t="shared" si="3"/>
        <v>1201614609.967025</v>
      </c>
    </row>
    <row r="62" spans="1:13" x14ac:dyDescent="0.2">
      <c r="D62" t="s">
        <v>168</v>
      </c>
      <c r="E62">
        <f>LOG(E60)</f>
        <v>-0.6020599913279624</v>
      </c>
      <c r="F62">
        <f t="shared" ref="F62:M62" si="4">LOG(F60)</f>
        <v>-0.3010299956639812</v>
      </c>
      <c r="G62">
        <f t="shared" si="4"/>
        <v>0</v>
      </c>
      <c r="H62">
        <f t="shared" si="4"/>
        <v>9.691001300805642E-2</v>
      </c>
      <c r="I62">
        <f t="shared" si="4"/>
        <v>0.17609125905568124</v>
      </c>
      <c r="J62">
        <f t="shared" si="4"/>
        <v>0.3010299956639812</v>
      </c>
      <c r="K62">
        <f t="shared" si="4"/>
        <v>0.6020599913279624</v>
      </c>
      <c r="L62">
        <f t="shared" si="4"/>
        <v>0.69897000433601886</v>
      </c>
      <c r="M62">
        <f t="shared" si="4"/>
        <v>1</v>
      </c>
    </row>
    <row r="63" spans="1:13" x14ac:dyDescent="0.2">
      <c r="D63" t="s">
        <v>167</v>
      </c>
      <c r="E63">
        <f>LOG(E61)</f>
        <v>8.0156193531831796</v>
      </c>
      <c r="F63">
        <f t="shared" ref="F63:M63" si="5">LOG(F61)</f>
        <v>8.2128604602155431</v>
      </c>
      <c r="G63">
        <f t="shared" si="5"/>
        <v>8.411284001279153</v>
      </c>
      <c r="H63">
        <f t="shared" si="5"/>
        <v>8.4754249287508117</v>
      </c>
      <c r="I63">
        <f t="shared" si="5"/>
        <v>8.5279296264238802</v>
      </c>
      <c r="J63">
        <f t="shared" si="5"/>
        <v>8.6109577543918885</v>
      </c>
      <c r="K63">
        <f t="shared" si="5"/>
        <v>8.8119472733677942</v>
      </c>
      <c r="L63">
        <f t="shared" si="5"/>
        <v>8.8769417662830747</v>
      </c>
      <c r="M63">
        <f t="shared" si="5"/>
        <v>9.0797652001107316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0FBC7-515F-444A-AA65-63C61A66544C}">
  <dimension ref="A1:E7"/>
  <sheetViews>
    <sheetView zoomScale="130" zoomScaleNormal="130" workbookViewId="0">
      <selection activeCell="F6" sqref="F6"/>
    </sheetView>
  </sheetViews>
  <sheetFormatPr baseColWidth="10" defaultColWidth="8.83203125" defaultRowHeight="15" x14ac:dyDescent="0.2"/>
  <cols>
    <col min="1" max="1" width="18" bestFit="1" customWidth="1"/>
    <col min="2" max="2" width="8.6640625" bestFit="1" customWidth="1"/>
    <col min="3" max="3" width="9.83203125" bestFit="1" customWidth="1"/>
    <col min="4" max="4" width="10.83203125" bestFit="1" customWidth="1"/>
  </cols>
  <sheetData>
    <row r="1" spans="1:5" ht="16" thickBot="1" x14ac:dyDescent="0.25">
      <c r="A1" t="s">
        <v>220</v>
      </c>
      <c r="B1" s="44" t="s">
        <v>219</v>
      </c>
      <c r="C1" s="44"/>
      <c r="D1" s="44"/>
      <c r="E1" s="44"/>
    </row>
    <row r="2" spans="1:5" x14ac:dyDescent="0.2">
      <c r="A2" s="37" t="s">
        <v>84</v>
      </c>
      <c r="B2" s="38">
        <v>50</v>
      </c>
      <c r="C2" s="38">
        <v>300</v>
      </c>
      <c r="D2" s="39">
        <v>1000</v>
      </c>
    </row>
    <row r="3" spans="1:5" x14ac:dyDescent="0.2">
      <c r="A3" s="19" t="s">
        <v>17</v>
      </c>
      <c r="B3">
        <f>-B2-$B4</f>
        <v>-35.1</v>
      </c>
      <c r="C3">
        <f t="shared" ref="C3:D3" si="0">-C2-$B4</f>
        <v>-285.10000000000002</v>
      </c>
      <c r="D3" s="20">
        <f t="shared" si="0"/>
        <v>-985.1</v>
      </c>
    </row>
    <row r="4" spans="1:5" x14ac:dyDescent="0.2">
      <c r="A4" s="19" t="s">
        <v>169</v>
      </c>
      <c r="B4" s="44">
        <v>-14.9</v>
      </c>
      <c r="C4" s="44"/>
      <c r="D4" s="45"/>
    </row>
    <row r="5" spans="1:5" x14ac:dyDescent="0.2">
      <c r="A5" s="19" t="s">
        <v>170</v>
      </c>
      <c r="B5">
        <v>25.13</v>
      </c>
      <c r="C5" t="s">
        <v>171</v>
      </c>
      <c r="D5" s="20"/>
    </row>
    <row r="6" spans="1:5" x14ac:dyDescent="0.2">
      <c r="A6" s="19" t="s">
        <v>172</v>
      </c>
      <c r="B6">
        <f>ABS(B3)*$B5</f>
        <v>882.06299999999999</v>
      </c>
      <c r="C6">
        <f t="shared" ref="C6:D6" si="1">ABS(C3)*$B5</f>
        <v>7164.5630000000001</v>
      </c>
      <c r="D6" s="20">
        <f t="shared" si="1"/>
        <v>24755.562999999998</v>
      </c>
    </row>
    <row r="7" spans="1:5" ht="16" thickBot="1" x14ac:dyDescent="0.25">
      <c r="A7" s="23" t="s">
        <v>173</v>
      </c>
      <c r="B7" s="24">
        <f>-B6</f>
        <v>-882.06299999999999</v>
      </c>
      <c r="C7" s="24">
        <f t="shared" ref="C7:D7" si="2">-C6</f>
        <v>-7164.5630000000001</v>
      </c>
      <c r="D7" s="26">
        <f t="shared" si="2"/>
        <v>-24755.562999999998</v>
      </c>
    </row>
  </sheetData>
  <mergeCells count="2">
    <mergeCell ref="B1:E1"/>
    <mergeCell ref="B4:D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41F20-95C4-42A2-B03A-23B9DD4DBFA3}">
  <dimension ref="A1:E17"/>
  <sheetViews>
    <sheetView zoomScale="120" zoomScaleNormal="120" workbookViewId="0">
      <selection activeCell="E18" sqref="E18"/>
    </sheetView>
  </sheetViews>
  <sheetFormatPr baseColWidth="10" defaultColWidth="8.83203125" defaultRowHeight="15" x14ac:dyDescent="0.2"/>
  <cols>
    <col min="2" max="2" width="10" bestFit="1" customWidth="1"/>
  </cols>
  <sheetData>
    <row r="1" spans="1:5" x14ac:dyDescent="0.2">
      <c r="A1" t="s">
        <v>236</v>
      </c>
      <c r="B1" t="s">
        <v>234</v>
      </c>
    </row>
    <row r="2" spans="1:5" x14ac:dyDescent="0.2">
      <c r="A2" t="s">
        <v>226</v>
      </c>
      <c r="B2" t="s">
        <v>237</v>
      </c>
    </row>
    <row r="3" spans="1:5" x14ac:dyDescent="0.2">
      <c r="A3" t="s">
        <v>235</v>
      </c>
    </row>
    <row r="4" spans="1:5" x14ac:dyDescent="0.2">
      <c r="A4" t="s">
        <v>179</v>
      </c>
      <c r="B4" t="s">
        <v>243</v>
      </c>
      <c r="C4" t="s">
        <v>28</v>
      </c>
    </row>
    <row r="5" spans="1:5" x14ac:dyDescent="0.2">
      <c r="A5" t="s">
        <v>248</v>
      </c>
      <c r="B5">
        <v>1000</v>
      </c>
      <c r="C5" t="s">
        <v>66</v>
      </c>
    </row>
    <row r="6" spans="1:5" x14ac:dyDescent="0.2">
      <c r="A6" t="s">
        <v>249</v>
      </c>
      <c r="B6">
        <v>14.9</v>
      </c>
      <c r="C6" t="s">
        <v>66</v>
      </c>
    </row>
    <row r="7" spans="1:5" x14ac:dyDescent="0.2">
      <c r="A7" t="s">
        <v>250</v>
      </c>
      <c r="B7" s="2">
        <v>-9.9999999999999997E+199</v>
      </c>
      <c r="C7" t="s">
        <v>66</v>
      </c>
    </row>
    <row r="8" spans="1:5" x14ac:dyDescent="0.2">
      <c r="A8" t="s">
        <v>251</v>
      </c>
      <c r="B8" s="2">
        <v>-9.9999999999999997E+199</v>
      </c>
      <c r="C8" t="s">
        <v>66</v>
      </c>
    </row>
    <row r="9" spans="1:5" x14ac:dyDescent="0.2">
      <c r="A9" t="s">
        <v>252</v>
      </c>
      <c r="B9" s="2">
        <v>-9.9999999999999997E+199</v>
      </c>
      <c r="C9" t="s">
        <v>66</v>
      </c>
    </row>
    <row r="10" spans="1:5" x14ac:dyDescent="0.2">
      <c r="A10" t="s">
        <v>253</v>
      </c>
      <c r="B10" s="2">
        <v>-9.9999999999999997E+199</v>
      </c>
      <c r="C10" t="s">
        <v>66</v>
      </c>
    </row>
    <row r="11" spans="1:5" x14ac:dyDescent="0.2">
      <c r="A11" t="s">
        <v>247</v>
      </c>
      <c r="B11" s="2">
        <v>9.9999999999999997E+199</v>
      </c>
      <c r="C11" t="s">
        <v>241</v>
      </c>
      <c r="D11" t="s">
        <v>244</v>
      </c>
    </row>
    <row r="12" spans="1:5" x14ac:dyDescent="0.2">
      <c r="B12" s="2"/>
    </row>
    <row r="13" spans="1:5" x14ac:dyDescent="0.2">
      <c r="A13" t="s">
        <v>238</v>
      </c>
    </row>
    <row r="14" spans="1:5" x14ac:dyDescent="0.2">
      <c r="A14" t="s">
        <v>179</v>
      </c>
      <c r="B14" t="s">
        <v>239</v>
      </c>
      <c r="C14" t="s">
        <v>240</v>
      </c>
      <c r="D14" t="s">
        <v>28</v>
      </c>
      <c r="E14" t="s">
        <v>226</v>
      </c>
    </row>
    <row r="15" spans="1:5" x14ac:dyDescent="0.2">
      <c r="A15" t="s">
        <v>245</v>
      </c>
      <c r="B15" s="2">
        <v>-985.1</v>
      </c>
      <c r="C15">
        <v>-10</v>
      </c>
      <c r="D15" t="s">
        <v>66</v>
      </c>
    </row>
    <row r="16" spans="1:5" x14ac:dyDescent="0.2">
      <c r="A16" t="s">
        <v>246</v>
      </c>
      <c r="B16" s="2">
        <v>-24650</v>
      </c>
      <c r="C16">
        <v>-250</v>
      </c>
      <c r="D16" t="s">
        <v>241</v>
      </c>
      <c r="E16" t="s">
        <v>242</v>
      </c>
    </row>
    <row r="17" spans="1:5" x14ac:dyDescent="0.2">
      <c r="A17" t="s">
        <v>254</v>
      </c>
      <c r="B17">
        <v>0</v>
      </c>
      <c r="C17">
        <v>50000</v>
      </c>
      <c r="D17" t="s">
        <v>241</v>
      </c>
      <c r="E17" t="s">
        <v>255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B7584-3066-8D4D-9480-F9C4BB723ACA}">
  <dimension ref="A1:H31"/>
  <sheetViews>
    <sheetView workbookViewId="0">
      <selection activeCell="H20" sqref="H20"/>
    </sheetView>
  </sheetViews>
  <sheetFormatPr baseColWidth="10" defaultRowHeight="15" x14ac:dyDescent="0.2"/>
  <cols>
    <col min="3" max="3" width="33.5" bestFit="1" customWidth="1"/>
    <col min="4" max="4" width="11.6640625" bestFit="1" customWidth="1"/>
    <col min="5" max="5" width="11.83203125" bestFit="1" customWidth="1"/>
  </cols>
  <sheetData>
    <row r="1" spans="1:8" x14ac:dyDescent="0.2">
      <c r="A1" t="s">
        <v>226</v>
      </c>
      <c r="B1" t="s">
        <v>284</v>
      </c>
    </row>
    <row r="2" spans="1:8" x14ac:dyDescent="0.2">
      <c r="A2" t="s">
        <v>62</v>
      </c>
      <c r="B2" t="s">
        <v>225</v>
      </c>
    </row>
    <row r="3" spans="1:8" x14ac:dyDescent="0.2">
      <c r="A3" t="s">
        <v>176</v>
      </c>
      <c r="B3" t="s">
        <v>177</v>
      </c>
      <c r="C3" t="s">
        <v>178</v>
      </c>
    </row>
    <row r="4" spans="1:8" x14ac:dyDescent="0.2">
      <c r="A4" t="s">
        <v>11</v>
      </c>
      <c r="B4" t="s">
        <v>257</v>
      </c>
    </row>
    <row r="5" spans="1:8" ht="16" thickBot="1" x14ac:dyDescent="0.25"/>
    <row r="6" spans="1:8" x14ac:dyDescent="0.2">
      <c r="A6" t="s">
        <v>175</v>
      </c>
      <c r="B6" s="46" t="s">
        <v>17</v>
      </c>
      <c r="C6" s="47"/>
      <c r="D6" s="47"/>
      <c r="E6" s="47"/>
      <c r="F6" s="47"/>
      <c r="G6" s="47"/>
      <c r="H6" s="48"/>
    </row>
    <row r="7" spans="1:8" x14ac:dyDescent="0.2">
      <c r="B7" s="19" t="s">
        <v>179</v>
      </c>
      <c r="C7" t="s">
        <v>180</v>
      </c>
      <c r="D7" t="s">
        <v>27</v>
      </c>
      <c r="E7" t="s">
        <v>28</v>
      </c>
      <c r="F7" t="s">
        <v>48</v>
      </c>
      <c r="G7" t="s">
        <v>181</v>
      </c>
      <c r="H7" s="20"/>
    </row>
    <row r="8" spans="1:8" x14ac:dyDescent="0.2">
      <c r="B8" s="19" t="s">
        <v>182</v>
      </c>
      <c r="C8" t="s">
        <v>183</v>
      </c>
      <c r="D8">
        <v>1</v>
      </c>
      <c r="F8" t="s">
        <v>184</v>
      </c>
      <c r="G8" t="s">
        <v>34</v>
      </c>
      <c r="H8" s="20"/>
    </row>
    <row r="9" spans="1:8" x14ac:dyDescent="0.2">
      <c r="B9" s="19" t="s">
        <v>201</v>
      </c>
      <c r="D9">
        <v>20</v>
      </c>
      <c r="E9" t="s">
        <v>39</v>
      </c>
      <c r="H9" s="20"/>
    </row>
    <row r="10" spans="1:8" x14ac:dyDescent="0.2">
      <c r="B10" s="19" t="s">
        <v>185</v>
      </c>
      <c r="C10" t="s">
        <v>186</v>
      </c>
      <c r="D10">
        <v>-30320</v>
      </c>
      <c r="E10" t="s">
        <v>187</v>
      </c>
      <c r="F10" t="s">
        <v>188</v>
      </c>
      <c r="G10" t="s">
        <v>189</v>
      </c>
      <c r="H10" s="20"/>
    </row>
    <row r="11" spans="1:8" x14ac:dyDescent="0.2">
      <c r="B11" s="19" t="s">
        <v>190</v>
      </c>
      <c r="C11" t="s">
        <v>191</v>
      </c>
      <c r="D11">
        <v>-3.1680000000000001</v>
      </c>
      <c r="E11" t="s">
        <v>192</v>
      </c>
      <c r="F11" t="s">
        <v>193</v>
      </c>
      <c r="G11" t="s">
        <v>189</v>
      </c>
      <c r="H11" s="20"/>
    </row>
    <row r="12" spans="1:8" ht="16" thickBot="1" x14ac:dyDescent="0.25">
      <c r="B12" s="23" t="s">
        <v>194</v>
      </c>
      <c r="C12" s="24" t="s">
        <v>186</v>
      </c>
      <c r="D12" s="24">
        <v>-27933.45</v>
      </c>
      <c r="E12" s="24" t="s">
        <v>195</v>
      </c>
      <c r="F12" s="24" t="s">
        <v>188</v>
      </c>
      <c r="G12" s="24" t="s">
        <v>189</v>
      </c>
      <c r="H12" s="26"/>
    </row>
    <row r="13" spans="1:8" x14ac:dyDescent="0.2">
      <c r="B13" s="46" t="s">
        <v>285</v>
      </c>
      <c r="C13" s="47"/>
      <c r="D13" s="47"/>
      <c r="E13" s="47"/>
      <c r="F13" s="47"/>
      <c r="G13" s="47"/>
      <c r="H13" s="48"/>
    </row>
    <row r="14" spans="1:8" x14ac:dyDescent="0.2">
      <c r="B14" s="19" t="s">
        <v>179</v>
      </c>
      <c r="C14" t="s">
        <v>180</v>
      </c>
      <c r="D14" t="s">
        <v>27</v>
      </c>
      <c r="E14" t="s">
        <v>28</v>
      </c>
      <c r="F14" t="s">
        <v>48</v>
      </c>
      <c r="G14" t="s">
        <v>181</v>
      </c>
      <c r="H14" s="20"/>
    </row>
    <row r="15" spans="1:8" x14ac:dyDescent="0.2">
      <c r="B15" s="19" t="s">
        <v>196</v>
      </c>
      <c r="C15" t="s">
        <v>286</v>
      </c>
      <c r="E15" s="35"/>
      <c r="H15" s="20"/>
    </row>
    <row r="16" spans="1:8" x14ac:dyDescent="0.2">
      <c r="B16" s="19"/>
      <c r="C16" t="s">
        <v>288</v>
      </c>
      <c r="D16">
        <v>400</v>
      </c>
      <c r="E16" s="35" t="s">
        <v>289</v>
      </c>
      <c r="H16" s="20"/>
    </row>
    <row r="17" spans="1:8" x14ac:dyDescent="0.2">
      <c r="B17" s="19"/>
      <c r="C17" t="s">
        <v>290</v>
      </c>
      <c r="D17">
        <f>-FT!B15</f>
        <v>-158102945</v>
      </c>
      <c r="E17" s="1" t="s">
        <v>283</v>
      </c>
      <c r="F17" t="s">
        <v>184</v>
      </c>
      <c r="G17" t="s">
        <v>200</v>
      </c>
      <c r="H17" s="20"/>
    </row>
    <row r="18" spans="1:8" x14ac:dyDescent="0.2">
      <c r="B18" s="19"/>
      <c r="C18" t="s">
        <v>287</v>
      </c>
      <c r="D18">
        <v>0.626</v>
      </c>
      <c r="E18" s="35"/>
      <c r="H18" s="20"/>
    </row>
    <row r="19" spans="1:8" x14ac:dyDescent="0.2">
      <c r="B19" s="19" t="s">
        <v>201</v>
      </c>
      <c r="D19">
        <v>20</v>
      </c>
      <c r="E19" t="s">
        <v>39</v>
      </c>
      <c r="H19" s="20"/>
    </row>
    <row r="20" spans="1:8" x14ac:dyDescent="0.2">
      <c r="B20" s="19" t="s">
        <v>202</v>
      </c>
      <c r="C20">
        <v>1</v>
      </c>
      <c r="D20" s="43">
        <v>-21732221</v>
      </c>
      <c r="E20" t="s">
        <v>203</v>
      </c>
      <c r="F20" t="s">
        <v>188</v>
      </c>
      <c r="G20" t="s">
        <v>189</v>
      </c>
      <c r="H20" s="20"/>
    </row>
    <row r="21" spans="1:8" x14ac:dyDescent="0.2">
      <c r="B21" s="19" t="s">
        <v>204</v>
      </c>
      <c r="C21">
        <v>1</v>
      </c>
      <c r="D21">
        <v>-9636868</v>
      </c>
      <c r="E21" t="s">
        <v>203</v>
      </c>
      <c r="F21" t="s">
        <v>188</v>
      </c>
      <c r="G21" t="s">
        <v>189</v>
      </c>
      <c r="H21" s="20"/>
    </row>
    <row r="22" spans="1:8" ht="17" thickBot="1" x14ac:dyDescent="0.25">
      <c r="B22" s="36" t="s">
        <v>207</v>
      </c>
      <c r="C22" s="24" t="s">
        <v>205</v>
      </c>
      <c r="D22" s="24">
        <v>0.13100999999999999</v>
      </c>
      <c r="E22" s="24" t="s">
        <v>206</v>
      </c>
      <c r="F22" s="24" t="s">
        <v>193</v>
      </c>
      <c r="G22" s="24" t="s">
        <v>189</v>
      </c>
      <c r="H22" s="26"/>
    </row>
    <row r="23" spans="1:8" ht="16" thickBot="1" x14ac:dyDescent="0.25"/>
    <row r="24" spans="1:8" x14ac:dyDescent="0.2">
      <c r="A24" s="46" t="s">
        <v>209</v>
      </c>
      <c r="B24" s="47"/>
      <c r="C24" s="47"/>
      <c r="D24" s="48"/>
      <c r="G24" s="46" t="s">
        <v>214</v>
      </c>
      <c r="H24" s="48"/>
    </row>
    <row r="25" spans="1:8" x14ac:dyDescent="0.2">
      <c r="A25" s="19" t="s">
        <v>14</v>
      </c>
      <c r="B25" t="s">
        <v>210</v>
      </c>
      <c r="C25" t="s">
        <v>208</v>
      </c>
      <c r="D25" s="20" t="s">
        <v>28</v>
      </c>
      <c r="G25" s="19" t="s">
        <v>210</v>
      </c>
      <c r="H25" s="20" t="s">
        <v>208</v>
      </c>
    </row>
    <row r="26" spans="1:8" x14ac:dyDescent="0.2">
      <c r="A26" s="19" t="s">
        <v>17</v>
      </c>
      <c r="B26" t="s">
        <v>174</v>
      </c>
      <c r="C26">
        <v>-1</v>
      </c>
      <c r="D26" s="20" t="s">
        <v>215</v>
      </c>
      <c r="G26" s="19" t="s">
        <v>174</v>
      </c>
      <c r="H26" s="33">
        <v>-1</v>
      </c>
    </row>
    <row r="27" spans="1:8" x14ac:dyDescent="0.2">
      <c r="A27" s="19" t="s">
        <v>17</v>
      </c>
      <c r="B27" t="s">
        <v>205</v>
      </c>
      <c r="C27">
        <v>25.13</v>
      </c>
      <c r="D27" s="20" t="s">
        <v>216</v>
      </c>
      <c r="G27" s="19" t="s">
        <v>211</v>
      </c>
      <c r="H27" s="33">
        <f>(C29/ABS(C$28))*(C$27)</f>
        <v>17.377632075471695</v>
      </c>
    </row>
    <row r="28" spans="1:8" x14ac:dyDescent="0.2">
      <c r="A28" s="19" t="s">
        <v>15</v>
      </c>
      <c r="B28" t="s">
        <v>205</v>
      </c>
      <c r="C28">
        <v>-1.06</v>
      </c>
      <c r="D28" s="20" t="s">
        <v>216</v>
      </c>
      <c r="G28" s="19" t="s">
        <v>212</v>
      </c>
      <c r="H28" s="33">
        <f>(C30/ABS(C$28))*(C$27)</f>
        <v>21.052301886792449</v>
      </c>
    </row>
    <row r="29" spans="1:8" ht="16" thickBot="1" x14ac:dyDescent="0.25">
      <c r="A29" s="19" t="s">
        <v>15</v>
      </c>
      <c r="B29" t="s">
        <v>211</v>
      </c>
      <c r="C29">
        <v>0.73299999999999998</v>
      </c>
      <c r="D29" s="20" t="s">
        <v>216</v>
      </c>
      <c r="G29" s="23" t="s">
        <v>213</v>
      </c>
      <c r="H29" s="34">
        <f>(C31/ABS(C$28))*(C$27)</f>
        <v>11.664113207547167</v>
      </c>
    </row>
    <row r="30" spans="1:8" x14ac:dyDescent="0.2">
      <c r="A30" s="19" t="s">
        <v>15</v>
      </c>
      <c r="B30" t="s">
        <v>212</v>
      </c>
      <c r="C30">
        <v>0.88800000000000001</v>
      </c>
      <c r="D30" s="20" t="s">
        <v>216</v>
      </c>
    </row>
    <row r="31" spans="1:8" ht="16" thickBot="1" x14ac:dyDescent="0.25">
      <c r="A31" s="23" t="s">
        <v>15</v>
      </c>
      <c r="B31" s="24" t="s">
        <v>213</v>
      </c>
      <c r="C31" s="24">
        <v>0.49199999999999999</v>
      </c>
      <c r="D31" s="26" t="s">
        <v>216</v>
      </c>
    </row>
  </sheetData>
  <mergeCells count="4">
    <mergeCell ref="B6:H6"/>
    <mergeCell ref="B13:H13"/>
    <mergeCell ref="A24:D24"/>
    <mergeCell ref="G24:H2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0567B-0376-BC4D-A254-A4551F910A7D}">
  <dimension ref="A1:I28"/>
  <sheetViews>
    <sheetView zoomScale="90" zoomScaleNormal="90" workbookViewId="0">
      <selection activeCell="A21" sqref="A21:H28"/>
    </sheetView>
  </sheetViews>
  <sheetFormatPr baseColWidth="10" defaultColWidth="10.83203125" defaultRowHeight="15" x14ac:dyDescent="0.2"/>
  <cols>
    <col min="2" max="2" width="18.83203125" bestFit="1" customWidth="1"/>
    <col min="3" max="3" width="33.5" bestFit="1" customWidth="1"/>
  </cols>
  <sheetData>
    <row r="1" spans="1:8" x14ac:dyDescent="0.2">
      <c r="A1" t="s">
        <v>226</v>
      </c>
      <c r="B1" t="s">
        <v>227</v>
      </c>
    </row>
    <row r="2" spans="1:8" x14ac:dyDescent="0.2">
      <c r="A2" t="s">
        <v>62</v>
      </c>
      <c r="B2" t="s">
        <v>225</v>
      </c>
    </row>
    <row r="3" spans="1:8" x14ac:dyDescent="0.2">
      <c r="A3" t="s">
        <v>176</v>
      </c>
      <c r="B3" t="s">
        <v>177</v>
      </c>
      <c r="C3" t="s">
        <v>178</v>
      </c>
    </row>
    <row r="4" spans="1:8" ht="16" thickBot="1" x14ac:dyDescent="0.25"/>
    <row r="5" spans="1:8" x14ac:dyDescent="0.2">
      <c r="A5" t="s">
        <v>175</v>
      </c>
      <c r="B5" s="46" t="s">
        <v>17</v>
      </c>
      <c r="C5" s="47"/>
      <c r="D5" s="47"/>
      <c r="E5" s="47"/>
      <c r="F5" s="47"/>
      <c r="G5" s="47"/>
      <c r="H5" s="48"/>
    </row>
    <row r="6" spans="1:8" x14ac:dyDescent="0.2">
      <c r="B6" s="19" t="s">
        <v>179</v>
      </c>
      <c r="C6" t="s">
        <v>180</v>
      </c>
      <c r="D6" t="s">
        <v>27</v>
      </c>
      <c r="E6" t="s">
        <v>28</v>
      </c>
      <c r="F6" t="s">
        <v>48</v>
      </c>
      <c r="G6" t="s">
        <v>181</v>
      </c>
      <c r="H6" s="20"/>
    </row>
    <row r="7" spans="1:8" x14ac:dyDescent="0.2">
      <c r="B7" s="19" t="s">
        <v>182</v>
      </c>
      <c r="C7" t="s">
        <v>183</v>
      </c>
      <c r="D7">
        <v>1</v>
      </c>
      <c r="F7" t="s">
        <v>184</v>
      </c>
      <c r="G7" t="s">
        <v>34</v>
      </c>
      <c r="H7" s="20"/>
    </row>
    <row r="8" spans="1:8" x14ac:dyDescent="0.2">
      <c r="B8" s="19" t="s">
        <v>201</v>
      </c>
      <c r="D8">
        <v>20</v>
      </c>
      <c r="E8" t="s">
        <v>39</v>
      </c>
      <c r="H8" s="20"/>
    </row>
    <row r="9" spans="1:8" x14ac:dyDescent="0.2">
      <c r="B9" s="19" t="s">
        <v>185</v>
      </c>
      <c r="C9" t="s">
        <v>186</v>
      </c>
      <c r="D9">
        <v>-30320</v>
      </c>
      <c r="E9" t="s">
        <v>187</v>
      </c>
      <c r="F9" t="s">
        <v>188</v>
      </c>
      <c r="G9" t="s">
        <v>189</v>
      </c>
      <c r="H9" s="20"/>
    </row>
    <row r="10" spans="1:8" x14ac:dyDescent="0.2">
      <c r="B10" s="19" t="s">
        <v>190</v>
      </c>
      <c r="C10" t="s">
        <v>191</v>
      </c>
      <c r="D10">
        <v>-3.1680000000000001</v>
      </c>
      <c r="E10" t="s">
        <v>192</v>
      </c>
      <c r="F10" t="s">
        <v>193</v>
      </c>
      <c r="G10" t="s">
        <v>189</v>
      </c>
      <c r="H10" s="20"/>
    </row>
    <row r="11" spans="1:8" ht="16" thickBot="1" x14ac:dyDescent="0.25">
      <c r="B11" s="23" t="s">
        <v>194</v>
      </c>
      <c r="C11" s="24" t="s">
        <v>186</v>
      </c>
      <c r="D11" s="24">
        <v>-27933.45</v>
      </c>
      <c r="E11" s="24" t="s">
        <v>195</v>
      </c>
      <c r="F11" s="24" t="s">
        <v>188</v>
      </c>
      <c r="G11" s="24" t="s">
        <v>189</v>
      </c>
      <c r="H11" s="26"/>
    </row>
    <row r="12" spans="1:8" x14ac:dyDescent="0.2">
      <c r="B12" s="46" t="s">
        <v>217</v>
      </c>
      <c r="C12" s="47"/>
      <c r="D12" s="47"/>
      <c r="E12" s="47"/>
      <c r="F12" s="47"/>
      <c r="G12" s="47"/>
      <c r="H12" s="48"/>
    </row>
    <row r="13" spans="1:8" x14ac:dyDescent="0.2">
      <c r="B13" s="19" t="s">
        <v>179</v>
      </c>
      <c r="C13" t="s">
        <v>180</v>
      </c>
      <c r="D13" t="s">
        <v>27</v>
      </c>
      <c r="E13" t="s">
        <v>28</v>
      </c>
      <c r="F13" t="s">
        <v>48</v>
      </c>
      <c r="G13" t="s">
        <v>181</v>
      </c>
      <c r="H13" s="20" t="s">
        <v>197</v>
      </c>
    </row>
    <row r="14" spans="1:8" x14ac:dyDescent="0.2">
      <c r="B14" s="19" t="s">
        <v>196</v>
      </c>
      <c r="C14">
        <v>1</v>
      </c>
      <c r="D14">
        <v>-350734933</v>
      </c>
      <c r="E14" s="35" t="s">
        <v>198</v>
      </c>
      <c r="F14" t="s">
        <v>199</v>
      </c>
      <c r="G14" t="s">
        <v>200</v>
      </c>
      <c r="H14" s="20">
        <v>0.66420000000000001</v>
      </c>
    </row>
    <row r="15" spans="1:8" x14ac:dyDescent="0.2">
      <c r="B15" s="19" t="s">
        <v>201</v>
      </c>
      <c r="D15">
        <v>20</v>
      </c>
      <c r="E15" t="s">
        <v>39</v>
      </c>
      <c r="H15" s="20"/>
    </row>
    <row r="16" spans="1:8" x14ac:dyDescent="0.2">
      <c r="B16" s="19" t="s">
        <v>202</v>
      </c>
      <c r="C16">
        <v>1</v>
      </c>
      <c r="D16">
        <v>-27412351</v>
      </c>
      <c r="E16" t="s">
        <v>203</v>
      </c>
      <c r="F16" t="s">
        <v>188</v>
      </c>
      <c r="G16" t="s">
        <v>189</v>
      </c>
      <c r="H16" s="20"/>
    </row>
    <row r="17" spans="1:9" x14ac:dyDescent="0.2">
      <c r="B17" s="19" t="s">
        <v>204</v>
      </c>
      <c r="C17">
        <v>1</v>
      </c>
      <c r="D17">
        <v>-9636868</v>
      </c>
      <c r="E17" t="s">
        <v>203</v>
      </c>
      <c r="F17" t="s">
        <v>188</v>
      </c>
      <c r="G17" t="s">
        <v>189</v>
      </c>
      <c r="H17" s="20"/>
    </row>
    <row r="18" spans="1:9" ht="17" thickBot="1" x14ac:dyDescent="0.25">
      <c r="B18" s="36" t="s">
        <v>207</v>
      </c>
      <c r="C18" s="24" t="s">
        <v>205</v>
      </c>
      <c r="D18" s="24">
        <v>0.13100999999999999</v>
      </c>
      <c r="E18" s="24" t="s">
        <v>206</v>
      </c>
      <c r="F18" s="24" t="s">
        <v>193</v>
      </c>
      <c r="G18" s="24" t="s">
        <v>189</v>
      </c>
      <c r="H18" s="26"/>
      <c r="I18" t="s">
        <v>218</v>
      </c>
    </row>
    <row r="20" spans="1:9" ht="16" thickBot="1" x14ac:dyDescent="0.25"/>
    <row r="21" spans="1:9" x14ac:dyDescent="0.2">
      <c r="A21" s="46" t="s">
        <v>209</v>
      </c>
      <c r="B21" s="47"/>
      <c r="C21" s="47"/>
      <c r="D21" s="48"/>
      <c r="G21" s="46" t="s">
        <v>214</v>
      </c>
      <c r="H21" s="48"/>
    </row>
    <row r="22" spans="1:9" x14ac:dyDescent="0.2">
      <c r="A22" s="19" t="s">
        <v>14</v>
      </c>
      <c r="B22" t="s">
        <v>210</v>
      </c>
      <c r="C22" t="s">
        <v>208</v>
      </c>
      <c r="D22" s="20" t="s">
        <v>28</v>
      </c>
      <c r="G22" s="19" t="s">
        <v>210</v>
      </c>
      <c r="H22" s="20" t="s">
        <v>208</v>
      </c>
    </row>
    <row r="23" spans="1:9" x14ac:dyDescent="0.2">
      <c r="A23" s="19" t="s">
        <v>17</v>
      </c>
      <c r="B23" t="s">
        <v>174</v>
      </c>
      <c r="C23">
        <v>-1</v>
      </c>
      <c r="D23" s="20" t="s">
        <v>215</v>
      </c>
      <c r="G23" s="19" t="s">
        <v>174</v>
      </c>
      <c r="H23" s="33">
        <v>-1</v>
      </c>
    </row>
    <row r="24" spans="1:9" x14ac:dyDescent="0.2">
      <c r="A24" s="19" t="s">
        <v>17</v>
      </c>
      <c r="B24" t="s">
        <v>205</v>
      </c>
      <c r="C24">
        <v>25.13</v>
      </c>
      <c r="D24" s="20" t="s">
        <v>216</v>
      </c>
      <c r="G24" s="19" t="s">
        <v>211</v>
      </c>
      <c r="H24" s="33">
        <f>(C26/ABS(C$25))*(C$24)</f>
        <v>17.377632075471695</v>
      </c>
    </row>
    <row r="25" spans="1:9" x14ac:dyDescent="0.2">
      <c r="A25" s="19" t="s">
        <v>15</v>
      </c>
      <c r="B25" t="s">
        <v>205</v>
      </c>
      <c r="C25">
        <v>-1.06</v>
      </c>
      <c r="D25" s="20" t="s">
        <v>216</v>
      </c>
      <c r="G25" s="19" t="s">
        <v>212</v>
      </c>
      <c r="H25" s="33">
        <f>(C27/ABS(C$25))*(C$24)</f>
        <v>21.052301886792449</v>
      </c>
    </row>
    <row r="26" spans="1:9" ht="16" thickBot="1" x14ac:dyDescent="0.25">
      <c r="A26" s="19" t="s">
        <v>15</v>
      </c>
      <c r="B26" t="s">
        <v>211</v>
      </c>
      <c r="C26">
        <v>0.73299999999999998</v>
      </c>
      <c r="D26" s="20" t="s">
        <v>216</v>
      </c>
      <c r="G26" s="23" t="s">
        <v>213</v>
      </c>
      <c r="H26" s="34">
        <f>(C28/ABS(C$25))*(C$24)</f>
        <v>11.664113207547167</v>
      </c>
    </row>
    <row r="27" spans="1:9" x14ac:dyDescent="0.2">
      <c r="A27" s="19" t="s">
        <v>15</v>
      </c>
      <c r="B27" t="s">
        <v>212</v>
      </c>
      <c r="C27">
        <v>0.88800000000000001</v>
      </c>
      <c r="D27" s="20" t="s">
        <v>216</v>
      </c>
    </row>
    <row r="28" spans="1:9" ht="16" thickBot="1" x14ac:dyDescent="0.25">
      <c r="A28" s="23" t="s">
        <v>15</v>
      </c>
      <c r="B28" s="24" t="s">
        <v>213</v>
      </c>
      <c r="C28" s="24">
        <v>0.49199999999999999</v>
      </c>
      <c r="D28" s="26" t="s">
        <v>216</v>
      </c>
    </row>
  </sheetData>
  <mergeCells count="4">
    <mergeCell ref="B12:H12"/>
    <mergeCell ref="B5:H5"/>
    <mergeCell ref="A21:D21"/>
    <mergeCell ref="G21:H2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147DE-C2D1-4559-861B-2B8673B56208}">
  <dimension ref="A1:C15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30.1640625" bestFit="1" customWidth="1"/>
    <col min="2" max="2" width="33.1640625" bestFit="1" customWidth="1"/>
  </cols>
  <sheetData>
    <row r="1" spans="1:3" x14ac:dyDescent="0.2">
      <c r="A1" t="s">
        <v>226</v>
      </c>
      <c r="B1" t="s">
        <v>231</v>
      </c>
    </row>
    <row r="2" spans="1:3" x14ac:dyDescent="0.2">
      <c r="A2" t="s">
        <v>47</v>
      </c>
    </row>
    <row r="3" spans="1:3" x14ac:dyDescent="0.2">
      <c r="A3" t="s">
        <v>48</v>
      </c>
      <c r="B3" t="s">
        <v>49</v>
      </c>
      <c r="C3" t="s">
        <v>51</v>
      </c>
    </row>
    <row r="4" spans="1:3" x14ac:dyDescent="0.2">
      <c r="A4" t="s">
        <v>55</v>
      </c>
      <c r="B4">
        <v>164.77</v>
      </c>
      <c r="C4">
        <v>1.395</v>
      </c>
    </row>
    <row r="5" spans="1:3" x14ac:dyDescent="0.2">
      <c r="A5" t="s">
        <v>54</v>
      </c>
      <c r="B5">
        <v>100</v>
      </c>
      <c r="C5">
        <v>1.395</v>
      </c>
    </row>
    <row r="6" spans="1:3" x14ac:dyDescent="0.2">
      <c r="A6" t="s">
        <v>53</v>
      </c>
      <c r="B6">
        <v>76.53</v>
      </c>
      <c r="C6">
        <v>1.395</v>
      </c>
    </row>
    <row r="7" spans="1:3" x14ac:dyDescent="0.2">
      <c r="A7" t="s">
        <v>52</v>
      </c>
      <c r="B7">
        <v>140</v>
      </c>
      <c r="C7">
        <v>1.395</v>
      </c>
    </row>
    <row r="8" spans="1:3" x14ac:dyDescent="0.2">
      <c r="A8" t="s">
        <v>230</v>
      </c>
      <c r="B8">
        <f>AVERAGE(B4:B7)</f>
        <v>120.32499999999999</v>
      </c>
    </row>
    <row r="10" spans="1:3" x14ac:dyDescent="0.2">
      <c r="A10" t="s">
        <v>229</v>
      </c>
    </row>
    <row r="11" spans="1:3" x14ac:dyDescent="0.2">
      <c r="A11" t="s">
        <v>56</v>
      </c>
    </row>
    <row r="12" spans="1:3" x14ac:dyDescent="0.2">
      <c r="A12" t="s">
        <v>57</v>
      </c>
    </row>
    <row r="13" spans="1:3" x14ac:dyDescent="0.2">
      <c r="A13" t="s">
        <v>228</v>
      </c>
    </row>
    <row r="14" spans="1:3" x14ac:dyDescent="0.2">
      <c r="A14" t="s">
        <v>50</v>
      </c>
      <c r="B14" t="s">
        <v>58</v>
      </c>
    </row>
    <row r="15" spans="1:3" x14ac:dyDescent="0.2">
      <c r="A15" t="s">
        <v>59</v>
      </c>
      <c r="B15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MACRS</vt:lpstr>
      <vt:lpstr>HTSE</vt:lpstr>
      <vt:lpstr>FT</vt:lpstr>
      <vt:lpstr>FT_old</vt:lpstr>
      <vt:lpstr>Syn_base</vt:lpstr>
      <vt:lpstr>Boundaries</vt:lpstr>
      <vt:lpstr>FT_HTSE_combined</vt:lpstr>
      <vt:lpstr>FT_HTSE_combined_old</vt:lpstr>
      <vt:lpstr>Capacity_Market</vt:lpstr>
      <vt:lpstr>Transfer_rates</vt:lpstr>
      <vt:lpstr>grid_sellall_test</vt:lpstr>
      <vt:lpstr>grid_sellnothing_test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Marisol Garrouste</dc:creator>
  <cp:lastModifiedBy>Microsoft Office User</cp:lastModifiedBy>
  <dcterms:created xsi:type="dcterms:W3CDTF">2022-05-18T16:54:28Z</dcterms:created>
  <dcterms:modified xsi:type="dcterms:W3CDTF">2022-10-11T21:44:47Z</dcterms:modified>
</cp:coreProperties>
</file>