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IES_Feb23/run/"/>
    </mc:Choice>
  </mc:AlternateContent>
  <xr:revisionPtr revIDLastSave="0" documentId="13_ncr:1_{8A37283B-70F4-C04B-A741-92EE1DDBD3C5}" xr6:coauthVersionLast="47" xr6:coauthVersionMax="47" xr10:uidLastSave="{00000000-0000-0000-0000-000000000000}"/>
  <bookViews>
    <workbookView xWindow="35840" yWindow="500" windowWidth="38400" windowHeight="23500" activeTab="3" xr2:uid="{0E0AD5E1-F50E-5F4E-9139-BDA2035603EC}"/>
  </bookViews>
  <sheets>
    <sheet name="cases" sheetId="1" r:id="rId1"/>
    <sheet name="cashflow_comparison" sheetId="5" r:id="rId2"/>
    <sheet name="data" sheetId="4" r:id="rId3"/>
    <sheet name="braidwood_SA" sheetId="2" r:id="rId4"/>
    <sheet name="braidwood_h2ptc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2" l="1"/>
  <c r="D23" i="2"/>
  <c r="C23" i="2"/>
  <c r="B23" i="2"/>
  <c r="G14" i="2"/>
  <c r="G15" i="2"/>
  <c r="F14" i="2"/>
  <c r="F15" i="2"/>
  <c r="E14" i="2"/>
  <c r="E15" i="2"/>
  <c r="D14" i="2"/>
  <c r="D15" i="2"/>
  <c r="B12" i="6"/>
  <c r="B13" i="6"/>
  <c r="B11" i="6"/>
  <c r="A12" i="6"/>
  <c r="A13" i="6"/>
  <c r="A11" i="6"/>
  <c r="E6" i="6"/>
  <c r="E7" i="6"/>
  <c r="E8" i="6"/>
  <c r="E5" i="6"/>
  <c r="D6" i="6"/>
  <c r="D7" i="6"/>
  <c r="D8" i="6"/>
  <c r="D5" i="6"/>
  <c r="Q16" i="5"/>
  <c r="Q17" i="5"/>
  <c r="Q18" i="5"/>
  <c r="Q19" i="5"/>
  <c r="Q15" i="5"/>
  <c r="F12" i="2"/>
  <c r="F13" i="2"/>
  <c r="E12" i="2"/>
  <c r="E13" i="2"/>
  <c r="D12" i="2"/>
  <c r="D13" i="2"/>
  <c r="O4" i="1"/>
  <c r="O5" i="1"/>
  <c r="O6" i="1"/>
  <c r="O7" i="1"/>
  <c r="O3" i="1"/>
  <c r="M4" i="1"/>
  <c r="M5" i="1"/>
  <c r="M6" i="1"/>
  <c r="M7" i="1"/>
  <c r="M3" i="1"/>
  <c r="K4" i="1"/>
  <c r="K5" i="1"/>
  <c r="K6" i="1"/>
  <c r="K7" i="1"/>
  <c r="K3" i="1"/>
  <c r="J4" i="1"/>
  <c r="L4" i="1" s="1"/>
  <c r="N4" i="1" s="1"/>
  <c r="J5" i="1"/>
  <c r="L5" i="1" s="1"/>
  <c r="N5" i="1" s="1"/>
  <c r="J6" i="1"/>
  <c r="L6" i="1" s="1"/>
  <c r="N6" i="1" s="1"/>
  <c r="J7" i="1"/>
  <c r="J3" i="1"/>
  <c r="L3" i="1" s="1"/>
  <c r="N3" i="1" s="1"/>
  <c r="P3" i="1" s="1"/>
  <c r="F4" i="1"/>
  <c r="F5" i="1"/>
  <c r="F6" i="1"/>
  <c r="F7" i="1"/>
  <c r="F3" i="1"/>
  <c r="E4" i="1"/>
  <c r="E5" i="1"/>
  <c r="E6" i="1"/>
  <c r="E7" i="1"/>
  <c r="E3" i="1"/>
  <c r="C4" i="1"/>
  <c r="C5" i="1"/>
  <c r="C6" i="1"/>
  <c r="C7" i="1"/>
  <c r="D7" i="1" s="1"/>
  <c r="C3" i="1"/>
  <c r="D3" i="1" s="1"/>
  <c r="B4" i="1"/>
  <c r="B5" i="1"/>
  <c r="B6" i="1"/>
  <c r="B7" i="1"/>
  <c r="A4" i="1"/>
  <c r="A5" i="1"/>
  <c r="A6" i="1"/>
  <c r="A7" i="1"/>
  <c r="A3" i="1"/>
  <c r="B3" i="1"/>
  <c r="B16" i="1"/>
  <c r="F10" i="2"/>
  <c r="F11" i="2"/>
  <c r="E22" i="2" s="1"/>
  <c r="E10" i="2"/>
  <c r="B22" i="2" s="1"/>
  <c r="E11" i="2"/>
  <c r="C22" i="2" s="1"/>
  <c r="D10" i="2"/>
  <c r="D11" i="2"/>
  <c r="F8" i="2"/>
  <c r="D19" i="2" s="1"/>
  <c r="F9" i="2"/>
  <c r="E19" i="2" s="1"/>
  <c r="E8" i="2"/>
  <c r="B19" i="2" s="1"/>
  <c r="E9" i="2"/>
  <c r="C19" i="2" s="1"/>
  <c r="D8" i="2"/>
  <c r="D9" i="2"/>
  <c r="F3" i="2"/>
  <c r="F4" i="2"/>
  <c r="D20" i="2" s="1"/>
  <c r="F5" i="2"/>
  <c r="E20" i="2" s="1"/>
  <c r="F6" i="2"/>
  <c r="D21" i="2" s="1"/>
  <c r="F7" i="2"/>
  <c r="F2" i="2"/>
  <c r="E2" i="2"/>
  <c r="E4" i="2"/>
  <c r="B20" i="2" s="1"/>
  <c r="E5" i="2"/>
  <c r="C20" i="2" s="1"/>
  <c r="E6" i="2"/>
  <c r="B21" i="2" s="1"/>
  <c r="E7" i="2"/>
  <c r="C21" i="2" s="1"/>
  <c r="E3" i="2"/>
  <c r="D3" i="2"/>
  <c r="D4" i="2"/>
  <c r="D5" i="2"/>
  <c r="D6" i="2"/>
  <c r="D7" i="2"/>
  <c r="D2" i="2"/>
  <c r="B18" i="2" l="1"/>
  <c r="C18" i="2"/>
  <c r="D18" i="2"/>
  <c r="E18" i="2"/>
  <c r="G13" i="2"/>
  <c r="G12" i="2"/>
  <c r="P4" i="1"/>
  <c r="P6" i="1"/>
  <c r="P5" i="1"/>
  <c r="L7" i="1"/>
  <c r="N7" i="1" s="1"/>
  <c r="P7" i="1" s="1"/>
  <c r="G7" i="1"/>
  <c r="G2" i="2"/>
  <c r="G3" i="2"/>
  <c r="G10" i="2"/>
  <c r="G3" i="1"/>
  <c r="D5" i="1"/>
  <c r="G5" i="1" s="1"/>
  <c r="D6" i="1"/>
  <c r="G6" i="1" s="1"/>
  <c r="D4" i="1"/>
  <c r="G4" i="1" s="1"/>
  <c r="G11" i="2"/>
  <c r="D22" i="2"/>
  <c r="G9" i="2"/>
  <c r="G8" i="2"/>
  <c r="G7" i="2"/>
  <c r="E21" i="2"/>
  <c r="G6" i="2"/>
  <c r="G5" i="2"/>
  <c r="G4" i="2"/>
</calcChain>
</file>

<file path=xl/sharedStrings.xml><?xml version="1.0" encoding="utf-8"?>
<sst xmlns="http://schemas.openxmlformats.org/spreadsheetml/2006/main" count="191" uniqueCount="149">
  <si>
    <t>Location</t>
  </si>
  <si>
    <t>Baseline NPV</t>
  </si>
  <si>
    <t>Opt NPV</t>
  </si>
  <si>
    <t>Delta NPV</t>
  </si>
  <si>
    <t>Std baseline NPV</t>
  </si>
  <si>
    <t>Std opt NPV</t>
  </si>
  <si>
    <t>Std delta NPV (%)</t>
  </si>
  <si>
    <t>NPP (MWe)</t>
  </si>
  <si>
    <t>HTSE (MWe)</t>
  </si>
  <si>
    <t>H2 storage (ton-H2)</t>
  </si>
  <si>
    <t>Delta NPV (M$)</t>
  </si>
  <si>
    <t>Std Delta NPV</t>
  </si>
  <si>
    <t>Case</t>
  </si>
  <si>
    <t>Mean NPV</t>
  </si>
  <si>
    <t>Std NPV</t>
  </si>
  <si>
    <t>Std NPv (%)</t>
  </si>
  <si>
    <t>Std delta NPV</t>
  </si>
  <si>
    <t>Reference</t>
  </si>
  <si>
    <t>braidwood</t>
  </si>
  <si>
    <t>cooper</t>
  </si>
  <si>
    <t>prairie_island</t>
  </si>
  <si>
    <t>stp</t>
  </si>
  <si>
    <t>davis_besse</t>
  </si>
  <si>
    <t>Low</t>
  </si>
  <si>
    <t>High</t>
  </si>
  <si>
    <t>Std low</t>
  </si>
  <si>
    <t>Std high</t>
  </si>
  <si>
    <t>Synfuel Price</t>
  </si>
  <si>
    <t>CAPEX</t>
  </si>
  <si>
    <t>CO2 Cost</t>
  </si>
  <si>
    <t>BAU</t>
  </si>
  <si>
    <t>HTSE</t>
  </si>
  <si>
    <t>Inputs</t>
  </si>
  <si>
    <t>Electricity</t>
  </si>
  <si>
    <t>kWh/kg-H2</t>
  </si>
  <si>
    <t>Outputs</t>
  </si>
  <si>
    <t>H2</t>
  </si>
  <si>
    <t>kg-H2/kWh</t>
  </si>
  <si>
    <t>kg-H2/MWh</t>
  </si>
  <si>
    <t>ton-h2/MWh</t>
  </si>
  <si>
    <t>FT (ton-H2/h)</t>
  </si>
  <si>
    <t>HTSE (ton-H2/h)</t>
  </si>
  <si>
    <t>Components Capacities</t>
  </si>
  <si>
    <t>npp_capacity</t>
  </si>
  <si>
    <t>htse_capacity</t>
  </si>
  <si>
    <t>ft_capacity</t>
  </si>
  <si>
    <t>ft_elec_consumption_capacity</t>
  </si>
  <si>
    <t>electricity_market_capacity</t>
  </si>
  <si>
    <t>naphtha_market_capacity</t>
  </si>
  <si>
    <t>jet_fuel_market_capacity</t>
  </si>
  <si>
    <t>diesel_market_capacity</t>
  </si>
  <si>
    <t>h2_storage_capacity</t>
  </si>
  <si>
    <t>scenario_label</t>
  </si>
  <si>
    <t>location_label</t>
  </si>
  <si>
    <t>fuel_region_label</t>
  </si>
  <si>
    <t>elec_data_label</t>
  </si>
  <si>
    <t>mean_NPV</t>
  </si>
  <si>
    <t>std_NPV</t>
  </si>
  <si>
    <t>med_NPV</t>
  </si>
  <si>
    <t>max_NPV</t>
  </si>
  <si>
    <t>min_NPV</t>
  </si>
  <si>
    <t>perc_5_NPV</t>
  </si>
  <si>
    <t>perc_95_NPV</t>
  </si>
  <si>
    <t>samp_NPV</t>
  </si>
  <si>
    <t>var_NPV</t>
  </si>
  <si>
    <t>prefix</t>
  </si>
  <si>
    <t>ProbabilityWeight-ft_capacity</t>
  </si>
  <si>
    <t>ProbabilityWeight</t>
  </si>
  <si>
    <t>ProbabilityWeight-h2_storage_capacity</t>
  </si>
  <si>
    <t>ProbabilityWeight-htse_capacity</t>
  </si>
  <si>
    <t>PointProbability</t>
  </si>
  <si>
    <t>ref</t>
  </si>
  <si>
    <t>illinois</t>
  </si>
  <si>
    <t>covid</t>
  </si>
  <si>
    <t>nebraska</t>
  </si>
  <si>
    <t>#</t>
  </si>
  <si>
    <t>davis-besse</t>
  </si>
  <si>
    <t>ohio</t>
  </si>
  <si>
    <t>prairie-island</t>
  </si>
  <si>
    <t>minnesota</t>
  </si>
  <si>
    <t>south_texas_project</t>
  </si>
  <si>
    <t>west_south_central</t>
  </si>
  <si>
    <t>Storage/HTSE(day) ratio</t>
  </si>
  <si>
    <t>synfuel 0.75</t>
  </si>
  <si>
    <t>synfuel 1.25</t>
  </si>
  <si>
    <t>capex 0.75</t>
  </si>
  <si>
    <t>capex 1.25</t>
  </si>
  <si>
    <t>co2 cost med</t>
  </si>
  <si>
    <t>co2 cost high</t>
  </si>
  <si>
    <t>o&amp;m 0.75</t>
  </si>
  <si>
    <t>o&amp;m1.25</t>
  </si>
  <si>
    <t>O&amp;M</t>
  </si>
  <si>
    <t>Standardized added value (M$/MWh)</t>
  </si>
  <si>
    <t>2Std Delta NPV (M$)</t>
  </si>
  <si>
    <t>ptc100</t>
  </si>
  <si>
    <t>ptc270</t>
  </si>
  <si>
    <t>H2 PTC</t>
  </si>
  <si>
    <t>Capacity (MWe)</t>
  </si>
  <si>
    <t>npv</t>
  </si>
  <si>
    <t>htseCAPEX</t>
  </si>
  <si>
    <t>htseFOM</t>
  </si>
  <si>
    <t>htseVOM</t>
  </si>
  <si>
    <t>htseELEC_CAP_MARKET</t>
  </si>
  <si>
    <t>htse_amortize_htseCAPEX</t>
  </si>
  <si>
    <t>htse_depreciate_htseCAPEX</t>
  </si>
  <si>
    <t>ftCAPEX</t>
  </si>
  <si>
    <t>ftFOM</t>
  </si>
  <si>
    <t>ftVOM</t>
  </si>
  <si>
    <t>co2_shipping</t>
  </si>
  <si>
    <t>h2_ptc</t>
  </si>
  <si>
    <t>ft_amortize_ftCAPEX</t>
  </si>
  <si>
    <t>ft_depreciate_ftCAPEX</t>
  </si>
  <si>
    <t>ftELEC_CAP_MARKET</t>
  </si>
  <si>
    <t>e_sales</t>
  </si>
  <si>
    <t>naphtha_sales</t>
  </si>
  <si>
    <t>diesel_sales</t>
  </si>
  <si>
    <t>jet_fuel_sales</t>
  </si>
  <si>
    <t>storageCAPEX</t>
  </si>
  <si>
    <t>$ h2 ptc/MWe</t>
  </si>
  <si>
    <t>$ co2/MWe</t>
  </si>
  <si>
    <t>Braidwood</t>
  </si>
  <si>
    <t>Cooper</t>
  </si>
  <si>
    <t>Davis-Besse</t>
  </si>
  <si>
    <t>Prairie-Island</t>
  </si>
  <si>
    <t>STP</t>
  </si>
  <si>
    <t>HTSE CAPEX</t>
  </si>
  <si>
    <t>HTSE OM</t>
  </si>
  <si>
    <t>Cap Market</t>
  </si>
  <si>
    <t>FT CAPEX</t>
  </si>
  <si>
    <t>FT OM</t>
  </si>
  <si>
    <t>CO2</t>
  </si>
  <si>
    <t>Electricity sales</t>
  </si>
  <si>
    <t>Naphta</t>
  </si>
  <si>
    <t>Diesel</t>
  </si>
  <si>
    <t>Jet fuel</t>
  </si>
  <si>
    <t>Storage CAPEX</t>
  </si>
  <si>
    <t>$ capex /MWe</t>
  </si>
  <si>
    <t>$ baseline/MWe</t>
  </si>
  <si>
    <t xml:space="preserve">$1/kg </t>
  </si>
  <si>
    <t>$0/kg</t>
  </si>
  <si>
    <t>$3/kg (ref)</t>
  </si>
  <si>
    <t>STD Delta NPV</t>
  </si>
  <si>
    <t>$2.7/kg</t>
  </si>
  <si>
    <t>PTC variation (%)</t>
  </si>
  <si>
    <t>PTC value</t>
  </si>
  <si>
    <t>Delta NPV variation</t>
  </si>
  <si>
    <t>elec0.75</t>
  </si>
  <si>
    <t>elec1.25</t>
  </si>
  <si>
    <t>Elec.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</si>
</sst>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"/>
    <numFmt numFmtId="166" formatCode="_(&quot;$&quot;* #,##0_);_(&quot;$&quot;* \(#,##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44" fontId="0" fillId="0" borderId="0" xfId="1" applyFont="1"/>
    <xf numFmtId="164" fontId="0" fillId="0" borderId="0" xfId="2" applyNumberFormat="1" applyFont="1"/>
    <xf numFmtId="0" fontId="2" fillId="0" borderId="0" xfId="0" applyFont="1"/>
    <xf numFmtId="44" fontId="0" fillId="0" borderId="0" xfId="0" applyNumberFormat="1"/>
    <xf numFmtId="9" fontId="0" fillId="0" borderId="0" xfId="2" applyFont="1"/>
    <xf numFmtId="9" fontId="0" fillId="0" borderId="0" xfId="2" applyFont="1" applyBorder="1"/>
    <xf numFmtId="0" fontId="0" fillId="0" borderId="0" xfId="0" applyAlignment="1">
      <alignment horizontal="center"/>
    </xf>
    <xf numFmtId="165" fontId="0" fillId="0" borderId="0" xfId="0" applyNumberFormat="1"/>
    <xf numFmtId="11" fontId="0" fillId="0" borderId="0" xfId="0" applyNumberFormat="1"/>
    <xf numFmtId="1" fontId="0" fillId="0" borderId="0" xfId="0" applyNumberFormat="1"/>
    <xf numFmtId="1" fontId="3" fillId="2" borderId="0" xfId="0" applyNumberFormat="1" applyFont="1" applyFill="1"/>
    <xf numFmtId="1" fontId="2" fillId="0" borderId="0" xfId="0" applyNumberFormat="1" applyFont="1"/>
    <xf numFmtId="166" fontId="2" fillId="0" borderId="0" xfId="0" applyNumberFormat="1" applyFont="1"/>
    <xf numFmtId="44" fontId="2" fillId="0" borderId="0" xfId="0" applyNumberFormat="1" applyFont="1"/>
    <xf numFmtId="166" fontId="2" fillId="0" borderId="0" xfId="1" applyNumberFormat="1" applyFont="1"/>
    <xf numFmtId="0" fontId="0" fillId="0" borderId="0" xfId="0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cases!$N$2</c:f>
              <c:strCache>
                <c:ptCount val="1"/>
                <c:pt idx="0">
                  <c:v>Delta NPV (M$)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cases!$O$3:$O$7</c:f>
                <c:numCache>
                  <c:formatCode>General</c:formatCode>
                  <c:ptCount val="5"/>
                  <c:pt idx="0">
                    <c:v>20884350.143897209</c:v>
                  </c:pt>
                  <c:pt idx="1">
                    <c:v>59328188.226587601</c:v>
                  </c:pt>
                  <c:pt idx="2">
                    <c:v>2154.9278573199999</c:v>
                  </c:pt>
                  <c:pt idx="3">
                    <c:v>1111634.6500761474</c:v>
                  </c:pt>
                  <c:pt idx="4">
                    <c:v>171798092.53633958</c:v>
                  </c:pt>
                </c:numCache>
              </c:numRef>
            </c:plus>
            <c:minus>
              <c:numRef>
                <c:f>cases!$O$3:$O$7</c:f>
                <c:numCache>
                  <c:formatCode>General</c:formatCode>
                  <c:ptCount val="5"/>
                  <c:pt idx="0">
                    <c:v>20884350.143897209</c:v>
                  </c:pt>
                  <c:pt idx="1">
                    <c:v>59328188.226587601</c:v>
                  </c:pt>
                  <c:pt idx="2">
                    <c:v>2154.9278573199999</c:v>
                  </c:pt>
                  <c:pt idx="3">
                    <c:v>1111634.6500761474</c:v>
                  </c:pt>
                  <c:pt idx="4">
                    <c:v>171798092.53633958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cases!$A$3:$A$7</c:f>
              <c:strCache>
                <c:ptCount val="5"/>
                <c:pt idx="0">
                  <c:v>BRAIDWOOD</c:v>
                </c:pt>
                <c:pt idx="1">
                  <c:v>COOPER</c:v>
                </c:pt>
                <c:pt idx="2">
                  <c:v>DAVIS-BESSE</c:v>
                </c:pt>
                <c:pt idx="3">
                  <c:v>PRAIRIE-ISLAND</c:v>
                </c:pt>
                <c:pt idx="4">
                  <c:v>STP</c:v>
                </c:pt>
              </c:strCache>
            </c:strRef>
          </c:cat>
          <c:val>
            <c:numRef>
              <c:f>cases!$N$3:$N$7</c:f>
              <c:numCache>
                <c:formatCode>_("$"* #,##0.00_);_("$"* \(#,##0.00\);_("$"* "-"??_);_(@_)</c:formatCode>
                <c:ptCount val="5"/>
                <c:pt idx="0">
                  <c:v>1305897263.1300001</c:v>
                </c:pt>
                <c:pt idx="1">
                  <c:v>882854724.43999994</c:v>
                </c:pt>
                <c:pt idx="2">
                  <c:v>591488449.03000021</c:v>
                </c:pt>
                <c:pt idx="3">
                  <c:v>914678100.61800003</c:v>
                </c:pt>
                <c:pt idx="4">
                  <c:v>138177069.53999996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8-794E-A7DC-932C02F6F7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24376752"/>
        <c:axId val="2124379024"/>
      </c:barChart>
      <c:catAx>
        <c:axId val="2124376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79024"/>
        <c:crosses val="autoZero"/>
        <c:auto val="1"/>
        <c:lblAlgn val="ctr"/>
        <c:lblOffset val="100"/>
        <c:noMultiLvlLbl val="0"/>
      </c:catAx>
      <c:valAx>
        <c:axId val="2124379024"/>
        <c:scaling>
          <c:orientation val="minMax"/>
          <c:max val="15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76752"/>
        <c:crosses val="autoZero"/>
        <c:crossBetween val="between"/>
        <c:majorUnit val="250000000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[1]Sheet1!$A$15</c:f>
              <c:strCache>
                <c:ptCount val="1"/>
                <c:pt idx="0">
                  <c:v>Braidwood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[1]Sheet1!$B$14:$M$14</c:f>
              <c:strCache>
                <c:ptCount val="12"/>
                <c:pt idx="0">
                  <c:v>HTSE CAPEX</c:v>
                </c:pt>
                <c:pt idx="1">
                  <c:v>HTSE OM</c:v>
                </c:pt>
                <c:pt idx="2">
                  <c:v>Cap Market</c:v>
                </c:pt>
                <c:pt idx="3">
                  <c:v>FT CAPEX</c:v>
                </c:pt>
                <c:pt idx="4">
                  <c:v>FT OM</c:v>
                </c:pt>
                <c:pt idx="5">
                  <c:v>CO2</c:v>
                </c:pt>
                <c:pt idx="6">
                  <c:v>H2 PTC</c:v>
                </c:pt>
                <c:pt idx="7">
                  <c:v>Electricity sales</c:v>
                </c:pt>
                <c:pt idx="8">
                  <c:v>Naphta</c:v>
                </c:pt>
                <c:pt idx="9">
                  <c:v>Diesel</c:v>
                </c:pt>
                <c:pt idx="10">
                  <c:v>Jet fuel</c:v>
                </c:pt>
                <c:pt idx="11">
                  <c:v>Storage CAPEX</c:v>
                </c:pt>
              </c:strCache>
            </c:strRef>
          </c:cat>
          <c:val>
            <c:numRef>
              <c:f>[1]Sheet1!$B$15:$M$15</c:f>
              <c:numCache>
                <c:formatCode>General</c:formatCode>
                <c:ptCount val="12"/>
                <c:pt idx="0">
                  <c:v>-659880291.82986307</c:v>
                </c:pt>
                <c:pt idx="1">
                  <c:v>-500016329.72802901</c:v>
                </c:pt>
                <c:pt idx="2">
                  <c:v>-283687374.01916456</c:v>
                </c:pt>
                <c:pt idx="3">
                  <c:v>-259751536.196316</c:v>
                </c:pt>
                <c:pt idx="4">
                  <c:v>-230809403.49076161</c:v>
                </c:pt>
                <c:pt idx="5">
                  <c:v>-772932308.83213401</c:v>
                </c:pt>
                <c:pt idx="6">
                  <c:v>4780292061.4843102</c:v>
                </c:pt>
                <c:pt idx="7">
                  <c:v>181380.53936527201</c:v>
                </c:pt>
                <c:pt idx="8">
                  <c:v>289357020.33652401</c:v>
                </c:pt>
                <c:pt idx="9">
                  <c:v>332766855.70381898</c:v>
                </c:pt>
                <c:pt idx="10">
                  <c:v>712866784.515607</c:v>
                </c:pt>
                <c:pt idx="11">
                  <c:v>-5000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6-224C-AEAA-556403606C54}"/>
            </c:ext>
          </c:extLst>
        </c:ser>
        <c:ser>
          <c:idx val="1"/>
          <c:order val="1"/>
          <c:tx>
            <c:strRef>
              <c:f>[1]Sheet1!$A$16</c:f>
              <c:strCache>
                <c:ptCount val="1"/>
                <c:pt idx="0">
                  <c:v>Cooper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[1]Sheet1!$B$14:$M$14</c:f>
              <c:strCache>
                <c:ptCount val="12"/>
                <c:pt idx="0">
                  <c:v>HTSE CAPEX</c:v>
                </c:pt>
                <c:pt idx="1">
                  <c:v>HTSE OM</c:v>
                </c:pt>
                <c:pt idx="2">
                  <c:v>Cap Market</c:v>
                </c:pt>
                <c:pt idx="3">
                  <c:v>FT CAPEX</c:v>
                </c:pt>
                <c:pt idx="4">
                  <c:v>FT OM</c:v>
                </c:pt>
                <c:pt idx="5">
                  <c:v>CO2</c:v>
                </c:pt>
                <c:pt idx="6">
                  <c:v>H2 PTC</c:v>
                </c:pt>
                <c:pt idx="7">
                  <c:v>Electricity sales</c:v>
                </c:pt>
                <c:pt idx="8">
                  <c:v>Naphta</c:v>
                </c:pt>
                <c:pt idx="9">
                  <c:v>Diesel</c:v>
                </c:pt>
                <c:pt idx="10">
                  <c:v>Jet fuel</c:v>
                </c:pt>
                <c:pt idx="11">
                  <c:v>Storage CAPEX</c:v>
                </c:pt>
              </c:strCache>
            </c:strRef>
          </c:cat>
          <c:val>
            <c:numRef>
              <c:f>[1]Sheet1!$B$16:$M$16</c:f>
              <c:numCache>
                <c:formatCode>General</c:formatCode>
                <c:ptCount val="12"/>
                <c:pt idx="0">
                  <c:v>-445702389.63329995</c:v>
                </c:pt>
                <c:pt idx="1">
                  <c:v>-324373084.37258297</c:v>
                </c:pt>
                <c:pt idx="2">
                  <c:v>-182854574.46838459</c:v>
                </c:pt>
                <c:pt idx="3">
                  <c:v>-198967386.2515654</c:v>
                </c:pt>
                <c:pt idx="4">
                  <c:v>-232389965.06976801</c:v>
                </c:pt>
                <c:pt idx="5">
                  <c:v>-663652627.02780199</c:v>
                </c:pt>
                <c:pt idx="6">
                  <c:v>3059708327.5964799</c:v>
                </c:pt>
                <c:pt idx="7">
                  <c:v>147030.870178374</c:v>
                </c:pt>
                <c:pt idx="8">
                  <c:v>175167312.65753701</c:v>
                </c:pt>
                <c:pt idx="9">
                  <c:v>266844867.878654</c:v>
                </c:pt>
                <c:pt idx="10">
                  <c:v>487506058.74188602</c:v>
                </c:pt>
                <c:pt idx="11">
                  <c:v>-5000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F6-224C-AEAA-556403606C54}"/>
            </c:ext>
          </c:extLst>
        </c:ser>
        <c:ser>
          <c:idx val="2"/>
          <c:order val="2"/>
          <c:tx>
            <c:strRef>
              <c:f>[1]Sheet1!$A$17</c:f>
              <c:strCache>
                <c:ptCount val="1"/>
                <c:pt idx="0">
                  <c:v>Davis-Besse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[1]Sheet1!$B$14:$M$14</c:f>
              <c:strCache>
                <c:ptCount val="12"/>
                <c:pt idx="0">
                  <c:v>HTSE CAPEX</c:v>
                </c:pt>
                <c:pt idx="1">
                  <c:v>HTSE OM</c:v>
                </c:pt>
                <c:pt idx="2">
                  <c:v>Cap Market</c:v>
                </c:pt>
                <c:pt idx="3">
                  <c:v>FT CAPEX</c:v>
                </c:pt>
                <c:pt idx="4">
                  <c:v>FT OM</c:v>
                </c:pt>
                <c:pt idx="5">
                  <c:v>CO2</c:v>
                </c:pt>
                <c:pt idx="6">
                  <c:v>H2 PTC</c:v>
                </c:pt>
                <c:pt idx="7">
                  <c:v>Electricity sales</c:v>
                </c:pt>
                <c:pt idx="8">
                  <c:v>Naphta</c:v>
                </c:pt>
                <c:pt idx="9">
                  <c:v>Diesel</c:v>
                </c:pt>
                <c:pt idx="10">
                  <c:v>Jet fuel</c:v>
                </c:pt>
                <c:pt idx="11">
                  <c:v>Storage CAPEX</c:v>
                </c:pt>
              </c:strCache>
            </c:strRef>
          </c:cat>
          <c:val>
            <c:numRef>
              <c:f>[1]Sheet1!$B$17:$M$17</c:f>
              <c:numCache>
                <c:formatCode>General</c:formatCode>
                <c:ptCount val="12"/>
                <c:pt idx="0">
                  <c:v>-528759325.05704498</c:v>
                </c:pt>
                <c:pt idx="1">
                  <c:v>-390960462.95708597</c:v>
                </c:pt>
                <c:pt idx="2">
                  <c:v>-212581225.27934557</c:v>
                </c:pt>
                <c:pt idx="3">
                  <c:v>-226050666.882393</c:v>
                </c:pt>
                <c:pt idx="4">
                  <c:v>-236403160.52235711</c:v>
                </c:pt>
                <c:pt idx="5">
                  <c:v>-890215763.09717703</c:v>
                </c:pt>
                <c:pt idx="6">
                  <c:v>3566914568.7290902</c:v>
                </c:pt>
                <c:pt idx="7">
                  <c:v>230544.65936366501</c:v>
                </c:pt>
                <c:pt idx="8">
                  <c:v>343875625.39085001</c:v>
                </c:pt>
                <c:pt idx="9">
                  <c:v>323507771.63072997</c:v>
                </c:pt>
                <c:pt idx="10">
                  <c:v>607700986.01472199</c:v>
                </c:pt>
                <c:pt idx="11">
                  <c:v>-5000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F6-224C-AEAA-556403606C54}"/>
            </c:ext>
          </c:extLst>
        </c:ser>
        <c:ser>
          <c:idx val="3"/>
          <c:order val="3"/>
          <c:tx>
            <c:strRef>
              <c:f>[1]Sheet1!$A$18</c:f>
              <c:strCache>
                <c:ptCount val="1"/>
                <c:pt idx="0">
                  <c:v>Prairie-Island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[1]Sheet1!$B$14:$M$14</c:f>
              <c:strCache>
                <c:ptCount val="12"/>
                <c:pt idx="0">
                  <c:v>HTSE CAPEX</c:v>
                </c:pt>
                <c:pt idx="1">
                  <c:v>HTSE OM</c:v>
                </c:pt>
                <c:pt idx="2">
                  <c:v>Cap Market</c:v>
                </c:pt>
                <c:pt idx="3">
                  <c:v>FT CAPEX</c:v>
                </c:pt>
                <c:pt idx="4">
                  <c:v>FT OM</c:v>
                </c:pt>
                <c:pt idx="5">
                  <c:v>CO2</c:v>
                </c:pt>
                <c:pt idx="6">
                  <c:v>H2 PTC</c:v>
                </c:pt>
                <c:pt idx="7">
                  <c:v>Electricity sales</c:v>
                </c:pt>
                <c:pt idx="8">
                  <c:v>Naphta</c:v>
                </c:pt>
                <c:pt idx="9">
                  <c:v>Diesel</c:v>
                </c:pt>
                <c:pt idx="10">
                  <c:v>Jet fuel</c:v>
                </c:pt>
                <c:pt idx="11">
                  <c:v>Storage CAPEX</c:v>
                </c:pt>
              </c:strCache>
            </c:strRef>
          </c:cat>
          <c:val>
            <c:numRef>
              <c:f>[1]Sheet1!$B$18:$M$18</c:f>
              <c:numCache>
                <c:formatCode>General</c:formatCode>
                <c:ptCount val="12"/>
                <c:pt idx="0">
                  <c:v>-308302047.21565998</c:v>
                </c:pt>
                <c:pt idx="1">
                  <c:v>-215306257.5244239</c:v>
                </c:pt>
                <c:pt idx="2">
                  <c:v>-124114712.46592456</c:v>
                </c:pt>
                <c:pt idx="3">
                  <c:v>-153929558.3589085</c:v>
                </c:pt>
                <c:pt idx="4">
                  <c:v>-231368779.19221839</c:v>
                </c:pt>
                <c:pt idx="5">
                  <c:v>-473249011.88508302</c:v>
                </c:pt>
                <c:pt idx="6">
                  <c:v>2057406787.0966201</c:v>
                </c:pt>
                <c:pt idx="7">
                  <c:v>4620752.2735904995</c:v>
                </c:pt>
                <c:pt idx="8">
                  <c:v>168074450.597473</c:v>
                </c:pt>
                <c:pt idx="9">
                  <c:v>172007346.60569799</c:v>
                </c:pt>
                <c:pt idx="10">
                  <c:v>296388471.49692601</c:v>
                </c:pt>
                <c:pt idx="11">
                  <c:v>-17500000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F6-224C-AEAA-556403606C54}"/>
            </c:ext>
          </c:extLst>
        </c:ser>
        <c:ser>
          <c:idx val="4"/>
          <c:order val="4"/>
          <c:tx>
            <c:strRef>
              <c:f>[1]Sheet1!$A$19</c:f>
              <c:strCache>
                <c:ptCount val="1"/>
                <c:pt idx="0">
                  <c:v>STP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[1]Sheet1!$B$14:$M$14</c:f>
              <c:strCache>
                <c:ptCount val="12"/>
                <c:pt idx="0">
                  <c:v>HTSE CAPEX</c:v>
                </c:pt>
                <c:pt idx="1">
                  <c:v>HTSE OM</c:v>
                </c:pt>
                <c:pt idx="2">
                  <c:v>Cap Market</c:v>
                </c:pt>
                <c:pt idx="3">
                  <c:v>FT CAPEX</c:v>
                </c:pt>
                <c:pt idx="4">
                  <c:v>FT OM</c:v>
                </c:pt>
                <c:pt idx="5">
                  <c:v>CO2</c:v>
                </c:pt>
                <c:pt idx="6">
                  <c:v>H2 PTC</c:v>
                </c:pt>
                <c:pt idx="7">
                  <c:v>Electricity sales</c:v>
                </c:pt>
                <c:pt idx="8">
                  <c:v>Naphta</c:v>
                </c:pt>
                <c:pt idx="9">
                  <c:v>Diesel</c:v>
                </c:pt>
                <c:pt idx="10">
                  <c:v>Jet fuel</c:v>
                </c:pt>
                <c:pt idx="11">
                  <c:v>Storage CAPEX</c:v>
                </c:pt>
              </c:strCache>
            </c:strRef>
          </c:cat>
          <c:val>
            <c:numRef>
              <c:f>[1]Sheet1!$B$19:$M$19</c:f>
              <c:numCache>
                <c:formatCode>General</c:formatCode>
                <c:ptCount val="12"/>
                <c:pt idx="0">
                  <c:v>-735892434.635059</c:v>
                </c:pt>
                <c:pt idx="1">
                  <c:v>-550901319.244735</c:v>
                </c:pt>
                <c:pt idx="2">
                  <c:v>-304377122.98359358</c:v>
                </c:pt>
                <c:pt idx="3">
                  <c:v>-283907522.79646802</c:v>
                </c:pt>
                <c:pt idx="4">
                  <c:v>-236403160.52235711</c:v>
                </c:pt>
                <c:pt idx="5">
                  <c:v>-2013144975.2023101</c:v>
                </c:pt>
                <c:pt idx="6">
                  <c:v>5133263037.0468998</c:v>
                </c:pt>
                <c:pt idx="7">
                  <c:v>234983554.446565</c:v>
                </c:pt>
                <c:pt idx="8">
                  <c:v>300752335.53216898</c:v>
                </c:pt>
                <c:pt idx="9">
                  <c:v>522506051.25383598</c:v>
                </c:pt>
                <c:pt idx="10">
                  <c:v>915385484.95796096</c:v>
                </c:pt>
                <c:pt idx="11">
                  <c:v>-200000000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F6-224C-AEAA-556403606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9935199"/>
        <c:axId val="789936927"/>
      </c:barChart>
      <c:catAx>
        <c:axId val="78993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936927"/>
        <c:crosses val="autoZero"/>
        <c:auto val="1"/>
        <c:lblAlgn val="ctr"/>
        <c:lblOffset val="100"/>
        <c:noMultiLvlLbl val="0"/>
      </c:catAx>
      <c:valAx>
        <c:axId val="78993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935199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[1]Sheet1!$A$15</c:f>
              <c:strCache>
                <c:ptCount val="1"/>
                <c:pt idx="0">
                  <c:v>Braidwood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[1]Sheet1!$B$14:$M$14</c:f>
              <c:strCache>
                <c:ptCount val="12"/>
                <c:pt idx="0">
                  <c:v>HTSE CAPEX</c:v>
                </c:pt>
                <c:pt idx="1">
                  <c:v>HTSE OM</c:v>
                </c:pt>
                <c:pt idx="2">
                  <c:v>Cap Market</c:v>
                </c:pt>
                <c:pt idx="3">
                  <c:v>FT CAPEX</c:v>
                </c:pt>
                <c:pt idx="4">
                  <c:v>FT OM</c:v>
                </c:pt>
                <c:pt idx="5">
                  <c:v>CO2</c:v>
                </c:pt>
                <c:pt idx="6">
                  <c:v>H2 PTC</c:v>
                </c:pt>
                <c:pt idx="7">
                  <c:v>Electricity sales</c:v>
                </c:pt>
                <c:pt idx="8">
                  <c:v>Naphta</c:v>
                </c:pt>
                <c:pt idx="9">
                  <c:v>Diesel</c:v>
                </c:pt>
                <c:pt idx="10">
                  <c:v>Jet fuel</c:v>
                </c:pt>
                <c:pt idx="11">
                  <c:v>Storage CAPEX</c:v>
                </c:pt>
              </c:strCache>
            </c:strRef>
          </c:cat>
          <c:val>
            <c:numRef>
              <c:f>[1]Sheet1!$B$15:$M$15</c:f>
              <c:numCache>
                <c:formatCode>General</c:formatCode>
                <c:ptCount val="12"/>
                <c:pt idx="0">
                  <c:v>-659880291.82986307</c:v>
                </c:pt>
                <c:pt idx="1">
                  <c:v>-500016329.72802901</c:v>
                </c:pt>
                <c:pt idx="2">
                  <c:v>-283687374.01916456</c:v>
                </c:pt>
                <c:pt idx="3">
                  <c:v>-259751536.196316</c:v>
                </c:pt>
                <c:pt idx="4">
                  <c:v>-230809403.49076161</c:v>
                </c:pt>
                <c:pt idx="5">
                  <c:v>-772932308.83213401</c:v>
                </c:pt>
                <c:pt idx="6">
                  <c:v>4780292061.4843102</c:v>
                </c:pt>
                <c:pt idx="7">
                  <c:v>181380.53936527201</c:v>
                </c:pt>
                <c:pt idx="8">
                  <c:v>289357020.33652401</c:v>
                </c:pt>
                <c:pt idx="9">
                  <c:v>332766855.70381898</c:v>
                </c:pt>
                <c:pt idx="10">
                  <c:v>712866784.515607</c:v>
                </c:pt>
                <c:pt idx="11">
                  <c:v>-5000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EA-8046-8EBE-135350765211}"/>
            </c:ext>
          </c:extLst>
        </c:ser>
        <c:ser>
          <c:idx val="1"/>
          <c:order val="1"/>
          <c:tx>
            <c:strRef>
              <c:f>[1]Sheet1!$A$16</c:f>
              <c:strCache>
                <c:ptCount val="1"/>
                <c:pt idx="0">
                  <c:v>Cooper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[1]Sheet1!$B$14:$M$14</c:f>
              <c:strCache>
                <c:ptCount val="12"/>
                <c:pt idx="0">
                  <c:v>HTSE CAPEX</c:v>
                </c:pt>
                <c:pt idx="1">
                  <c:v>HTSE OM</c:v>
                </c:pt>
                <c:pt idx="2">
                  <c:v>Cap Market</c:v>
                </c:pt>
                <c:pt idx="3">
                  <c:v>FT CAPEX</c:v>
                </c:pt>
                <c:pt idx="4">
                  <c:v>FT OM</c:v>
                </c:pt>
                <c:pt idx="5">
                  <c:v>CO2</c:v>
                </c:pt>
                <c:pt idx="6">
                  <c:v>H2 PTC</c:v>
                </c:pt>
                <c:pt idx="7">
                  <c:v>Electricity sales</c:v>
                </c:pt>
                <c:pt idx="8">
                  <c:v>Naphta</c:v>
                </c:pt>
                <c:pt idx="9">
                  <c:v>Diesel</c:v>
                </c:pt>
                <c:pt idx="10">
                  <c:v>Jet fuel</c:v>
                </c:pt>
                <c:pt idx="11">
                  <c:v>Storage CAPEX</c:v>
                </c:pt>
              </c:strCache>
            </c:strRef>
          </c:cat>
          <c:val>
            <c:numRef>
              <c:f>[1]Sheet1!$B$16:$M$16</c:f>
              <c:numCache>
                <c:formatCode>General</c:formatCode>
                <c:ptCount val="12"/>
                <c:pt idx="0">
                  <c:v>-445702389.63329995</c:v>
                </c:pt>
                <c:pt idx="1">
                  <c:v>-324373084.37258297</c:v>
                </c:pt>
                <c:pt idx="2">
                  <c:v>-182854574.46838459</c:v>
                </c:pt>
                <c:pt idx="3">
                  <c:v>-198967386.2515654</c:v>
                </c:pt>
                <c:pt idx="4">
                  <c:v>-232389965.06976801</c:v>
                </c:pt>
                <c:pt idx="5">
                  <c:v>-663652627.02780199</c:v>
                </c:pt>
                <c:pt idx="6">
                  <c:v>3059708327.5964799</c:v>
                </c:pt>
                <c:pt idx="7">
                  <c:v>147030.870178374</c:v>
                </c:pt>
                <c:pt idx="8">
                  <c:v>175167312.65753701</c:v>
                </c:pt>
                <c:pt idx="9">
                  <c:v>266844867.878654</c:v>
                </c:pt>
                <c:pt idx="10">
                  <c:v>487506058.74188602</c:v>
                </c:pt>
                <c:pt idx="11">
                  <c:v>-5000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EA-8046-8EBE-135350765211}"/>
            </c:ext>
          </c:extLst>
        </c:ser>
        <c:ser>
          <c:idx val="2"/>
          <c:order val="2"/>
          <c:tx>
            <c:strRef>
              <c:f>[1]Sheet1!$A$17</c:f>
              <c:strCache>
                <c:ptCount val="1"/>
                <c:pt idx="0">
                  <c:v>Davis-Besse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[1]Sheet1!$B$14:$M$14</c:f>
              <c:strCache>
                <c:ptCount val="12"/>
                <c:pt idx="0">
                  <c:v>HTSE CAPEX</c:v>
                </c:pt>
                <c:pt idx="1">
                  <c:v>HTSE OM</c:v>
                </c:pt>
                <c:pt idx="2">
                  <c:v>Cap Market</c:v>
                </c:pt>
                <c:pt idx="3">
                  <c:v>FT CAPEX</c:v>
                </c:pt>
                <c:pt idx="4">
                  <c:v>FT OM</c:v>
                </c:pt>
                <c:pt idx="5">
                  <c:v>CO2</c:v>
                </c:pt>
                <c:pt idx="6">
                  <c:v>H2 PTC</c:v>
                </c:pt>
                <c:pt idx="7">
                  <c:v>Electricity sales</c:v>
                </c:pt>
                <c:pt idx="8">
                  <c:v>Naphta</c:v>
                </c:pt>
                <c:pt idx="9">
                  <c:v>Diesel</c:v>
                </c:pt>
                <c:pt idx="10">
                  <c:v>Jet fuel</c:v>
                </c:pt>
                <c:pt idx="11">
                  <c:v>Storage CAPEX</c:v>
                </c:pt>
              </c:strCache>
            </c:strRef>
          </c:cat>
          <c:val>
            <c:numRef>
              <c:f>[1]Sheet1!$B$17:$M$17</c:f>
              <c:numCache>
                <c:formatCode>General</c:formatCode>
                <c:ptCount val="12"/>
                <c:pt idx="0">
                  <c:v>-528759325.05704498</c:v>
                </c:pt>
                <c:pt idx="1">
                  <c:v>-390960462.95708597</c:v>
                </c:pt>
                <c:pt idx="2">
                  <c:v>-212581225.27934557</c:v>
                </c:pt>
                <c:pt idx="3">
                  <c:v>-226050666.882393</c:v>
                </c:pt>
                <c:pt idx="4">
                  <c:v>-236403160.52235711</c:v>
                </c:pt>
                <c:pt idx="5">
                  <c:v>-890215763.09717703</c:v>
                </c:pt>
                <c:pt idx="6">
                  <c:v>3566914568.7290902</c:v>
                </c:pt>
                <c:pt idx="7">
                  <c:v>230544.65936366501</c:v>
                </c:pt>
                <c:pt idx="8">
                  <c:v>343875625.39085001</c:v>
                </c:pt>
                <c:pt idx="9">
                  <c:v>323507771.63072997</c:v>
                </c:pt>
                <c:pt idx="10">
                  <c:v>607700986.01472199</c:v>
                </c:pt>
                <c:pt idx="11">
                  <c:v>-5000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EA-8046-8EBE-135350765211}"/>
            </c:ext>
          </c:extLst>
        </c:ser>
        <c:ser>
          <c:idx val="3"/>
          <c:order val="3"/>
          <c:tx>
            <c:strRef>
              <c:f>[1]Sheet1!$A$18</c:f>
              <c:strCache>
                <c:ptCount val="1"/>
                <c:pt idx="0">
                  <c:v>Prairie-Island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[1]Sheet1!$B$14:$M$14</c:f>
              <c:strCache>
                <c:ptCount val="12"/>
                <c:pt idx="0">
                  <c:v>HTSE CAPEX</c:v>
                </c:pt>
                <c:pt idx="1">
                  <c:v>HTSE OM</c:v>
                </c:pt>
                <c:pt idx="2">
                  <c:v>Cap Market</c:v>
                </c:pt>
                <c:pt idx="3">
                  <c:v>FT CAPEX</c:v>
                </c:pt>
                <c:pt idx="4">
                  <c:v>FT OM</c:v>
                </c:pt>
                <c:pt idx="5">
                  <c:v>CO2</c:v>
                </c:pt>
                <c:pt idx="6">
                  <c:v>H2 PTC</c:v>
                </c:pt>
                <c:pt idx="7">
                  <c:v>Electricity sales</c:v>
                </c:pt>
                <c:pt idx="8">
                  <c:v>Naphta</c:v>
                </c:pt>
                <c:pt idx="9">
                  <c:v>Diesel</c:v>
                </c:pt>
                <c:pt idx="10">
                  <c:v>Jet fuel</c:v>
                </c:pt>
                <c:pt idx="11">
                  <c:v>Storage CAPEX</c:v>
                </c:pt>
              </c:strCache>
            </c:strRef>
          </c:cat>
          <c:val>
            <c:numRef>
              <c:f>[1]Sheet1!$B$18:$M$18</c:f>
              <c:numCache>
                <c:formatCode>General</c:formatCode>
                <c:ptCount val="12"/>
                <c:pt idx="0">
                  <c:v>-308302047.21565998</c:v>
                </c:pt>
                <c:pt idx="1">
                  <c:v>-215306257.5244239</c:v>
                </c:pt>
                <c:pt idx="2">
                  <c:v>-124114712.46592456</c:v>
                </c:pt>
                <c:pt idx="3">
                  <c:v>-153929558.3589085</c:v>
                </c:pt>
                <c:pt idx="4">
                  <c:v>-231368779.19221839</c:v>
                </c:pt>
                <c:pt idx="5">
                  <c:v>-473249011.88508302</c:v>
                </c:pt>
                <c:pt idx="6">
                  <c:v>2057406787.0966201</c:v>
                </c:pt>
                <c:pt idx="7">
                  <c:v>4620752.2735904995</c:v>
                </c:pt>
                <c:pt idx="8">
                  <c:v>168074450.597473</c:v>
                </c:pt>
                <c:pt idx="9">
                  <c:v>172007346.60569799</c:v>
                </c:pt>
                <c:pt idx="10">
                  <c:v>296388471.49692601</c:v>
                </c:pt>
                <c:pt idx="11">
                  <c:v>-17500000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EA-8046-8EBE-135350765211}"/>
            </c:ext>
          </c:extLst>
        </c:ser>
        <c:ser>
          <c:idx val="4"/>
          <c:order val="4"/>
          <c:tx>
            <c:strRef>
              <c:f>[1]Sheet1!$A$19</c:f>
              <c:strCache>
                <c:ptCount val="1"/>
                <c:pt idx="0">
                  <c:v>STP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[1]Sheet1!$B$14:$M$14</c:f>
              <c:strCache>
                <c:ptCount val="12"/>
                <c:pt idx="0">
                  <c:v>HTSE CAPEX</c:v>
                </c:pt>
                <c:pt idx="1">
                  <c:v>HTSE OM</c:v>
                </c:pt>
                <c:pt idx="2">
                  <c:v>Cap Market</c:v>
                </c:pt>
                <c:pt idx="3">
                  <c:v>FT CAPEX</c:v>
                </c:pt>
                <c:pt idx="4">
                  <c:v>FT OM</c:v>
                </c:pt>
                <c:pt idx="5">
                  <c:v>CO2</c:v>
                </c:pt>
                <c:pt idx="6">
                  <c:v>H2 PTC</c:v>
                </c:pt>
                <c:pt idx="7">
                  <c:v>Electricity sales</c:v>
                </c:pt>
                <c:pt idx="8">
                  <c:v>Naphta</c:v>
                </c:pt>
                <c:pt idx="9">
                  <c:v>Diesel</c:v>
                </c:pt>
                <c:pt idx="10">
                  <c:v>Jet fuel</c:v>
                </c:pt>
                <c:pt idx="11">
                  <c:v>Storage CAPEX</c:v>
                </c:pt>
              </c:strCache>
            </c:strRef>
          </c:cat>
          <c:val>
            <c:numRef>
              <c:f>[1]Sheet1!$B$19:$M$19</c:f>
              <c:numCache>
                <c:formatCode>General</c:formatCode>
                <c:ptCount val="12"/>
                <c:pt idx="0">
                  <c:v>-735892434.635059</c:v>
                </c:pt>
                <c:pt idx="1">
                  <c:v>-550901319.244735</c:v>
                </c:pt>
                <c:pt idx="2">
                  <c:v>-304377122.98359358</c:v>
                </c:pt>
                <c:pt idx="3">
                  <c:v>-283907522.79646802</c:v>
                </c:pt>
                <c:pt idx="4">
                  <c:v>-236403160.52235711</c:v>
                </c:pt>
                <c:pt idx="5">
                  <c:v>-2013144975.2023101</c:v>
                </c:pt>
                <c:pt idx="6">
                  <c:v>5133263037.0468998</c:v>
                </c:pt>
                <c:pt idx="7">
                  <c:v>234983554.446565</c:v>
                </c:pt>
                <c:pt idx="8">
                  <c:v>300752335.53216898</c:v>
                </c:pt>
                <c:pt idx="9">
                  <c:v>522506051.25383598</c:v>
                </c:pt>
                <c:pt idx="10">
                  <c:v>915385484.95796096</c:v>
                </c:pt>
                <c:pt idx="11">
                  <c:v>-200000000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EA-8046-8EBE-135350765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789935199"/>
        <c:axId val="789936927"/>
      </c:barChart>
      <c:catAx>
        <c:axId val="78993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936927"/>
        <c:crosses val="autoZero"/>
        <c:auto val="1"/>
        <c:lblAlgn val="ctr"/>
        <c:lblOffset val="100"/>
        <c:noMultiLvlLbl val="0"/>
      </c:catAx>
      <c:valAx>
        <c:axId val="78993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NPV</a:t>
                </a:r>
                <a:r>
                  <a:rPr lang="en-US" sz="1400" baseline="0"/>
                  <a:t> $bn (2020)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935199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76018574601252"/>
          <c:y val="0.13282057494292504"/>
          <c:w val="0.79406840298808801"/>
          <c:h val="0.79854037180263715"/>
        </c:manualLayout>
      </c:layout>
      <c:barChart>
        <c:barDir val="bar"/>
        <c:grouping val="clustered"/>
        <c:varyColors val="0"/>
        <c:ser>
          <c:idx val="0"/>
          <c:order val="0"/>
          <c:tx>
            <c:v>Low</c:v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 w="31750">
              <a:solidFill>
                <a:schemeClr val="accent1"/>
              </a:solidFill>
            </a:ln>
            <a:effectLst/>
          </c:spPr>
          <c:invertIfNegative val="0"/>
          <c:cat>
            <c:strRef>
              <c:f>braidwood_SA!$A$18:$A$23</c:f>
              <c:strCache>
                <c:ptCount val="6"/>
                <c:pt idx="0">
                  <c:v>H2 PTC</c:v>
                </c:pt>
                <c:pt idx="1">
                  <c:v>CO2 Cost</c:v>
                </c:pt>
                <c:pt idx="2">
                  <c:v>Synfuel Price</c:v>
                </c:pt>
                <c:pt idx="3">
                  <c:v>CAPEX</c:v>
                </c:pt>
                <c:pt idx="4">
                  <c:v>O&amp;M</c:v>
                </c:pt>
                <c:pt idx="5">
                  <c:v>Elec. Price</c:v>
                </c:pt>
              </c:strCache>
            </c:strRef>
          </c:cat>
          <c:val>
            <c:numRef>
              <c:f>braidwood_SA!$B$18:$B$23</c:f>
              <c:numCache>
                <c:formatCode>General</c:formatCode>
                <c:ptCount val="6"/>
                <c:pt idx="0">
                  <c:v>-961918169.88000011</c:v>
                </c:pt>
                <c:pt idx="1">
                  <c:v>895251155.11999989</c:v>
                </c:pt>
                <c:pt idx="2">
                  <c:v>972148741.11999989</c:v>
                </c:pt>
                <c:pt idx="3">
                  <c:v>1535805611.8199997</c:v>
                </c:pt>
                <c:pt idx="4">
                  <c:v>1488604013.21</c:v>
                </c:pt>
                <c:pt idx="5">
                  <c:v>1305852886.8399997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6-DF46-825B-52CEF0CBC6B4}"/>
            </c:ext>
          </c:extLst>
        </c:ser>
        <c:ser>
          <c:idx val="1"/>
          <c:order val="1"/>
          <c:tx>
            <c:strRef>
              <c:f>braidwood_SA!$C$17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alpha val="47000"/>
              </a:schemeClr>
            </a:solidFill>
            <a:ln w="28575">
              <a:solidFill>
                <a:schemeClr val="accent6"/>
              </a:solidFill>
            </a:ln>
            <a:effectLst/>
          </c:spPr>
          <c:invertIfNegative val="0"/>
          <c:cat>
            <c:strRef>
              <c:f>braidwood_SA!$A$18:$A$23</c:f>
              <c:strCache>
                <c:ptCount val="6"/>
                <c:pt idx="0">
                  <c:v>H2 PTC</c:v>
                </c:pt>
                <c:pt idx="1">
                  <c:v>CO2 Cost</c:v>
                </c:pt>
                <c:pt idx="2">
                  <c:v>Synfuel Price</c:v>
                </c:pt>
                <c:pt idx="3">
                  <c:v>CAPEX</c:v>
                </c:pt>
                <c:pt idx="4">
                  <c:v>O&amp;M</c:v>
                </c:pt>
                <c:pt idx="5">
                  <c:v>Elec. Price</c:v>
                </c:pt>
              </c:strCache>
            </c:strRef>
          </c:cat>
          <c:val>
            <c:numRef>
              <c:f>braidwood_SA!$C$18:$C$23</c:f>
              <c:numCache>
                <c:formatCode>General</c:formatCode>
                <c:ptCount val="6"/>
                <c:pt idx="0">
                  <c:v>827867987.11999989</c:v>
                </c:pt>
                <c:pt idx="1">
                  <c:v>484608226.83999968</c:v>
                </c:pt>
                <c:pt idx="2">
                  <c:v>1639645614.7599998</c:v>
                </c:pt>
                <c:pt idx="3">
                  <c:v>1075987720.1199999</c:v>
                </c:pt>
                <c:pt idx="4">
                  <c:v>1123191151.1199999</c:v>
                </c:pt>
                <c:pt idx="5">
                  <c:v>1305941269.1199999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6-DF46-825B-52CEF0CBC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14221104"/>
        <c:axId val="1796024143"/>
      </c:barChart>
      <c:catAx>
        <c:axId val="4142211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024143"/>
        <c:crossesAt val="1305897263"/>
        <c:auto val="1"/>
        <c:lblAlgn val="ctr"/>
        <c:lblOffset val="100"/>
        <c:noMultiLvlLbl val="0"/>
      </c:catAx>
      <c:valAx>
        <c:axId val="179602414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21104"/>
        <c:crosses val="autoZero"/>
        <c:crossBetween val="between"/>
        <c:majorUnit val="200000000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08696499571216"/>
          <c:y val="0.17025369489241651"/>
          <c:w val="0.77674163873080226"/>
          <c:h val="0.76110720451387437"/>
        </c:manualLayout>
      </c:layout>
      <c:barChart>
        <c:barDir val="bar"/>
        <c:grouping val="clustered"/>
        <c:varyColors val="0"/>
        <c:ser>
          <c:idx val="0"/>
          <c:order val="0"/>
          <c:tx>
            <c:v>Low</c:v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 w="31750">
              <a:solidFill>
                <a:schemeClr val="accent1"/>
              </a:solidFill>
            </a:ln>
            <a:effectLst/>
          </c:spPr>
          <c:invertIfNegative val="0"/>
          <c:cat>
            <c:strRef>
              <c:f>braidwood_SA!$A$19:$A$23</c:f>
              <c:strCache>
                <c:ptCount val="5"/>
                <c:pt idx="0">
                  <c:v>CO2 Cost</c:v>
                </c:pt>
                <c:pt idx="1">
                  <c:v>Synfuel Price</c:v>
                </c:pt>
                <c:pt idx="2">
                  <c:v>CAPEX</c:v>
                </c:pt>
                <c:pt idx="3">
                  <c:v>O&amp;M</c:v>
                </c:pt>
                <c:pt idx="4">
                  <c:v>Elec. Price</c:v>
                </c:pt>
              </c:strCache>
            </c:strRef>
          </c:cat>
          <c:val>
            <c:numRef>
              <c:f>braidwood_SA!$B$19:$B$23</c:f>
              <c:numCache>
                <c:formatCode>General</c:formatCode>
                <c:ptCount val="5"/>
                <c:pt idx="0">
                  <c:v>895251155.11999989</c:v>
                </c:pt>
                <c:pt idx="1">
                  <c:v>972148741.11999989</c:v>
                </c:pt>
                <c:pt idx="2">
                  <c:v>1535805611.8199997</c:v>
                </c:pt>
                <c:pt idx="3">
                  <c:v>1488604013.21</c:v>
                </c:pt>
                <c:pt idx="4">
                  <c:v>1305852886.8399997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9-0B41-B1DB-02B2ADF6DD68}"/>
            </c:ext>
          </c:extLst>
        </c:ser>
        <c:ser>
          <c:idx val="1"/>
          <c:order val="1"/>
          <c:tx>
            <c:strRef>
              <c:f>braidwood_SA!$C$17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alpha val="47000"/>
              </a:schemeClr>
            </a:solidFill>
            <a:ln w="28575">
              <a:solidFill>
                <a:schemeClr val="accent6"/>
              </a:solidFill>
            </a:ln>
            <a:effectLst/>
          </c:spPr>
          <c:invertIfNegative val="0"/>
          <c:cat>
            <c:strRef>
              <c:f>braidwood_SA!$A$19:$A$23</c:f>
              <c:strCache>
                <c:ptCount val="5"/>
                <c:pt idx="0">
                  <c:v>CO2 Cost</c:v>
                </c:pt>
                <c:pt idx="1">
                  <c:v>Synfuel Price</c:v>
                </c:pt>
                <c:pt idx="2">
                  <c:v>CAPEX</c:v>
                </c:pt>
                <c:pt idx="3">
                  <c:v>O&amp;M</c:v>
                </c:pt>
                <c:pt idx="4">
                  <c:v>Elec. Price</c:v>
                </c:pt>
              </c:strCache>
            </c:strRef>
          </c:cat>
          <c:val>
            <c:numRef>
              <c:f>braidwood_SA!$C$19:$C$23</c:f>
              <c:numCache>
                <c:formatCode>General</c:formatCode>
                <c:ptCount val="5"/>
                <c:pt idx="0">
                  <c:v>484608226.83999968</c:v>
                </c:pt>
                <c:pt idx="1">
                  <c:v>1639645614.7599998</c:v>
                </c:pt>
                <c:pt idx="2">
                  <c:v>1075987720.1199999</c:v>
                </c:pt>
                <c:pt idx="3">
                  <c:v>1123191151.1199999</c:v>
                </c:pt>
                <c:pt idx="4">
                  <c:v>1305941269.1199999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19-0B41-B1DB-02B2ADF6D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14221104"/>
        <c:axId val="1796024143"/>
      </c:barChart>
      <c:catAx>
        <c:axId val="4142211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024143"/>
        <c:crossesAt val="1305897263"/>
        <c:auto val="1"/>
        <c:lblAlgn val="ctr"/>
        <c:lblOffset val="100"/>
        <c:noMultiLvlLbl val="0"/>
      </c:catAx>
      <c:valAx>
        <c:axId val="179602414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21104"/>
        <c:crosses val="autoZero"/>
        <c:crossBetween val="between"/>
        <c:majorUnit val="200000000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braidwood_h2ptc!$D$4</c:f>
              <c:strCache>
                <c:ptCount val="1"/>
                <c:pt idx="0">
                  <c:v>Delta NPV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braidwood_h2ptc!$A$5:$A$8</c:f>
              <c:strCache>
                <c:ptCount val="4"/>
                <c:pt idx="0">
                  <c:v>$3/kg (ref)</c:v>
                </c:pt>
                <c:pt idx="1">
                  <c:v>$0/kg</c:v>
                </c:pt>
                <c:pt idx="2">
                  <c:v>$1/kg </c:v>
                </c:pt>
                <c:pt idx="3">
                  <c:v>$2.7/kg</c:v>
                </c:pt>
              </c:strCache>
            </c:strRef>
          </c:cat>
          <c:val>
            <c:numRef>
              <c:f>braidwood_h2ptc!$D$5:$D$8</c:f>
              <c:numCache>
                <c:formatCode>General</c:formatCode>
                <c:ptCount val="4"/>
                <c:pt idx="0">
                  <c:v>1305897263.1300001</c:v>
                </c:pt>
                <c:pt idx="1">
                  <c:v>-1491865800.48</c:v>
                </c:pt>
                <c:pt idx="2">
                  <c:v>-961918169.88000011</c:v>
                </c:pt>
                <c:pt idx="3">
                  <c:v>827867987.11999989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7346-87C2-7A1A50560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507324639"/>
        <c:axId val="1507326639"/>
      </c:barChart>
      <c:catAx>
        <c:axId val="1507324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Hydrogen PTC</a:t>
                </a:r>
                <a:r>
                  <a:rPr lang="en-US" sz="1400" baseline="0"/>
                  <a:t> value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26639"/>
        <c:crosses val="autoZero"/>
        <c:auto val="1"/>
        <c:lblAlgn val="ctr"/>
        <c:lblOffset val="100"/>
        <c:noMultiLvlLbl val="0"/>
      </c:catAx>
      <c:valAx>
        <c:axId val="150732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𝞓(NPV)</a:t>
                </a:r>
                <a:r>
                  <a:rPr lang="en-US" sz="1400" baseline="0"/>
                  <a:t> (USD(2020))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24639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braidwood_h2ptc!$B$10</c:f>
              <c:strCache>
                <c:ptCount val="1"/>
                <c:pt idx="0">
                  <c:v>Delta NPV variation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braidwood_h2ptc!$A$11:$A$13</c:f>
              <c:numCache>
                <c:formatCode>0%</c:formatCode>
                <c:ptCount val="3"/>
                <c:pt idx="0">
                  <c:v>-1</c:v>
                </c:pt>
                <c:pt idx="1">
                  <c:v>-0.66666666666666663</c:v>
                </c:pt>
                <c:pt idx="2">
                  <c:v>-9.9999999999999936E-2</c:v>
                </c:pt>
              </c:numCache>
            </c:numRef>
          </c:xVal>
          <c:yVal>
            <c:numRef>
              <c:f>braidwood_h2ptc!$B$11:$B$13</c:f>
              <c:numCache>
                <c:formatCode>0%</c:formatCode>
                <c:ptCount val="3"/>
                <c:pt idx="0">
                  <c:v>-2.142406713453298</c:v>
                </c:pt>
                <c:pt idx="1">
                  <c:v>-1.7365955937256932</c:v>
                </c:pt>
                <c:pt idx="2">
                  <c:v>-0.36605427509990357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4-354B-B392-EAE6C5303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100703"/>
        <c:axId val="1484168847"/>
      </c:scatterChart>
      <c:valAx>
        <c:axId val="14841007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168847"/>
        <c:crosses val="autoZero"/>
        <c:crossBetween val="midCat"/>
      </c:valAx>
      <c:valAx>
        <c:axId val="148416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100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977900</xdr:colOff>
      <xdr:row>14</xdr:row>
      <xdr:rowOff>190500</xdr:rowOff>
    </xdr:from>
    <xdr:to>
      <xdr:col>13</xdr:col>
      <xdr:colOff>647700</xdr:colOff>
      <xdr:row>36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791DDA-9A7C-F0A4-11B7-20F0EC074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215900</xdr:colOff>
      <xdr:row>21</xdr:row>
      <xdr:rowOff>0</xdr:rowOff>
    </xdr:from>
    <xdr:to>
      <xdr:col>15</xdr:col>
      <xdr:colOff>355600</xdr:colOff>
      <xdr:row>52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477DFA-20EF-9918-2760-CB2CC2A82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215900</xdr:colOff>
      <xdr:row>21</xdr:row>
      <xdr:rowOff>0</xdr:rowOff>
    </xdr:from>
    <xdr:to>
      <xdr:col>15</xdr:col>
      <xdr:colOff>355600</xdr:colOff>
      <xdr:row>52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03CA3E-6460-F043-BAAE-1EC79A1CC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8</xdr:row>
      <xdr:rowOff>44450</xdr:rowOff>
    </xdr:from>
    <xdr:to>
      <xdr:col>22</xdr:col>
      <xdr:colOff>12700</xdr:colOff>
      <xdr:row>32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0287DE-5719-7713-E572-18F3E1BCA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927100</xdr:colOff>
      <xdr:row>34</xdr:row>
      <xdr:rowOff>0</xdr:rowOff>
    </xdr:from>
    <xdr:to>
      <xdr:col>12</xdr:col>
      <xdr:colOff>571500</xdr:colOff>
      <xdr:row>57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5CA4ED-6DCF-9C4C-BE34-3E4285656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0.00486</cdr:x>
      <cdr:y>0.85414</cdr:y>
    </cdr:from>
    <cdr:to>
      <cdr:x>0.09444</cdr:x>
      <cdr:y>0.92583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FCFB347-86E3-68C2-1ACD-C064B58A522B}"/>
            </a:ext>
          </a:extLst>
        </cdr:cNvPr>
        <cdr:cNvSpPr txBox="1"/>
      </cdr:nvSpPr>
      <cdr:spPr>
        <a:xfrm xmlns:a="http://schemas.openxmlformats.org/drawingml/2006/main">
          <a:off x="57150" y="4387850"/>
          <a:ext cx="1054100" cy="368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0.00849</cdr:x>
      <cdr:y>0.33838</cdr:y>
    </cdr:from>
    <cdr:to>
      <cdr:x>0.112</cdr:x>
      <cdr:y>0.4311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82866D9-D847-D3F5-3422-E895513A3DB1}"/>
            </a:ext>
          </a:extLst>
        </cdr:cNvPr>
        <cdr:cNvSpPr txBox="1"/>
      </cdr:nvSpPr>
      <cdr:spPr>
        <a:xfrm xmlns:a="http://schemas.openxmlformats.org/drawingml/2006/main">
          <a:off x="101601" y="1699619"/>
          <a:ext cx="1238282" cy="4657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+30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+60</a:t>
          </a:r>
          <a:r>
            <a:rPr lang="en-US" sz="1200"/>
            <a:t>]</a:t>
          </a:r>
          <a:r>
            <a:rPr lang="en-US" sz="1200" baseline="0"/>
            <a:t> $/ton</a:t>
          </a:r>
          <a:endParaRPr lang="en-US" sz="1200"/>
        </a:p>
      </cdr:txBody>
    </cdr:sp>
  </cdr:relSizeAnchor>
  <cdr:relSizeAnchor xmlns:cdr="http://schemas.openxmlformats.org/drawingml/2006/chartDrawing">
    <cdr:from>
      <cdr:x>0</cdr:x>
      <cdr:y>0.6034</cdr:y>
    </cdr:from>
    <cdr:to>
      <cdr:x>0.11487</cdr:x>
      <cdr:y>0.68269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AE259CA-9266-FB6F-5812-9B6CCD141894}"/>
            </a:ext>
          </a:extLst>
        </cdr:cNvPr>
        <cdr:cNvSpPr txBox="1"/>
      </cdr:nvSpPr>
      <cdr:spPr>
        <a:xfrm xmlns:a="http://schemas.openxmlformats.org/drawingml/2006/main">
          <a:off x="0" y="3030811"/>
          <a:ext cx="1374236" cy="3982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(FT+HTSE+H2 sto.)</a:t>
          </a:r>
          <a:endParaRPr lang="en-US" sz="1200"/>
        </a:p>
      </cdr:txBody>
    </cdr:sp>
  </cdr:relSizeAnchor>
  <cdr:relSizeAnchor xmlns:cdr="http://schemas.openxmlformats.org/drawingml/2006/chartDrawing">
    <cdr:from>
      <cdr:x>0.46769</cdr:x>
      <cdr:y>0.01538</cdr:y>
    </cdr:from>
    <cdr:to>
      <cdr:x>0.71077</cdr:x>
      <cdr:y>0.09112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73A233EE-B2CE-5ED7-10F4-960E333D34BB}"/>
            </a:ext>
          </a:extLst>
        </cdr:cNvPr>
        <cdr:cNvSpPr txBox="1"/>
      </cdr:nvSpPr>
      <cdr:spPr>
        <a:xfrm xmlns:a="http://schemas.openxmlformats.org/drawingml/2006/main">
          <a:off x="5791203" y="82542"/>
          <a:ext cx="3009938" cy="406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rgbClr val="C00000"/>
              </a:solidFill>
            </a:rPr>
            <a:t>Braidwood</a:t>
          </a:r>
          <a:r>
            <a:rPr lang="en-US" sz="1400" b="1" baseline="0">
              <a:solidFill>
                <a:srgbClr val="C00000"/>
              </a:solidFill>
            </a:rPr>
            <a:t> Ref. Δ(NPV) = $bn 1.31</a:t>
          </a:r>
          <a:endParaRPr lang="en-US" sz="1400" b="1">
            <a:solidFill>
              <a:srgbClr val="C00000"/>
            </a:solidFill>
          </a:endParaRPr>
        </a:p>
      </cdr:txBody>
    </cdr:sp>
  </cdr:relSizeAnchor>
  <cdr:relSizeAnchor xmlns:cdr="http://schemas.openxmlformats.org/drawingml/2006/chartDrawing">
    <cdr:from>
      <cdr:x>0.00743</cdr:x>
      <cdr:y>0.20185</cdr:y>
    </cdr:from>
    <cdr:to>
      <cdr:x>0.11213</cdr:x>
      <cdr:y>0.27601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8D30689B-9DF2-BBC6-DA64-945EE317525F}"/>
            </a:ext>
          </a:extLst>
        </cdr:cNvPr>
        <cdr:cNvSpPr txBox="1"/>
      </cdr:nvSpPr>
      <cdr:spPr>
        <a:xfrm xmlns:a="http://schemas.openxmlformats.org/drawingml/2006/main">
          <a:off x="88900" y="1013849"/>
          <a:ext cx="1252568" cy="372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1.0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2.7</a:t>
          </a:r>
          <a:r>
            <a:rPr lang="en-US" sz="1200"/>
            <a:t>]</a:t>
          </a:r>
          <a:r>
            <a:rPr lang="en-US" sz="1200" baseline="0"/>
            <a:t> $/kg-H2</a:t>
          </a:r>
          <a:endParaRPr lang="en-US" sz="1200"/>
        </a:p>
      </cdr:txBody>
    </cdr:sp>
  </cdr:relSizeAnchor>
  <cdr:relSizeAnchor xmlns:cdr="http://schemas.openxmlformats.org/drawingml/2006/chartDrawing">
    <cdr:from>
      <cdr:x>0.02832</cdr:x>
      <cdr:y>0.47556</cdr:y>
    </cdr:from>
    <cdr:to>
      <cdr:x>0.11251</cdr:x>
      <cdr:y>0.54972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BDC46EDB-3304-493A-113E-4B832002B71E}"/>
            </a:ext>
          </a:extLst>
        </cdr:cNvPr>
        <cdr:cNvSpPr txBox="1"/>
      </cdr:nvSpPr>
      <cdr:spPr>
        <a:xfrm xmlns:a="http://schemas.openxmlformats.org/drawingml/2006/main">
          <a:off x="338792" y="2388658"/>
          <a:ext cx="1007198" cy="372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</a:t>
          </a:r>
          <a:endParaRPr lang="en-US" sz="1200"/>
        </a:p>
      </cdr:txBody>
    </cdr:sp>
  </cdr:relSizeAnchor>
  <cdr:relSizeAnchor xmlns:cdr="http://schemas.openxmlformats.org/drawingml/2006/chartDrawing">
    <cdr:from>
      <cdr:x>0.03397</cdr:x>
      <cdr:y>0.86979</cdr:y>
    </cdr:from>
    <cdr:to>
      <cdr:x>0.11816</cdr:x>
      <cdr:y>0.94394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B4D3D9D4-A576-E585-E993-D5EE0E9A267B}"/>
            </a:ext>
          </a:extLst>
        </cdr:cNvPr>
        <cdr:cNvSpPr txBox="1"/>
      </cdr:nvSpPr>
      <cdr:spPr>
        <a:xfrm xmlns:a="http://schemas.openxmlformats.org/drawingml/2006/main">
          <a:off x="406400" y="4368800"/>
          <a:ext cx="1007199" cy="372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</a:t>
          </a:r>
          <a:endParaRPr lang="en-US" sz="1200"/>
        </a:p>
      </cdr:txBody>
    </cdr:sp>
  </cdr:relSizeAnchor>
  <cdr:relSizeAnchor xmlns:cdr="http://schemas.openxmlformats.org/drawingml/2006/chartDrawing">
    <cdr:from>
      <cdr:x>0</cdr:x>
      <cdr:y>0.73578</cdr:y>
    </cdr:from>
    <cdr:to>
      <cdr:x>0.11487</cdr:x>
      <cdr:y>0.81507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1A8CBF74-7A7E-7551-42A7-15BCE83D5F66}"/>
            </a:ext>
          </a:extLst>
        </cdr:cNvPr>
        <cdr:cNvSpPr txBox="1"/>
      </cdr:nvSpPr>
      <cdr:spPr>
        <a:xfrm xmlns:a="http://schemas.openxmlformats.org/drawingml/2006/main">
          <a:off x="0" y="3695700"/>
          <a:ext cx="1374236" cy="3982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</a:t>
          </a:r>
          <a:endParaRPr lang="en-US" sz="12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0.00486</cdr:x>
      <cdr:y>0.85414</cdr:y>
    </cdr:from>
    <cdr:to>
      <cdr:x>0.09444</cdr:x>
      <cdr:y>0.92583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FCFB347-86E3-68C2-1ACD-C064B58A522B}"/>
            </a:ext>
          </a:extLst>
        </cdr:cNvPr>
        <cdr:cNvSpPr txBox="1"/>
      </cdr:nvSpPr>
      <cdr:spPr>
        <a:xfrm xmlns:a="http://schemas.openxmlformats.org/drawingml/2006/main">
          <a:off x="57150" y="4387850"/>
          <a:ext cx="1054100" cy="368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0.55991</cdr:y>
    </cdr:from>
    <cdr:to>
      <cdr:x>0.13156</cdr:x>
      <cdr:y>0.6392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AE259CA-9266-FB6F-5812-9B6CCD141894}"/>
            </a:ext>
          </a:extLst>
        </cdr:cNvPr>
        <cdr:cNvSpPr txBox="1"/>
      </cdr:nvSpPr>
      <cdr:spPr>
        <a:xfrm xmlns:a="http://schemas.openxmlformats.org/drawingml/2006/main">
          <a:off x="0" y="2659438"/>
          <a:ext cx="1350016" cy="376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(FT+HTSE+H2 sto.)</a:t>
          </a:r>
          <a:endParaRPr lang="en-US" sz="1200"/>
        </a:p>
      </cdr:txBody>
    </cdr:sp>
  </cdr:relSizeAnchor>
  <cdr:relSizeAnchor xmlns:cdr="http://schemas.openxmlformats.org/drawingml/2006/chartDrawing">
    <cdr:from>
      <cdr:x>0.03242</cdr:x>
      <cdr:y>0.40461</cdr:y>
    </cdr:from>
    <cdr:to>
      <cdr:x>0.13146</cdr:x>
      <cdr:y>0.47877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BAE259CA-9266-FB6F-5812-9B6CCD141894}"/>
            </a:ext>
          </a:extLst>
        </cdr:cNvPr>
        <cdr:cNvSpPr txBox="1"/>
      </cdr:nvSpPr>
      <cdr:spPr>
        <a:xfrm xmlns:a="http://schemas.openxmlformats.org/drawingml/2006/main">
          <a:off x="332711" y="1921827"/>
          <a:ext cx="1016308" cy="352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</a:t>
          </a:r>
          <a:endParaRPr lang="en-US" sz="1200"/>
        </a:p>
      </cdr:txBody>
    </cdr:sp>
  </cdr:relSizeAnchor>
  <cdr:relSizeAnchor xmlns:cdr="http://schemas.openxmlformats.org/drawingml/2006/chartDrawing">
    <cdr:from>
      <cdr:x>0.53218</cdr:x>
      <cdr:y>0.0234</cdr:y>
    </cdr:from>
    <cdr:to>
      <cdr:x>0.82958</cdr:x>
      <cdr:y>0.09914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73A233EE-B2CE-5ED7-10F4-960E333D34BB}"/>
            </a:ext>
          </a:extLst>
        </cdr:cNvPr>
        <cdr:cNvSpPr txBox="1"/>
      </cdr:nvSpPr>
      <cdr:spPr>
        <a:xfrm xmlns:a="http://schemas.openxmlformats.org/drawingml/2006/main">
          <a:off x="5461000" y="111152"/>
          <a:ext cx="3051837" cy="359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rgbClr val="C00000"/>
              </a:solidFill>
            </a:rPr>
            <a:t>Braidwood</a:t>
          </a:r>
          <a:r>
            <a:rPr lang="en-US" sz="1400" b="1" baseline="0">
              <a:solidFill>
                <a:srgbClr val="C00000"/>
              </a:solidFill>
            </a:rPr>
            <a:t> Ref. Δ(NPV) = $ 1.31bn</a:t>
          </a:r>
          <a:endParaRPr lang="en-US" sz="1400" b="1">
            <a:solidFill>
              <a:srgbClr val="C00000"/>
            </a:solidFill>
          </a:endParaRPr>
        </a:p>
      </cdr:txBody>
    </cdr:sp>
  </cdr:relSizeAnchor>
  <cdr:relSizeAnchor xmlns:cdr="http://schemas.openxmlformats.org/drawingml/2006/chartDrawing">
    <cdr:from>
      <cdr:x>0.02228</cdr:x>
      <cdr:y>0.85835</cdr:y>
    </cdr:from>
    <cdr:to>
      <cdr:x>0.12985</cdr:x>
      <cdr:y>0.93251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BDC46EDB-3304-493A-113E-4B832002B71E}"/>
            </a:ext>
          </a:extLst>
        </cdr:cNvPr>
        <cdr:cNvSpPr txBox="1"/>
      </cdr:nvSpPr>
      <cdr:spPr>
        <a:xfrm xmlns:a="http://schemas.openxmlformats.org/drawingml/2006/main">
          <a:off x="228580" y="4076975"/>
          <a:ext cx="1103840" cy="352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</a:t>
          </a:r>
          <a:endParaRPr lang="en-US" sz="1200"/>
        </a:p>
      </cdr:txBody>
    </cdr:sp>
  </cdr:relSizeAnchor>
  <cdr:relSizeAnchor xmlns:cdr="http://schemas.openxmlformats.org/drawingml/2006/chartDrawing">
    <cdr:from>
      <cdr:x>0.00124</cdr:x>
      <cdr:y>0.25401</cdr:y>
    </cdr:from>
    <cdr:to>
      <cdr:x>0.12676</cdr:x>
      <cdr:y>0.33778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692626B2-8E04-99E1-E959-8528C7CDCC3E}"/>
            </a:ext>
          </a:extLst>
        </cdr:cNvPr>
        <cdr:cNvSpPr txBox="1"/>
      </cdr:nvSpPr>
      <cdr:spPr>
        <a:xfrm xmlns:a="http://schemas.openxmlformats.org/drawingml/2006/main">
          <a:off x="12700" y="1206517"/>
          <a:ext cx="1288060" cy="3978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+30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+60</a:t>
          </a:r>
          <a:r>
            <a:rPr lang="en-US" sz="1200"/>
            <a:t>]</a:t>
          </a:r>
          <a:r>
            <a:rPr lang="en-US" sz="1200" baseline="0"/>
            <a:t> $/ton</a:t>
          </a:r>
          <a:endParaRPr lang="en-US" sz="1200"/>
        </a:p>
      </cdr:txBody>
    </cdr:sp>
  </cdr:relSizeAnchor>
  <cdr:relSizeAnchor xmlns:cdr="http://schemas.openxmlformats.org/drawingml/2006/chartDrawing">
    <cdr:from>
      <cdr:x>0.02104</cdr:x>
      <cdr:y>0.70856</cdr:y>
    </cdr:from>
    <cdr:to>
      <cdr:x>0.12861</cdr:x>
      <cdr:y>0.78272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86C32CC-47A9-D1D6-9379-00D71CFCFD37}"/>
            </a:ext>
          </a:extLst>
        </cdr:cNvPr>
        <cdr:cNvSpPr txBox="1"/>
      </cdr:nvSpPr>
      <cdr:spPr>
        <a:xfrm xmlns:a="http://schemas.openxmlformats.org/drawingml/2006/main">
          <a:off x="215900" y="3365500"/>
          <a:ext cx="1103840" cy="352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</a:t>
          </a:r>
          <a:endParaRPr lang="en-US" sz="12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2</xdr:row>
      <xdr:rowOff>82550</xdr:rowOff>
    </xdr:from>
    <xdr:to>
      <xdr:col>11</xdr:col>
      <xdr:colOff>584200</xdr:colOff>
      <xdr:row>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C100AA-1A02-1907-F5C2-7F0B876E0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330200</xdr:colOff>
      <xdr:row>3</xdr:row>
      <xdr:rowOff>127000</xdr:rowOff>
    </xdr:from>
    <xdr:to>
      <xdr:col>21</xdr:col>
      <xdr:colOff>533400</xdr:colOff>
      <xdr:row>24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B14F16-2D85-6266-57CE-22906AB37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rrm/Library/CloudStorage/OneDrive-IdahoNationalLaboratory/Documents/Thesis/Results/cashflows_compari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">
          <cell r="B14" t="str">
            <v>HTSE CAPEX</v>
          </cell>
          <cell r="C14" t="str">
            <v>HTSE OM</v>
          </cell>
          <cell r="D14" t="str">
            <v>Cap Market</v>
          </cell>
          <cell r="E14" t="str">
            <v>FT CAPEX</v>
          </cell>
          <cell r="F14" t="str">
            <v>FT OM</v>
          </cell>
          <cell r="G14" t="str">
            <v>CO2</v>
          </cell>
          <cell r="H14" t="str">
            <v>H2 PTC</v>
          </cell>
          <cell r="I14" t="str">
            <v>Electricity sales</v>
          </cell>
          <cell r="J14" t="str">
            <v>Naphta</v>
          </cell>
          <cell r="K14" t="str">
            <v>Diesel</v>
          </cell>
          <cell r="L14" t="str">
            <v>Jet fuel</v>
          </cell>
          <cell r="M14" t="str">
            <v>Storage CAPEX</v>
          </cell>
        </row>
        <row r="15">
          <cell r="A15" t="str">
            <v>Braidwood</v>
          </cell>
          <cell r="B15">
            <v>-659880291.82986307</v>
          </cell>
          <cell r="C15">
            <v>-500016329.72802901</v>
          </cell>
          <cell r="D15">
            <v>-283687374.01916456</v>
          </cell>
          <cell r="E15">
            <v>-259751536.196316</v>
          </cell>
          <cell r="F15">
            <v>-230809403.49076161</v>
          </cell>
          <cell r="G15">
            <v>-772932308.83213401</v>
          </cell>
          <cell r="H15">
            <v>4780292061.4843102</v>
          </cell>
          <cell r="I15">
            <v>181380.53936527201</v>
          </cell>
          <cell r="J15">
            <v>289357020.33652401</v>
          </cell>
          <cell r="K15">
            <v>332766855.70381898</v>
          </cell>
          <cell r="L15">
            <v>712866784.515607</v>
          </cell>
          <cell r="M15">
            <v>-5000</v>
          </cell>
        </row>
        <row r="16">
          <cell r="A16" t="str">
            <v>Cooper</v>
          </cell>
          <cell r="B16">
            <v>-445702389.63329995</v>
          </cell>
          <cell r="C16">
            <v>-324373084.37258297</v>
          </cell>
          <cell r="D16">
            <v>-182854574.46838459</v>
          </cell>
          <cell r="E16">
            <v>-198967386.2515654</v>
          </cell>
          <cell r="F16">
            <v>-232389965.06976801</v>
          </cell>
          <cell r="G16">
            <v>-663652627.02780199</v>
          </cell>
          <cell r="H16">
            <v>3059708327.5964799</v>
          </cell>
          <cell r="I16">
            <v>147030.870178374</v>
          </cell>
          <cell r="J16">
            <v>175167312.65753701</v>
          </cell>
          <cell r="K16">
            <v>266844867.878654</v>
          </cell>
          <cell r="L16">
            <v>487506058.74188602</v>
          </cell>
          <cell r="M16">
            <v>-5000</v>
          </cell>
        </row>
        <row r="17">
          <cell r="A17" t="str">
            <v>Davis-Besse</v>
          </cell>
          <cell r="B17">
            <v>-528759325.05704498</v>
          </cell>
          <cell r="C17">
            <v>-390960462.95708597</v>
          </cell>
          <cell r="D17">
            <v>-212581225.27934557</v>
          </cell>
          <cell r="E17">
            <v>-226050666.882393</v>
          </cell>
          <cell r="F17">
            <v>-236403160.52235711</v>
          </cell>
          <cell r="G17">
            <v>-890215763.09717703</v>
          </cell>
          <cell r="H17">
            <v>3566914568.7290902</v>
          </cell>
          <cell r="I17">
            <v>230544.65936366501</v>
          </cell>
          <cell r="J17">
            <v>343875625.39085001</v>
          </cell>
          <cell r="K17">
            <v>323507771.63072997</v>
          </cell>
          <cell r="L17">
            <v>607700986.01472199</v>
          </cell>
          <cell r="M17">
            <v>-5000</v>
          </cell>
        </row>
        <row r="18">
          <cell r="A18" t="str">
            <v>Prairie-Island</v>
          </cell>
          <cell r="B18">
            <v>-308302047.21565998</v>
          </cell>
          <cell r="C18">
            <v>-215306257.5244239</v>
          </cell>
          <cell r="D18">
            <v>-124114712.46592456</v>
          </cell>
          <cell r="E18">
            <v>-153929558.3589085</v>
          </cell>
          <cell r="F18">
            <v>-231368779.19221839</v>
          </cell>
          <cell r="G18">
            <v>-473249011.88508302</v>
          </cell>
          <cell r="H18">
            <v>2057406787.0966201</v>
          </cell>
          <cell r="I18">
            <v>4620752.2735904995</v>
          </cell>
          <cell r="J18">
            <v>168074450.597473</v>
          </cell>
          <cell r="K18">
            <v>172007346.60569799</v>
          </cell>
          <cell r="L18">
            <v>296388471.49692601</v>
          </cell>
          <cell r="M18">
            <v>-17500000</v>
          </cell>
        </row>
        <row r="19">
          <cell r="A19" t="str">
            <v>STP</v>
          </cell>
          <cell r="B19">
            <v>-735892434.635059</v>
          </cell>
          <cell r="C19">
            <v>-550901319.244735</v>
          </cell>
          <cell r="D19">
            <v>-304377122.98359358</v>
          </cell>
          <cell r="E19">
            <v>-283907522.79646802</v>
          </cell>
          <cell r="F19">
            <v>-236403160.52235711</v>
          </cell>
          <cell r="G19">
            <v>-2013144975.2023101</v>
          </cell>
          <cell r="H19">
            <v>5133263037.0468998</v>
          </cell>
          <cell r="I19">
            <v>234983554.446565</v>
          </cell>
          <cell r="J19">
            <v>300752335.53216898</v>
          </cell>
          <cell r="K19">
            <v>522506051.25383598</v>
          </cell>
          <cell r="L19">
            <v>915385484.95796096</v>
          </cell>
          <cell r="M19">
            <v>-200000000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E355D-8072-1247-9790-841EBA440D66}">
  <dimension ref="A1:AK32"/>
  <sheetViews>
    <sheetView workbookViewId="0">
      <selection activeCell="O20" sqref="O20"/>
    </sheetView>
  </sheetViews>
  <sheetFormatPr baseColWidth="10" defaultRowHeight="16" x14ac:dyDescent="0.2"/>
  <cols>
    <col min="1" max="1" width="17.33203125" bestFit="1" customWidth="1"/>
    <col min="2" max="2" width="11.83203125" customWidth="1"/>
    <col min="3" max="3" width="11.6640625" bestFit="1" customWidth="1"/>
    <col min="4" max="4" width="17.5" customWidth="1"/>
    <col min="5" max="5" width="14.33203125" bestFit="1" customWidth="1"/>
    <col min="6" max="6" width="17.5" bestFit="1" customWidth="1"/>
    <col min="7" max="7" width="21" bestFit="1" customWidth="1"/>
    <col min="8" max="8" width="12.83203125" bestFit="1" customWidth="1"/>
    <col min="9" max="9" width="15.1640625" bestFit="1" customWidth="1"/>
    <col min="10" max="10" width="12.6640625" customWidth="1"/>
    <col min="11" max="12" width="12.1640625" bestFit="1" customWidth="1"/>
    <col min="13" max="13" width="12.6640625" bestFit="1" customWidth="1"/>
    <col min="14" max="14" width="20.6640625" customWidth="1"/>
    <col min="15" max="15" width="23.33203125" customWidth="1"/>
    <col min="16" max="16" width="17.5" bestFit="1" customWidth="1"/>
    <col min="17" max="18" width="17.6640625" bestFit="1" customWidth="1"/>
    <col min="29" max="29" width="16" bestFit="1" customWidth="1"/>
    <col min="30" max="30" width="12.83203125" bestFit="1" customWidth="1"/>
  </cols>
  <sheetData>
    <row r="1" spans="1:37" x14ac:dyDescent="0.2">
      <c r="B1" s="16" t="s">
        <v>42</v>
      </c>
      <c r="C1" s="16"/>
      <c r="D1" s="16"/>
      <c r="E1" s="16"/>
      <c r="F1" s="16"/>
      <c r="G1" s="7"/>
    </row>
    <row r="2" spans="1:37" x14ac:dyDescent="0.2">
      <c r="A2" t="s">
        <v>0</v>
      </c>
      <c r="B2" t="s">
        <v>7</v>
      </c>
      <c r="C2" t="s">
        <v>8</v>
      </c>
      <c r="D2" t="s">
        <v>41</v>
      </c>
      <c r="E2" t="s">
        <v>40</v>
      </c>
      <c r="F2" t="s">
        <v>9</v>
      </c>
      <c r="G2" t="s">
        <v>82</v>
      </c>
      <c r="H2" t="s">
        <v>1</v>
      </c>
      <c r="I2" t="s">
        <v>4</v>
      </c>
      <c r="J2" t="s">
        <v>2</v>
      </c>
      <c r="K2" t="s">
        <v>5</v>
      </c>
      <c r="L2" t="s">
        <v>3</v>
      </c>
      <c r="M2" t="s">
        <v>11</v>
      </c>
      <c r="N2" t="s">
        <v>10</v>
      </c>
      <c r="O2" t="s">
        <v>93</v>
      </c>
      <c r="P2" t="s">
        <v>92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37" x14ac:dyDescent="0.2">
      <c r="A3" t="str">
        <f>UPPER(data!A2)</f>
        <v>BRAIDWOOD</v>
      </c>
      <c r="B3">
        <f>data!C2</f>
        <v>1193</v>
      </c>
      <c r="C3">
        <f>data!D2</f>
        <v>-1178</v>
      </c>
      <c r="D3" s="8">
        <f>ABS(C3)*$B$16</f>
        <v>29.597989949748744</v>
      </c>
      <c r="E3" s="8">
        <f>ABS(data!E2/1000)</f>
        <v>29.60314</v>
      </c>
      <c r="F3" s="10">
        <f>data!K2/1000</f>
        <v>0.01</v>
      </c>
      <c r="G3" s="6">
        <f>F3/(24*D3)</f>
        <v>1.4077532541029996E-5</v>
      </c>
      <c r="H3">
        <v>2102483898.8800001</v>
      </c>
      <c r="I3">
        <v>10442175</v>
      </c>
      <c r="J3">
        <f>data!P2</f>
        <v>3408381162.0100002</v>
      </c>
      <c r="K3">
        <f>data!Q2</f>
        <v>1225.80578418</v>
      </c>
      <c r="L3">
        <f>J3-H3</f>
        <v>1305897263.1300001</v>
      </c>
      <c r="M3">
        <f>SQRT(POWER(K3,2)+POWER(I3,2))</f>
        <v>10442175.071948605</v>
      </c>
      <c r="N3" s="1">
        <f>L3</f>
        <v>1305897263.1300001</v>
      </c>
      <c r="O3" s="1">
        <f>2*M3</f>
        <v>20884350.143897209</v>
      </c>
      <c r="P3" s="1">
        <f>N3/B3</f>
        <v>1094633.0789019279</v>
      </c>
      <c r="Q3" s="1"/>
      <c r="R3" s="5"/>
      <c r="S3" s="5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37" x14ac:dyDescent="0.2">
      <c r="A4" t="str">
        <f>UPPER(data!A3)</f>
        <v>COOPER</v>
      </c>
      <c r="B4">
        <f>data!C3</f>
        <v>769</v>
      </c>
      <c r="C4">
        <f>data!D3</f>
        <v>-754</v>
      </c>
      <c r="D4" s="8">
        <f t="shared" ref="D4:D7" si="0">ABS(C4)*$B$16</f>
        <v>18.944723618090453</v>
      </c>
      <c r="E4" s="8">
        <f>ABS(data!E3/1000)</f>
        <v>18.948</v>
      </c>
      <c r="F4" s="10">
        <f>data!K3/1000</f>
        <v>0.01</v>
      </c>
      <c r="G4" s="6">
        <f t="shared" ref="G4:G7" si="1">F4/(24*D4)</f>
        <v>2.1993810786914232E-5</v>
      </c>
      <c r="H4">
        <v>1058570571.16</v>
      </c>
      <c r="I4">
        <v>29664093.298599999</v>
      </c>
      <c r="J4">
        <f>data!P3</f>
        <v>1941425295.5999999</v>
      </c>
      <c r="K4">
        <f>data!Q3</f>
        <v>6952.2878666099996</v>
      </c>
      <c r="L4">
        <f>J4-H4</f>
        <v>882854724.43999994</v>
      </c>
      <c r="M4">
        <f t="shared" ref="M4:M7" si="2">SQRT(POWER(K4,2)+POWER(I4,2))</f>
        <v>29664094.113293801</v>
      </c>
      <c r="N4" s="1">
        <f>L4</f>
        <v>882854724.43999994</v>
      </c>
      <c r="O4" s="1">
        <f t="shared" ref="O4:O7" si="3">2*M4</f>
        <v>59328188.226587601</v>
      </c>
      <c r="P4" s="1">
        <f>N4/B4</f>
        <v>1148055.5584395318</v>
      </c>
      <c r="Q4" s="1"/>
      <c r="R4" s="5"/>
      <c r="S4" s="5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37" x14ac:dyDescent="0.2">
      <c r="A5" t="str">
        <f>UPPER(data!A4)</f>
        <v>DAVIS-BESSE</v>
      </c>
      <c r="B5">
        <f>data!C4</f>
        <v>894</v>
      </c>
      <c r="C5">
        <f>data!D4</f>
        <v>-879</v>
      </c>
      <c r="D5" s="8">
        <f t="shared" si="0"/>
        <v>22.085427135678394</v>
      </c>
      <c r="E5" s="8">
        <f>ABS(data!E4/1000)</f>
        <v>22.088999999999999</v>
      </c>
      <c r="F5" s="10">
        <f>data!K4/1000</f>
        <v>0.01</v>
      </c>
      <c r="G5" s="6">
        <f t="shared" si="1"/>
        <v>1.8866135760333712E-5</v>
      </c>
      <c r="H5">
        <v>1765764570.5999999</v>
      </c>
      <c r="I5">
        <v>0</v>
      </c>
      <c r="J5">
        <f>data!P4</f>
        <v>2357253019.6300001</v>
      </c>
      <c r="K5">
        <f>data!Q4</f>
        <v>1077.46392866</v>
      </c>
      <c r="L5">
        <f>J5-H5</f>
        <v>591488449.03000021</v>
      </c>
      <c r="M5">
        <f t="shared" si="2"/>
        <v>1077.46392866</v>
      </c>
      <c r="N5" s="1">
        <f>L5</f>
        <v>591488449.03000021</v>
      </c>
      <c r="O5" s="1">
        <f t="shared" si="3"/>
        <v>2154.9278573199999</v>
      </c>
      <c r="P5" s="1">
        <f>N5/B5</f>
        <v>661620.18907158857</v>
      </c>
      <c r="Q5" s="1"/>
      <c r="R5" s="5"/>
      <c r="S5" s="5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37" x14ac:dyDescent="0.2">
      <c r="A6" t="str">
        <f>UPPER(data!A5)</f>
        <v>PRAIRIE-ISLAND</v>
      </c>
      <c r="B6">
        <f>data!C5</f>
        <v>522</v>
      </c>
      <c r="C6">
        <f>data!D5</f>
        <v>-507</v>
      </c>
      <c r="D6" s="8">
        <f t="shared" si="0"/>
        <v>12.738693467336685</v>
      </c>
      <c r="E6" s="8">
        <f>ABS(data!E5/1000)</f>
        <v>12.741</v>
      </c>
      <c r="F6" s="10">
        <f>data!K5/1000</f>
        <v>35</v>
      </c>
      <c r="G6" s="6">
        <f t="shared" si="1"/>
        <v>0.11448060486522026</v>
      </c>
      <c r="H6">
        <v>262400619.102</v>
      </c>
      <c r="I6">
        <v>553965.52426600002</v>
      </c>
      <c r="J6">
        <f>data!P5</f>
        <v>1177078719.72</v>
      </c>
      <c r="K6">
        <f>data!Q5</f>
        <v>45333.174797</v>
      </c>
      <c r="L6">
        <f>J6-H6</f>
        <v>914678100.61800003</v>
      </c>
      <c r="M6">
        <f t="shared" si="2"/>
        <v>555817.3250380737</v>
      </c>
      <c r="N6" s="1">
        <f>L6</f>
        <v>914678100.61800003</v>
      </c>
      <c r="O6" s="1">
        <f t="shared" si="3"/>
        <v>1111634.6500761474</v>
      </c>
      <c r="P6" s="1">
        <f>N6/B6</f>
        <v>1752256.8977356323</v>
      </c>
      <c r="Q6" s="1"/>
      <c r="R6" s="5"/>
      <c r="S6" s="5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7" x14ac:dyDescent="0.2">
      <c r="A7" t="str">
        <f>UPPER(data!A6)</f>
        <v>STP</v>
      </c>
      <c r="B7">
        <f>data!C6</f>
        <v>1280</v>
      </c>
      <c r="C7">
        <f>data!D6</f>
        <v>-1265</v>
      </c>
      <c r="D7" s="8">
        <f t="shared" si="0"/>
        <v>31.78391959798995</v>
      </c>
      <c r="E7" s="8">
        <f>ABS(data!E6/1000)</f>
        <v>31.789000000000001</v>
      </c>
      <c r="F7" s="10">
        <f>data!K6/1000</f>
        <v>2000</v>
      </c>
      <c r="G7" s="6">
        <f t="shared" si="1"/>
        <v>2.6218708827404478</v>
      </c>
      <c r="H7">
        <v>2742484812.48</v>
      </c>
      <c r="I7">
        <v>83894741.873400003</v>
      </c>
      <c r="J7">
        <f>data!P6</f>
        <v>2880661882.02</v>
      </c>
      <c r="K7">
        <f>data!Q6</f>
        <v>18447721.6961</v>
      </c>
      <c r="L7">
        <f>J7-H7</f>
        <v>138177069.53999996</v>
      </c>
      <c r="M7">
        <f t="shared" si="2"/>
        <v>85899046.268169791</v>
      </c>
      <c r="N7" s="1">
        <f>L7</f>
        <v>138177069.53999996</v>
      </c>
      <c r="O7" s="1">
        <f t="shared" si="3"/>
        <v>171798092.53633958</v>
      </c>
      <c r="P7" s="1">
        <f>N7/B7</f>
        <v>107950.83557812497</v>
      </c>
      <c r="Q7" s="1"/>
      <c r="R7" s="5"/>
      <c r="S7" s="5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1:37" x14ac:dyDescent="0.2">
      <c r="N8" s="1"/>
      <c r="O8" s="1"/>
      <c r="P8" s="1"/>
      <c r="Q8" s="1"/>
      <c r="R8" s="4"/>
    </row>
    <row r="10" spans="1:37" x14ac:dyDescent="0.2">
      <c r="A10" t="s">
        <v>31</v>
      </c>
    </row>
    <row r="11" spans="1:37" x14ac:dyDescent="0.2">
      <c r="A11" t="s">
        <v>32</v>
      </c>
    </row>
    <row r="12" spans="1:37" x14ac:dyDescent="0.2">
      <c r="A12" t="s">
        <v>33</v>
      </c>
      <c r="B12">
        <v>39.799999999999997</v>
      </c>
      <c r="D12" t="s">
        <v>34</v>
      </c>
    </row>
    <row r="13" spans="1:37" x14ac:dyDescent="0.2">
      <c r="A13" t="s">
        <v>35</v>
      </c>
    </row>
    <row r="14" spans="1:37" x14ac:dyDescent="0.2">
      <c r="A14" t="s">
        <v>36</v>
      </c>
      <c r="B14">
        <v>2.5125628140703519E-2</v>
      </c>
      <c r="D14" t="s">
        <v>37</v>
      </c>
    </row>
    <row r="15" spans="1:37" x14ac:dyDescent="0.2">
      <c r="B15">
        <v>25.125628140703519</v>
      </c>
      <c r="D15" t="s">
        <v>38</v>
      </c>
    </row>
    <row r="16" spans="1:37" x14ac:dyDescent="0.2">
      <c r="B16">
        <f>B15/1000</f>
        <v>2.5125628140703519E-2</v>
      </c>
      <c r="D16" t="s">
        <v>39</v>
      </c>
    </row>
    <row r="22" spans="3:11" x14ac:dyDescent="0.2">
      <c r="C22" s="8"/>
      <c r="D22" s="8"/>
      <c r="E22" s="8"/>
      <c r="F22" s="8"/>
      <c r="G22" s="8"/>
      <c r="J22" s="8"/>
      <c r="K22" s="10"/>
    </row>
    <row r="23" spans="3:11" x14ac:dyDescent="0.2">
      <c r="C23" s="8"/>
      <c r="D23" s="8"/>
      <c r="E23" s="8"/>
      <c r="F23" s="8"/>
      <c r="G23" s="8"/>
      <c r="J23" s="8"/>
      <c r="K23" s="10"/>
    </row>
    <row r="24" spans="3:11" x14ac:dyDescent="0.2">
      <c r="C24" s="10"/>
      <c r="D24" s="10"/>
      <c r="E24" s="10"/>
      <c r="F24" s="10"/>
      <c r="G24" s="10"/>
      <c r="J24" s="8"/>
      <c r="K24" s="10"/>
    </row>
    <row r="25" spans="3:11" x14ac:dyDescent="0.2">
      <c r="J25" s="8"/>
      <c r="K25" s="10"/>
    </row>
    <row r="29" spans="3:11" x14ac:dyDescent="0.2">
      <c r="C29" s="8"/>
      <c r="D29" s="8"/>
      <c r="E29" s="10"/>
    </row>
    <row r="30" spans="3:11" x14ac:dyDescent="0.2">
      <c r="C30" s="8"/>
      <c r="D30" s="8"/>
      <c r="E30" s="10"/>
    </row>
    <row r="31" spans="3:11" x14ac:dyDescent="0.2">
      <c r="C31" s="8"/>
      <c r="D31" s="8"/>
      <c r="E31" s="10"/>
    </row>
    <row r="32" spans="3:11" x14ac:dyDescent="0.2">
      <c r="C32" s="8"/>
      <c r="D32" s="8"/>
      <c r="E32" s="10"/>
    </row>
  </sheetData>
  <mergeCells count="1">
    <mergeCell ref="B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B4FC-CAF1-EA4A-9F31-BF425A354447}">
  <dimension ref="A1:Y53"/>
  <sheetViews>
    <sheetView workbookViewId="0">
      <selection activeCell="E26" sqref="E26"/>
    </sheetView>
  </sheetViews>
  <sheetFormatPr baseColWidth="10" defaultRowHeight="16" x14ac:dyDescent="0.2"/>
  <cols>
    <col min="2" max="2" width="14.33203125" bestFit="1" customWidth="1"/>
    <col min="3" max="6" width="14.1640625" bestFit="1" customWidth="1"/>
    <col min="7" max="7" width="20.83203125" bestFit="1" customWidth="1"/>
    <col min="8" max="8" width="23" bestFit="1" customWidth="1"/>
    <col min="9" max="9" width="24.33203125" bestFit="1" customWidth="1"/>
    <col min="10" max="12" width="13.5" bestFit="1" customWidth="1"/>
    <col min="13" max="13" width="14.1640625" bestFit="1" customWidth="1"/>
    <col min="14" max="14" width="14" bestFit="1" customWidth="1"/>
    <col min="15" max="15" width="18.5" bestFit="1" customWidth="1"/>
    <col min="16" max="16" width="19.83203125" bestFit="1" customWidth="1"/>
    <col min="17" max="17" width="14" bestFit="1" customWidth="1"/>
  </cols>
  <sheetData>
    <row r="1" spans="1:25" x14ac:dyDescent="0.2">
      <c r="A1" s="3" t="s">
        <v>0</v>
      </c>
      <c r="B1" s="3" t="s">
        <v>97</v>
      </c>
      <c r="C1" s="3" t="s">
        <v>98</v>
      </c>
      <c r="D1" s="3" t="s">
        <v>99</v>
      </c>
      <c r="E1" s="3" t="s">
        <v>100</v>
      </c>
      <c r="F1" s="3" t="s">
        <v>101</v>
      </c>
      <c r="G1" s="3" t="s">
        <v>102</v>
      </c>
      <c r="H1" s="3" t="s">
        <v>103</v>
      </c>
      <c r="I1" s="3" t="s">
        <v>104</v>
      </c>
      <c r="J1" s="3" t="s">
        <v>105</v>
      </c>
      <c r="K1" s="3" t="s">
        <v>106</v>
      </c>
      <c r="L1" s="3" t="s">
        <v>107</v>
      </c>
      <c r="M1" s="3" t="s">
        <v>108</v>
      </c>
      <c r="N1" s="3" t="s">
        <v>109</v>
      </c>
      <c r="O1" s="3" t="s">
        <v>110</v>
      </c>
      <c r="P1" s="3" t="s">
        <v>111</v>
      </c>
      <c r="Q1" s="3" t="s">
        <v>112</v>
      </c>
      <c r="R1" s="3" t="s">
        <v>113</v>
      </c>
      <c r="S1" s="3" t="s">
        <v>114</v>
      </c>
      <c r="T1" s="3" t="s">
        <v>115</v>
      </c>
      <c r="U1" s="3" t="s">
        <v>116</v>
      </c>
      <c r="V1" s="3" t="s">
        <v>117</v>
      </c>
      <c r="W1" s="3" t="s">
        <v>118</v>
      </c>
      <c r="X1" s="3" t="s">
        <v>119</v>
      </c>
      <c r="Y1" t="s">
        <v>1</v>
      </c>
    </row>
    <row r="2" spans="1:25" x14ac:dyDescent="0.2">
      <c r="A2" s="3" t="s">
        <v>120</v>
      </c>
      <c r="B2" s="3">
        <v>1193</v>
      </c>
      <c r="C2" s="3">
        <v>3408382538</v>
      </c>
      <c r="D2" s="3">
        <v>-762820800.5</v>
      </c>
      <c r="E2" s="3">
        <v>-304078614.80000001</v>
      </c>
      <c r="F2" s="3">
        <v>-195937714.90000001</v>
      </c>
      <c r="G2" s="3">
        <v>-280143957.19999999</v>
      </c>
      <c r="H2" s="3">
        <v>347771988.80000001</v>
      </c>
      <c r="I2" s="3">
        <v>-244831480.09999999</v>
      </c>
      <c r="J2" s="3">
        <v>-300272454.30000001</v>
      </c>
      <c r="K2" s="3">
        <v>-185018648.30000001</v>
      </c>
      <c r="L2" s="3">
        <v>-45790755.240000002</v>
      </c>
      <c r="M2" s="3">
        <v>-772932308.79999995</v>
      </c>
      <c r="N2" s="3">
        <v>4780292061</v>
      </c>
      <c r="O2" s="3">
        <v>136894993.59999999</v>
      </c>
      <c r="P2" s="3">
        <v>-96374075.489999995</v>
      </c>
      <c r="Q2" s="3">
        <v>-3543416.8</v>
      </c>
      <c r="R2" s="3">
        <v>181380.53899999999</v>
      </c>
      <c r="S2" s="3">
        <v>289357020</v>
      </c>
      <c r="T2" s="3">
        <v>332766856</v>
      </c>
      <c r="U2" s="3">
        <v>712866785</v>
      </c>
      <c r="V2" s="3">
        <v>-5000</v>
      </c>
      <c r="W2" s="11">
        <v>4006951</v>
      </c>
      <c r="X2" s="12">
        <v>-647890</v>
      </c>
      <c r="Y2">
        <v>2102483898.8800001</v>
      </c>
    </row>
    <row r="3" spans="1:25" x14ac:dyDescent="0.2">
      <c r="A3" s="3" t="s">
        <v>121</v>
      </c>
      <c r="B3" s="3">
        <v>769</v>
      </c>
      <c r="C3" s="3">
        <v>1941429190</v>
      </c>
      <c r="D3" s="3">
        <v>-508716454.5</v>
      </c>
      <c r="E3" s="3">
        <v>-194630964</v>
      </c>
      <c r="F3" s="3">
        <v>-129742120.40000001</v>
      </c>
      <c r="G3" s="3">
        <v>-179311157.69999999</v>
      </c>
      <c r="H3" s="3">
        <v>231925155.90000001</v>
      </c>
      <c r="I3" s="3">
        <v>-168911091</v>
      </c>
      <c r="J3" s="3">
        <v>-227097690.40000001</v>
      </c>
      <c r="K3" s="3">
        <v>-185018648.30000001</v>
      </c>
      <c r="L3" s="3">
        <v>-47371316.810000002</v>
      </c>
      <c r="M3" s="3">
        <v>-663652627</v>
      </c>
      <c r="N3" s="3">
        <v>3059708328</v>
      </c>
      <c r="O3" s="3">
        <v>103534428.2</v>
      </c>
      <c r="P3" s="3">
        <v>-75404124.090000004</v>
      </c>
      <c r="Q3" s="3">
        <v>-3543416.8</v>
      </c>
      <c r="R3" s="3">
        <v>147030.87</v>
      </c>
      <c r="S3" s="3">
        <v>175167313</v>
      </c>
      <c r="T3" s="3">
        <v>266844868</v>
      </c>
      <c r="U3" s="3">
        <v>487506059</v>
      </c>
      <c r="V3" s="3">
        <v>-5000</v>
      </c>
      <c r="W3" s="11">
        <v>3978814</v>
      </c>
      <c r="X3" s="12">
        <v>-863007</v>
      </c>
      <c r="Y3">
        <v>1058570571.16</v>
      </c>
    </row>
    <row r="4" spans="1:25" x14ac:dyDescent="0.2">
      <c r="A4" s="3" t="s">
        <v>122</v>
      </c>
      <c r="B4" s="3">
        <v>894</v>
      </c>
      <c r="C4" s="3">
        <v>2357254371</v>
      </c>
      <c r="D4" s="3">
        <v>-584742286.5</v>
      </c>
      <c r="E4" s="3">
        <v>-226897370.5</v>
      </c>
      <c r="F4" s="3">
        <v>-164063092.5</v>
      </c>
      <c r="G4" s="3">
        <v>-209037808.5</v>
      </c>
      <c r="H4" s="3">
        <v>266585530.69999999</v>
      </c>
      <c r="I4" s="3">
        <v>-210602569.19999999</v>
      </c>
      <c r="J4" s="3">
        <v>-249984024</v>
      </c>
      <c r="K4" s="3">
        <v>-185018648.30000001</v>
      </c>
      <c r="L4" s="3">
        <v>-51384512.270000003</v>
      </c>
      <c r="M4" s="3">
        <v>-890215763.10000002</v>
      </c>
      <c r="N4" s="3">
        <v>3566914569</v>
      </c>
      <c r="O4" s="3">
        <v>113968367.3</v>
      </c>
      <c r="P4" s="3">
        <v>-90035010.170000002</v>
      </c>
      <c r="Q4" s="3">
        <v>-3543416.8</v>
      </c>
      <c r="R4" s="3">
        <v>230544.65900000001</v>
      </c>
      <c r="S4" s="3">
        <v>343875625</v>
      </c>
      <c r="T4" s="3">
        <v>323507772</v>
      </c>
      <c r="U4" s="3">
        <v>607700986</v>
      </c>
      <c r="V4" s="3">
        <v>-5000</v>
      </c>
      <c r="W4" s="11">
        <v>3989837</v>
      </c>
      <c r="X4" s="12">
        <v>-995767</v>
      </c>
      <c r="Y4">
        <v>1765764570.5999999</v>
      </c>
    </row>
    <row r="5" spans="1:25" x14ac:dyDescent="0.2">
      <c r="A5" s="3" t="s">
        <v>123</v>
      </c>
      <c r="B5" s="3">
        <v>522</v>
      </c>
      <c r="C5" s="3">
        <v>1177020404</v>
      </c>
      <c r="D5" s="3">
        <v>-354788741.69999999</v>
      </c>
      <c r="E5" s="3">
        <v>-130872544.8</v>
      </c>
      <c r="F5" s="3">
        <v>-84433712.769999996</v>
      </c>
      <c r="G5" s="3">
        <v>-120571295.7</v>
      </c>
      <c r="H5" s="3">
        <v>161749110.90000001</v>
      </c>
      <c r="I5" s="3">
        <v>-115262416.5</v>
      </c>
      <c r="J5" s="3">
        <v>-177139512.40000001</v>
      </c>
      <c r="K5" s="3">
        <v>-185018648.30000001</v>
      </c>
      <c r="L5" s="3">
        <v>-46350130.939999998</v>
      </c>
      <c r="M5" s="3">
        <v>-473249011.89999998</v>
      </c>
      <c r="N5" s="3">
        <v>2057406787</v>
      </c>
      <c r="O5" s="3">
        <v>80758364.819999993</v>
      </c>
      <c r="P5" s="3">
        <v>-57548410.780000001</v>
      </c>
      <c r="Q5" s="3">
        <v>-3543416.8</v>
      </c>
      <c r="R5" s="3">
        <v>4620752.2699999996</v>
      </c>
      <c r="S5" s="3">
        <v>168074451</v>
      </c>
      <c r="T5" s="3">
        <v>172007347</v>
      </c>
      <c r="U5" s="3">
        <v>296388471</v>
      </c>
      <c r="V5" s="3">
        <v>-17500000</v>
      </c>
      <c r="W5" s="11">
        <v>3941392</v>
      </c>
      <c r="X5" s="12">
        <v>-906607</v>
      </c>
      <c r="Y5">
        <v>262400619.102</v>
      </c>
    </row>
    <row r="6" spans="1:25" x14ac:dyDescent="0.2">
      <c r="A6" s="3" t="s">
        <v>124</v>
      </c>
      <c r="B6" s="3">
        <v>1280</v>
      </c>
      <c r="C6" s="3">
        <v>2801411840</v>
      </c>
      <c r="D6" s="3">
        <v>-813805836.5</v>
      </c>
      <c r="E6" s="3">
        <v>-326536033.80000001</v>
      </c>
      <c r="F6" s="3">
        <v>-224365285.5</v>
      </c>
      <c r="G6" s="3">
        <v>-300833706.19999999</v>
      </c>
      <c r="H6" s="3">
        <v>371016199.39999998</v>
      </c>
      <c r="I6" s="3">
        <v>-293102797.60000002</v>
      </c>
      <c r="J6" s="3">
        <v>-313966536.69999999</v>
      </c>
      <c r="K6" s="3">
        <v>-185018648.30000001</v>
      </c>
      <c r="L6" s="3">
        <v>-51384512.270000003</v>
      </c>
      <c r="M6" s="3">
        <v>-2013144975</v>
      </c>
      <c r="N6" s="3">
        <v>5133263037</v>
      </c>
      <c r="O6" s="3">
        <v>143138161.40000001</v>
      </c>
      <c r="P6" s="3">
        <v>-113079147.5</v>
      </c>
      <c r="Q6" s="3">
        <v>-3543416.8</v>
      </c>
      <c r="R6" s="3">
        <v>234983554</v>
      </c>
      <c r="S6" s="3">
        <v>300752336</v>
      </c>
      <c r="T6" s="3">
        <v>522506051</v>
      </c>
      <c r="U6" s="3">
        <v>915385485</v>
      </c>
      <c r="V6" s="3">
        <v>-200000000</v>
      </c>
      <c r="W6" s="11">
        <v>4010362</v>
      </c>
      <c r="X6" s="12">
        <v>-1572770</v>
      </c>
      <c r="Y6">
        <v>2742484812.48</v>
      </c>
    </row>
    <row r="7" spans="1:25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5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5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5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5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5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5" x14ac:dyDescent="0.2">
      <c r="A14" s="3" t="s">
        <v>0</v>
      </c>
      <c r="B14" s="3" t="s">
        <v>125</v>
      </c>
      <c r="C14" s="3" t="s">
        <v>126</v>
      </c>
      <c r="D14" s="3" t="s">
        <v>127</v>
      </c>
      <c r="E14" s="3" t="s">
        <v>128</v>
      </c>
      <c r="F14" s="3" t="s">
        <v>129</v>
      </c>
      <c r="G14" s="3" t="s">
        <v>130</v>
      </c>
      <c r="H14" s="3" t="s">
        <v>96</v>
      </c>
      <c r="I14" s="3" t="s">
        <v>131</v>
      </c>
      <c r="J14" s="3" t="s">
        <v>132</v>
      </c>
      <c r="K14" s="3" t="s">
        <v>133</v>
      </c>
      <c r="L14" s="3" t="s">
        <v>134</v>
      </c>
      <c r="M14" s="3" t="s">
        <v>135</v>
      </c>
      <c r="N14" s="3" t="s">
        <v>118</v>
      </c>
      <c r="O14" s="3" t="s">
        <v>119</v>
      </c>
      <c r="P14" s="3" t="s">
        <v>136</v>
      </c>
      <c r="Q14" s="3" t="s">
        <v>137</v>
      </c>
      <c r="R14" s="3"/>
      <c r="S14" s="3"/>
      <c r="T14" s="3"/>
      <c r="U14" s="3"/>
      <c r="V14" s="3"/>
      <c r="W14" s="3"/>
      <c r="X14" s="3"/>
    </row>
    <row r="15" spans="1:25" x14ac:dyDescent="0.2">
      <c r="A15" s="3" t="s">
        <v>120</v>
      </c>
      <c r="B15" s="13">
        <v>-659880292</v>
      </c>
      <c r="C15" s="13">
        <v>-500016330</v>
      </c>
      <c r="D15" s="13">
        <v>-283687374</v>
      </c>
      <c r="E15" s="13">
        <v>-259751536</v>
      </c>
      <c r="F15" s="13">
        <v>-230809403</v>
      </c>
      <c r="G15" s="13">
        <v>-772932309</v>
      </c>
      <c r="H15" s="13">
        <v>4780292061</v>
      </c>
      <c r="I15" s="13">
        <v>181381</v>
      </c>
      <c r="J15" s="13">
        <v>289357020</v>
      </c>
      <c r="K15" s="13">
        <v>332766856</v>
      </c>
      <c r="L15" s="13">
        <v>712866785</v>
      </c>
      <c r="M15" s="13">
        <v>-5000</v>
      </c>
      <c r="N15" s="14">
        <v>4006950.6</v>
      </c>
      <c r="O15" s="14">
        <v>-647889.61</v>
      </c>
      <c r="P15" s="14">
        <v>-770860.71</v>
      </c>
      <c r="Q15" s="15">
        <f>Y2/B2</f>
        <v>1762350.2924392289</v>
      </c>
      <c r="R15" s="3"/>
      <c r="S15" s="3"/>
      <c r="T15" s="3"/>
      <c r="U15" s="3"/>
      <c r="V15" s="3"/>
      <c r="W15" s="3"/>
      <c r="X15" s="3"/>
    </row>
    <row r="16" spans="1:25" x14ac:dyDescent="0.2">
      <c r="A16" s="3" t="s">
        <v>121</v>
      </c>
      <c r="B16" s="13">
        <v>-445702390</v>
      </c>
      <c r="C16" s="13">
        <v>-324373084</v>
      </c>
      <c r="D16" s="13">
        <v>-182854574</v>
      </c>
      <c r="E16" s="13">
        <v>-198967386</v>
      </c>
      <c r="F16" s="13">
        <v>-232389965</v>
      </c>
      <c r="G16" s="13">
        <v>-663652627</v>
      </c>
      <c r="H16" s="13">
        <v>3059708328</v>
      </c>
      <c r="I16" s="13">
        <v>147031</v>
      </c>
      <c r="J16" s="13">
        <v>175167313</v>
      </c>
      <c r="K16" s="13">
        <v>266844868</v>
      </c>
      <c r="L16" s="13">
        <v>487506059</v>
      </c>
      <c r="M16" s="13">
        <v>-5000</v>
      </c>
      <c r="N16" s="14">
        <v>3978814.47</v>
      </c>
      <c r="O16" s="14">
        <v>-863007.32</v>
      </c>
      <c r="P16" s="14">
        <v>-838328.71</v>
      </c>
      <c r="Q16" s="15">
        <f t="shared" ref="Q16:Q19" si="0">Y3/B3</f>
        <v>1376554.7089206763</v>
      </c>
      <c r="R16" s="3"/>
      <c r="S16" s="3"/>
      <c r="T16" s="3"/>
      <c r="U16" s="3"/>
      <c r="V16" s="3"/>
      <c r="W16" s="3"/>
      <c r="X16" s="3"/>
    </row>
    <row r="17" spans="1:24" x14ac:dyDescent="0.2">
      <c r="A17" s="3" t="s">
        <v>122</v>
      </c>
      <c r="B17" s="13">
        <v>-528759325</v>
      </c>
      <c r="C17" s="13">
        <v>-390960463</v>
      </c>
      <c r="D17" s="13">
        <v>-212581225</v>
      </c>
      <c r="E17" s="13">
        <v>-226050667</v>
      </c>
      <c r="F17" s="13">
        <v>-236403161</v>
      </c>
      <c r="G17" s="13">
        <v>-890215763</v>
      </c>
      <c r="H17" s="13">
        <v>3566914569</v>
      </c>
      <c r="I17" s="13">
        <v>230545</v>
      </c>
      <c r="J17" s="13">
        <v>343875625</v>
      </c>
      <c r="K17" s="13">
        <v>323507772</v>
      </c>
      <c r="L17" s="13">
        <v>607700986</v>
      </c>
      <c r="M17" s="13">
        <v>-5000</v>
      </c>
      <c r="N17" s="14">
        <v>3989837.33</v>
      </c>
      <c r="O17" s="14">
        <v>-995767.07</v>
      </c>
      <c r="P17" s="14">
        <v>-844312.07</v>
      </c>
      <c r="Q17" s="15">
        <f t="shared" si="0"/>
        <v>1975128.155033557</v>
      </c>
      <c r="R17" s="3"/>
      <c r="S17" s="3"/>
      <c r="T17" s="3"/>
      <c r="U17" s="3"/>
      <c r="V17" s="3"/>
      <c r="W17" s="3"/>
      <c r="X17" s="3"/>
    </row>
    <row r="18" spans="1:24" x14ac:dyDescent="0.2">
      <c r="A18" s="3" t="s">
        <v>123</v>
      </c>
      <c r="B18" s="13">
        <v>-308302047</v>
      </c>
      <c r="C18" s="13">
        <v>-215306258</v>
      </c>
      <c r="D18" s="13">
        <v>-124114712</v>
      </c>
      <c r="E18" s="13">
        <v>-153929558</v>
      </c>
      <c r="F18" s="13">
        <v>-231368779</v>
      </c>
      <c r="G18" s="13">
        <v>-473249012</v>
      </c>
      <c r="H18" s="13">
        <v>2057406787</v>
      </c>
      <c r="I18" s="13">
        <v>4620752</v>
      </c>
      <c r="J18" s="13">
        <v>168074451</v>
      </c>
      <c r="K18" s="13">
        <v>172007347</v>
      </c>
      <c r="L18" s="13">
        <v>296388471</v>
      </c>
      <c r="M18" s="13">
        <v>-17500000</v>
      </c>
      <c r="N18" s="14">
        <v>3941392.31</v>
      </c>
      <c r="O18" s="14">
        <v>-906607.3</v>
      </c>
      <c r="P18" s="14">
        <v>-919026.06</v>
      </c>
      <c r="Q18" s="15">
        <f t="shared" si="0"/>
        <v>502683.17835632182</v>
      </c>
      <c r="R18" s="3"/>
      <c r="S18" s="3"/>
      <c r="T18" s="3"/>
      <c r="U18" s="3"/>
      <c r="V18" s="3"/>
      <c r="W18" s="3"/>
      <c r="X18" s="3"/>
    </row>
    <row r="19" spans="1:24" x14ac:dyDescent="0.2">
      <c r="A19" s="3" t="s">
        <v>124</v>
      </c>
      <c r="B19" s="13">
        <v>-735892435</v>
      </c>
      <c r="C19" s="13">
        <v>-550901319</v>
      </c>
      <c r="D19" s="13">
        <v>-304377123</v>
      </c>
      <c r="E19" s="13">
        <v>-283907523</v>
      </c>
      <c r="F19" s="13">
        <v>-236403161</v>
      </c>
      <c r="G19" s="13">
        <v>-2013144975</v>
      </c>
      <c r="H19" s="13">
        <v>5133263037</v>
      </c>
      <c r="I19" s="13">
        <v>234983554</v>
      </c>
      <c r="J19" s="13">
        <v>300752336</v>
      </c>
      <c r="K19" s="13">
        <v>522506051</v>
      </c>
      <c r="L19" s="13">
        <v>915385485</v>
      </c>
      <c r="M19" s="13">
        <v>-200000000</v>
      </c>
      <c r="N19" s="14">
        <v>4010361.75</v>
      </c>
      <c r="O19" s="14">
        <v>-1572769.51</v>
      </c>
      <c r="P19" s="14">
        <v>-952968.72</v>
      </c>
      <c r="Q19" s="15">
        <f t="shared" si="0"/>
        <v>2142566.2597500002</v>
      </c>
      <c r="R19" s="3"/>
      <c r="S19" s="3"/>
      <c r="T19" s="3"/>
      <c r="U19" s="3"/>
      <c r="V19" s="3"/>
      <c r="W19" s="3"/>
      <c r="X19" s="3"/>
    </row>
    <row r="20" spans="1:24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F0C96-D3AA-4F4B-9456-DE375A306C8A}">
  <dimension ref="A1:AD6"/>
  <sheetViews>
    <sheetView topLeftCell="C1" workbookViewId="0">
      <selection activeCell="Q6" sqref="Q6"/>
    </sheetView>
  </sheetViews>
  <sheetFormatPr baseColWidth="10" defaultRowHeight="16" x14ac:dyDescent="0.2"/>
  <sheetData>
    <row r="1" spans="1:30" x14ac:dyDescent="0.2">
      <c r="A1" t="s">
        <v>12</v>
      </c>
      <c r="B1" t="s">
        <v>75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68</v>
      </c>
      <c r="AC1" t="s">
        <v>69</v>
      </c>
      <c r="AD1" t="s">
        <v>70</v>
      </c>
    </row>
    <row r="2" spans="1:30" x14ac:dyDescent="0.2">
      <c r="A2" t="s">
        <v>18</v>
      </c>
      <c r="B2">
        <v>3</v>
      </c>
      <c r="C2">
        <v>1193</v>
      </c>
      <c r="D2">
        <v>-1178</v>
      </c>
      <c r="E2">
        <v>-29603.14</v>
      </c>
      <c r="F2">
        <v>-14.9</v>
      </c>
      <c r="G2" s="9">
        <v>-9.9999999999999997E+199</v>
      </c>
      <c r="H2" s="9">
        <v>-9.9999999999999997E+199</v>
      </c>
      <c r="I2" s="9">
        <v>-9.9999999999999997E+199</v>
      </c>
      <c r="J2" s="9">
        <v>-9.9999999999999997E+199</v>
      </c>
      <c r="K2">
        <v>10</v>
      </c>
      <c r="L2" t="s">
        <v>71</v>
      </c>
      <c r="M2" t="s">
        <v>18</v>
      </c>
      <c r="N2" t="s">
        <v>72</v>
      </c>
      <c r="O2" t="s">
        <v>73</v>
      </c>
      <c r="P2">
        <v>3408381162.0100002</v>
      </c>
      <c r="Q2">
        <v>1225.80578418</v>
      </c>
      <c r="R2">
        <v>3408381275.7399998</v>
      </c>
      <c r="S2">
        <v>3408382533.2399998</v>
      </c>
      <c r="T2">
        <v>3408379563.3400002</v>
      </c>
      <c r="U2">
        <v>3408379797.4699998</v>
      </c>
      <c r="V2">
        <v>3408382367.3400002</v>
      </c>
      <c r="W2">
        <v>4</v>
      </c>
      <c r="X2">
        <v>1502599.82054</v>
      </c>
      <c r="Y2">
        <v>1</v>
      </c>
      <c r="Z2">
        <v>0.24493882102600001</v>
      </c>
      <c r="AA2">
        <v>1.9309406027700001E-3</v>
      </c>
      <c r="AB2">
        <v>2.4976248812400001E-2</v>
      </c>
      <c r="AC2">
        <v>0.31563421828900001</v>
      </c>
      <c r="AD2" s="9">
        <v>3.7621523992799998E-13</v>
      </c>
    </row>
    <row r="3" spans="1:30" x14ac:dyDescent="0.2">
      <c r="A3" t="s">
        <v>19</v>
      </c>
      <c r="B3">
        <v>0</v>
      </c>
      <c r="C3">
        <v>769</v>
      </c>
      <c r="D3">
        <v>-754</v>
      </c>
      <c r="E3">
        <v>-18948</v>
      </c>
      <c r="F3">
        <v>-14.9</v>
      </c>
      <c r="G3" s="9">
        <v>-9.9999999999999997E+199</v>
      </c>
      <c r="H3" s="9">
        <v>-9.9999999999999997E+199</v>
      </c>
      <c r="I3" s="9">
        <v>-9.9999999999999997E+199</v>
      </c>
      <c r="J3" s="9">
        <v>-9.9999999999999997E+199</v>
      </c>
      <c r="K3">
        <v>10</v>
      </c>
      <c r="L3" t="s">
        <v>71</v>
      </c>
      <c r="M3" t="s">
        <v>19</v>
      </c>
      <c r="N3" t="s">
        <v>74</v>
      </c>
      <c r="O3" t="s">
        <v>73</v>
      </c>
      <c r="P3">
        <v>1941425295.5999999</v>
      </c>
      <c r="Q3">
        <v>6952.2878666099996</v>
      </c>
      <c r="R3">
        <v>1941428170.23</v>
      </c>
      <c r="S3">
        <v>1941429832.72</v>
      </c>
      <c r="T3">
        <v>1941415009.23</v>
      </c>
      <c r="U3">
        <v>1941416830.3699999</v>
      </c>
      <c r="V3">
        <v>1941429736.3599999</v>
      </c>
      <c r="W3">
        <v>4</v>
      </c>
      <c r="X3">
        <v>48334306.580200002</v>
      </c>
      <c r="Y3">
        <v>0.263848935103</v>
      </c>
      <c r="Z3">
        <v>2.1611600770599999E-2</v>
      </c>
      <c r="AA3">
        <v>0.30264679038600001</v>
      </c>
      <c r="AB3" s="9">
        <v>1.22768367385E-12</v>
      </c>
      <c r="AC3">
        <v>1</v>
      </c>
      <c r="AD3">
        <v>0.27064220183499998</v>
      </c>
    </row>
    <row r="4" spans="1:30" x14ac:dyDescent="0.2">
      <c r="A4" t="s">
        <v>76</v>
      </c>
      <c r="B4">
        <v>2</v>
      </c>
      <c r="C4">
        <v>894</v>
      </c>
      <c r="D4">
        <v>-879</v>
      </c>
      <c r="E4">
        <v>-22089</v>
      </c>
      <c r="F4">
        <v>-14.9</v>
      </c>
      <c r="G4" s="9">
        <v>-9.9999999999999997E+199</v>
      </c>
      <c r="H4" s="9">
        <v>-9.9999999999999997E+199</v>
      </c>
      <c r="I4" s="9">
        <v>-9.9999999999999997E+199</v>
      </c>
      <c r="J4" s="9">
        <v>-9.9999999999999997E+199</v>
      </c>
      <c r="K4">
        <v>10</v>
      </c>
      <c r="L4" t="s">
        <v>71</v>
      </c>
      <c r="M4" t="s">
        <v>22</v>
      </c>
      <c r="N4" t="s">
        <v>77</v>
      </c>
      <c r="O4" t="s">
        <v>73</v>
      </c>
      <c r="P4">
        <v>2357253019.6300001</v>
      </c>
      <c r="Q4">
        <v>1077.46392866</v>
      </c>
      <c r="R4">
        <v>2357252830.3800001</v>
      </c>
      <c r="S4">
        <v>2357254371.6500001</v>
      </c>
      <c r="T4">
        <v>2357252046.0900002</v>
      </c>
      <c r="U4">
        <v>2357252079.1900001</v>
      </c>
      <c r="V4">
        <v>2357254225.0100002</v>
      </c>
      <c r="W4">
        <v>4</v>
      </c>
      <c r="X4">
        <v>1160928.5175600001</v>
      </c>
      <c r="Y4">
        <v>2.1252890767700001E-2</v>
      </c>
      <c r="Z4">
        <v>0.30877094401299998</v>
      </c>
      <c r="AA4">
        <v>1</v>
      </c>
      <c r="AB4" s="9">
        <v>7.2869255798000005E-13</v>
      </c>
      <c r="AC4">
        <v>0.275353016688</v>
      </c>
      <c r="AD4">
        <v>0.24997221913500001</v>
      </c>
    </row>
    <row r="5" spans="1:30" x14ac:dyDescent="0.2">
      <c r="A5" t="s">
        <v>78</v>
      </c>
      <c r="B5">
        <v>0</v>
      </c>
      <c r="C5">
        <v>522</v>
      </c>
      <c r="D5">
        <v>-507</v>
      </c>
      <c r="E5">
        <v>-12741</v>
      </c>
      <c r="F5">
        <v>-14.9</v>
      </c>
      <c r="G5" s="9">
        <v>-9.9999999999999997E+199</v>
      </c>
      <c r="H5" s="9">
        <v>-9.9999999999999997E+199</v>
      </c>
      <c r="I5" s="9">
        <v>-9.9999999999999997E+199</v>
      </c>
      <c r="J5" s="9">
        <v>-9.9999999999999997E+199</v>
      </c>
      <c r="K5">
        <v>35000</v>
      </c>
      <c r="L5" t="s">
        <v>71</v>
      </c>
      <c r="M5" t="s">
        <v>20</v>
      </c>
      <c r="N5" t="s">
        <v>79</v>
      </c>
      <c r="O5" t="s">
        <v>73</v>
      </c>
      <c r="P5">
        <v>1177078719.72</v>
      </c>
      <c r="Q5">
        <v>45333.174797</v>
      </c>
      <c r="R5">
        <v>1177087754.28</v>
      </c>
      <c r="S5">
        <v>1177118966.7</v>
      </c>
      <c r="T5">
        <v>1177020403.6300001</v>
      </c>
      <c r="U5">
        <v>1177027183.3699999</v>
      </c>
      <c r="V5">
        <v>1177117607.7</v>
      </c>
      <c r="W5">
        <v>4</v>
      </c>
      <c r="X5">
        <v>2055096737.1700001</v>
      </c>
      <c r="Y5">
        <v>5.2021435833E-2</v>
      </c>
      <c r="Z5">
        <v>0.5</v>
      </c>
      <c r="AA5">
        <v>4</v>
      </c>
      <c r="AB5">
        <v>0.315724815725</v>
      </c>
      <c r="AC5" s="9">
        <v>3.4322497171699999E-12</v>
      </c>
      <c r="AD5">
        <v>0.32953656628900002</v>
      </c>
    </row>
    <row r="6" spans="1:30" x14ac:dyDescent="0.2">
      <c r="A6" t="s">
        <v>21</v>
      </c>
      <c r="B6">
        <v>0</v>
      </c>
      <c r="C6">
        <v>1280</v>
      </c>
      <c r="D6">
        <v>-1265</v>
      </c>
      <c r="E6">
        <v>-31789</v>
      </c>
      <c r="F6">
        <v>-14.9</v>
      </c>
      <c r="G6" s="9">
        <v>-9.9999999999999997E+199</v>
      </c>
      <c r="H6" s="9">
        <v>-9.9999999999999997E+199</v>
      </c>
      <c r="I6" s="9">
        <v>-9.9999999999999997E+199</v>
      </c>
      <c r="J6" s="9">
        <v>-9.9999999999999997E+199</v>
      </c>
      <c r="K6">
        <v>2000000</v>
      </c>
      <c r="L6" t="s">
        <v>71</v>
      </c>
      <c r="M6" t="s">
        <v>80</v>
      </c>
      <c r="N6" t="s">
        <v>81</v>
      </c>
      <c r="O6" t="s">
        <v>73</v>
      </c>
      <c r="P6">
        <v>2880661882.02</v>
      </c>
      <c r="Q6">
        <v>18447721.6961</v>
      </c>
      <c r="R6">
        <v>2882183403.02</v>
      </c>
      <c r="S6">
        <v>2919873833.9099998</v>
      </c>
      <c r="T6">
        <v>2851246232.9899998</v>
      </c>
      <c r="U6">
        <v>2856011739.0500002</v>
      </c>
      <c r="V6">
        <v>2905799143.7800002</v>
      </c>
      <c r="W6">
        <v>10</v>
      </c>
      <c r="X6" s="9">
        <v>340318435777000</v>
      </c>
      <c r="Y6">
        <v>10</v>
      </c>
      <c r="Z6">
        <v>0.28673657603500002</v>
      </c>
      <c r="AA6">
        <v>0.26394849785399999</v>
      </c>
      <c r="AB6">
        <v>1.8921016736099999E-2</v>
      </c>
      <c r="AC6" s="9">
        <v>1.46600182842E-14</v>
      </c>
      <c r="AD6">
        <v>0.25000125000599999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1661-1357-8E4D-8878-EEFCBAD9628D}">
  <dimension ref="A1:N23"/>
  <sheetViews>
    <sheetView tabSelected="1" topLeftCell="A3" workbookViewId="0">
      <selection activeCell="C31" sqref="C31"/>
    </sheetView>
  </sheetViews>
  <sheetFormatPr baseColWidth="10" defaultRowHeight="16" x14ac:dyDescent="0.2"/>
  <cols>
    <col min="1" max="1" width="16.83203125" bestFit="1" customWidth="1"/>
    <col min="2" max="2" width="11.83203125" bestFit="1" customWidth="1"/>
    <col min="3" max="3" width="11.1640625" bestFit="1" customWidth="1"/>
    <col min="5" max="5" width="11.1640625" bestFit="1" customWidth="1"/>
    <col min="6" max="6" width="12.5" bestFit="1" customWidth="1"/>
  </cols>
  <sheetData>
    <row r="1" spans="1:14" x14ac:dyDescent="0.2">
      <c r="A1" t="s">
        <v>12</v>
      </c>
      <c r="B1" t="s">
        <v>13</v>
      </c>
      <c r="C1" t="s">
        <v>14</v>
      </c>
      <c r="D1" t="s">
        <v>15</v>
      </c>
      <c r="E1" t="s">
        <v>3</v>
      </c>
      <c r="F1" t="s">
        <v>16</v>
      </c>
      <c r="G1" t="s">
        <v>6</v>
      </c>
      <c r="J1" t="s">
        <v>3</v>
      </c>
      <c r="K1" t="s">
        <v>23</v>
      </c>
      <c r="L1" t="s">
        <v>24</v>
      </c>
      <c r="M1" t="s">
        <v>25</v>
      </c>
      <c r="N1" t="s">
        <v>26</v>
      </c>
    </row>
    <row r="2" spans="1:14" x14ac:dyDescent="0.2">
      <c r="A2" t="s">
        <v>30</v>
      </c>
      <c r="B2">
        <v>2102483898.8800001</v>
      </c>
      <c r="C2">
        <v>10442175.4814</v>
      </c>
      <c r="D2" s="2">
        <f>C2/B2</f>
        <v>4.966589987662964E-3</v>
      </c>
      <c r="E2">
        <f>B2-$B$2</f>
        <v>0</v>
      </c>
      <c r="F2">
        <f>SQRT(POWER($C$2,2)+POWER(C2,2))</f>
        <v>14767466.186475683</v>
      </c>
      <c r="G2" s="2" t="e">
        <f>F2/E2</f>
        <v>#DIV/0!</v>
      </c>
      <c r="J2" t="s">
        <v>27</v>
      </c>
      <c r="K2">
        <v>972148741.11999989</v>
      </c>
      <c r="L2">
        <v>1639645614.7599998</v>
      </c>
      <c r="M2">
        <v>10442175.504298862</v>
      </c>
      <c r="N2">
        <v>10442175.570933467</v>
      </c>
    </row>
    <row r="3" spans="1:14" x14ac:dyDescent="0.2">
      <c r="A3" t="s">
        <v>17</v>
      </c>
      <c r="B3">
        <v>3408381162.0100002</v>
      </c>
      <c r="C3">
        <v>1225.80578418</v>
      </c>
      <c r="D3" s="2">
        <f t="shared" ref="D3:D15" si="0">C3/B3</f>
        <v>3.5964457198710559E-7</v>
      </c>
      <c r="E3">
        <f>B3-$B$2</f>
        <v>1305897263.1300001</v>
      </c>
      <c r="F3">
        <f t="shared" ref="F3:F15" si="1">SQRT(POWER($C$2,2)+POWER(C3,2))</f>
        <v>10442175.553348601</v>
      </c>
      <c r="G3" s="2">
        <f>F3/E3</f>
        <v>7.9961692609115276E-3</v>
      </c>
      <c r="J3" t="s">
        <v>28</v>
      </c>
      <c r="K3">
        <v>1535805611.8199997</v>
      </c>
      <c r="L3">
        <v>1075987720.1199999</v>
      </c>
      <c r="M3">
        <v>10442175.535281418</v>
      </c>
      <c r="N3">
        <v>10442175.557708757</v>
      </c>
    </row>
    <row r="4" spans="1:14" x14ac:dyDescent="0.2">
      <c r="A4" t="s">
        <v>83</v>
      </c>
      <c r="B4">
        <v>3074632640</v>
      </c>
      <c r="C4">
        <v>691.54022039999995</v>
      </c>
      <c r="D4" s="2">
        <f t="shared" si="0"/>
        <v>2.2491799878895449E-7</v>
      </c>
      <c r="E4">
        <f t="shared" ref="E4:E15" si="2">B4-$B$2</f>
        <v>972148741.11999989</v>
      </c>
      <c r="F4">
        <f t="shared" si="1"/>
        <v>10442175.504298862</v>
      </c>
      <c r="G4" s="2">
        <f t="shared" ref="G4:G15" si="3">F4/E4</f>
        <v>1.0741335212005283E-2</v>
      </c>
      <c r="J4" t="s">
        <v>29</v>
      </c>
      <c r="K4">
        <v>895251155.11999989</v>
      </c>
      <c r="L4">
        <v>484608226.83999968</v>
      </c>
      <c r="M4">
        <v>10442175.492559887</v>
      </c>
      <c r="N4">
        <v>10442175.505490296</v>
      </c>
    </row>
    <row r="5" spans="1:14" x14ac:dyDescent="0.2">
      <c r="A5" t="s">
        <v>84</v>
      </c>
      <c r="B5">
        <v>3742129513.6399999</v>
      </c>
      <c r="C5">
        <v>1367.4239876199999</v>
      </c>
      <c r="D5" s="2">
        <f t="shared" si="0"/>
        <v>3.6541332485574381E-7</v>
      </c>
      <c r="E5">
        <f t="shared" si="2"/>
        <v>1639645614.7599998</v>
      </c>
      <c r="F5">
        <f t="shared" si="1"/>
        <v>10442175.570933467</v>
      </c>
      <c r="G5" s="2">
        <f t="shared" si="3"/>
        <v>6.3685563983665594E-3</v>
      </c>
      <c r="J5" t="s">
        <v>91</v>
      </c>
      <c r="K5">
        <v>1488604013.21</v>
      </c>
      <c r="L5">
        <v>1123191151.1199999</v>
      </c>
      <c r="M5">
        <v>10442175.536692044</v>
      </c>
      <c r="N5">
        <v>10442175.575727658</v>
      </c>
    </row>
    <row r="6" spans="1:14" x14ac:dyDescent="0.2">
      <c r="A6" t="s">
        <v>85</v>
      </c>
      <c r="B6">
        <v>3638289510.6999998</v>
      </c>
      <c r="C6">
        <v>1060.7914330000001</v>
      </c>
      <c r="D6" s="2">
        <f t="shared" si="0"/>
        <v>2.9156322768715178E-7</v>
      </c>
      <c r="E6">
        <f t="shared" si="2"/>
        <v>1535805611.8199997</v>
      </c>
      <c r="F6">
        <f t="shared" si="1"/>
        <v>10442175.535281418</v>
      </c>
      <c r="G6" s="2">
        <f t="shared" si="3"/>
        <v>6.799151829447324E-3</v>
      </c>
      <c r="J6" t="s">
        <v>96</v>
      </c>
      <c r="K6">
        <v>-961918169.88000011</v>
      </c>
      <c r="L6">
        <v>827867987.11999989</v>
      </c>
      <c r="M6">
        <v>14134206.029609658</v>
      </c>
      <c r="N6">
        <v>10442175.528010555</v>
      </c>
    </row>
    <row r="7" spans="1:14" x14ac:dyDescent="0.2">
      <c r="A7" t="s">
        <v>86</v>
      </c>
      <c r="B7">
        <v>3178471619</v>
      </c>
      <c r="C7">
        <v>1262.40202</v>
      </c>
      <c r="D7" s="2">
        <f t="shared" si="0"/>
        <v>3.9717265759232189E-7</v>
      </c>
      <c r="E7">
        <f t="shared" si="2"/>
        <v>1075987720.1199999</v>
      </c>
      <c r="F7">
        <f t="shared" si="1"/>
        <v>10442175.557708757</v>
      </c>
      <c r="G7" s="2">
        <f t="shared" si="3"/>
        <v>9.7047348798220395E-3</v>
      </c>
    </row>
    <row r="8" spans="1:14" x14ac:dyDescent="0.2">
      <c r="A8" t="s">
        <v>87</v>
      </c>
      <c r="B8">
        <v>2997735054</v>
      </c>
      <c r="C8">
        <v>482.77015799999998</v>
      </c>
      <c r="D8" s="2">
        <f t="shared" si="0"/>
        <v>1.6104497205509208E-7</v>
      </c>
      <c r="E8">
        <f t="shared" si="2"/>
        <v>895251155.11999989</v>
      </c>
      <c r="F8">
        <f t="shared" si="1"/>
        <v>10442175.492559887</v>
      </c>
      <c r="G8" s="2">
        <f t="shared" si="3"/>
        <v>1.1663962043322037E-2</v>
      </c>
    </row>
    <row r="9" spans="1:14" x14ac:dyDescent="0.2">
      <c r="A9" t="s">
        <v>88</v>
      </c>
      <c r="B9">
        <v>2587092125.7199998</v>
      </c>
      <c r="C9">
        <v>709.30261971000004</v>
      </c>
      <c r="D9" s="2">
        <f t="shared" si="0"/>
        <v>2.7416983440920093E-7</v>
      </c>
      <c r="E9">
        <f t="shared" si="2"/>
        <v>484608226.83999968</v>
      </c>
      <c r="F9">
        <f t="shared" si="1"/>
        <v>10442175.505490296</v>
      </c>
      <c r="G9" s="2">
        <f t="shared" si="3"/>
        <v>2.154766454044935E-2</v>
      </c>
    </row>
    <row r="10" spans="1:14" x14ac:dyDescent="0.2">
      <c r="A10" t="s">
        <v>89</v>
      </c>
      <c r="B10">
        <v>3591087912.0900002</v>
      </c>
      <c r="C10">
        <v>1074.5875776299999</v>
      </c>
      <c r="D10" s="2">
        <f t="shared" si="0"/>
        <v>2.9923733529669949E-7</v>
      </c>
      <c r="E10">
        <f t="shared" si="2"/>
        <v>1488604013.21</v>
      </c>
      <c r="F10">
        <f t="shared" si="1"/>
        <v>10442175.536692044</v>
      </c>
      <c r="G10" s="2">
        <f t="shared" si="3"/>
        <v>7.0147436417121543E-3</v>
      </c>
    </row>
    <row r="11" spans="1:14" x14ac:dyDescent="0.2">
      <c r="A11" t="s">
        <v>90</v>
      </c>
      <c r="B11">
        <v>3225675050</v>
      </c>
      <c r="C11">
        <v>1403.5568800000001</v>
      </c>
      <c r="D11" s="2">
        <f t="shared" si="0"/>
        <v>4.3512035721019082E-7</v>
      </c>
      <c r="E11">
        <f t="shared" si="2"/>
        <v>1123191151.1199999</v>
      </c>
      <c r="F11">
        <f t="shared" si="1"/>
        <v>10442175.575727658</v>
      </c>
      <c r="G11" s="2">
        <f t="shared" si="3"/>
        <v>9.2968819824792524E-3</v>
      </c>
    </row>
    <row r="12" spans="1:14" x14ac:dyDescent="0.2">
      <c r="A12" t="s">
        <v>94</v>
      </c>
      <c r="B12">
        <v>1140565729</v>
      </c>
      <c r="C12">
        <v>9525584.0399999991</v>
      </c>
      <c r="D12" s="2">
        <f t="shared" si="0"/>
        <v>8.3516309475225332E-3</v>
      </c>
      <c r="E12">
        <f t="shared" si="2"/>
        <v>-961918169.88000011</v>
      </c>
      <c r="F12">
        <f t="shared" si="1"/>
        <v>14134206.029609658</v>
      </c>
      <c r="G12" s="2">
        <f t="shared" si="3"/>
        <v>-1.4693771749184141E-2</v>
      </c>
    </row>
    <row r="13" spans="1:14" x14ac:dyDescent="0.2">
      <c r="A13" t="s">
        <v>95</v>
      </c>
      <c r="B13">
        <v>2930351886</v>
      </c>
      <c r="C13">
        <v>986.62616600000001</v>
      </c>
      <c r="D13" s="2">
        <f t="shared" si="0"/>
        <v>3.3669204395338617E-7</v>
      </c>
      <c r="E13">
        <f t="shared" si="2"/>
        <v>827867987.11999989</v>
      </c>
      <c r="F13">
        <f t="shared" si="1"/>
        <v>10442175.528010555</v>
      </c>
      <c r="G13" s="2">
        <f t="shared" si="3"/>
        <v>1.2613334119050742E-2</v>
      </c>
    </row>
    <row r="14" spans="1:14" x14ac:dyDescent="0.2">
      <c r="A14" t="s">
        <v>146</v>
      </c>
      <c r="B14">
        <v>3408336785.7199998</v>
      </c>
      <c r="C14">
        <v>1283.9270959200001</v>
      </c>
      <c r="D14" s="2">
        <f t="shared" si="0"/>
        <v>3.7670194486040933E-7</v>
      </c>
      <c r="E14">
        <f t="shared" si="2"/>
        <v>1305852886.8399997</v>
      </c>
      <c r="F14">
        <f t="shared" si="1"/>
        <v>10442175.560333205</v>
      </c>
      <c r="G14" s="2">
        <f t="shared" si="3"/>
        <v>7.9964409969655627E-3</v>
      </c>
    </row>
    <row r="15" spans="1:14" x14ac:dyDescent="0.2">
      <c r="A15" t="s">
        <v>147</v>
      </c>
      <c r="B15">
        <v>3408425168</v>
      </c>
      <c r="C15">
        <v>637.67259850000005</v>
      </c>
      <c r="D15" s="2">
        <f t="shared" si="0"/>
        <v>1.8708716403305236E-7</v>
      </c>
      <c r="E15">
        <f t="shared" si="2"/>
        <v>1305941269.1199999</v>
      </c>
      <c r="F15">
        <f t="shared" si="1"/>
        <v>10442175.500870384</v>
      </c>
      <c r="G15" s="2">
        <f t="shared" si="3"/>
        <v>7.9958997757278751E-3</v>
      </c>
    </row>
    <row r="17" spans="1:5" x14ac:dyDescent="0.2">
      <c r="A17" t="s">
        <v>3</v>
      </c>
      <c r="B17" t="s">
        <v>23</v>
      </c>
      <c r="C17" t="s">
        <v>24</v>
      </c>
      <c r="D17" t="s">
        <v>25</v>
      </c>
      <c r="E17" t="s">
        <v>26</v>
      </c>
    </row>
    <row r="18" spans="1:5" x14ac:dyDescent="0.2">
      <c r="A18" t="s">
        <v>96</v>
      </c>
      <c r="B18">
        <f>E12</f>
        <v>-961918169.88000011</v>
      </c>
      <c r="C18">
        <f>E13</f>
        <v>827867987.11999989</v>
      </c>
      <c r="D18">
        <f>F12</f>
        <v>14134206.029609658</v>
      </c>
      <c r="E18">
        <f>F13</f>
        <v>10442175.528010555</v>
      </c>
    </row>
    <row r="19" spans="1:5" x14ac:dyDescent="0.2">
      <c r="A19" t="s">
        <v>29</v>
      </c>
      <c r="B19">
        <f>E8</f>
        <v>895251155.11999989</v>
      </c>
      <c r="C19">
        <f>E9</f>
        <v>484608226.83999968</v>
      </c>
      <c r="D19">
        <f>F8</f>
        <v>10442175.492559887</v>
      </c>
      <c r="E19">
        <f>F9</f>
        <v>10442175.505490296</v>
      </c>
    </row>
    <row r="20" spans="1:5" x14ac:dyDescent="0.2">
      <c r="A20" t="s">
        <v>27</v>
      </c>
      <c r="B20">
        <f>E4</f>
        <v>972148741.11999989</v>
      </c>
      <c r="C20">
        <f>E5</f>
        <v>1639645614.7599998</v>
      </c>
      <c r="D20">
        <f>F4</f>
        <v>10442175.504298862</v>
      </c>
      <c r="E20">
        <f>F5</f>
        <v>10442175.570933467</v>
      </c>
    </row>
    <row r="21" spans="1:5" x14ac:dyDescent="0.2">
      <c r="A21" t="s">
        <v>28</v>
      </c>
      <c r="B21">
        <f>E6</f>
        <v>1535805611.8199997</v>
      </c>
      <c r="C21">
        <f>E7</f>
        <v>1075987720.1199999</v>
      </c>
      <c r="D21">
        <f>F6</f>
        <v>10442175.535281418</v>
      </c>
      <c r="E21">
        <f>F7</f>
        <v>10442175.557708757</v>
      </c>
    </row>
    <row r="22" spans="1:5" x14ac:dyDescent="0.2">
      <c r="A22" t="s">
        <v>91</v>
      </c>
      <c r="B22">
        <f>E10</f>
        <v>1488604013.21</v>
      </c>
      <c r="C22">
        <f>E11</f>
        <v>1123191151.1199999</v>
      </c>
      <c r="D22">
        <f>F10</f>
        <v>10442175.536692044</v>
      </c>
      <c r="E22">
        <f>F11</f>
        <v>10442175.575727658</v>
      </c>
    </row>
    <row r="23" spans="1:5" x14ac:dyDescent="0.2">
      <c r="A23" t="s">
        <v>148</v>
      </c>
      <c r="B23">
        <f>E14</f>
        <v>1305852886.8399997</v>
      </c>
      <c r="C23">
        <f>E15</f>
        <v>1305941269.1199999</v>
      </c>
      <c r="D23">
        <f>F14</f>
        <v>10442175.560333205</v>
      </c>
      <c r="E23">
        <f>F15</f>
        <v>10442175.500870384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C29D9-F38F-D947-8D8F-5B3E6EFFC85F}">
  <dimension ref="A1:F13"/>
  <sheetViews>
    <sheetView workbookViewId="0">
      <selection activeCell="S25" sqref="S25"/>
    </sheetView>
  </sheetViews>
  <sheetFormatPr baseColWidth="10" defaultRowHeight="16" x14ac:dyDescent="0.2"/>
  <cols>
    <col min="4" max="4" width="11.1640625" bestFit="1" customWidth="1"/>
  </cols>
  <sheetData>
    <row r="1" spans="1:6" x14ac:dyDescent="0.2">
      <c r="A1" t="s">
        <v>12</v>
      </c>
      <c r="B1" t="s">
        <v>13</v>
      </c>
      <c r="C1" t="s">
        <v>14</v>
      </c>
    </row>
    <row r="2" spans="1:6" x14ac:dyDescent="0.2">
      <c r="A2" t="s">
        <v>30</v>
      </c>
      <c r="B2">
        <v>2102483898.8800001</v>
      </c>
      <c r="C2">
        <v>10442175.4814</v>
      </c>
    </row>
    <row r="4" spans="1:6" x14ac:dyDescent="0.2">
      <c r="A4" t="s">
        <v>12</v>
      </c>
      <c r="B4" t="s">
        <v>13</v>
      </c>
      <c r="C4" t="s">
        <v>14</v>
      </c>
      <c r="D4" t="s">
        <v>3</v>
      </c>
      <c r="E4" t="s">
        <v>141</v>
      </c>
      <c r="F4" t="s">
        <v>144</v>
      </c>
    </row>
    <row r="5" spans="1:6" x14ac:dyDescent="0.2">
      <c r="A5" t="s">
        <v>140</v>
      </c>
      <c r="B5">
        <v>3408381162.0100002</v>
      </c>
      <c r="C5">
        <v>1225.80578418</v>
      </c>
      <c r="D5">
        <f>B5-B$2</f>
        <v>1305897263.1300001</v>
      </c>
      <c r="E5">
        <f>SQRT(POWER(C5,2)+POWER(C$2,2))</f>
        <v>10442175.553348601</v>
      </c>
      <c r="F5">
        <v>3</v>
      </c>
    </row>
    <row r="6" spans="1:6" x14ac:dyDescent="0.2">
      <c r="A6" t="s">
        <v>139</v>
      </c>
      <c r="B6">
        <v>610618098.39999998</v>
      </c>
      <c r="C6">
        <v>7424999.5140000004</v>
      </c>
      <c r="D6">
        <f t="shared" ref="D6:D8" si="0">B6-B$2</f>
        <v>-1491865800.48</v>
      </c>
      <c r="E6">
        <f>SQRT(POWER(C6,2)+POWER(C$2,2))</f>
        <v>12812870.348491456</v>
      </c>
      <c r="F6">
        <v>0</v>
      </c>
    </row>
    <row r="7" spans="1:6" x14ac:dyDescent="0.2">
      <c r="A7" t="s">
        <v>138</v>
      </c>
      <c r="B7">
        <v>1140565729</v>
      </c>
      <c r="C7">
        <v>9525584.0399999991</v>
      </c>
      <c r="D7">
        <f t="shared" si="0"/>
        <v>-961918169.88000011</v>
      </c>
      <c r="E7">
        <f t="shared" ref="E7:E8" si="1">SQRT(POWER(C7,2)+POWER(C$2,2))</f>
        <v>14134206.029609658</v>
      </c>
      <c r="F7">
        <v>1</v>
      </c>
    </row>
    <row r="8" spans="1:6" x14ac:dyDescent="0.2">
      <c r="A8" t="s">
        <v>142</v>
      </c>
      <c r="B8">
        <v>2930351886</v>
      </c>
      <c r="C8">
        <v>986.62616600000001</v>
      </c>
      <c r="D8">
        <f t="shared" si="0"/>
        <v>827867987.11999989</v>
      </c>
      <c r="E8">
        <f t="shared" si="1"/>
        <v>10442175.528010555</v>
      </c>
      <c r="F8">
        <v>2.7</v>
      </c>
    </row>
    <row r="10" spans="1:6" x14ac:dyDescent="0.2">
      <c r="A10" t="s">
        <v>143</v>
      </c>
      <c r="B10" t="s">
        <v>145</v>
      </c>
    </row>
    <row r="11" spans="1:6" x14ac:dyDescent="0.2">
      <c r="A11" s="5">
        <f>(F6-$F$5)/$F$5</f>
        <v>-1</v>
      </c>
      <c r="B11" s="5">
        <f>(D6-$D$5)/$D$5</f>
        <v>-2.142406713453298</v>
      </c>
    </row>
    <row r="12" spans="1:6" x14ac:dyDescent="0.2">
      <c r="A12" s="5">
        <f t="shared" ref="A12:A13" si="2">(F7-$F$5)/$F$5</f>
        <v>-0.66666666666666663</v>
      </c>
      <c r="B12" s="5">
        <f t="shared" ref="B12:B13" si="3">(D7-$D$5)/$D$5</f>
        <v>-1.7365955937256932</v>
      </c>
    </row>
    <row r="13" spans="1:6" x14ac:dyDescent="0.2">
      <c r="A13" s="5">
        <f t="shared" si="2"/>
        <v>-9.9999999999999936E-2</v>
      </c>
      <c r="B13" s="5">
        <f t="shared" si="3"/>
        <v>-0.36605427509990357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cases</vt:lpstr>
      <vt:lpstr>cashflow_comparison</vt:lpstr>
      <vt:lpstr>data</vt:lpstr>
      <vt:lpstr>braidwood_SA</vt:lpstr>
      <vt:lpstr>braidwood_h2ptc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2022-12-13T16:15:26Z</dcterms:created>
  <dcterms:modified xsi:type="dcterms:W3CDTF">2023-05-09T13:36:29Z</dcterms:modified>
</cp:coreProperties>
</file>