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rrm/FORCE/use_cases/IES_Feb23/data/"/>
    </mc:Choice>
  </mc:AlternateContent>
  <xr:revisionPtr revIDLastSave="0" documentId="13_ncr:1_{160E53F7-2C21-874C-BC96-45BE68DCA324}" xr6:coauthVersionLast="47" xr6:coauthVersionMax="47" xr10:uidLastSave="{00000000-0000-0000-0000-000000000000}"/>
  <bookViews>
    <workbookView xWindow="0" yWindow="0" windowWidth="17800" windowHeight="22400" activeTab="4" xr2:uid="{3CE7F202-39F9-48AF-B0C7-575379157397}"/>
  </bookViews>
  <sheets>
    <sheet name="MACRS" sheetId="1" r:id="rId1"/>
    <sheet name="Transfer_rates" sheetId="4" r:id="rId2"/>
    <sheet name="HTSE" sheetId="2" r:id="rId3"/>
    <sheet name="FT" sheetId="11" r:id="rId4"/>
    <sheet name="Boundaries" sheetId="10" r:id="rId5"/>
    <sheet name="Capacity_Market" sheetId="3" r:id="rId6"/>
    <sheet name="NPP_capacities" sheetId="1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10" l="1"/>
  <c r="L4" i="10"/>
  <c r="L5" i="10"/>
  <c r="L6" i="10"/>
  <c r="L7" i="10"/>
  <c r="L8" i="10"/>
  <c r="L2" i="10"/>
  <c r="J3" i="10"/>
  <c r="J4" i="10"/>
  <c r="J5" i="10"/>
  <c r="J6" i="10"/>
  <c r="J7" i="10"/>
  <c r="J8" i="10"/>
  <c r="J2" i="10"/>
  <c r="I3" i="10"/>
  <c r="I4" i="10"/>
  <c r="I5" i="10"/>
  <c r="I6" i="10"/>
  <c r="I7" i="10"/>
  <c r="I8" i="10"/>
  <c r="I2" i="10"/>
  <c r="G3" i="10"/>
  <c r="G4" i="10"/>
  <c r="G5" i="10"/>
  <c r="G6" i="10"/>
  <c r="G7" i="10"/>
  <c r="G8" i="10"/>
  <c r="G2" i="10"/>
  <c r="J3" i="12"/>
  <c r="J4" i="12"/>
  <c r="J5" i="12"/>
  <c r="J6" i="12"/>
  <c r="J7" i="12"/>
  <c r="J8" i="12"/>
  <c r="J2" i="12"/>
  <c r="B17" i="10"/>
  <c r="C18" i="10" s="1"/>
  <c r="C17" i="10"/>
  <c r="B20" i="4"/>
  <c r="B15" i="11"/>
  <c r="B21" i="11"/>
  <c r="B25" i="11"/>
  <c r="J10" i="11"/>
  <c r="K10" i="11"/>
  <c r="I10" i="11"/>
  <c r="J9" i="11"/>
  <c r="I8" i="11"/>
  <c r="I9" i="11" s="1"/>
  <c r="K8" i="11"/>
  <c r="K9" i="11" s="1"/>
  <c r="B8" i="3"/>
  <c r="B4" i="2"/>
  <c r="B19" i="4"/>
  <c r="F12" i="4"/>
  <c r="F13" i="4"/>
  <c r="F11" i="4"/>
  <c r="F8" i="4"/>
  <c r="F7" i="4"/>
  <c r="D7" i="4"/>
  <c r="D8" i="4"/>
  <c r="D11" i="4"/>
  <c r="D12" i="4"/>
  <c r="D13" i="4"/>
</calcChain>
</file>

<file path=xl/sharedStrings.xml><?xml version="1.0" encoding="utf-8"?>
<sst xmlns="http://schemas.openxmlformats.org/spreadsheetml/2006/main" count="256" uniqueCount="193">
  <si>
    <t>Source</t>
  </si>
  <si>
    <t>https://www.irs.gov/publications/p946</t>
  </si>
  <si>
    <t>Class</t>
  </si>
  <si>
    <t>Industrial Steam and Electric Generation and/or Distribution Systems</t>
  </si>
  <si>
    <t>MACRS</t>
  </si>
  <si>
    <t>00.4</t>
  </si>
  <si>
    <t>13.3</t>
  </si>
  <si>
    <t>Petroleum Refining</t>
  </si>
  <si>
    <t>49.221</t>
  </si>
  <si>
    <t>Gas Utility Substitute Natural Gas (SNG) Production Plant (naphta or light hydrocarbon feedstocks)</t>
  </si>
  <si>
    <t>https://cs.thomsonreuters.com/ua/fixa/cs_us_en/ass_life_tbl/hid_help_asset_lives.htm</t>
  </si>
  <si>
    <t>Sources</t>
  </si>
  <si>
    <t>49.24</t>
  </si>
  <si>
    <t>Gas Utility Trunk Pipelines and Related Storage Facilities</t>
  </si>
  <si>
    <t>Component</t>
  </si>
  <si>
    <t>FT</t>
  </si>
  <si>
    <t>H2 storage</t>
  </si>
  <si>
    <t>HTSE</t>
  </si>
  <si>
    <t>CO2 source ?</t>
  </si>
  <si>
    <t>From</t>
  </si>
  <si>
    <t>49.222</t>
  </si>
  <si>
    <t>Gas Utility Manufactured Gas Production Plants</t>
  </si>
  <si>
    <t>28.0</t>
  </si>
  <si>
    <t>Manufacture of Chemicals and Allied Products</t>
  </si>
  <si>
    <t>High-Temperature Steam Electrolysis Process Performance and Cost Estimates, D. Wendt</t>
  </si>
  <si>
    <t>Electricity required</t>
  </si>
  <si>
    <t>QoI</t>
  </si>
  <si>
    <t>Value</t>
  </si>
  <si>
    <t>Unit</t>
  </si>
  <si>
    <t>kWh-e/kg-H2</t>
  </si>
  <si>
    <t>Thermal energy required</t>
  </si>
  <si>
    <t>kWh-t/kg-H2</t>
  </si>
  <si>
    <t>Direct Capital Cost (NOAK)</t>
  </si>
  <si>
    <t>$/kW-dc</t>
  </si>
  <si>
    <t>No</t>
  </si>
  <si>
    <t>Total Capital Investment (NOAK)</t>
  </si>
  <si>
    <t>Direct Capital Cost (FOAK)</t>
  </si>
  <si>
    <t>Total Capital Investment (FOAK)</t>
  </si>
  <si>
    <t>Project duration</t>
  </si>
  <si>
    <t>years</t>
  </si>
  <si>
    <t>FOM</t>
  </si>
  <si>
    <t>$/kw-dc-year</t>
  </si>
  <si>
    <t>VOM (excl. energy cost)</t>
  </si>
  <si>
    <t>$/MWh-dc</t>
  </si>
  <si>
    <t>IRR</t>
  </si>
  <si>
    <t>%</t>
  </si>
  <si>
    <t>Depreciation schedule (MACRS)</t>
  </si>
  <si>
    <t>PJM Capacity Market Clearing Price</t>
  </si>
  <si>
    <t>Period</t>
  </si>
  <si>
    <t>Price ($/MWe-day)</t>
  </si>
  <si>
    <t>EFORd</t>
  </si>
  <si>
    <t>EFORd (%)</t>
  </si>
  <si>
    <t>2021/2022</t>
  </si>
  <si>
    <t>2020/2021</t>
  </si>
  <si>
    <t>2019/2020</t>
  </si>
  <si>
    <t>2018/2019</t>
  </si>
  <si>
    <t>Capacity sold = UCAP</t>
  </si>
  <si>
    <t>UCAP = Installed Cap *(1-EFORd)</t>
  </si>
  <si>
    <t>Equivalent forced outage rate demand</t>
  </si>
  <si>
    <t>UCAP</t>
  </si>
  <si>
    <t>Unforced CAPacity</t>
  </si>
  <si>
    <t>FT process</t>
  </si>
  <si>
    <t>Inputs</t>
  </si>
  <si>
    <t>CO2</t>
  </si>
  <si>
    <t>H2</t>
  </si>
  <si>
    <t>Electricity</t>
  </si>
  <si>
    <t>MWe</t>
  </si>
  <si>
    <t>MT/day</t>
  </si>
  <si>
    <t>Outputs</t>
  </si>
  <si>
    <t>Naphta</t>
  </si>
  <si>
    <t>Jet Fuel</t>
  </si>
  <si>
    <t>Diesel</t>
  </si>
  <si>
    <t>kg/s</t>
  </si>
  <si>
    <t>kWh/kg-H2</t>
  </si>
  <si>
    <t>kg/h</t>
  </si>
  <si>
    <t>kg-H2/kWh</t>
  </si>
  <si>
    <t>Fixed no matter production level</t>
  </si>
  <si>
    <t>Modeled as separate electricity consuming component</t>
  </si>
  <si>
    <t>Using NOAK values</t>
  </si>
  <si>
    <t>kg-H2/kWh-e</t>
  </si>
  <si>
    <t>Performance and cost analysis of liquid fuel production form H2 and CO2 based on the FT process</t>
  </si>
  <si>
    <t>TCI</t>
  </si>
  <si>
    <t>Size factor</t>
  </si>
  <si>
    <t>Log size factor</t>
  </si>
  <si>
    <t>Name</t>
  </si>
  <si>
    <t>scaling factor</t>
  </si>
  <si>
    <t>depreciate</t>
  </si>
  <si>
    <t>Comment</t>
  </si>
  <si>
    <t>Acronyms</t>
  </si>
  <si>
    <t>Equations</t>
  </si>
  <si>
    <t>Average</t>
  </si>
  <si>
    <t>Used to compute a negative cashflow for the capacity of the NPP not sold on the capacity market</t>
  </si>
  <si>
    <t>FT ANL report</t>
  </si>
  <si>
    <t>Dan Wendt report</t>
  </si>
  <si>
    <t>Components capacities optimization boundaries calculation</t>
  </si>
  <si>
    <t>Fixed components</t>
  </si>
  <si>
    <t>Purpose</t>
  </si>
  <si>
    <t>Capacity negative when component is consuming a resource</t>
  </si>
  <si>
    <t>Optimized components</t>
  </si>
  <si>
    <t>Lower</t>
  </si>
  <si>
    <t>Upper</t>
  </si>
  <si>
    <t>kg-H2</t>
  </si>
  <si>
    <t xml:space="preserve">Capacity  </t>
  </si>
  <si>
    <t>htse</t>
  </si>
  <si>
    <t>ft</t>
  </si>
  <si>
    <t>ft_elec_consumption</t>
  </si>
  <si>
    <t>jet_fuel_market</t>
  </si>
  <si>
    <t>diesel_market</t>
  </si>
  <si>
    <t>naphtha_market</t>
  </si>
  <si>
    <t>h2_storage</t>
  </si>
  <si>
    <t>Update from ANL August 2022</t>
  </si>
  <si>
    <t>The Modeling of the Synfuel Production Process, H.E Delgado and all, June 2022</t>
  </si>
  <si>
    <t>Financial assumptions</t>
  </si>
  <si>
    <t xml:space="preserve">Basis year </t>
  </si>
  <si>
    <t xml:space="preserve">Depreciation </t>
  </si>
  <si>
    <t>20 year MACRS</t>
  </si>
  <si>
    <t xml:space="preserve">Inflation </t>
  </si>
  <si>
    <t xml:space="preserve">Plant life </t>
  </si>
  <si>
    <t>40 years</t>
  </si>
  <si>
    <t>CAPEX</t>
  </si>
  <si>
    <t>driver</t>
  </si>
  <si>
    <t>ft_capacity</t>
  </si>
  <si>
    <t>reference driver</t>
  </si>
  <si>
    <t>Node</t>
  </si>
  <si>
    <t>value</t>
  </si>
  <si>
    <t>unit</t>
  </si>
  <si>
    <t>kg-H2/h</t>
  </si>
  <si>
    <t>Table 3 (255MT-h2/day)</t>
  </si>
  <si>
    <t>Data</t>
  </si>
  <si>
    <t>FT-400</t>
  </si>
  <si>
    <t>reference price</t>
  </si>
  <si>
    <t>Total Capital Cost TCI</t>
  </si>
  <si>
    <t>Size (MW)</t>
  </si>
  <si>
    <t xml:space="preserve">Log TCI </t>
  </si>
  <si>
    <t>VOM</t>
  </si>
  <si>
    <t>Not considering H2 cost, CO2 taken into account in supply curve, utilities only</t>
  </si>
  <si>
    <t>convert $2016 to $2020 using inflation rate</t>
  </si>
  <si>
    <t>$(2020)</t>
  </si>
  <si>
    <t>kg-H2/MWh</t>
  </si>
  <si>
    <t>npp</t>
  </si>
  <si>
    <t>elec_market</t>
  </si>
  <si>
    <t>Elec to H2 rate (HTSE) = 25.13 kg-H2/MWh</t>
  </si>
  <si>
    <t>100 kg initially stored, upper bound ~ 4h of storage for max capacity of FT</t>
  </si>
  <si>
    <t>Plant</t>
  </si>
  <si>
    <t>Market</t>
  </si>
  <si>
    <t>Reactor type</t>
  </si>
  <si>
    <t># Units</t>
  </si>
  <si>
    <t>Capacity (MWth)</t>
  </si>
  <si>
    <t>Capacity (MWe)</t>
  </si>
  <si>
    <t>State</t>
  </si>
  <si>
    <t>State corporate income tax rate (%)</t>
  </si>
  <si>
    <t>Braidwood</t>
  </si>
  <si>
    <t>PJM</t>
  </si>
  <si>
    <t>PWR</t>
  </si>
  <si>
    <t>https://en.wikipedia.org/wiki/Braidwood_Nuclear_Generating_Station</t>
  </si>
  <si>
    <t>Illinois</t>
  </si>
  <si>
    <t>Davis-Besse</t>
  </si>
  <si>
    <t>https://en.wikipedia.org/wiki/Davis–Besse_Nuclear_Power_Station</t>
  </si>
  <si>
    <t>Ohio</t>
  </si>
  <si>
    <t>South Texas Project</t>
  </si>
  <si>
    <t>ERCOT</t>
  </si>
  <si>
    <t>https://en.wikipedia.org/wiki/South_Texas_Nuclear_Generating_Station</t>
  </si>
  <si>
    <t>Texas</t>
  </si>
  <si>
    <t>Diablo Canyon</t>
  </si>
  <si>
    <t>CAISO</t>
  </si>
  <si>
    <t>https://en.wikipedia.org/wiki/Diablo_Canyon_Power_Plant</t>
  </si>
  <si>
    <t>California</t>
  </si>
  <si>
    <t>Prairie Island</t>
  </si>
  <si>
    <t>MISO</t>
  </si>
  <si>
    <t>https://en.wikipedia.org/wiki/Prairie_Island_Nuclear_Power_Plant</t>
  </si>
  <si>
    <t>Minnesota</t>
  </si>
  <si>
    <t>Cooper Nuclear Station</t>
  </si>
  <si>
    <t>SPP</t>
  </si>
  <si>
    <t>BWR</t>
  </si>
  <si>
    <t>https://en.wikipedia.org/wiki/Cooper_Nuclear_Station</t>
  </si>
  <si>
    <t>Nebraska</t>
  </si>
  <si>
    <t>Palo Verde</t>
  </si>
  <si>
    <t>Southwest, Arizona</t>
  </si>
  <si>
    <t>https://en.wikipedia.org/wiki/Palo_Verde_Nuclear_Generating_Station</t>
  </si>
  <si>
    <t>Arizona</t>
  </si>
  <si>
    <t>1194/1160</t>
  </si>
  <si>
    <t>1138/1118</t>
  </si>
  <si>
    <t>522/519</t>
  </si>
  <si>
    <t>1311/1314/1312</t>
  </si>
  <si>
    <t>Effective tax rate</t>
  </si>
  <si>
    <t>Federal corporate tax rate</t>
  </si>
  <si>
    <t>Cooper</t>
  </si>
  <si>
    <t>HTSE Lower (MWe)</t>
  </si>
  <si>
    <t>HTSE Upper (MWe)</t>
  </si>
  <si>
    <t>FT Lower (kg-H2)</t>
  </si>
  <si>
    <t>FT Upper (kg-H2)</t>
  </si>
  <si>
    <t>H2 storage Lower (kg-H2)</t>
  </si>
  <si>
    <t>H2 storage Upper (kg-h2)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</si>
</sst>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4" fillId="0" borderId="0" applyNumberFormat="0" applyFill="0" applyBorder="0" applyAlignment="0" applyProtection="0"/>
    <xf numFmtId="9" fontId="5" fillId="0" borderId="0" applyFont="0" applyFill="0" applyBorder="0" applyAlignment="0" applyProtection="0"/>
  </cellStyleXfs>
  <cellXfs count="26">
    <xf numFmtId="0" fontId="0" fillId="0" borderId="0" xfId="0"/>
    <xf numFmtId="49" fontId="0" fillId="0" borderId="0" xfId="0" applyNumberFormat="1"/>
    <xf numFmtId="11" fontId="0" fillId="0" borderId="0" xfId="0" applyNumberFormat="1"/>
    <xf numFmtId="11" fontId="3" fillId="0" borderId="0" xfId="0" applyNumberFormat="1" applyFont="1"/>
    <xf numFmtId="0" fontId="3" fillId="0" borderId="0" xfId="0" applyFont="1"/>
    <xf numFmtId="11" fontId="2" fillId="0" borderId="0" xfId="0" applyNumberFormat="1" applyFont="1"/>
    <xf numFmtId="0" fontId="2" fillId="0" borderId="0" xfId="0" applyFont="1"/>
    <xf numFmtId="0" fontId="1" fillId="2" borderId="0" xfId="1"/>
    <xf numFmtId="0" fontId="0" fillId="0" borderId="0" xfId="0" applyAlignment="1">
      <alignment wrapText="1"/>
    </xf>
    <xf numFmtId="0" fontId="1" fillId="2" borderId="0" xfId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2" borderId="7" xfId="1" applyBorder="1"/>
    <xf numFmtId="0" fontId="0" fillId="0" borderId="8" xfId="0" applyBorder="1"/>
    <xf numFmtId="0" fontId="4" fillId="0" borderId="0" xfId="2"/>
    <xf numFmtId="10" fontId="0" fillId="0" borderId="0" xfId="0" applyNumberFormat="1"/>
    <xf numFmtId="44" fontId="0" fillId="0" borderId="0" xfId="0" applyNumberFormat="1"/>
    <xf numFmtId="0" fontId="0" fillId="0" borderId="0" xfId="0" applyAlignment="1">
      <alignment horizontal="center"/>
    </xf>
    <xf numFmtId="3" fontId="0" fillId="0" borderId="0" xfId="0" applyNumberFormat="1"/>
    <xf numFmtId="0" fontId="0" fillId="0" borderId="0" xfId="0" applyNumberFormat="1"/>
    <xf numFmtId="9" fontId="0" fillId="0" borderId="0" xfId="3" applyFont="1"/>
    <xf numFmtId="10" fontId="0" fillId="0" borderId="0" xfId="3" applyNumberFormat="1" applyFont="1"/>
  </cellXfs>
  <cellStyles count="4">
    <cellStyle name="Good" xfId="1" builtinId="26"/>
    <cellStyle name="Hyperlink" xfId="2" builtinId="8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TCI logrithmic regression</a:t>
            </a:r>
          </a:p>
          <a:p>
            <a:pPr>
              <a:defRPr/>
            </a:pPr>
            <a:r>
              <a:rPr lang="en-US"/>
              <a:t>Goal:</a:t>
            </a:r>
            <a:r>
              <a:rPr lang="en-US" baseline="0"/>
              <a:t> Compute scaling factor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FT!$H$10</c:f>
              <c:strCache>
                <c:ptCount val="1"/>
                <c:pt idx="0">
                  <c:v>Log TCI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FT!$I$9:$K$9</c:f>
              <c:numCache>
                <c:formatCode>General</c:formatCode>
                <c:ptCount val="3"/>
                <c:pt idx="0">
                  <c:v>-0.6020599913279624</c:v>
                </c:pt>
                <c:pt idx="1">
                  <c:v>0</c:v>
                </c:pt>
                <c:pt idx="2">
                  <c:v>0.3979400086720376</c:v>
                </c:pt>
              </c:numCache>
            </c:numRef>
          </c:xVal>
          <c:yVal>
            <c:numRef>
              <c:f>FT!$I$10:$K$10</c:f>
              <c:numCache>
                <c:formatCode>General</c:formatCode>
                <c:ptCount val="3"/>
                <c:pt idx="0">
                  <c:v>7.8386476320849576</c:v>
                </c:pt>
                <c:pt idx="1">
                  <c:v>8.1907657756496093</c:v>
                </c:pt>
                <c:pt idx="2">
                  <c:v>8.4682380044363352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95-2841-B186-F8BEF29CA8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8176783"/>
        <c:axId val="2098178431"/>
      </c:scatterChart>
      <c:valAx>
        <c:axId val="2098176783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8178431"/>
        <c:crosses val="autoZero"/>
        <c:crossBetween val="midCat"/>
      </c:valAx>
      <c:valAx>
        <c:axId val="2098178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81767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672042</xdr:colOff>
      <xdr:row>17</xdr:row>
      <xdr:rowOff>83607</xdr:rowOff>
    </xdr:from>
    <xdr:to>
      <xdr:col>14</xdr:col>
      <xdr:colOff>190500</xdr:colOff>
      <xdr:row>38</xdr:row>
      <xdr:rowOff>42332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8A9670-7B55-8F7C-E0DA-99E95918D4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osti.gov/biblio/1867883" TargetMode="External"/><Relationship Id="rId1" Type="http://schemas.openxmlformats.org/officeDocument/2006/relationships/hyperlink" Target="https://www.sciencedirect.com/science/article/pii/S2212982021000263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en.wikipedia.org/wiki/South_Texas_Nuclear_Generating_Station" TargetMode="External"/><Relationship Id="rId7" Type="http://schemas.openxmlformats.org/officeDocument/2006/relationships/hyperlink" Target="https://en.wikipedia.org/wiki/Palo_Verde_Nuclear_Generating_Station" TargetMode="External"/><Relationship Id="rId2" Type="http://schemas.openxmlformats.org/officeDocument/2006/relationships/hyperlink" Target="https://en.wikipedia.org/wiki/Davis%E2%80%93Besse_Nuclear_Power_Station" TargetMode="External"/><Relationship Id="rId1" Type="http://schemas.openxmlformats.org/officeDocument/2006/relationships/hyperlink" Target="https://en.wikipedia.org/wiki/Braidwood_Nuclear_Generating_Station" TargetMode="External"/><Relationship Id="rId6" Type="http://schemas.openxmlformats.org/officeDocument/2006/relationships/hyperlink" Target="https://en.wikipedia.org/wiki/Cooper_Nuclear_Station" TargetMode="External"/><Relationship Id="rId5" Type="http://schemas.openxmlformats.org/officeDocument/2006/relationships/hyperlink" Target="https://en.wikipedia.org/wiki/Prairie_Island_Nuclear_Power_Plant" TargetMode="External"/><Relationship Id="rId4" Type="http://schemas.openxmlformats.org/officeDocument/2006/relationships/hyperlink" Target="https://en.wikipedia.org/wiki/Diablo_Canyon_Power_Pla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62179-2135-43B7-98DA-D4A6A7868310}">
  <dimension ref="A1:H8"/>
  <sheetViews>
    <sheetView workbookViewId="0">
      <selection activeCell="H15" sqref="H15"/>
    </sheetView>
  </sheetViews>
  <sheetFormatPr baseColWidth="10" defaultColWidth="8.83203125" defaultRowHeight="15" x14ac:dyDescent="0.2"/>
  <cols>
    <col min="1" max="1" width="8.6640625" style="1"/>
    <col min="2" max="2" width="85.6640625" bestFit="1" customWidth="1"/>
  </cols>
  <sheetData>
    <row r="1" spans="1:8" x14ac:dyDescent="0.2">
      <c r="A1" s="1" t="s">
        <v>11</v>
      </c>
      <c r="B1" t="s">
        <v>1</v>
      </c>
      <c r="C1" t="s">
        <v>10</v>
      </c>
    </row>
    <row r="2" spans="1:8" x14ac:dyDescent="0.2">
      <c r="A2" s="21" t="s">
        <v>2</v>
      </c>
      <c r="B2" s="21"/>
      <c r="C2" t="s">
        <v>4</v>
      </c>
      <c r="F2" t="s">
        <v>14</v>
      </c>
      <c r="G2" t="s">
        <v>4</v>
      </c>
      <c r="H2" t="s">
        <v>19</v>
      </c>
    </row>
    <row r="3" spans="1:8" x14ac:dyDescent="0.2">
      <c r="A3" s="1" t="s">
        <v>5</v>
      </c>
      <c r="B3" t="s">
        <v>3</v>
      </c>
      <c r="C3">
        <v>15</v>
      </c>
      <c r="F3" t="s">
        <v>15</v>
      </c>
      <c r="G3">
        <v>7</v>
      </c>
      <c r="H3">
        <v>49.222000000000001</v>
      </c>
    </row>
    <row r="4" spans="1:8" x14ac:dyDescent="0.2">
      <c r="A4" s="1" t="s">
        <v>6</v>
      </c>
      <c r="B4" t="s">
        <v>7</v>
      </c>
      <c r="C4">
        <v>10</v>
      </c>
      <c r="F4" t="s">
        <v>16</v>
      </c>
      <c r="G4">
        <v>15</v>
      </c>
      <c r="H4">
        <v>49.24</v>
      </c>
    </row>
    <row r="5" spans="1:8" x14ac:dyDescent="0.2">
      <c r="A5" s="1" t="s">
        <v>20</v>
      </c>
      <c r="B5" t="s">
        <v>9</v>
      </c>
      <c r="C5">
        <v>7</v>
      </c>
      <c r="F5" t="s">
        <v>17</v>
      </c>
      <c r="G5">
        <v>20</v>
      </c>
      <c r="H5">
        <v>49.220999999999997</v>
      </c>
    </row>
    <row r="6" spans="1:8" x14ac:dyDescent="0.2">
      <c r="A6" s="1" t="s">
        <v>12</v>
      </c>
      <c r="B6" t="s">
        <v>13</v>
      </c>
      <c r="C6">
        <v>15</v>
      </c>
      <c r="E6" t="s">
        <v>34</v>
      </c>
      <c r="F6" t="s">
        <v>18</v>
      </c>
      <c r="G6">
        <v>20</v>
      </c>
      <c r="H6">
        <v>49.220999999999997</v>
      </c>
    </row>
    <row r="7" spans="1:8" x14ac:dyDescent="0.2">
      <c r="A7" s="1" t="s">
        <v>8</v>
      </c>
      <c r="B7" t="s">
        <v>21</v>
      </c>
      <c r="C7">
        <v>20</v>
      </c>
    </row>
    <row r="8" spans="1:8" x14ac:dyDescent="0.2">
      <c r="A8" s="1" t="s">
        <v>22</v>
      </c>
      <c r="B8" t="s">
        <v>23</v>
      </c>
      <c r="C8">
        <v>5</v>
      </c>
    </row>
  </sheetData>
  <mergeCells count="1">
    <mergeCell ref="A2:B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ACCEB-6613-41C3-AB8E-7E632C9D30FD}">
  <dimension ref="A1:H20"/>
  <sheetViews>
    <sheetView topLeftCell="A4" zoomScale="120" zoomScaleNormal="120" workbookViewId="0">
      <selection activeCell="C21" sqref="C21"/>
    </sheetView>
  </sheetViews>
  <sheetFormatPr baseColWidth="10" defaultColWidth="8.83203125" defaultRowHeight="15" x14ac:dyDescent="0.2"/>
  <cols>
    <col min="1" max="1" width="9.5" bestFit="1" customWidth="1"/>
    <col min="2" max="2" width="12.1640625" bestFit="1" customWidth="1"/>
    <col min="4" max="4" width="10.33203125" bestFit="1" customWidth="1"/>
  </cols>
  <sheetData>
    <row r="1" spans="1:8" x14ac:dyDescent="0.2">
      <c r="A1" t="s">
        <v>11</v>
      </c>
    </row>
    <row r="2" spans="1:8" x14ac:dyDescent="0.2">
      <c r="A2" t="s">
        <v>15</v>
      </c>
      <c r="B2" s="18" t="s">
        <v>92</v>
      </c>
    </row>
    <row r="3" spans="1:8" x14ac:dyDescent="0.2">
      <c r="A3" t="s">
        <v>17</v>
      </c>
      <c r="B3" s="18" t="s">
        <v>93</v>
      </c>
    </row>
    <row r="4" spans="1:8" x14ac:dyDescent="0.2">
      <c r="B4" s="18"/>
    </row>
    <row r="5" spans="1:8" x14ac:dyDescent="0.2">
      <c r="A5" s="21" t="s">
        <v>61</v>
      </c>
      <c r="B5" s="21"/>
      <c r="C5" s="21"/>
      <c r="D5" s="21"/>
      <c r="E5" s="21"/>
      <c r="F5" s="21"/>
      <c r="G5" s="21"/>
    </row>
    <row r="6" spans="1:8" x14ac:dyDescent="0.2">
      <c r="A6" s="21" t="s">
        <v>62</v>
      </c>
      <c r="B6" s="21"/>
      <c r="C6" s="21"/>
      <c r="D6" s="21"/>
      <c r="E6" s="21"/>
      <c r="F6" s="21"/>
      <c r="G6" s="21"/>
    </row>
    <row r="7" spans="1:8" x14ac:dyDescent="0.2">
      <c r="A7" t="s">
        <v>63</v>
      </c>
      <c r="B7">
        <v>1580</v>
      </c>
      <c r="C7" t="s">
        <v>67</v>
      </c>
      <c r="D7" s="3">
        <f>B7*1000/(24*3600)</f>
        <v>18.287037037037038</v>
      </c>
      <c r="E7" s="4" t="s">
        <v>72</v>
      </c>
      <c r="F7" s="5">
        <f>B7*1000/24</f>
        <v>65833.333333333328</v>
      </c>
      <c r="G7" t="s">
        <v>74</v>
      </c>
    </row>
    <row r="8" spans="1:8" x14ac:dyDescent="0.2">
      <c r="A8" t="s">
        <v>64</v>
      </c>
      <c r="B8">
        <v>255</v>
      </c>
      <c r="C8" t="s">
        <v>67</v>
      </c>
      <c r="D8" s="3">
        <f>B8*1000/(24*3600)</f>
        <v>2.9513888888888888</v>
      </c>
      <c r="E8" s="4" t="s">
        <v>72</v>
      </c>
      <c r="F8" s="5">
        <f>B8*1000/24</f>
        <v>10625</v>
      </c>
      <c r="G8" t="s">
        <v>74</v>
      </c>
    </row>
    <row r="9" spans="1:8" x14ac:dyDescent="0.2">
      <c r="A9" t="s">
        <v>65</v>
      </c>
      <c r="B9">
        <v>14.9</v>
      </c>
      <c r="C9" t="s">
        <v>66</v>
      </c>
      <c r="D9" s="2" t="s">
        <v>76</v>
      </c>
      <c r="E9" t="s">
        <v>77</v>
      </c>
      <c r="F9" s="2"/>
      <c r="H9" s="2"/>
    </row>
    <row r="10" spans="1:8" x14ac:dyDescent="0.2">
      <c r="A10" s="21" t="s">
        <v>68</v>
      </c>
      <c r="B10" s="21"/>
      <c r="C10" s="21"/>
      <c r="D10" s="21"/>
      <c r="E10" s="21"/>
      <c r="F10" s="21"/>
      <c r="G10" s="21"/>
    </row>
    <row r="11" spans="1:8" x14ac:dyDescent="0.2">
      <c r="A11" t="s">
        <v>69</v>
      </c>
      <c r="B11">
        <v>176</v>
      </c>
      <c r="C11" t="s">
        <v>67</v>
      </c>
      <c r="D11" s="3">
        <f>B11*1000/(24*3600)</f>
        <v>2.0370370370370372</v>
      </c>
      <c r="E11" s="4" t="s">
        <v>72</v>
      </c>
      <c r="F11" s="5">
        <f>B11*1000/24</f>
        <v>7333.333333333333</v>
      </c>
      <c r="G11" t="s">
        <v>74</v>
      </c>
    </row>
    <row r="12" spans="1:8" x14ac:dyDescent="0.2">
      <c r="A12" t="s">
        <v>70</v>
      </c>
      <c r="B12">
        <v>213</v>
      </c>
      <c r="C12" t="s">
        <v>67</v>
      </c>
      <c r="D12" s="3">
        <f t="shared" ref="D12:D13" si="0">B12*1000/(24*3600)</f>
        <v>2.4652777777777777</v>
      </c>
      <c r="E12" s="4" t="s">
        <v>72</v>
      </c>
      <c r="F12" s="5">
        <f t="shared" ref="F12:F13" si="1">B12*1000/24</f>
        <v>8875</v>
      </c>
      <c r="G12" t="s">
        <v>74</v>
      </c>
    </row>
    <row r="13" spans="1:8" x14ac:dyDescent="0.2">
      <c r="A13" t="s">
        <v>71</v>
      </c>
      <c r="B13">
        <v>118</v>
      </c>
      <c r="C13" t="s">
        <v>67</v>
      </c>
      <c r="D13" s="3">
        <f t="shared" si="0"/>
        <v>1.3657407407407407</v>
      </c>
      <c r="E13" s="4" t="s">
        <v>72</v>
      </c>
      <c r="F13" s="5">
        <f t="shared" si="1"/>
        <v>4916.666666666667</v>
      </c>
      <c r="G13" t="s">
        <v>74</v>
      </c>
    </row>
    <row r="15" spans="1:8" x14ac:dyDescent="0.2">
      <c r="A15" s="21" t="s">
        <v>17</v>
      </c>
      <c r="B15" s="21"/>
      <c r="C15" s="21"/>
      <c r="D15" s="21"/>
      <c r="E15" s="21"/>
      <c r="F15" s="21"/>
      <c r="G15" s="21"/>
    </row>
    <row r="16" spans="1:8" x14ac:dyDescent="0.2">
      <c r="A16" s="21" t="s">
        <v>62</v>
      </c>
      <c r="B16" s="21"/>
      <c r="C16" s="21"/>
    </row>
    <row r="17" spans="1:3" x14ac:dyDescent="0.2">
      <c r="A17" t="s">
        <v>65</v>
      </c>
      <c r="B17">
        <v>39.799999999999997</v>
      </c>
      <c r="C17" t="s">
        <v>73</v>
      </c>
    </row>
    <row r="18" spans="1:3" x14ac:dyDescent="0.2">
      <c r="A18" s="21" t="s">
        <v>68</v>
      </c>
      <c r="B18" s="21"/>
      <c r="C18" s="21"/>
    </row>
    <row r="19" spans="1:3" x14ac:dyDescent="0.2">
      <c r="A19" t="s">
        <v>64</v>
      </c>
      <c r="B19" s="6">
        <f>1/B17</f>
        <v>2.5125628140703519E-2</v>
      </c>
      <c r="C19" t="s">
        <v>75</v>
      </c>
    </row>
    <row r="20" spans="1:3" x14ac:dyDescent="0.2">
      <c r="B20">
        <f>B19*1000</f>
        <v>25.125628140703519</v>
      </c>
      <c r="C20" t="s">
        <v>138</v>
      </c>
    </row>
  </sheetData>
  <mergeCells count="6">
    <mergeCell ref="A16:C16"/>
    <mergeCell ref="A18:C18"/>
    <mergeCell ref="A6:G6"/>
    <mergeCell ref="A10:G10"/>
    <mergeCell ref="A5:G5"/>
    <mergeCell ref="A15:G15"/>
  </mergeCells>
  <hyperlinks>
    <hyperlink ref="B2" r:id="rId1" xr:uid="{D47EE4A2-649A-42B4-8738-DF2E48262124}"/>
    <hyperlink ref="B3" r:id="rId2" xr:uid="{49708E60-D8BD-48F2-8030-EEB685223FB9}"/>
  </hyperlinks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15393-90AE-4217-9780-C6903F6FBFD3}">
  <dimension ref="A1:C16"/>
  <sheetViews>
    <sheetView workbookViewId="0">
      <selection activeCell="H35" sqref="H35"/>
    </sheetView>
  </sheetViews>
  <sheetFormatPr baseColWidth="10" defaultColWidth="8.83203125" defaultRowHeight="15" x14ac:dyDescent="0.2"/>
  <cols>
    <col min="1" max="1" width="29" bestFit="1" customWidth="1"/>
    <col min="2" max="2" width="15.33203125" customWidth="1"/>
    <col min="3" max="3" width="12.1640625" bestFit="1" customWidth="1"/>
  </cols>
  <sheetData>
    <row r="1" spans="1:3" ht="16" thickBot="1" x14ac:dyDescent="0.25">
      <c r="A1" t="s">
        <v>0</v>
      </c>
      <c r="B1" t="s">
        <v>24</v>
      </c>
    </row>
    <row r="2" spans="1:3" x14ac:dyDescent="0.2">
      <c r="A2" s="10" t="s">
        <v>26</v>
      </c>
      <c r="B2" s="11" t="s">
        <v>27</v>
      </c>
      <c r="C2" s="12" t="s">
        <v>28</v>
      </c>
    </row>
    <row r="3" spans="1:3" x14ac:dyDescent="0.2">
      <c r="A3" s="13" t="s">
        <v>25</v>
      </c>
      <c r="B3" s="9">
        <v>36.799999999999997</v>
      </c>
      <c r="C3" s="14" t="s">
        <v>29</v>
      </c>
    </row>
    <row r="4" spans="1:3" x14ac:dyDescent="0.2">
      <c r="A4" s="13"/>
      <c r="B4" s="9">
        <f>1/B3</f>
        <v>2.7173913043478264E-2</v>
      </c>
      <c r="C4" s="14" t="s">
        <v>79</v>
      </c>
    </row>
    <row r="5" spans="1:3" x14ac:dyDescent="0.2">
      <c r="A5" s="13" t="s">
        <v>30</v>
      </c>
      <c r="B5">
        <v>6.4</v>
      </c>
      <c r="C5" s="14" t="s">
        <v>31</v>
      </c>
    </row>
    <row r="6" spans="1:3" x14ac:dyDescent="0.2">
      <c r="A6" s="13" t="s">
        <v>36</v>
      </c>
      <c r="B6">
        <v>590</v>
      </c>
      <c r="C6" s="14" t="s">
        <v>33</v>
      </c>
    </row>
    <row r="7" spans="1:3" x14ac:dyDescent="0.2">
      <c r="A7" s="13" t="s">
        <v>37</v>
      </c>
      <c r="B7">
        <v>763</v>
      </c>
      <c r="C7" s="14" t="s">
        <v>33</v>
      </c>
    </row>
    <row r="8" spans="1:3" x14ac:dyDescent="0.2">
      <c r="A8" s="13" t="s">
        <v>32</v>
      </c>
      <c r="B8">
        <v>544</v>
      </c>
      <c r="C8" s="14" t="s">
        <v>33</v>
      </c>
    </row>
    <row r="9" spans="1:3" x14ac:dyDescent="0.2">
      <c r="A9" s="13" t="s">
        <v>35</v>
      </c>
      <c r="B9" s="9">
        <v>703</v>
      </c>
      <c r="C9" s="14" t="s">
        <v>33</v>
      </c>
    </row>
    <row r="10" spans="1:3" x14ac:dyDescent="0.2">
      <c r="A10" s="13" t="s">
        <v>38</v>
      </c>
      <c r="B10">
        <v>20</v>
      </c>
      <c r="C10" s="14" t="s">
        <v>39</v>
      </c>
    </row>
    <row r="11" spans="1:3" x14ac:dyDescent="0.2">
      <c r="A11" s="13" t="s">
        <v>40</v>
      </c>
      <c r="B11" s="9">
        <v>32.64</v>
      </c>
      <c r="C11" s="14" t="s">
        <v>41</v>
      </c>
    </row>
    <row r="12" spans="1:3" x14ac:dyDescent="0.2">
      <c r="A12" s="13" t="s">
        <v>42</v>
      </c>
      <c r="B12" s="9">
        <v>3.41</v>
      </c>
      <c r="C12" s="14" t="s">
        <v>43</v>
      </c>
    </row>
    <row r="13" spans="1:3" x14ac:dyDescent="0.2">
      <c r="A13" s="13" t="s">
        <v>44</v>
      </c>
      <c r="B13">
        <v>10</v>
      </c>
      <c r="C13" s="14" t="s">
        <v>45</v>
      </c>
    </row>
    <row r="14" spans="1:3" ht="16" thickBot="1" x14ac:dyDescent="0.25">
      <c r="A14" s="15" t="s">
        <v>46</v>
      </c>
      <c r="B14" s="16">
        <v>20</v>
      </c>
      <c r="C14" s="17" t="s">
        <v>39</v>
      </c>
    </row>
    <row r="16" spans="1:3" x14ac:dyDescent="0.2">
      <c r="A16" s="7" t="s">
        <v>78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19D22-7A01-ED42-B8B2-84358A3D7717}">
  <dimension ref="A1:K25"/>
  <sheetViews>
    <sheetView zoomScale="120" zoomScaleNormal="120" workbookViewId="0">
      <selection activeCell="L17" sqref="L17"/>
    </sheetView>
  </sheetViews>
  <sheetFormatPr baseColWidth="10" defaultRowHeight="15" x14ac:dyDescent="0.2"/>
  <cols>
    <col min="1" max="1" width="24.1640625" bestFit="1" customWidth="1"/>
    <col min="2" max="2" width="31.6640625" customWidth="1"/>
  </cols>
  <sheetData>
    <row r="1" spans="1:11" x14ac:dyDescent="0.2">
      <c r="A1" t="s">
        <v>110</v>
      </c>
    </row>
    <row r="2" spans="1:11" x14ac:dyDescent="0.2">
      <c r="A2" t="s">
        <v>11</v>
      </c>
      <c r="B2" t="s">
        <v>111</v>
      </c>
    </row>
    <row r="3" spans="1:11" ht="17" customHeight="1" x14ac:dyDescent="0.2">
      <c r="B3" s="8" t="s">
        <v>80</v>
      </c>
    </row>
    <row r="4" spans="1:11" x14ac:dyDescent="0.2">
      <c r="A4" t="s">
        <v>112</v>
      </c>
    </row>
    <row r="5" spans="1:11" x14ac:dyDescent="0.2">
      <c r="A5" t="s">
        <v>113</v>
      </c>
      <c r="B5">
        <v>2019</v>
      </c>
      <c r="H5" t="s">
        <v>131</v>
      </c>
    </row>
    <row r="6" spans="1:11" x14ac:dyDescent="0.2">
      <c r="A6" t="s">
        <v>114</v>
      </c>
      <c r="B6" t="s">
        <v>115</v>
      </c>
      <c r="H6" t="s">
        <v>132</v>
      </c>
      <c r="I6">
        <v>100</v>
      </c>
      <c r="J6">
        <v>400</v>
      </c>
      <c r="K6">
        <v>1000</v>
      </c>
    </row>
    <row r="7" spans="1:11" x14ac:dyDescent="0.2">
      <c r="A7" t="s">
        <v>116</v>
      </c>
      <c r="B7" s="19">
        <v>1.9E-2</v>
      </c>
      <c r="H7" t="s">
        <v>81</v>
      </c>
      <c r="I7">
        <v>68968000</v>
      </c>
      <c r="J7">
        <v>155155000</v>
      </c>
      <c r="K7">
        <v>293926000</v>
      </c>
    </row>
    <row r="8" spans="1:11" x14ac:dyDescent="0.2">
      <c r="A8" t="s">
        <v>117</v>
      </c>
      <c r="B8" t="s">
        <v>118</v>
      </c>
      <c r="H8" t="s">
        <v>82</v>
      </c>
      <c r="I8">
        <f>I6/J6</f>
        <v>0.25</v>
      </c>
      <c r="J8">
        <v>1</v>
      </c>
      <c r="K8">
        <f>K6/J6</f>
        <v>2.5</v>
      </c>
    </row>
    <row r="9" spans="1:11" x14ac:dyDescent="0.2">
      <c r="A9" t="s">
        <v>128</v>
      </c>
      <c r="B9" t="s">
        <v>129</v>
      </c>
      <c r="H9" t="s">
        <v>83</v>
      </c>
      <c r="I9">
        <f>LOG(I8)</f>
        <v>-0.6020599913279624</v>
      </c>
      <c r="J9">
        <f t="shared" ref="J9:K9" si="0">LOG(J8)</f>
        <v>0</v>
      </c>
      <c r="K9">
        <f t="shared" si="0"/>
        <v>0.3979400086720376</v>
      </c>
    </row>
    <row r="10" spans="1:11" x14ac:dyDescent="0.2">
      <c r="H10" t="s">
        <v>133</v>
      </c>
      <c r="I10">
        <f>LOG(I7)</f>
        <v>7.8386476320849576</v>
      </c>
      <c r="J10">
        <f t="shared" ref="J10:K10" si="1">LOG(J7)</f>
        <v>8.1907657756496093</v>
      </c>
      <c r="K10">
        <f t="shared" si="1"/>
        <v>8.4682380044363352</v>
      </c>
    </row>
    <row r="11" spans="1:11" x14ac:dyDescent="0.2">
      <c r="A11" t="s">
        <v>119</v>
      </c>
    </row>
    <row r="12" spans="1:11" x14ac:dyDescent="0.2">
      <c r="A12" t="s">
        <v>123</v>
      </c>
      <c r="B12" t="s">
        <v>124</v>
      </c>
      <c r="C12" t="s">
        <v>125</v>
      </c>
      <c r="D12" t="s">
        <v>0</v>
      </c>
    </row>
    <row r="13" spans="1:11" x14ac:dyDescent="0.2">
      <c r="A13" t="s">
        <v>120</v>
      </c>
      <c r="B13" t="s">
        <v>121</v>
      </c>
    </row>
    <row r="14" spans="1:11" x14ac:dyDescent="0.2">
      <c r="A14" t="s">
        <v>122</v>
      </c>
      <c r="B14">
        <v>10625</v>
      </c>
      <c r="C14" s="1" t="s">
        <v>126</v>
      </c>
      <c r="D14" t="s">
        <v>127</v>
      </c>
    </row>
    <row r="15" spans="1:11" x14ac:dyDescent="0.2">
      <c r="A15" t="s">
        <v>130</v>
      </c>
      <c r="B15">
        <f>155155000*(1+B7)</f>
        <v>158102945</v>
      </c>
      <c r="C15" s="1" t="s">
        <v>137</v>
      </c>
    </row>
    <row r="16" spans="1:11" x14ac:dyDescent="0.2">
      <c r="A16" t="s">
        <v>85</v>
      </c>
      <c r="B16">
        <v>0.626</v>
      </c>
      <c r="C16" s="1"/>
    </row>
    <row r="17" spans="1:3" x14ac:dyDescent="0.2">
      <c r="A17" t="s">
        <v>86</v>
      </c>
      <c r="B17">
        <v>20</v>
      </c>
      <c r="C17" s="1" t="s">
        <v>39</v>
      </c>
    </row>
    <row r="19" spans="1:3" x14ac:dyDescent="0.2">
      <c r="A19" t="s">
        <v>134</v>
      </c>
      <c r="B19" t="s">
        <v>135</v>
      </c>
    </row>
    <row r="20" spans="1:3" x14ac:dyDescent="0.2">
      <c r="A20" t="s">
        <v>120</v>
      </c>
      <c r="B20">
        <v>1</v>
      </c>
    </row>
    <row r="21" spans="1:3" x14ac:dyDescent="0.2">
      <c r="A21" t="s">
        <v>130</v>
      </c>
      <c r="B21" s="20" t="e">
        <f>POWER(1+B7,4)*#REF!</f>
        <v>#REF!</v>
      </c>
    </row>
    <row r="23" spans="1:3" x14ac:dyDescent="0.2">
      <c r="A23" t="s">
        <v>40</v>
      </c>
    </row>
    <row r="24" spans="1:3" x14ac:dyDescent="0.2">
      <c r="A24" t="s">
        <v>120</v>
      </c>
      <c r="B24">
        <v>1</v>
      </c>
    </row>
    <row r="25" spans="1:3" x14ac:dyDescent="0.2">
      <c r="A25" t="s">
        <v>130</v>
      </c>
      <c r="B25" s="20" t="e">
        <f>POWER(1+B7,4)*#REF!</f>
        <v>#REF!</v>
      </c>
      <c r="C25" t="s">
        <v>136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41F20-95C4-42A2-B03A-23B9DD4DBFA3}">
  <dimension ref="A1:L19"/>
  <sheetViews>
    <sheetView tabSelected="1" topLeftCell="B1" zoomScale="120" zoomScaleNormal="120" workbookViewId="0">
      <selection activeCell="N4" sqref="N4"/>
    </sheetView>
  </sheetViews>
  <sheetFormatPr baseColWidth="10" defaultColWidth="8.83203125" defaultRowHeight="15" x14ac:dyDescent="0.2"/>
  <cols>
    <col min="1" max="1" width="19" bestFit="1" customWidth="1"/>
    <col min="2" max="2" width="47.6640625" bestFit="1" customWidth="1"/>
    <col min="9" max="9" width="13.5" bestFit="1" customWidth="1"/>
    <col min="10" max="10" width="8.33203125" customWidth="1"/>
    <col min="11" max="11" width="13.6640625" customWidth="1"/>
    <col min="12" max="12" width="11.83203125" customWidth="1"/>
  </cols>
  <sheetData>
    <row r="1" spans="1:12" x14ac:dyDescent="0.2">
      <c r="A1" t="s">
        <v>96</v>
      </c>
      <c r="B1" t="s">
        <v>94</v>
      </c>
      <c r="E1" s="6" t="s">
        <v>143</v>
      </c>
      <c r="F1" s="6" t="s">
        <v>148</v>
      </c>
      <c r="G1" t="s">
        <v>187</v>
      </c>
      <c r="H1" t="s">
        <v>188</v>
      </c>
      <c r="I1" t="s">
        <v>189</v>
      </c>
      <c r="J1" t="s">
        <v>190</v>
      </c>
      <c r="K1" t="s">
        <v>191</v>
      </c>
      <c r="L1" t="s">
        <v>192</v>
      </c>
    </row>
    <row r="2" spans="1:12" x14ac:dyDescent="0.2">
      <c r="A2" t="s">
        <v>87</v>
      </c>
      <c r="B2" t="s">
        <v>97</v>
      </c>
      <c r="E2" t="s">
        <v>151</v>
      </c>
      <c r="F2" s="23">
        <v>1194</v>
      </c>
      <c r="G2">
        <f>-F2+15</f>
        <v>-1179</v>
      </c>
      <c r="H2">
        <v>-400</v>
      </c>
      <c r="I2">
        <f>G2*25.13</f>
        <v>-29628.27</v>
      </c>
      <c r="J2">
        <f>H2*25.13</f>
        <v>-10052</v>
      </c>
      <c r="K2">
        <v>500</v>
      </c>
      <c r="L2">
        <f>ABS(I2)*4</f>
        <v>118513.08</v>
      </c>
    </row>
    <row r="3" spans="1:12" x14ac:dyDescent="0.2">
      <c r="A3" t="s">
        <v>95</v>
      </c>
      <c r="E3" t="s">
        <v>156</v>
      </c>
      <c r="F3" s="23">
        <v>894</v>
      </c>
      <c r="G3">
        <f t="shared" ref="G3:G8" si="0">-F3+15</f>
        <v>-879</v>
      </c>
      <c r="H3">
        <v>-400</v>
      </c>
      <c r="I3">
        <f t="shared" ref="I3:I8" si="1">G3*25.13</f>
        <v>-22089.27</v>
      </c>
      <c r="J3">
        <f t="shared" ref="J3:J8" si="2">H3*25.13</f>
        <v>-10052</v>
      </c>
      <c r="K3">
        <v>500</v>
      </c>
      <c r="L3">
        <f t="shared" ref="L3:L8" si="3">ABS(I3)*4</f>
        <v>88357.08</v>
      </c>
    </row>
    <row r="4" spans="1:12" x14ac:dyDescent="0.2">
      <c r="A4" t="s">
        <v>84</v>
      </c>
      <c r="B4" t="s">
        <v>102</v>
      </c>
      <c r="C4" t="s">
        <v>28</v>
      </c>
      <c r="E4" t="s">
        <v>159</v>
      </c>
      <c r="F4" s="23">
        <v>1280</v>
      </c>
      <c r="G4">
        <f t="shared" si="0"/>
        <v>-1265</v>
      </c>
      <c r="H4">
        <v>-400</v>
      </c>
      <c r="I4">
        <f t="shared" si="1"/>
        <v>-31789.449999999997</v>
      </c>
      <c r="J4">
        <f t="shared" si="2"/>
        <v>-10052</v>
      </c>
      <c r="K4">
        <v>500</v>
      </c>
      <c r="L4">
        <f t="shared" si="3"/>
        <v>127157.79999999999</v>
      </c>
    </row>
    <row r="5" spans="1:12" x14ac:dyDescent="0.2">
      <c r="A5" t="s">
        <v>139</v>
      </c>
      <c r="B5">
        <v>1193</v>
      </c>
      <c r="C5" t="s">
        <v>66</v>
      </c>
      <c r="E5" t="s">
        <v>163</v>
      </c>
      <c r="F5" s="23">
        <v>1138</v>
      </c>
      <c r="G5">
        <f t="shared" si="0"/>
        <v>-1123</v>
      </c>
      <c r="H5">
        <v>-400</v>
      </c>
      <c r="I5">
        <f t="shared" si="1"/>
        <v>-28220.989999999998</v>
      </c>
      <c r="J5">
        <f t="shared" si="2"/>
        <v>-10052</v>
      </c>
      <c r="K5">
        <v>500</v>
      </c>
      <c r="L5">
        <f t="shared" si="3"/>
        <v>112883.95999999999</v>
      </c>
    </row>
    <row r="6" spans="1:12" x14ac:dyDescent="0.2">
      <c r="A6" t="s">
        <v>105</v>
      </c>
      <c r="B6">
        <v>14.9</v>
      </c>
      <c r="C6" t="s">
        <v>66</v>
      </c>
      <c r="E6" t="s">
        <v>167</v>
      </c>
      <c r="F6" s="23">
        <v>522</v>
      </c>
      <c r="G6">
        <f t="shared" si="0"/>
        <v>-507</v>
      </c>
      <c r="H6">
        <v>-400</v>
      </c>
      <c r="I6">
        <f t="shared" si="1"/>
        <v>-12740.91</v>
      </c>
      <c r="J6">
        <f t="shared" si="2"/>
        <v>-10052</v>
      </c>
      <c r="K6">
        <v>500</v>
      </c>
      <c r="L6">
        <f t="shared" si="3"/>
        <v>50963.64</v>
      </c>
    </row>
    <row r="7" spans="1:12" x14ac:dyDescent="0.2">
      <c r="A7" t="s">
        <v>140</v>
      </c>
      <c r="B7" s="2">
        <v>-9.9999999999999997E+199</v>
      </c>
      <c r="C7" t="s">
        <v>66</v>
      </c>
      <c r="E7" t="s">
        <v>171</v>
      </c>
      <c r="F7" s="23">
        <v>769</v>
      </c>
      <c r="G7">
        <f t="shared" si="0"/>
        <v>-754</v>
      </c>
      <c r="H7">
        <v>-400</v>
      </c>
      <c r="I7">
        <f t="shared" si="1"/>
        <v>-18948.02</v>
      </c>
      <c r="J7">
        <f t="shared" si="2"/>
        <v>-10052</v>
      </c>
      <c r="K7">
        <v>500</v>
      </c>
      <c r="L7">
        <f t="shared" si="3"/>
        <v>75792.08</v>
      </c>
    </row>
    <row r="8" spans="1:12" x14ac:dyDescent="0.2">
      <c r="A8" t="s">
        <v>106</v>
      </c>
      <c r="B8" s="2">
        <v>-9.9999999999999997E+199</v>
      </c>
      <c r="C8" t="s">
        <v>66</v>
      </c>
      <c r="E8" t="s">
        <v>176</v>
      </c>
      <c r="F8" s="23">
        <v>1314</v>
      </c>
      <c r="G8">
        <f t="shared" si="0"/>
        <v>-1299</v>
      </c>
      <c r="H8">
        <v>-400</v>
      </c>
      <c r="I8">
        <f t="shared" si="1"/>
        <v>-32643.87</v>
      </c>
      <c r="J8">
        <f t="shared" si="2"/>
        <v>-10052</v>
      </c>
      <c r="K8">
        <v>500</v>
      </c>
      <c r="L8">
        <f t="shared" si="3"/>
        <v>130575.48</v>
      </c>
    </row>
    <row r="9" spans="1:12" x14ac:dyDescent="0.2">
      <c r="A9" t="s">
        <v>107</v>
      </c>
      <c r="B9" s="2">
        <v>-9.9999999999999997E+199</v>
      </c>
      <c r="C9" t="s">
        <v>66</v>
      </c>
    </row>
    <row r="10" spans="1:12" x14ac:dyDescent="0.2">
      <c r="A10" t="s">
        <v>108</v>
      </c>
      <c r="B10" s="2">
        <v>-9.9999999999999997E+199</v>
      </c>
      <c r="C10" t="s">
        <v>66</v>
      </c>
    </row>
    <row r="11" spans="1:12" x14ac:dyDescent="0.2">
      <c r="B11" s="2"/>
    </row>
    <row r="12" spans="1:12" x14ac:dyDescent="0.2">
      <c r="B12" s="2"/>
    </row>
    <row r="13" spans="1:12" x14ac:dyDescent="0.2">
      <c r="A13" t="s">
        <v>98</v>
      </c>
    </row>
    <row r="14" spans="1:12" x14ac:dyDescent="0.2">
      <c r="A14" t="s">
        <v>84</v>
      </c>
      <c r="B14" t="s">
        <v>99</v>
      </c>
      <c r="C14" t="s">
        <v>100</v>
      </c>
      <c r="D14" t="s">
        <v>28</v>
      </c>
      <c r="E14" t="s">
        <v>87</v>
      </c>
    </row>
    <row r="15" spans="1:12" x14ac:dyDescent="0.2">
      <c r="A15" t="s">
        <v>151</v>
      </c>
    </row>
    <row r="16" spans="1:12" x14ac:dyDescent="0.2">
      <c r="A16" t="s">
        <v>103</v>
      </c>
      <c r="B16">
        <v>-1175</v>
      </c>
      <c r="C16">
        <v>-400</v>
      </c>
      <c r="D16" t="s">
        <v>66</v>
      </c>
    </row>
    <row r="17" spans="1:5" x14ac:dyDescent="0.2">
      <c r="A17" t="s">
        <v>104</v>
      </c>
      <c r="B17">
        <f>B16*25.13</f>
        <v>-29527.75</v>
      </c>
      <c r="C17">
        <f>C16*25.13</f>
        <v>-10052</v>
      </c>
      <c r="D17" t="s">
        <v>101</v>
      </c>
      <c r="E17" t="s">
        <v>141</v>
      </c>
    </row>
    <row r="18" spans="1:5" x14ac:dyDescent="0.2">
      <c r="A18" t="s">
        <v>109</v>
      </c>
      <c r="B18">
        <v>500</v>
      </c>
      <c r="C18">
        <f>ABS(B17)*4</f>
        <v>118111</v>
      </c>
      <c r="D18" t="s">
        <v>101</v>
      </c>
      <c r="E18" t="s">
        <v>142</v>
      </c>
    </row>
    <row r="19" spans="1:5" x14ac:dyDescent="0.2">
      <c r="A19" t="s">
        <v>186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147DE-C2D1-4559-861B-2B8673B56208}">
  <dimension ref="A1:C15"/>
  <sheetViews>
    <sheetView workbookViewId="0">
      <selection activeCell="B2" sqref="B2"/>
    </sheetView>
  </sheetViews>
  <sheetFormatPr baseColWidth="10" defaultColWidth="8.83203125" defaultRowHeight="15" x14ac:dyDescent="0.2"/>
  <cols>
    <col min="1" max="1" width="30.1640625" bestFit="1" customWidth="1"/>
    <col min="2" max="2" width="33.1640625" bestFit="1" customWidth="1"/>
  </cols>
  <sheetData>
    <row r="1" spans="1:3" x14ac:dyDescent="0.2">
      <c r="A1" t="s">
        <v>87</v>
      </c>
      <c r="B1" t="s">
        <v>91</v>
      </c>
    </row>
    <row r="2" spans="1:3" x14ac:dyDescent="0.2">
      <c r="A2" t="s">
        <v>47</v>
      </c>
    </row>
    <row r="3" spans="1:3" x14ac:dyDescent="0.2">
      <c r="A3" t="s">
        <v>48</v>
      </c>
      <c r="B3" t="s">
        <v>49</v>
      </c>
      <c r="C3" t="s">
        <v>51</v>
      </c>
    </row>
    <row r="4" spans="1:3" x14ac:dyDescent="0.2">
      <c r="A4" t="s">
        <v>55</v>
      </c>
      <c r="B4">
        <v>164.77</v>
      </c>
      <c r="C4">
        <v>1.395</v>
      </c>
    </row>
    <row r="5" spans="1:3" x14ac:dyDescent="0.2">
      <c r="A5" t="s">
        <v>54</v>
      </c>
      <c r="B5">
        <v>100</v>
      </c>
      <c r="C5">
        <v>1.395</v>
      </c>
    </row>
    <row r="6" spans="1:3" x14ac:dyDescent="0.2">
      <c r="A6" t="s">
        <v>53</v>
      </c>
      <c r="B6">
        <v>76.53</v>
      </c>
      <c r="C6">
        <v>1.395</v>
      </c>
    </row>
    <row r="7" spans="1:3" x14ac:dyDescent="0.2">
      <c r="A7" t="s">
        <v>52</v>
      </c>
      <c r="B7">
        <v>140</v>
      </c>
      <c r="C7">
        <v>1.395</v>
      </c>
    </row>
    <row r="8" spans="1:3" x14ac:dyDescent="0.2">
      <c r="A8" t="s">
        <v>90</v>
      </c>
      <c r="B8">
        <f>AVERAGE(B4:B7)</f>
        <v>120.32499999999999</v>
      </c>
    </row>
    <row r="10" spans="1:3" x14ac:dyDescent="0.2">
      <c r="A10" t="s">
        <v>89</v>
      </c>
    </row>
    <row r="11" spans="1:3" x14ac:dyDescent="0.2">
      <c r="A11" t="s">
        <v>56</v>
      </c>
    </row>
    <row r="12" spans="1:3" x14ac:dyDescent="0.2">
      <c r="A12" t="s">
        <v>57</v>
      </c>
    </row>
    <row r="13" spans="1:3" x14ac:dyDescent="0.2">
      <c r="A13" t="s">
        <v>88</v>
      </c>
    </row>
    <row r="14" spans="1:3" x14ac:dyDescent="0.2">
      <c r="A14" t="s">
        <v>50</v>
      </c>
      <c r="B14" t="s">
        <v>58</v>
      </c>
    </row>
    <row r="15" spans="1:3" x14ac:dyDescent="0.2">
      <c r="A15" t="s">
        <v>59</v>
      </c>
      <c r="B15" t="s">
        <v>60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6045A-41A7-AF40-95B6-DBF867B04F6F}">
  <dimension ref="A1:J10"/>
  <sheetViews>
    <sheetView workbookViewId="0">
      <selection activeCell="F1" sqref="F1:F8"/>
    </sheetView>
  </sheetViews>
  <sheetFormatPr baseColWidth="10" defaultRowHeight="15" x14ac:dyDescent="0.2"/>
  <cols>
    <col min="1" max="1" width="20.6640625" bestFit="1" customWidth="1"/>
    <col min="6" max="6" width="14.6640625" bestFit="1" customWidth="1"/>
  </cols>
  <sheetData>
    <row r="1" spans="1:10" x14ac:dyDescent="0.2">
      <c r="A1" s="6" t="s">
        <v>143</v>
      </c>
      <c r="B1" s="6" t="s">
        <v>144</v>
      </c>
      <c r="C1" s="6" t="s">
        <v>145</v>
      </c>
      <c r="D1" s="6" t="s">
        <v>146</v>
      </c>
      <c r="E1" s="6" t="s">
        <v>147</v>
      </c>
      <c r="F1" s="6" t="s">
        <v>148</v>
      </c>
      <c r="G1" s="6" t="s">
        <v>0</v>
      </c>
      <c r="H1" s="6" t="s">
        <v>149</v>
      </c>
      <c r="I1" s="6" t="s">
        <v>150</v>
      </c>
      <c r="J1" s="6" t="s">
        <v>184</v>
      </c>
    </row>
    <row r="2" spans="1:10" x14ac:dyDescent="0.2">
      <c r="A2" t="s">
        <v>151</v>
      </c>
      <c r="B2" t="s">
        <v>152</v>
      </c>
      <c r="C2" t="s">
        <v>153</v>
      </c>
      <c r="D2">
        <v>2</v>
      </c>
      <c r="E2">
        <v>3645</v>
      </c>
      <c r="F2" s="23" t="s">
        <v>180</v>
      </c>
      <c r="G2" s="18" t="s">
        <v>154</v>
      </c>
      <c r="H2" t="s">
        <v>155</v>
      </c>
      <c r="I2" s="25">
        <v>9.5000000000000001E-2</v>
      </c>
      <c r="J2" s="19">
        <f>$B$10+I2*(1-$B$10)</f>
        <v>0.28505000000000003</v>
      </c>
    </row>
    <row r="3" spans="1:10" x14ac:dyDescent="0.2">
      <c r="A3" t="s">
        <v>156</v>
      </c>
      <c r="B3" t="s">
        <v>152</v>
      </c>
      <c r="C3" t="s">
        <v>153</v>
      </c>
      <c r="D3">
        <v>1</v>
      </c>
      <c r="E3">
        <v>2817</v>
      </c>
      <c r="F3" s="23">
        <v>894</v>
      </c>
      <c r="G3" s="18" t="s">
        <v>157</v>
      </c>
      <c r="H3" t="s">
        <v>158</v>
      </c>
      <c r="I3" s="25">
        <v>0</v>
      </c>
      <c r="J3" s="19">
        <f t="shared" ref="J3:J8" si="0">$B$10+I3*(1-$B$10)</f>
        <v>0.21</v>
      </c>
    </row>
    <row r="4" spans="1:10" x14ac:dyDescent="0.2">
      <c r="A4" t="s">
        <v>159</v>
      </c>
      <c r="B4" t="s">
        <v>160</v>
      </c>
      <c r="C4" t="s">
        <v>153</v>
      </c>
      <c r="D4">
        <v>2</v>
      </c>
      <c r="E4">
        <v>3853</v>
      </c>
      <c r="F4" s="23">
        <v>1280</v>
      </c>
      <c r="G4" s="18" t="s">
        <v>161</v>
      </c>
      <c r="H4" t="s">
        <v>162</v>
      </c>
      <c r="I4" s="25">
        <v>0</v>
      </c>
      <c r="J4" s="19">
        <f t="shared" si="0"/>
        <v>0.21</v>
      </c>
    </row>
    <row r="5" spans="1:10" x14ac:dyDescent="0.2">
      <c r="A5" t="s">
        <v>163</v>
      </c>
      <c r="B5" t="s">
        <v>164</v>
      </c>
      <c r="C5" t="s">
        <v>153</v>
      </c>
      <c r="D5">
        <v>2</v>
      </c>
      <c r="E5">
        <v>3411</v>
      </c>
      <c r="F5" s="23" t="s">
        <v>181</v>
      </c>
      <c r="G5" s="18" t="s">
        <v>165</v>
      </c>
      <c r="H5" t="s">
        <v>166</v>
      </c>
      <c r="I5" s="25">
        <v>8.8400000000000006E-2</v>
      </c>
      <c r="J5" s="19">
        <f t="shared" si="0"/>
        <v>0.27983599999999997</v>
      </c>
    </row>
    <row r="6" spans="1:10" x14ac:dyDescent="0.2">
      <c r="A6" t="s">
        <v>167</v>
      </c>
      <c r="B6" t="s">
        <v>168</v>
      </c>
      <c r="C6" t="s">
        <v>153</v>
      </c>
      <c r="D6">
        <v>2</v>
      </c>
      <c r="E6">
        <v>1677</v>
      </c>
      <c r="F6" s="23" t="s">
        <v>182</v>
      </c>
      <c r="G6" s="18" t="s">
        <v>169</v>
      </c>
      <c r="H6" t="s">
        <v>170</v>
      </c>
      <c r="I6" s="25">
        <v>9.8000000000000004E-2</v>
      </c>
      <c r="J6" s="19">
        <f t="shared" si="0"/>
        <v>0.28742000000000001</v>
      </c>
    </row>
    <row r="7" spans="1:10" x14ac:dyDescent="0.2">
      <c r="A7" t="s">
        <v>171</v>
      </c>
      <c r="B7" t="s">
        <v>172</v>
      </c>
      <c r="C7" t="s">
        <v>173</v>
      </c>
      <c r="D7">
        <v>1</v>
      </c>
      <c r="E7">
        <v>2419</v>
      </c>
      <c r="F7" s="23">
        <v>769</v>
      </c>
      <c r="G7" s="18" t="s">
        <v>174</v>
      </c>
      <c r="H7" t="s">
        <v>175</v>
      </c>
      <c r="I7" s="25">
        <v>7.8100000000000003E-2</v>
      </c>
      <c r="J7" s="19">
        <f t="shared" si="0"/>
        <v>0.27169900000000002</v>
      </c>
    </row>
    <row r="8" spans="1:10" x14ac:dyDescent="0.2">
      <c r="A8" t="s">
        <v>176</v>
      </c>
      <c r="B8" t="s">
        <v>177</v>
      </c>
      <c r="C8" t="s">
        <v>153</v>
      </c>
      <c r="D8">
        <v>3</v>
      </c>
      <c r="E8">
        <v>3990</v>
      </c>
      <c r="F8" s="23" t="s">
        <v>183</v>
      </c>
      <c r="G8" s="18" t="s">
        <v>178</v>
      </c>
      <c r="H8" t="s">
        <v>179</v>
      </c>
      <c r="I8" s="25">
        <v>4.9000000000000002E-2</v>
      </c>
      <c r="J8" s="19">
        <f t="shared" si="0"/>
        <v>0.24870999999999999</v>
      </c>
    </row>
    <row r="9" spans="1:10" x14ac:dyDescent="0.2">
      <c r="H9" s="18"/>
    </row>
    <row r="10" spans="1:10" x14ac:dyDescent="0.2">
      <c r="A10" t="s">
        <v>185</v>
      </c>
      <c r="B10" s="24">
        <v>0.21</v>
      </c>
      <c r="G10" s="22"/>
      <c r="H10" s="18"/>
    </row>
  </sheetData>
  <hyperlinks>
    <hyperlink ref="G2" r:id="rId1" xr:uid="{E420822C-9CB6-0543-ADF1-EDCFE8D5ABAC}"/>
    <hyperlink ref="G3" r:id="rId2" display="https://en.wikipedia.org/wiki/Davis%E2%80%93Besse_Nuclear_Power_Station" xr:uid="{9110542E-89D6-2D47-BAB0-04E98B13FBF5}"/>
    <hyperlink ref="G4" r:id="rId3" xr:uid="{D1783477-78FF-784B-9A1B-672979000EC5}"/>
    <hyperlink ref="G5" r:id="rId4" xr:uid="{50BD1FBC-1D61-6F40-B26D-85ED74F24A2B}"/>
    <hyperlink ref="G6" r:id="rId5" xr:uid="{3096E627-E5FC-5A4A-BC59-39F664A94478}"/>
    <hyperlink ref="G7" r:id="rId6" xr:uid="{A9BD79D7-5527-A44C-B2EE-3F868C0E23D5}"/>
    <hyperlink ref="G8" r:id="rId7" xr:uid="{9DA2C91F-A18F-F04F-A835-EC8502AD4D4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MACRS</vt:lpstr>
      <vt:lpstr>Transfer_rates</vt:lpstr>
      <vt:lpstr>HTSE</vt:lpstr>
      <vt:lpstr>FT</vt:lpstr>
      <vt:lpstr>Boundaries</vt:lpstr>
      <vt:lpstr>Capacity_Market</vt:lpstr>
      <vt:lpstr>NPP_capacities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Marisol Garrouste</dc:creator>
  <cp:lastModifiedBy>Microsoft Office User</cp:lastModifiedBy>
  <dcterms:created xsi:type="dcterms:W3CDTF">2022-05-18T16:54:28Z</dcterms:created>
  <dcterms:modified xsi:type="dcterms:W3CDTF">2022-10-12T20:15:48Z</dcterms:modified>
</cp:coreProperties>
</file>