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hartsheets/sheet13.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4.xml" ContentType="application/vnd.openxmlformats-officedocument.drawing+xml"/>
  <Override PartName="/xl/comments1.xml" ContentType="application/vnd.openxmlformats-officedocument.spreadsheetml.comments+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xml"/>
  <Override PartName="/xl/charts/chart13.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14.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1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16.xml" ContentType="application/vnd.openxmlformats-officedocument.drawingml.chart+xml"/>
  <Override PartName="/xl/drawings/drawing22.xml" ContentType="application/vnd.openxmlformats-officedocument.drawingml.chartshapes+xml"/>
  <Override PartName="/xl/drawings/drawing23.xml" ContentType="application/vnd.openxmlformats-officedocument.drawing+xml"/>
  <Override PartName="/xl/charts/chart17.xml" ContentType="application/vnd.openxmlformats-officedocument.drawingml.chart+xml"/>
  <Override PartName="/xl/theme/themeOverride1.xml" ContentType="application/vnd.openxmlformats-officedocument.themeOverride+xml"/>
  <Override PartName="/xl/drawings/drawing24.xml" ContentType="application/vnd.openxmlformats-officedocument.drawingml.chartshapes+xml"/>
  <Override PartName="/xl/drawings/drawing25.xml" ContentType="application/vnd.openxmlformats-officedocument.drawing+xml"/>
  <Override PartName="/xl/charts/chart18.xml" ContentType="application/vnd.openxmlformats-officedocument.drawingml.chart+xml"/>
  <Override PartName="/xl/comments2.xml" ContentType="application/vnd.openxmlformats-officedocument.spreadsheetml.comments+xml"/>
  <Override PartName="/xl/drawings/drawing26.xml" ContentType="application/vnd.openxmlformats-officedocument.drawing+xml"/>
  <Override PartName="/xl/charts/chart19.xml" ContentType="application/vnd.openxmlformats-officedocument.drawingml.chart+xml"/>
  <Override PartName="/xl/drawings/drawing2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i.gidron\Dropbox\EUTO\09. Atlas of Offshore World\08. profit shifting\stata-project-profit-shifting\raw-data\"/>
    </mc:Choice>
  </mc:AlternateContent>
  <xr:revisionPtr revIDLastSave="0" documentId="8_{3C03787D-CC25-454B-8229-AB2C760E5B6D}" xr6:coauthVersionLast="36" xr6:coauthVersionMax="36" xr10:uidLastSave="{00000000-0000-0000-0000-000000000000}"/>
  <bookViews>
    <workbookView xWindow="0" yWindow="500" windowWidth="28800" windowHeight="16320" firstSheet="25" activeTab="27" xr2:uid="{00000000-000D-0000-FFFF-FFFF00000000}"/>
  </bookViews>
  <sheets>
    <sheet name="Content" sheetId="72" r:id="rId1"/>
    <sheet name="MainTableFigures &gt;" sheetId="87" r:id="rId2"/>
    <sheet name="Table1" sheetId="75" r:id="rId3"/>
    <sheet name="Chart1" sheetId="67" r:id="rId4"/>
    <sheet name="Chart2" sheetId="69" r:id="rId5"/>
    <sheet name="Chart3" sheetId="71" r:id="rId6"/>
    <sheet name="Chart4" sheetId="76" r:id="rId7"/>
    <sheet name="Figure3b" sheetId="94" r:id="rId8"/>
    <sheet name="Chart5" sheetId="78" r:id="rId9"/>
    <sheet name="DataF1" sheetId="66" r:id="rId10"/>
    <sheet name="DataF2" sheetId="70" r:id="rId11"/>
    <sheet name="DataF3" sheetId="77" r:id="rId12"/>
    <sheet name="GlobalDIEquityIncome" sheetId="90" r:id="rId13"/>
    <sheet name="AppenixTableFigures &gt;" sheetId="88" r:id="rId14"/>
    <sheet name="TableA1" sheetId="83" r:id="rId15"/>
    <sheet name="TableA2" sheetId="63" r:id="rId16"/>
    <sheet name="TableA3" sheetId="74" r:id="rId17"/>
    <sheet name="Chart6" sheetId="84" r:id="rId18"/>
    <sheet name="Chart7" sheetId="91" r:id="rId19"/>
    <sheet name="Chart8" sheetId="86" r:id="rId20"/>
    <sheet name="Chart9" sheetId="92" r:id="rId21"/>
    <sheet name="Chart10" sheetId="82" r:id="rId22"/>
    <sheet name="Chart11" sheetId="80" r:id="rId23"/>
    <sheet name="DataAF3" sheetId="81" r:id="rId24"/>
    <sheet name="Select updated tables from TWZ&gt;" sheetId="53" r:id="rId25"/>
    <sheet name="Wright-Zucman" sheetId="79" r:id="rId26"/>
    <sheet name="US-CBCR-2020" sheetId="93" r:id="rId27"/>
    <sheet name="Table U1" sheetId="26" r:id="rId28"/>
    <sheet name="TableB10" sheetId="1" r:id="rId29"/>
    <sheet name="TableB11" sheetId="3" r:id="rId30"/>
    <sheet name="TableC1" sheetId="54" r:id="rId31"/>
    <sheet name="TableC2" sheetId="55" r:id="rId32"/>
    <sheet name="TableC3" sheetId="56" r:id="rId33"/>
    <sheet name="TableC4" sheetId="57" r:id="rId34"/>
    <sheet name="TableC4b" sheetId="58" r:id="rId35"/>
    <sheet name="TableC4c" sheetId="59" r:id="rId36"/>
    <sheet name="TableC4d" sheetId="60" r:id="rId37"/>
    <sheet name="Depreciation" sheetId="73" r:id="rId38"/>
    <sheet name="SupplementaryFigures &gt;" sheetId="89" r:id="rId39"/>
    <sheet name="Chart12" sheetId="65" r:id="rId40"/>
  </sheets>
  <externalReferences>
    <externalReference r:id="rId41"/>
    <externalReference r:id="rId42"/>
    <externalReference r:id="rId43"/>
    <externalReference r:id="rId44"/>
  </externalReferences>
  <definedNames>
    <definedName name="_1_" localSheetId="14">#REF!</definedName>
    <definedName name="_1_">#REF!</definedName>
    <definedName name="_xlnm._FilterDatabase" localSheetId="10" hidden="1">DataF2!$B$3:$F$23</definedName>
    <definedName name="A2298668K">#REF!,#REF!</definedName>
    <definedName name="A2298668K_Data">#REF!</definedName>
    <definedName name="A2298668K_Latest">#REF!</definedName>
    <definedName name="A2298677L">#REF!,#REF!</definedName>
    <definedName name="A2298677L_Data">#REF!</definedName>
    <definedName name="A2298677L_Latest">#REF!</definedName>
    <definedName name="A2298678R">#REF!,#REF!</definedName>
    <definedName name="A2298678R_Data">#REF!</definedName>
    <definedName name="A2298678R_Latest">#REF!</definedName>
    <definedName name="A2298709V">#REF!,#REF!</definedName>
    <definedName name="A2298709V_Data">#REF!</definedName>
    <definedName name="A2298709V_Latest">#REF!</definedName>
    <definedName name="A2298711F">#REF!,#REF!</definedName>
    <definedName name="A2298711F_Data">#REF!</definedName>
    <definedName name="A2298711F_Latest">#REF!</definedName>
    <definedName name="A2298712J">#REF!,#REF!</definedName>
    <definedName name="A2298712J_Data">#REF!</definedName>
    <definedName name="A2298712J_Latest">#REF!</definedName>
    <definedName name="A2298714L">#REF!,#REF!</definedName>
    <definedName name="A2298714L_Data">#REF!</definedName>
    <definedName name="A2298714L_Latest">#REF!</definedName>
    <definedName name="A2302356K">#REF!,#REF!</definedName>
    <definedName name="A2302356K_Data">#REF!</definedName>
    <definedName name="A2302356K_Latest">#REF!</definedName>
    <definedName name="A2302358R">#REF!,#REF!</definedName>
    <definedName name="A2302358R_Data">#REF!</definedName>
    <definedName name="A2302358R_Latest">#REF!</definedName>
    <definedName name="A2302397F">#REF!,#REF!</definedName>
    <definedName name="A2302397F_Data">#REF!</definedName>
    <definedName name="A2302397F_Latest">#REF!</definedName>
    <definedName name="A2302399K">#REF!,#REF!</definedName>
    <definedName name="A2302399K_Data">#REF!</definedName>
    <definedName name="A2302399K_Latest">#REF!</definedName>
    <definedName name="A2302400J">#REF!,#REF!</definedName>
    <definedName name="A2302400J_Data">#REF!</definedName>
    <definedName name="A2302400J_Latest">#REF!</definedName>
    <definedName name="A2302401K">#REF!,#REF!</definedName>
    <definedName name="A2302401K_Data">#REF!</definedName>
    <definedName name="A2302401K_Latest">#REF!</definedName>
    <definedName name="A2302403R">#REF!,#REF!</definedName>
    <definedName name="A2302403R_Data">#REF!</definedName>
    <definedName name="A2302403R_Latest">#REF!</definedName>
    <definedName name="A2302404T">#REF!,#REF!</definedName>
    <definedName name="A2302404T_Data">#REF!</definedName>
    <definedName name="A2302404T_Latest">#REF!</definedName>
    <definedName name="A2302405V">#REF!,#REF!</definedName>
    <definedName name="A2302405V_Data">#REF!</definedName>
    <definedName name="A2302405V_Latest">#REF!</definedName>
    <definedName name="A2302406W">#REF!,#REF!</definedName>
    <definedName name="A2302406W_Data">#REF!</definedName>
    <definedName name="A2302406W_Latest">#REF!</definedName>
    <definedName name="A2302408A">#REF!,#REF!</definedName>
    <definedName name="A2302408A_Data">#REF!</definedName>
    <definedName name="A2302408A_Latest">#REF!</definedName>
    <definedName name="A2302409C">#REF!,#REF!</definedName>
    <definedName name="A2302409C_Data">#REF!</definedName>
    <definedName name="A2302409C_Latest">#REF!</definedName>
    <definedName name="A2302410L">#REF!,#REF!</definedName>
    <definedName name="A2302410L_Data">#REF!</definedName>
    <definedName name="A2302410L_Latest">#REF!</definedName>
    <definedName name="A2302411R">#REF!,#REF!</definedName>
    <definedName name="A2302411R_Data">#REF!</definedName>
    <definedName name="A2302411R_Latest">#REF!</definedName>
    <definedName name="A2302412T">#REF!,#REF!</definedName>
    <definedName name="A2302412T_Data">#REF!</definedName>
    <definedName name="A2302412T_Latest">#REF!</definedName>
    <definedName name="A2302413V">#REF!,#REF!</definedName>
    <definedName name="A2302413V_Data">#REF!</definedName>
    <definedName name="A2302413V_Latest">#REF!</definedName>
    <definedName name="A2302459A">#REF!,#REF!</definedName>
    <definedName name="A2302459A_Data">#REF!</definedName>
    <definedName name="A2302459A_Latest">#REF!</definedName>
    <definedName name="A2302467A">#REF!,#REF!</definedName>
    <definedName name="A2302467A_Data">#REF!</definedName>
    <definedName name="A2302467A_Latest">#REF!</definedName>
    <definedName name="A2302642X">#REF!,#REF!</definedName>
    <definedName name="A2302642X_Data">#REF!</definedName>
    <definedName name="A2302642X_Latest">#REF!</definedName>
    <definedName name="A2302664L">#REF!,#REF!</definedName>
    <definedName name="A2302664L_Data">#REF!</definedName>
    <definedName name="A2302664L_Latest">#REF!</definedName>
    <definedName name="A2302665R">#REF!,#REF!</definedName>
    <definedName name="A2302665R_Data">#REF!</definedName>
    <definedName name="A2302665R_Latest">#REF!</definedName>
    <definedName name="A2302667V">#REF!,#REF!</definedName>
    <definedName name="A2302667V_Data">#REF!</definedName>
    <definedName name="A2302667V_Latest">#REF!</definedName>
    <definedName name="A2302668W">#REF!,#REF!</definedName>
    <definedName name="A2302668W_Data">#REF!</definedName>
    <definedName name="A2302668W_Latest">#REF!</definedName>
    <definedName name="A2302670J">#REF!,#REF!</definedName>
    <definedName name="A2302670J_Data">#REF!</definedName>
    <definedName name="A2302670J_Latest">#REF!</definedName>
    <definedName name="A2302671K">#REF!,#REF!</definedName>
    <definedName name="A2302671K_Data">#REF!</definedName>
    <definedName name="A2302671K_Latest">#REF!</definedName>
    <definedName name="A2302672L">#REF!,#REF!</definedName>
    <definedName name="A2302672L_Data">#REF!</definedName>
    <definedName name="A2302672L_Latest">#REF!</definedName>
    <definedName name="A2302673R">#REF!,#REF!</definedName>
    <definedName name="A2302673R_Data">#REF!</definedName>
    <definedName name="A2302673R_Latest">#REF!</definedName>
    <definedName name="A2302674T">#REF!,#REF!</definedName>
    <definedName name="A2302674T_Data">#REF!</definedName>
    <definedName name="A2302674T_Latest">#REF!</definedName>
    <definedName name="A2302675V">#REF!,#REF!</definedName>
    <definedName name="A2302675V_Data">#REF!</definedName>
    <definedName name="A2302675V_Latest">#REF!</definedName>
    <definedName name="A2302694A">#REF!,#REF!</definedName>
    <definedName name="A2302694A_Data">#REF!</definedName>
    <definedName name="A2302694A_Latest">#REF!</definedName>
    <definedName name="A2303325L">#REF!,#REF!</definedName>
    <definedName name="A2303325L_Data">#REF!</definedName>
    <definedName name="A2303325L_Latest">#REF!</definedName>
    <definedName name="A2303327T">#REF!,#REF!</definedName>
    <definedName name="A2303327T_Data">#REF!</definedName>
    <definedName name="A2303327T_Latest">#REF!</definedName>
    <definedName name="A2303329W">#REF!,#REF!</definedName>
    <definedName name="A2303329W_Data">#REF!</definedName>
    <definedName name="A2303329W_Latest">#REF!</definedName>
    <definedName name="A2303331J">#REF!,#REF!</definedName>
    <definedName name="A2303331J_Data">#REF!</definedName>
    <definedName name="A2303331J_Latest">#REF!</definedName>
    <definedName name="A2303335T">#REF!,#REF!</definedName>
    <definedName name="A2303335T_Data">#REF!</definedName>
    <definedName name="A2303335T_Latest">#REF!</definedName>
    <definedName name="A2303337W">#REF!,#REF!</definedName>
    <definedName name="A2303337W_Data">#REF!</definedName>
    <definedName name="A2303337W_Latest">#REF!</definedName>
    <definedName name="A2303339A">#REF!,#REF!</definedName>
    <definedName name="A2303339A_Data">#REF!</definedName>
    <definedName name="A2303339A_Latest">#REF!</definedName>
    <definedName name="A2303341L">#REF!,#REF!</definedName>
    <definedName name="A2303341L_Data">#REF!</definedName>
    <definedName name="A2303341L_Latest">#REF!</definedName>
    <definedName name="A2303345W">#REF!,#REF!</definedName>
    <definedName name="A2303345W_Data">#REF!</definedName>
    <definedName name="A2303345W_Latest">#REF!</definedName>
    <definedName name="A2303347A">#REF!,#REF!</definedName>
    <definedName name="A2303347A_Data">#REF!</definedName>
    <definedName name="A2303347A_Latest">#REF!</definedName>
    <definedName name="A2303349F">#REF!,#REF!</definedName>
    <definedName name="A2303349F_Data">#REF!</definedName>
    <definedName name="A2303349F_Latest">#REF!</definedName>
    <definedName name="A2303351T">#REF!,#REF!</definedName>
    <definedName name="A2303351T_Data">#REF!</definedName>
    <definedName name="A2303351T_Latest">#REF!</definedName>
    <definedName name="A2303353W">#REF!,#REF!</definedName>
    <definedName name="A2303353W_Data">#REF!</definedName>
    <definedName name="A2303353W_Latest">#REF!</definedName>
    <definedName name="A2303355A">#REF!,#REF!</definedName>
    <definedName name="A2303355A_Data">#REF!</definedName>
    <definedName name="A2303355A_Latest">#REF!</definedName>
    <definedName name="A2303357F">#REF!,#REF!</definedName>
    <definedName name="A2303357F_Data">#REF!</definedName>
    <definedName name="A2303357F_Latest">#REF!</definedName>
    <definedName name="A2303359K">#REF!,#REF!</definedName>
    <definedName name="A2303359K_Data">#REF!</definedName>
    <definedName name="A2303359K_Latest">#REF!</definedName>
    <definedName name="A2303363A">#REF!,#REF!</definedName>
    <definedName name="A2303363A_Data">#REF!</definedName>
    <definedName name="A2303363A_Latest">#REF!</definedName>
    <definedName name="A2303365F">#REF!,#REF!</definedName>
    <definedName name="A2303365F_Data">#REF!</definedName>
    <definedName name="A2303365F_Latest">#REF!</definedName>
    <definedName name="A2303367K">#REF!,#REF!</definedName>
    <definedName name="A2303367K_Data">#REF!</definedName>
    <definedName name="A2303367K_Latest">#REF!</definedName>
    <definedName name="A2303369R">#REF!,#REF!</definedName>
    <definedName name="A2303369R_Data">#REF!</definedName>
    <definedName name="A2303369R_Latest">#REF!</definedName>
    <definedName name="A2303373F">#REF!,#REF!</definedName>
    <definedName name="A2303373F_Data">#REF!</definedName>
    <definedName name="A2303373F_Latest">#REF!</definedName>
    <definedName name="A2303375K">#REF!,#REF!</definedName>
    <definedName name="A2303375K_Data">#REF!</definedName>
    <definedName name="A2303375K_Latest">#REF!</definedName>
    <definedName name="A2303377R">#REF!,#REF!</definedName>
    <definedName name="A2303377R_Data">#REF!</definedName>
    <definedName name="A2303377R_Latest">#REF!</definedName>
    <definedName name="A2303379V">#REF!,#REF!</definedName>
    <definedName name="A2303379V_Data">#REF!</definedName>
    <definedName name="A2303379V_Latest">#REF!</definedName>
    <definedName name="A2303381F">#REF!,#REF!</definedName>
    <definedName name="A2303381F_Data">#REF!</definedName>
    <definedName name="A2303381F_Latest">#REF!</definedName>
    <definedName name="A2303383K">#REF!,#REF!</definedName>
    <definedName name="A2303383K_Data">#REF!</definedName>
    <definedName name="A2303383K_Latest">#REF!</definedName>
    <definedName name="A2303385R">#REF!,#REF!</definedName>
    <definedName name="A2303385R_Data">#REF!</definedName>
    <definedName name="A2303385R_Latest">#REF!</definedName>
    <definedName name="A2303387V">#REF!,#REF!</definedName>
    <definedName name="A2303387V_Data">#REF!</definedName>
    <definedName name="A2303387V_Latest">#REF!</definedName>
    <definedName name="A2303389X">#REF!,#REF!</definedName>
    <definedName name="A2303389X_Data">#REF!</definedName>
    <definedName name="A2303389X_Latest">#REF!</definedName>
    <definedName name="A2303393R">#REF!,#REF!</definedName>
    <definedName name="A2303393R_Data">#REF!</definedName>
    <definedName name="A2303393R_Latest">#REF!</definedName>
    <definedName name="A2303395V">#REF!,#REF!</definedName>
    <definedName name="A2303395V_Data">#REF!</definedName>
    <definedName name="A2303395V_Latest">#REF!</definedName>
    <definedName name="A2303397X">#REF!,#REF!</definedName>
    <definedName name="A2303397X_Data">#REF!</definedName>
    <definedName name="A2303397X_Latest">#REF!</definedName>
    <definedName name="A2303399C">#REF!,#REF!</definedName>
    <definedName name="A2303399C_Data">#REF!</definedName>
    <definedName name="A2303399C_Latest">#REF!</definedName>
    <definedName name="A2303403J">#REF!,#REF!</definedName>
    <definedName name="A2303403J_Data">#REF!</definedName>
    <definedName name="A2303403J_Latest">#REF!</definedName>
    <definedName name="A2303405L">#REF!,#REF!</definedName>
    <definedName name="A2303405L_Data">#REF!</definedName>
    <definedName name="A2303405L_Latest">#REF!</definedName>
    <definedName name="A2303407T">#REF!,#REF!</definedName>
    <definedName name="A2303407T_Data">#REF!</definedName>
    <definedName name="A2303407T_Latest">#REF!</definedName>
    <definedName name="A2303409W">#REF!,#REF!</definedName>
    <definedName name="A2303409W_Data">#REF!</definedName>
    <definedName name="A2303409W_Latest">#REF!</definedName>
    <definedName name="A2303411J">#REF!,#REF!</definedName>
    <definedName name="A2303411J_Data">#REF!</definedName>
    <definedName name="A2303411J_Latest">#REF!</definedName>
    <definedName name="A2303469X">#REF!,#REF!</definedName>
    <definedName name="A2303469X_Data">#REF!</definedName>
    <definedName name="A2303469X_Latest">#REF!</definedName>
    <definedName name="A2303471K">#REF!,#REF!</definedName>
    <definedName name="A2303471K_Data">#REF!</definedName>
    <definedName name="A2303471K_Latest">#REF!</definedName>
    <definedName name="A2303548W">#REF!,#REF!</definedName>
    <definedName name="A2303548W_Data">#REF!</definedName>
    <definedName name="A2303548W_Latest">#REF!</definedName>
    <definedName name="A2303552L">#REF!,#REF!</definedName>
    <definedName name="A2303552L_Data">#REF!</definedName>
    <definedName name="A2303552L_Latest">#REF!</definedName>
    <definedName name="A2303554T">#REF!,#REF!</definedName>
    <definedName name="A2303554T_Data">#REF!</definedName>
    <definedName name="A2303554T_Latest">#REF!</definedName>
    <definedName name="A2303556W">#REF!,#REF!</definedName>
    <definedName name="A2303556W_Data">#REF!</definedName>
    <definedName name="A2303556W_Latest">#REF!</definedName>
    <definedName name="A2303560L">#REF!,#REF!</definedName>
    <definedName name="A2303560L_Data">#REF!</definedName>
    <definedName name="A2303560L_Latest">#REF!</definedName>
    <definedName name="A2303562T">#REF!,#REF!</definedName>
    <definedName name="A2303562T_Data">#REF!</definedName>
    <definedName name="A2303562T_Latest">#REF!</definedName>
    <definedName name="A2303564W">#REF!,#REF!</definedName>
    <definedName name="A2303564W_Data">#REF!</definedName>
    <definedName name="A2303564W_Latest">#REF!</definedName>
    <definedName name="A2303566A">#REF!,#REF!</definedName>
    <definedName name="A2303566A_Data">#REF!</definedName>
    <definedName name="A2303566A_Latest">#REF!</definedName>
    <definedName name="A2303570T">#REF!,#REF!</definedName>
    <definedName name="A2303570T_Data">#REF!</definedName>
    <definedName name="A2303570T_Latest">#REF!</definedName>
    <definedName name="A2303572W">#REF!,#REF!</definedName>
    <definedName name="A2303572W_Data">#REF!</definedName>
    <definedName name="A2303572W_Latest">#REF!</definedName>
    <definedName name="A2303574A">#REF!,#REF!</definedName>
    <definedName name="A2303574A_Data">#REF!</definedName>
    <definedName name="A2303574A_Latest">#REF!</definedName>
    <definedName name="A2303576F">#REF!,#REF!</definedName>
    <definedName name="A2303576F_Data">#REF!</definedName>
    <definedName name="A2303576F_Latest">#REF!</definedName>
    <definedName name="A2303578K">#REF!,#REF!</definedName>
    <definedName name="A2303578K_Data">#REF!</definedName>
    <definedName name="A2303578K_Latest">#REF!</definedName>
    <definedName name="A2303599W">#REF!,#REF!</definedName>
    <definedName name="A2303599W_Data">#REF!</definedName>
    <definedName name="A2303599W_Latest">#REF!</definedName>
    <definedName name="A2303601W">#REF!,#REF!</definedName>
    <definedName name="A2303601W_Data">#REF!</definedName>
    <definedName name="A2303601W_Latest">#REF!</definedName>
    <definedName name="A2303678V">#REF!,#REF!</definedName>
    <definedName name="A2303678V_Data">#REF!</definedName>
    <definedName name="A2303678V_Latest">#REF!</definedName>
    <definedName name="A2304030W">#REF!,#REF!</definedName>
    <definedName name="A2304030W_Data">#REF!</definedName>
    <definedName name="A2304030W_Latest">#REF!</definedName>
    <definedName name="A2304322X">#REF!,#REF!</definedName>
    <definedName name="A2304322X_Data">#REF!</definedName>
    <definedName name="A2304322X_Latest">#REF!</definedName>
    <definedName name="A2304334J">#REF!,#REF!</definedName>
    <definedName name="A2304334J_Data">#REF!</definedName>
    <definedName name="A2304334J_Latest">#REF!</definedName>
    <definedName name="A2304350J">#REF!,#REF!</definedName>
    <definedName name="A2304350J_Data">#REF!</definedName>
    <definedName name="A2304350J_Latest">#REF!</definedName>
    <definedName name="A2304370T">#REF!,#REF!</definedName>
    <definedName name="A2304370T_Data">#REF!</definedName>
    <definedName name="A2304370T_Latest">#REF!</definedName>
    <definedName name="A2304386K">#REF!,#REF!</definedName>
    <definedName name="A2304386K_Data">#REF!</definedName>
    <definedName name="A2304386K_Latest">#REF!</definedName>
    <definedName name="A2304402X">#REF!,#REF!</definedName>
    <definedName name="A2304402X_Data">#REF!</definedName>
    <definedName name="A2304402X_Latest">#REF!</definedName>
    <definedName name="A2304418T">#REF!,#REF!</definedName>
    <definedName name="A2304418T_Data">#REF!</definedName>
    <definedName name="A2304418T_Latest">#REF!</definedName>
    <definedName name="A2323348A">#REF!,#REF!</definedName>
    <definedName name="A2323348A_Data">#REF!</definedName>
    <definedName name="A2323348A_Latest">#REF!</definedName>
    <definedName name="A2323349C">#REF!,#REF!</definedName>
    <definedName name="A2323349C_Data">#REF!</definedName>
    <definedName name="A2323349C_Latest">#REF!</definedName>
    <definedName name="A2323350L">#REF!,#REF!</definedName>
    <definedName name="A2323350L_Data">#REF!</definedName>
    <definedName name="A2323350L_Latest">#REF!</definedName>
    <definedName name="A2323352T">#REF!,#REF!</definedName>
    <definedName name="A2323352T_Data">#REF!</definedName>
    <definedName name="A2323352T_Latest">#REF!</definedName>
    <definedName name="A2323353V">#REF!,#REF!</definedName>
    <definedName name="A2323353V_Data">#REF!</definedName>
    <definedName name="A2323353V_Latest">#REF!</definedName>
    <definedName name="A2323355X">#REF!,#REF!</definedName>
    <definedName name="A2323355X_Data">#REF!</definedName>
    <definedName name="A2323355X_Latest">#REF!</definedName>
    <definedName name="A2323358F">#REF!,#REF!</definedName>
    <definedName name="A2323358F_Data">#REF!</definedName>
    <definedName name="A2323358F_Latest">#REF!</definedName>
    <definedName name="A2323369L">#REF!,#REF!</definedName>
    <definedName name="A2323369L_Data">#REF!</definedName>
    <definedName name="A2323369L_Latest">#REF!</definedName>
    <definedName name="A2323370W">#REF!,#REF!</definedName>
    <definedName name="A2323370W_Data">#REF!</definedName>
    <definedName name="A2323370W_Latest">#REF!</definedName>
    <definedName name="A2323372A">#REF!,#REF!</definedName>
    <definedName name="A2323372A_Data">#REF!</definedName>
    <definedName name="A2323372A_Latest">#REF!</definedName>
    <definedName name="A2323374F">#REF!,#REF!</definedName>
    <definedName name="A2323374F_Data">#REF!</definedName>
    <definedName name="A2323374F_Latest">#REF!</definedName>
    <definedName name="A2323376K">#REF!,#REF!</definedName>
    <definedName name="A2323376K_Data">#REF!</definedName>
    <definedName name="A2323376K_Latest">#REF!</definedName>
    <definedName name="A2323378R">#REF!,#REF!</definedName>
    <definedName name="A2323378R_Data">#REF!</definedName>
    <definedName name="A2323378R_Latest">#REF!</definedName>
    <definedName name="A2529206X">#REF!,#REF!</definedName>
    <definedName name="A2529206X_Data">#REF!</definedName>
    <definedName name="A2529206X_Latest">#REF!</definedName>
    <definedName name="A2529207A">#REF!,#REF!</definedName>
    <definedName name="A2529207A_Data">#REF!</definedName>
    <definedName name="A2529207A_Latest">#REF!</definedName>
    <definedName name="A2529209F">#REF!,#REF!</definedName>
    <definedName name="A2529209F_Data">#REF!</definedName>
    <definedName name="A2529209F_Latest">#REF!</definedName>
    <definedName name="A2529210R">#REF!,#REF!</definedName>
    <definedName name="A2529210R_Data">#REF!</definedName>
    <definedName name="A2529210R_Latest">#REF!</definedName>
    <definedName name="A2529212V">#REF!,#REF!</definedName>
    <definedName name="A2529212V_Data">#REF!</definedName>
    <definedName name="A2529212V_Latest">#REF!</definedName>
    <definedName name="A2529213W">#REF!,#REF!</definedName>
    <definedName name="A2529213W_Data">#REF!</definedName>
    <definedName name="A2529213W_Latest">#REF!</definedName>
    <definedName name="A2529214X">#REF!,#REF!</definedName>
    <definedName name="A2529214X_Data">#REF!</definedName>
    <definedName name="A2529214X_Latest">#REF!</definedName>
    <definedName name="A2716003C">#REF!,#REF!</definedName>
    <definedName name="A2716003C_Data">#REF!</definedName>
    <definedName name="A2716003C_Latest">#REF!</definedName>
    <definedName name="A2716004F">#REF!,#REF!</definedName>
    <definedName name="A2716004F_Data">#REF!</definedName>
    <definedName name="A2716004F_Latest">#REF!</definedName>
    <definedName name="A2716005J">#REF!,#REF!</definedName>
    <definedName name="A2716005J_Data">#REF!</definedName>
    <definedName name="A2716005J_Latest">#REF!</definedName>
    <definedName name="A2716006K">#REF!,#REF!</definedName>
    <definedName name="A2716006K_Data">#REF!</definedName>
    <definedName name="A2716006K_Latest">#REF!</definedName>
    <definedName name="A2716007L">#REF!,#REF!</definedName>
    <definedName name="A2716007L_Data">#REF!</definedName>
    <definedName name="A2716007L_Latest">#REF!</definedName>
    <definedName name="A2716008R">#REF!,#REF!</definedName>
    <definedName name="A2716008R_Data">#REF!</definedName>
    <definedName name="A2716008R_Latest">#REF!</definedName>
    <definedName name="A2716009T">#REF!,#REF!</definedName>
    <definedName name="A2716009T_Data">#REF!</definedName>
    <definedName name="A2716009T_Latest">#REF!</definedName>
    <definedName name="A2716010A">#REF!,#REF!</definedName>
    <definedName name="A2716010A_Data">#REF!</definedName>
    <definedName name="A2716010A_Latest">#REF!</definedName>
    <definedName name="A2716011C">#REF!,#REF!</definedName>
    <definedName name="A2716011C_Data">#REF!</definedName>
    <definedName name="A2716011C_Latest">#REF!</definedName>
    <definedName name="A2716012F">#REF!,#REF!</definedName>
    <definedName name="A2716012F_Data">#REF!</definedName>
    <definedName name="A2716012F_Latest">#REF!</definedName>
    <definedName name="A2716013J">#REF!,#REF!</definedName>
    <definedName name="A2716013J_Data">#REF!</definedName>
    <definedName name="A2716013J_Latest">#REF!</definedName>
    <definedName name="A2716014K">#REF!,#REF!</definedName>
    <definedName name="A2716014K_Data">#REF!</definedName>
    <definedName name="A2716014K_Latest">#REF!</definedName>
    <definedName name="A2716015L">#REF!,#REF!</definedName>
    <definedName name="A2716015L_Data">#REF!</definedName>
    <definedName name="A2716015L_Latest">#REF!</definedName>
    <definedName name="A2716016R">#REF!,#REF!</definedName>
    <definedName name="A2716016R_Data">#REF!</definedName>
    <definedName name="A2716016R_Latest">#REF!</definedName>
    <definedName name="A2716017T">#REF!,#REF!</definedName>
    <definedName name="A2716017T_Data">#REF!</definedName>
    <definedName name="A2716017T_Latest">#REF!</definedName>
    <definedName name="A2716018V">#REF!,#REF!</definedName>
    <definedName name="A2716018V_Data">#REF!</definedName>
    <definedName name="A2716018V_Latest">#REF!</definedName>
    <definedName name="A2716019W">#REF!,#REF!</definedName>
    <definedName name="A2716019W_Data">#REF!</definedName>
    <definedName name="A2716019W_Latest">#REF!</definedName>
    <definedName name="A2716020F">#REF!,#REF!</definedName>
    <definedName name="A2716020F_Data">#REF!</definedName>
    <definedName name="A2716020F_Latest">#REF!</definedName>
    <definedName name="A2716021J">#REF!,#REF!</definedName>
    <definedName name="A2716021J_Data">#REF!</definedName>
    <definedName name="A2716021J_Latest">#REF!</definedName>
    <definedName name="A2716040R">#REF!,#REF!</definedName>
    <definedName name="A2716040R_Data">#REF!</definedName>
    <definedName name="A2716040R_Latest">#REF!</definedName>
    <definedName name="A2716041T">#REF!,#REF!</definedName>
    <definedName name="A2716041T_Data">#REF!</definedName>
    <definedName name="A2716041T_Latest">#REF!</definedName>
    <definedName name="A2716042V">#REF!,#REF!</definedName>
    <definedName name="A2716042V_Data">#REF!</definedName>
    <definedName name="A2716042V_Latest">#REF!</definedName>
    <definedName name="A2716043W">#REF!,#REF!</definedName>
    <definedName name="A2716043W_Data">#REF!</definedName>
    <definedName name="A2716043W_Latest">#REF!</definedName>
    <definedName name="A2716044X">#REF!,#REF!</definedName>
    <definedName name="A2716044X_Data">#REF!</definedName>
    <definedName name="A2716044X_Latest">#REF!</definedName>
    <definedName name="A2716045A">#REF!,#REF!</definedName>
    <definedName name="A2716045A_Data">#REF!</definedName>
    <definedName name="A2716045A_Latest">#REF!</definedName>
    <definedName name="A2716046C">#REF!,#REF!</definedName>
    <definedName name="A2716046C_Data">#REF!</definedName>
    <definedName name="A2716046C_Latest">#REF!</definedName>
    <definedName name="A2716047F">#REF!,#REF!</definedName>
    <definedName name="A2716047F_Data">#REF!</definedName>
    <definedName name="A2716047F_Latest">#REF!</definedName>
    <definedName name="A2716048J">#REF!,#REF!</definedName>
    <definedName name="A2716048J_Data">#REF!</definedName>
    <definedName name="A2716048J_Latest">#REF!</definedName>
    <definedName name="A2716049K">#REF!,#REF!</definedName>
    <definedName name="A2716049K_Data">#REF!</definedName>
    <definedName name="A2716049K_Latest">#REF!</definedName>
    <definedName name="A2716051W">#REF!,#REF!</definedName>
    <definedName name="A2716051W_Data">#REF!</definedName>
    <definedName name="A2716051W_Latest">#REF!</definedName>
    <definedName name="A2716055F">#REF!,#REF!</definedName>
    <definedName name="A2716055F_Data">#REF!</definedName>
    <definedName name="A2716055F_Latest">#REF!</definedName>
    <definedName name="A2716056J">#REF!,#REF!</definedName>
    <definedName name="A2716056J_Data">#REF!</definedName>
    <definedName name="A2716056J_Latest">#REF!</definedName>
    <definedName name="A2716057K">#REF!,#REF!</definedName>
    <definedName name="A2716057K_Data">#REF!</definedName>
    <definedName name="A2716057K_Latest">#REF!</definedName>
    <definedName name="A2716058L">#REF!,#REF!</definedName>
    <definedName name="A2716058L_Data">#REF!</definedName>
    <definedName name="A2716058L_Latest">#REF!</definedName>
    <definedName name="A2716059R">#REF!,#REF!</definedName>
    <definedName name="A2716059R_Data">#REF!</definedName>
    <definedName name="A2716059R_Latest">#REF!</definedName>
    <definedName name="A2716060X">#REF!,#REF!</definedName>
    <definedName name="A2716060X_Data">#REF!</definedName>
    <definedName name="A2716060X_Latest">#REF!</definedName>
    <definedName name="A2716061A">#REF!,#REF!</definedName>
    <definedName name="A2716061A_Data">#REF!</definedName>
    <definedName name="A2716061A_Latest">#REF!</definedName>
    <definedName name="A2716062C">#REF!,#REF!</definedName>
    <definedName name="A2716062C_Data">#REF!</definedName>
    <definedName name="A2716062C_Latest">#REF!</definedName>
    <definedName name="A2716063F">#REF!,#REF!</definedName>
    <definedName name="A2716063F_Data">#REF!</definedName>
    <definedName name="A2716063F_Latest">#REF!</definedName>
    <definedName name="A2716064J">#REF!,#REF!</definedName>
    <definedName name="A2716064J_Data">#REF!</definedName>
    <definedName name="A2716064J_Latest">#REF!</definedName>
    <definedName name="A2716067R">#REF!,#REF!</definedName>
    <definedName name="A2716067R_Data">#REF!</definedName>
    <definedName name="A2716067R_Latest">#REF!</definedName>
    <definedName name="A2716068T">#REF!,#REF!</definedName>
    <definedName name="A2716068T_Data">#REF!</definedName>
    <definedName name="A2716068T_Latest">#REF!</definedName>
    <definedName name="A2716069V">#REF!,#REF!</definedName>
    <definedName name="A2716069V_Data">#REF!</definedName>
    <definedName name="A2716069V_Latest">#REF!</definedName>
    <definedName name="A2716070C">#REF!,#REF!</definedName>
    <definedName name="A2716070C_Data">#REF!</definedName>
    <definedName name="A2716070C_Latest">#REF!</definedName>
    <definedName name="A2716071F">#REF!,#REF!</definedName>
    <definedName name="A2716071F_Data">#REF!</definedName>
    <definedName name="A2716071F_Latest">#REF!</definedName>
    <definedName name="A2716072J">#REF!,#REF!</definedName>
    <definedName name="A2716072J_Data">#REF!</definedName>
    <definedName name="A2716072J_Latest">#REF!</definedName>
    <definedName name="A2716073K">#REF!,#REF!</definedName>
    <definedName name="A2716073K_Data">#REF!</definedName>
    <definedName name="A2716073K_Latest">#REF!</definedName>
    <definedName name="A2716074L">#REF!,#REF!</definedName>
    <definedName name="A2716074L_Data">#REF!</definedName>
    <definedName name="A2716074L_Latest">#REF!</definedName>
    <definedName name="A2716075R">#REF!,#REF!</definedName>
    <definedName name="A2716075R_Data">#REF!</definedName>
    <definedName name="A2716075R_Latest">#REF!</definedName>
    <definedName name="A2716076T">#REF!,#REF!</definedName>
    <definedName name="A2716076T_Data">#REF!</definedName>
    <definedName name="A2716076T_Latest">#REF!</definedName>
    <definedName name="A2716077V">#REF!,#REF!</definedName>
    <definedName name="A2716077V_Data">#REF!</definedName>
    <definedName name="A2716077V_Latest">#REF!</definedName>
    <definedName name="A2716120R">#REF!,#REF!</definedName>
    <definedName name="A2716120R_Data">#REF!</definedName>
    <definedName name="A2716120R_Latest">#REF!</definedName>
    <definedName name="A2716121T">#REF!,#REF!</definedName>
    <definedName name="A2716121T_Data">#REF!</definedName>
    <definedName name="A2716121T_Latest">#REF!</definedName>
    <definedName name="A2716122V">#REF!,#REF!</definedName>
    <definedName name="A2716122V_Data">#REF!</definedName>
    <definedName name="A2716122V_Latest">#REF!</definedName>
    <definedName name="A2716123W">#REF!,#REF!</definedName>
    <definedName name="A2716123W_Data">#REF!</definedName>
    <definedName name="A2716123W_Latest">#REF!</definedName>
    <definedName name="A2716124X">#REF!,#REF!</definedName>
    <definedName name="A2716124X_Data">#REF!</definedName>
    <definedName name="A2716124X_Latest">#REF!</definedName>
    <definedName name="A2716125A">#REF!,#REF!</definedName>
    <definedName name="A2716125A_Data">#REF!</definedName>
    <definedName name="A2716125A_Latest">#REF!</definedName>
    <definedName name="A2716126C">#REF!,#REF!</definedName>
    <definedName name="A2716126C_Data">#REF!</definedName>
    <definedName name="A2716126C_Latest">#REF!</definedName>
    <definedName name="A2716127F">#REF!,#REF!</definedName>
    <definedName name="A2716127F_Data">#REF!</definedName>
    <definedName name="A2716127F_Latest">#REF!</definedName>
    <definedName name="A2716128J">#REF!,#REF!</definedName>
    <definedName name="A2716128J_Data">#REF!</definedName>
    <definedName name="A2716128J_Latest">#REF!</definedName>
    <definedName name="A2716129K">#REF!,#REF!</definedName>
    <definedName name="A2716129K_Data">#REF!</definedName>
    <definedName name="A2716129K_Latest">#REF!</definedName>
    <definedName name="A2716131W">#REF!,#REF!</definedName>
    <definedName name="A2716131W_Data">#REF!</definedName>
    <definedName name="A2716131W_Latest">#REF!</definedName>
    <definedName name="A2716135F">#REF!,#REF!</definedName>
    <definedName name="A2716135F_Data">#REF!</definedName>
    <definedName name="A2716135F_Latest">#REF!</definedName>
    <definedName name="A2716136J">#REF!,#REF!</definedName>
    <definedName name="A2716136J_Data">#REF!</definedName>
    <definedName name="A2716136J_Latest">#REF!</definedName>
    <definedName name="A2716137K">#REF!,#REF!</definedName>
    <definedName name="A2716137K_Data">#REF!</definedName>
    <definedName name="A2716137K_Latest">#REF!</definedName>
    <definedName name="A2716138L">#REF!,#REF!</definedName>
    <definedName name="A2716138L_Data">#REF!</definedName>
    <definedName name="A2716138L_Latest">#REF!</definedName>
    <definedName name="A2716139R">#REF!,#REF!</definedName>
    <definedName name="A2716139R_Data">#REF!</definedName>
    <definedName name="A2716139R_Latest">#REF!</definedName>
    <definedName name="A2716140X">#REF!,#REF!</definedName>
    <definedName name="A2716140X_Data">#REF!</definedName>
    <definedName name="A2716140X_Latest">#REF!</definedName>
    <definedName name="A2716141A">#REF!,#REF!</definedName>
    <definedName name="A2716141A_Data">#REF!</definedName>
    <definedName name="A2716141A_Latest">#REF!</definedName>
    <definedName name="A2716142C">#REF!,#REF!</definedName>
    <definedName name="A2716142C_Data">#REF!</definedName>
    <definedName name="A2716142C_Latest">#REF!</definedName>
    <definedName name="A2716143F">#REF!,#REF!</definedName>
    <definedName name="A2716143F_Data">#REF!</definedName>
    <definedName name="A2716143F_Latest">#REF!</definedName>
    <definedName name="A2716144J">#REF!,#REF!</definedName>
    <definedName name="A2716144J_Data">#REF!</definedName>
    <definedName name="A2716144J_Latest">#REF!</definedName>
    <definedName name="A2716147R">#REF!,#REF!</definedName>
    <definedName name="A2716147R_Data">#REF!</definedName>
    <definedName name="A2716147R_Latest">#REF!</definedName>
    <definedName name="A2716148T">#REF!,#REF!</definedName>
    <definedName name="A2716148T_Data">#REF!</definedName>
    <definedName name="A2716148T_Latest">#REF!</definedName>
    <definedName name="A2716149V">#REF!,#REF!</definedName>
    <definedName name="A2716149V_Data">#REF!</definedName>
    <definedName name="A2716149V_Latest">#REF!</definedName>
    <definedName name="A2716150C">#REF!,#REF!</definedName>
    <definedName name="A2716150C_Data">#REF!</definedName>
    <definedName name="A2716150C_Latest">#REF!</definedName>
    <definedName name="A2716151F">#REF!,#REF!</definedName>
    <definedName name="A2716151F_Data">#REF!</definedName>
    <definedName name="A2716151F_Latest">#REF!</definedName>
    <definedName name="A2716152J">#REF!,#REF!</definedName>
    <definedName name="A2716152J_Data">#REF!</definedName>
    <definedName name="A2716152J_Latest">#REF!</definedName>
    <definedName name="A2716153K">#REF!,#REF!</definedName>
    <definedName name="A2716153K_Data">#REF!</definedName>
    <definedName name="A2716153K_Latest">#REF!</definedName>
    <definedName name="A2716154L">#REF!,#REF!</definedName>
    <definedName name="A2716154L_Data">#REF!</definedName>
    <definedName name="A2716154L_Latest">#REF!</definedName>
    <definedName name="A2716155R">#REF!,#REF!</definedName>
    <definedName name="A2716155R_Data">#REF!</definedName>
    <definedName name="A2716155R_Latest">#REF!</definedName>
    <definedName name="A2716156T">#REF!,#REF!</definedName>
    <definedName name="A2716156T_Data">#REF!</definedName>
    <definedName name="A2716156T_Latest">#REF!</definedName>
    <definedName name="A2716160J">#REF!,#REF!</definedName>
    <definedName name="A2716160J_Data">#REF!</definedName>
    <definedName name="A2716160J_Latest">#REF!</definedName>
    <definedName name="A2716161K">#REF!,#REF!</definedName>
    <definedName name="A2716161K_Data">#REF!</definedName>
    <definedName name="A2716161K_Latest">#REF!</definedName>
    <definedName name="A2716162L">#REF!,#REF!</definedName>
    <definedName name="A2716162L_Data">#REF!</definedName>
    <definedName name="A2716162L_Latest">#REF!</definedName>
    <definedName name="A2716163R">#REF!,#REF!</definedName>
    <definedName name="A2716163R_Data">#REF!</definedName>
    <definedName name="A2716163R_Latest">#REF!</definedName>
    <definedName name="A2716164T">#REF!,#REF!</definedName>
    <definedName name="A2716164T_Data">#REF!</definedName>
    <definedName name="A2716164T_Latest">#REF!</definedName>
    <definedName name="A2716165V">#REF!,#REF!</definedName>
    <definedName name="A2716165V_Data">#REF!</definedName>
    <definedName name="A2716165V_Latest">#REF!</definedName>
    <definedName name="A2716166W">#REF!,#REF!</definedName>
    <definedName name="A2716166W_Data">#REF!</definedName>
    <definedName name="A2716166W_Latest">#REF!</definedName>
    <definedName name="A2716167X">#REF!,#REF!</definedName>
    <definedName name="A2716167X_Data">#REF!</definedName>
    <definedName name="A2716167X_Latest">#REF!</definedName>
    <definedName name="A2716168A">#REF!,#REF!</definedName>
    <definedName name="A2716168A_Data">#REF!</definedName>
    <definedName name="A2716168A_Latest">#REF!</definedName>
    <definedName name="A2716169C">#REF!,#REF!</definedName>
    <definedName name="A2716169C_Data">#REF!</definedName>
    <definedName name="A2716169C_Latest">#REF!</definedName>
    <definedName name="A2716171R">#REF!,#REF!</definedName>
    <definedName name="A2716171R_Data">#REF!</definedName>
    <definedName name="A2716171R_Latest">#REF!</definedName>
    <definedName name="A2716175X">#REF!,#REF!</definedName>
    <definedName name="A2716175X_Data">#REF!</definedName>
    <definedName name="A2716175X_Latest">#REF!</definedName>
    <definedName name="A2716176A">#REF!,#REF!</definedName>
    <definedName name="A2716176A_Data">#REF!</definedName>
    <definedName name="A2716176A_Latest">#REF!</definedName>
    <definedName name="A2716177C">#REF!,#REF!</definedName>
    <definedName name="A2716177C_Data">#REF!</definedName>
    <definedName name="A2716177C_Latest">#REF!</definedName>
    <definedName name="A2716178F">#REF!,#REF!</definedName>
    <definedName name="A2716178F_Data">#REF!</definedName>
    <definedName name="A2716178F_Latest">#REF!</definedName>
    <definedName name="A2716179J">#REF!,#REF!</definedName>
    <definedName name="A2716179J_Data">#REF!</definedName>
    <definedName name="A2716179J_Latest">#REF!</definedName>
    <definedName name="A2716180T">#REF!,#REF!</definedName>
    <definedName name="A2716180T_Data">#REF!</definedName>
    <definedName name="A2716180T_Latest">#REF!</definedName>
    <definedName name="A2716181V">#REF!,#REF!</definedName>
    <definedName name="A2716181V_Data">#REF!</definedName>
    <definedName name="A2716181V_Latest">#REF!</definedName>
    <definedName name="A2716182W">#REF!,#REF!</definedName>
    <definedName name="A2716182W_Data">#REF!</definedName>
    <definedName name="A2716182W_Latest">#REF!</definedName>
    <definedName name="A2716183X">#REF!,#REF!</definedName>
    <definedName name="A2716183X_Data">#REF!</definedName>
    <definedName name="A2716183X_Latest">#REF!</definedName>
    <definedName name="A2716184A">#REF!,#REF!</definedName>
    <definedName name="A2716184A_Data">#REF!</definedName>
    <definedName name="A2716184A_Latest">#REF!</definedName>
    <definedName name="A2716187J">#REF!,#REF!</definedName>
    <definedName name="A2716187J_Data">#REF!</definedName>
    <definedName name="A2716187J_Latest">#REF!</definedName>
    <definedName name="A2716188K">#REF!,#REF!</definedName>
    <definedName name="A2716188K_Data">#REF!</definedName>
    <definedName name="A2716188K_Latest">#REF!</definedName>
    <definedName name="A2716189L">#REF!,#REF!</definedName>
    <definedName name="A2716189L_Data">#REF!</definedName>
    <definedName name="A2716189L_Latest">#REF!</definedName>
    <definedName name="A2716190W">#REF!,#REF!</definedName>
    <definedName name="A2716190W_Data">#REF!</definedName>
    <definedName name="A2716190W_Latest">#REF!</definedName>
    <definedName name="A2716191X">#REF!,#REF!</definedName>
    <definedName name="A2716191X_Data">#REF!</definedName>
    <definedName name="A2716191X_Latest">#REF!</definedName>
    <definedName name="A2716192A">#REF!,#REF!</definedName>
    <definedName name="A2716192A_Data">#REF!</definedName>
    <definedName name="A2716192A_Latest">#REF!</definedName>
    <definedName name="A2716193C">#REF!,#REF!</definedName>
    <definedName name="A2716193C_Data">#REF!</definedName>
    <definedName name="A2716193C_Latest">#REF!</definedName>
    <definedName name="A2716194F">#REF!,#REF!</definedName>
    <definedName name="A2716194F_Data">#REF!</definedName>
    <definedName name="A2716194F_Latest">#REF!</definedName>
    <definedName name="A2716195J">#REF!,#REF!</definedName>
    <definedName name="A2716195J_Data">#REF!</definedName>
    <definedName name="A2716195J_Latest">#REF!</definedName>
    <definedName name="A2716196K">#REF!,#REF!</definedName>
    <definedName name="A2716196K_Data">#REF!</definedName>
    <definedName name="A2716196K_Latest">#REF!</definedName>
    <definedName name="A2716241K">#REF!,#REF!</definedName>
    <definedName name="A2716241K_Data">#REF!</definedName>
    <definedName name="A2716241K_Latest">#REF!</definedName>
    <definedName name="A2716242L">#REF!,#REF!</definedName>
    <definedName name="A2716242L_Data">#REF!</definedName>
    <definedName name="A2716242L_Latest">#REF!</definedName>
    <definedName name="A2716243R">#REF!,#REF!</definedName>
    <definedName name="A2716243R_Data">#REF!</definedName>
    <definedName name="A2716243R_Latest">#REF!</definedName>
    <definedName name="A2716244T">#REF!,#REF!</definedName>
    <definedName name="A2716244T_Data">#REF!</definedName>
    <definedName name="A2716244T_Latest">#REF!</definedName>
    <definedName name="A2716245V">#REF!,#REF!</definedName>
    <definedName name="A2716245V_Data">#REF!</definedName>
    <definedName name="A2716245V_Latest">#REF!</definedName>
    <definedName name="A2716246W">#REF!,#REF!</definedName>
    <definedName name="A2716246W_Data">#REF!</definedName>
    <definedName name="A2716246W_Latest">#REF!</definedName>
    <definedName name="A2716247X">#REF!,#REF!</definedName>
    <definedName name="A2716247X_Data">#REF!</definedName>
    <definedName name="A2716247X_Latest">#REF!</definedName>
    <definedName name="A2716248A">#REF!,#REF!</definedName>
    <definedName name="A2716248A_Data">#REF!</definedName>
    <definedName name="A2716248A_Latest">#REF!</definedName>
    <definedName name="A2716249C">#REF!,#REF!</definedName>
    <definedName name="A2716249C_Data">#REF!</definedName>
    <definedName name="A2716249C_Latest">#REF!</definedName>
    <definedName name="A2716250L">#REF!,#REF!</definedName>
    <definedName name="A2716250L_Data">#REF!</definedName>
    <definedName name="A2716250L_Latest">#REF!</definedName>
    <definedName name="A2716252T">#REF!,#REF!</definedName>
    <definedName name="A2716252T_Data">#REF!</definedName>
    <definedName name="A2716252T_Latest">#REF!</definedName>
    <definedName name="A2716256A">#REF!,#REF!</definedName>
    <definedName name="A2716256A_Data">#REF!</definedName>
    <definedName name="A2716256A_Latest">#REF!</definedName>
    <definedName name="A2716257C">#REF!,#REF!</definedName>
    <definedName name="A2716257C_Data">#REF!</definedName>
    <definedName name="A2716257C_Latest">#REF!</definedName>
    <definedName name="A2716258F">#REF!,#REF!</definedName>
    <definedName name="A2716258F_Data">#REF!</definedName>
    <definedName name="A2716258F_Latest">#REF!</definedName>
    <definedName name="A2716259J">#REF!,#REF!</definedName>
    <definedName name="A2716259J_Data">#REF!</definedName>
    <definedName name="A2716259J_Latest">#REF!</definedName>
    <definedName name="A2716260T">#REF!,#REF!</definedName>
    <definedName name="A2716260T_Data">#REF!</definedName>
    <definedName name="A2716260T_Latest">#REF!</definedName>
    <definedName name="A2716261V">#REF!,#REF!</definedName>
    <definedName name="A2716261V_Data">#REF!</definedName>
    <definedName name="A2716261V_Latest">#REF!</definedName>
    <definedName name="A2716262W">#REF!,#REF!</definedName>
    <definedName name="A2716262W_Data">#REF!</definedName>
    <definedName name="A2716262W_Latest">#REF!</definedName>
    <definedName name="A2716263X">#REF!,#REF!</definedName>
    <definedName name="A2716263X_Data">#REF!</definedName>
    <definedName name="A2716263X_Latest">#REF!</definedName>
    <definedName name="A2716264A">#REF!,#REF!</definedName>
    <definedName name="A2716264A_Data">#REF!</definedName>
    <definedName name="A2716264A_Latest">#REF!</definedName>
    <definedName name="A2716265C">#REF!,#REF!</definedName>
    <definedName name="A2716265C_Data">#REF!</definedName>
    <definedName name="A2716265C_Latest">#REF!</definedName>
    <definedName name="A2716268K">#REF!,#REF!</definedName>
    <definedName name="A2716268K_Data">#REF!</definedName>
    <definedName name="A2716268K_Latest">#REF!</definedName>
    <definedName name="A2716269L">#REF!,#REF!</definedName>
    <definedName name="A2716269L_Data">#REF!</definedName>
    <definedName name="A2716269L_Latest">#REF!</definedName>
    <definedName name="A2716270W">#REF!,#REF!</definedName>
    <definedName name="A2716270W_Data">#REF!</definedName>
    <definedName name="A2716270W_Latest">#REF!</definedName>
    <definedName name="A2716271X">#REF!,#REF!</definedName>
    <definedName name="A2716271X_Data">#REF!</definedName>
    <definedName name="A2716271X_Latest">#REF!</definedName>
    <definedName name="A2716272A">#REF!,#REF!</definedName>
    <definedName name="A2716272A_Data">#REF!</definedName>
    <definedName name="A2716272A_Latest">#REF!</definedName>
    <definedName name="A2716273C">#REF!,#REF!</definedName>
    <definedName name="A2716273C_Data">#REF!</definedName>
    <definedName name="A2716273C_Latest">#REF!</definedName>
    <definedName name="A2716274F">#REF!,#REF!</definedName>
    <definedName name="A2716274F_Data">#REF!</definedName>
    <definedName name="A2716274F_Latest">#REF!</definedName>
    <definedName name="A2716275J">#REF!,#REF!</definedName>
    <definedName name="A2716275J_Data">#REF!</definedName>
    <definedName name="A2716275J_Latest">#REF!</definedName>
    <definedName name="A2716276K">#REF!,#REF!</definedName>
    <definedName name="A2716276K_Data">#REF!</definedName>
    <definedName name="A2716276K_Latest">#REF!</definedName>
    <definedName name="A2716277L">#REF!,#REF!</definedName>
    <definedName name="A2716277L_Data">#REF!</definedName>
    <definedName name="A2716277L_Latest">#REF!</definedName>
    <definedName name="A2716278R">#REF!,#REF!</definedName>
    <definedName name="A2716278R_Data">#REF!</definedName>
    <definedName name="A2716278R_Latest">#REF!</definedName>
    <definedName name="A2716298X">#REF!,#REF!</definedName>
    <definedName name="A2716298X_Data">#REF!</definedName>
    <definedName name="A2716298X_Latest">#REF!</definedName>
    <definedName name="A2716299A">#REF!,#REF!</definedName>
    <definedName name="A2716299A_Data">#REF!</definedName>
    <definedName name="A2716299A_Latest">#REF!</definedName>
    <definedName name="A2716300X">#REF!,#REF!</definedName>
    <definedName name="A2716300X_Data">#REF!</definedName>
    <definedName name="A2716300X_Latest">#REF!</definedName>
    <definedName name="A2716301A">#REF!,#REF!</definedName>
    <definedName name="A2716301A_Data">#REF!</definedName>
    <definedName name="A2716301A_Latest">#REF!</definedName>
    <definedName name="A2716302C">#REF!,#REF!</definedName>
    <definedName name="A2716302C_Data">#REF!</definedName>
    <definedName name="A2716302C_Latest">#REF!</definedName>
    <definedName name="A2716303F">#REF!,#REF!</definedName>
    <definedName name="A2716303F_Data">#REF!</definedName>
    <definedName name="A2716303F_Latest">#REF!</definedName>
    <definedName name="A2716304J">#REF!,#REF!</definedName>
    <definedName name="A2716304J_Data">#REF!</definedName>
    <definedName name="A2716304J_Latest">#REF!</definedName>
    <definedName name="A2716305K">#REF!,#REF!</definedName>
    <definedName name="A2716305K_Data">#REF!</definedName>
    <definedName name="A2716305K_Latest">#REF!</definedName>
    <definedName name="A2716306L">#REF!,#REF!</definedName>
    <definedName name="A2716306L_Data">#REF!</definedName>
    <definedName name="A2716306L_Latest">#REF!</definedName>
    <definedName name="A2716307R">#REF!,#REF!</definedName>
    <definedName name="A2716307R_Data">#REF!</definedName>
    <definedName name="A2716307R_Latest">#REF!</definedName>
    <definedName name="A2716309V">#REF!,#REF!</definedName>
    <definedName name="A2716309V_Data">#REF!</definedName>
    <definedName name="A2716309V_Latest">#REF!</definedName>
    <definedName name="A2716313K">#REF!,#REF!</definedName>
    <definedName name="A2716313K_Data">#REF!</definedName>
    <definedName name="A2716313K_Latest">#REF!</definedName>
    <definedName name="A2716314L">#REF!,#REF!</definedName>
    <definedName name="A2716314L_Data">#REF!</definedName>
    <definedName name="A2716314L_Latest">#REF!</definedName>
    <definedName name="A2716315R">#REF!,#REF!</definedName>
    <definedName name="A2716315R_Data">#REF!</definedName>
    <definedName name="A2716315R_Latest">#REF!</definedName>
    <definedName name="A2716316T">#REF!,#REF!</definedName>
    <definedName name="A2716316T_Data">#REF!</definedName>
    <definedName name="A2716316T_Latest">#REF!</definedName>
    <definedName name="A2716317V">#REF!,#REF!</definedName>
    <definedName name="A2716317V_Data">#REF!</definedName>
    <definedName name="A2716317V_Latest">#REF!</definedName>
    <definedName name="A2716318W">#REF!,#REF!</definedName>
    <definedName name="A2716318W_Data">#REF!</definedName>
    <definedName name="A2716318W_Latest">#REF!</definedName>
    <definedName name="A2716319X">#REF!,#REF!</definedName>
    <definedName name="A2716319X_Data">#REF!</definedName>
    <definedName name="A2716319X_Latest">#REF!</definedName>
    <definedName name="A2716320J">#REF!,#REF!</definedName>
    <definedName name="A2716320J_Data">#REF!</definedName>
    <definedName name="A2716320J_Latest">#REF!</definedName>
    <definedName name="A2716321K">#REF!,#REF!</definedName>
    <definedName name="A2716321K_Data">#REF!</definedName>
    <definedName name="A2716321K_Latest">#REF!</definedName>
    <definedName name="A2716322L">#REF!,#REF!</definedName>
    <definedName name="A2716322L_Data">#REF!</definedName>
    <definedName name="A2716322L_Latest">#REF!</definedName>
    <definedName name="A2716325V">#REF!,#REF!</definedName>
    <definedName name="A2716325V_Data">#REF!</definedName>
    <definedName name="A2716325V_Latest">#REF!</definedName>
    <definedName name="A2716326W">#REF!,#REF!</definedName>
    <definedName name="A2716326W_Data">#REF!</definedName>
    <definedName name="A2716326W_Latest">#REF!</definedName>
    <definedName name="A2716327X">#REF!,#REF!</definedName>
    <definedName name="A2716327X_Data">#REF!</definedName>
    <definedName name="A2716327X_Latest">#REF!</definedName>
    <definedName name="A2716328A">#REF!,#REF!</definedName>
    <definedName name="A2716328A_Data">#REF!</definedName>
    <definedName name="A2716328A_Latest">#REF!</definedName>
    <definedName name="A2716329C">#REF!,#REF!</definedName>
    <definedName name="A2716329C_Data">#REF!</definedName>
    <definedName name="A2716329C_Latest">#REF!</definedName>
    <definedName name="A2716330L">#REF!,#REF!</definedName>
    <definedName name="A2716330L_Data">#REF!</definedName>
    <definedName name="A2716330L_Latest">#REF!</definedName>
    <definedName name="A2716331R">#REF!,#REF!</definedName>
    <definedName name="A2716331R_Data">#REF!</definedName>
    <definedName name="A2716331R_Latest">#REF!</definedName>
    <definedName name="A2716332T">#REF!,#REF!</definedName>
    <definedName name="A2716332T_Data">#REF!</definedName>
    <definedName name="A2716332T_Latest">#REF!</definedName>
    <definedName name="A2716333V">#REF!,#REF!</definedName>
    <definedName name="A2716333V_Data">#REF!</definedName>
    <definedName name="A2716333V_Latest">#REF!</definedName>
    <definedName name="A2716334W">#REF!,#REF!</definedName>
    <definedName name="A2716334W_Data">#REF!</definedName>
    <definedName name="A2716334W_Latest">#REF!</definedName>
    <definedName name="A2716335X">#REF!,#REF!</definedName>
    <definedName name="A2716335X_Data">#REF!</definedName>
    <definedName name="A2716335X_Latest">#REF!</definedName>
    <definedName name="A2716378X">#REF!,#REF!</definedName>
    <definedName name="A2716378X_Data">#REF!</definedName>
    <definedName name="A2716378X_Latest">#REF!</definedName>
    <definedName name="A2716379A">#REF!,#REF!</definedName>
    <definedName name="A2716379A_Data">#REF!</definedName>
    <definedName name="A2716379A_Latest">#REF!</definedName>
    <definedName name="A2716380K">#REF!,#REF!</definedName>
    <definedName name="A2716380K_Data">#REF!</definedName>
    <definedName name="A2716380K_Latest">#REF!</definedName>
    <definedName name="A2716381L">#REF!,#REF!</definedName>
    <definedName name="A2716381L_Data">#REF!</definedName>
    <definedName name="A2716381L_Latest">#REF!</definedName>
    <definedName name="A2716382R">#REF!,#REF!</definedName>
    <definedName name="A2716382R_Data">#REF!</definedName>
    <definedName name="A2716382R_Latest">#REF!</definedName>
    <definedName name="A2716383T">#REF!,#REF!</definedName>
    <definedName name="A2716383T_Data">#REF!</definedName>
    <definedName name="A2716383T_Latest">#REF!</definedName>
    <definedName name="A2716384V">#REF!,#REF!</definedName>
    <definedName name="A2716384V_Data">#REF!</definedName>
    <definedName name="A2716384V_Latest">#REF!</definedName>
    <definedName name="A2716385W">#REF!,#REF!</definedName>
    <definedName name="A2716385W_Data">#REF!</definedName>
    <definedName name="A2716385W_Latest">#REF!</definedName>
    <definedName name="A2716386X">#REF!,#REF!</definedName>
    <definedName name="A2716386X_Data">#REF!</definedName>
    <definedName name="A2716386X_Latest">#REF!</definedName>
    <definedName name="A2716387A">#REF!,#REF!</definedName>
    <definedName name="A2716387A_Data">#REF!</definedName>
    <definedName name="A2716387A_Latest">#REF!</definedName>
    <definedName name="A2716389F">#REF!,#REF!</definedName>
    <definedName name="A2716389F_Data">#REF!</definedName>
    <definedName name="A2716389F_Latest">#REF!</definedName>
    <definedName name="A2716393W">#REF!,#REF!</definedName>
    <definedName name="A2716393W_Data">#REF!</definedName>
    <definedName name="A2716393W_Latest">#REF!</definedName>
    <definedName name="A2716394X">#REF!,#REF!</definedName>
    <definedName name="A2716394X_Data">#REF!</definedName>
    <definedName name="A2716394X_Latest">#REF!</definedName>
    <definedName name="A2716395A">#REF!,#REF!</definedName>
    <definedName name="A2716395A_Data">#REF!</definedName>
    <definedName name="A2716395A_Latest">#REF!</definedName>
    <definedName name="A2716396C">#REF!,#REF!</definedName>
    <definedName name="A2716396C_Data">#REF!</definedName>
    <definedName name="A2716396C_Latest">#REF!</definedName>
    <definedName name="A2716397F">#REF!,#REF!</definedName>
    <definedName name="A2716397F_Data">#REF!</definedName>
    <definedName name="A2716397F_Latest">#REF!</definedName>
    <definedName name="A2716398J">#REF!,#REF!</definedName>
    <definedName name="A2716398J_Data">#REF!</definedName>
    <definedName name="A2716398J_Latest">#REF!</definedName>
    <definedName name="A2716399K">#REF!,#REF!</definedName>
    <definedName name="A2716399K_Data">#REF!</definedName>
    <definedName name="A2716399K_Latest">#REF!</definedName>
    <definedName name="A2716400J">#REF!,#REF!</definedName>
    <definedName name="A2716400J_Data">#REF!</definedName>
    <definedName name="A2716400J_Latest">#REF!</definedName>
    <definedName name="A2716401K">#REF!,#REF!</definedName>
    <definedName name="A2716401K_Data">#REF!</definedName>
    <definedName name="A2716401K_Latest">#REF!</definedName>
    <definedName name="A2716404T">#REF!,#REF!</definedName>
    <definedName name="A2716404T_Data">#REF!</definedName>
    <definedName name="A2716404T_Latest">#REF!</definedName>
    <definedName name="A2716405V">#REF!,#REF!</definedName>
    <definedName name="A2716405V_Data">#REF!</definedName>
    <definedName name="A2716405V_Latest">#REF!</definedName>
    <definedName name="A2716406W">#REF!,#REF!</definedName>
    <definedName name="A2716406W_Data">#REF!</definedName>
    <definedName name="A2716406W_Latest">#REF!</definedName>
    <definedName name="A2716407X">#REF!,#REF!</definedName>
    <definedName name="A2716407X_Data">#REF!</definedName>
    <definedName name="A2716407X_Latest">#REF!</definedName>
    <definedName name="A2716408A">#REF!,#REF!</definedName>
    <definedName name="A2716408A_Data">#REF!</definedName>
    <definedName name="A2716408A_Latest">#REF!</definedName>
    <definedName name="A2716409C">#REF!,#REF!</definedName>
    <definedName name="A2716409C_Data">#REF!</definedName>
    <definedName name="A2716409C_Latest">#REF!</definedName>
    <definedName name="A2716410L">#REF!,#REF!</definedName>
    <definedName name="A2716410L_Data">#REF!</definedName>
    <definedName name="A2716410L_Latest">#REF!</definedName>
    <definedName name="A2716411R">#REF!,#REF!</definedName>
    <definedName name="A2716411R_Data">#REF!</definedName>
    <definedName name="A2716411R_Latest">#REF!</definedName>
    <definedName name="A2716412T">#REF!,#REF!</definedName>
    <definedName name="A2716412T_Data">#REF!</definedName>
    <definedName name="A2716412T_Latest">#REF!</definedName>
    <definedName name="A2716413V">#REF!,#REF!</definedName>
    <definedName name="A2716413V_Data">#REF!</definedName>
    <definedName name="A2716413V_Latest">#REF!</definedName>
    <definedName name="A2716414W">#REF!,#REF!</definedName>
    <definedName name="A2716414W_Data">#REF!</definedName>
    <definedName name="A2716414W_Latest">#REF!</definedName>
    <definedName name="A2716584L">#REF!,#REF!</definedName>
    <definedName name="A2716584L_Data">#REF!</definedName>
    <definedName name="A2716584L_Latest">#REF!</definedName>
    <definedName name="A2716585R">#REF!,#REF!</definedName>
    <definedName name="A2716585R_Data">#REF!</definedName>
    <definedName name="A2716585R_Latest">#REF!</definedName>
    <definedName name="A2716587V">#REF!,#REF!</definedName>
    <definedName name="A2716587V_Data">#REF!</definedName>
    <definedName name="A2716587V_Latest">#REF!</definedName>
    <definedName name="A3348484C">#REF!,#REF!</definedName>
    <definedName name="A3348484C_Data">#REF!</definedName>
    <definedName name="A3348484C_Latest">#REF!</definedName>
    <definedName name="A3348485F">#REF!,#REF!</definedName>
    <definedName name="A3348485F_Data">#REF!</definedName>
    <definedName name="A3348485F_Latest">#REF!</definedName>
    <definedName name="A3348486J">#REF!,#REF!</definedName>
    <definedName name="A3348486J_Data">#REF!</definedName>
    <definedName name="A3348486J_Latest">#REF!</definedName>
    <definedName name="A3348487K">#REF!,#REF!</definedName>
    <definedName name="A3348487K_Data">#REF!</definedName>
    <definedName name="A3348487K_Latest">#REF!</definedName>
    <definedName name="A3348488L">#REF!,#REF!</definedName>
    <definedName name="A3348488L_Data">#REF!</definedName>
    <definedName name="A3348488L_Latest">#REF!</definedName>
    <definedName name="A3348489R">#REF!,#REF!</definedName>
    <definedName name="A3348489R_Data">#REF!</definedName>
    <definedName name="A3348489R_Latest">#REF!</definedName>
    <definedName name="A3348490X">#REF!,#REF!</definedName>
    <definedName name="A3348490X_Data">#REF!</definedName>
    <definedName name="A3348490X_Latest">#REF!</definedName>
    <definedName name="A3348491A">#REF!,#REF!</definedName>
    <definedName name="A3348491A_Data">#REF!</definedName>
    <definedName name="A3348491A_Latest">#REF!</definedName>
    <definedName name="A3348492C">#REF!,#REF!</definedName>
    <definedName name="A3348492C_Data">#REF!</definedName>
    <definedName name="A3348492C_Latest">#REF!</definedName>
    <definedName name="A3348493F">#REF!,#REF!</definedName>
    <definedName name="A3348493F_Data">#REF!</definedName>
    <definedName name="A3348493F_Latest">#REF!</definedName>
    <definedName name="A3348494J">#REF!,#REF!</definedName>
    <definedName name="A3348494J_Data">#REF!</definedName>
    <definedName name="A3348494J_Latest">#REF!</definedName>
    <definedName name="A3348495K">#REF!,#REF!</definedName>
    <definedName name="A3348495K_Data">#REF!</definedName>
    <definedName name="A3348495K_Latest">#REF!</definedName>
    <definedName name="A3605670A">#REF!,#REF!</definedName>
    <definedName name="A3605670A_Data">#REF!</definedName>
    <definedName name="A3605670A_Latest">#REF!</definedName>
    <definedName name="A3605672F">#REF!,#REF!</definedName>
    <definedName name="A3605672F_Data">#REF!</definedName>
    <definedName name="A3605672F_Latest">#REF!</definedName>
    <definedName name="A3605673J">#REF!,#REF!</definedName>
    <definedName name="A3605673J_Data">#REF!</definedName>
    <definedName name="A3605673J_Latest">#REF!</definedName>
    <definedName name="A3605674K">#REF!,#REF!</definedName>
    <definedName name="A3605674K_Data">#REF!</definedName>
    <definedName name="A3605674K_Latest">#REF!</definedName>
    <definedName name="A3605676R">#REF!,#REF!</definedName>
    <definedName name="A3605676R_Data">#REF!</definedName>
    <definedName name="A3605676R_Latest">#REF!</definedName>
    <definedName name="A3605677T">#REF!,#REF!</definedName>
    <definedName name="A3605677T_Data">#REF!</definedName>
    <definedName name="A3605677T_Latest">#REF!</definedName>
    <definedName name="A3606066X">#REF!,#REF!</definedName>
    <definedName name="A3606066X_Data">#REF!</definedName>
    <definedName name="A3606066X_Latest">#REF!</definedName>
    <definedName name="A3606067A">#REF!,#REF!</definedName>
    <definedName name="A3606067A_Data">#REF!</definedName>
    <definedName name="A3606067A_Latest">#REF!</definedName>
    <definedName name="A3606069F">#REF!,#REF!</definedName>
    <definedName name="A3606069F_Data">#REF!</definedName>
    <definedName name="A3606069F_Latest">#REF!</definedName>
    <definedName name="A3606070R">#REF!,#REF!</definedName>
    <definedName name="A3606070R_Data">#REF!</definedName>
    <definedName name="A3606070R_Latest">#REF!</definedName>
    <definedName name="A3606072V">#REF!,#REF!</definedName>
    <definedName name="A3606072V_Data">#REF!</definedName>
    <definedName name="A3606072V_Latest">#REF!</definedName>
    <definedName name="A3606073W">#REF!,#REF!</definedName>
    <definedName name="A3606073W_Data">#REF!</definedName>
    <definedName name="A3606073W_Latest">#REF!</definedName>
    <definedName name="A83722605X">#REF!,#REF!</definedName>
    <definedName name="A83722605X_Data">#REF!</definedName>
    <definedName name="A83722605X_Latest">#REF!</definedName>
    <definedName name="A83722606A">#REF!,#REF!</definedName>
    <definedName name="A83722606A_Data">#REF!</definedName>
    <definedName name="A83722606A_Latest">#REF!</definedName>
    <definedName name="A83722607C">#REF!,#REF!</definedName>
    <definedName name="A83722607C_Data">#REF!</definedName>
    <definedName name="A83722607C_Latest">#REF!</definedName>
    <definedName name="A83722608F">#REF!,#REF!</definedName>
    <definedName name="A83722608F_Data">#REF!</definedName>
    <definedName name="A83722608F_Latest">#REF!</definedName>
    <definedName name="A83722609J">#REF!,#REF!</definedName>
    <definedName name="A83722609J_Data">#REF!</definedName>
    <definedName name="A83722609J_Latest">#REF!</definedName>
    <definedName name="A83722610T">#REF!,#REF!</definedName>
    <definedName name="A83722610T_Data">#REF!</definedName>
    <definedName name="A83722610T_Latest">#REF!</definedName>
    <definedName name="A83722611V">#REF!,#REF!</definedName>
    <definedName name="A83722611V_Data">#REF!</definedName>
    <definedName name="A83722611V_Latest">#REF!</definedName>
    <definedName name="A83722612W">#REF!,#REF!</definedName>
    <definedName name="A83722612W_Data">#REF!</definedName>
    <definedName name="A83722612W_Latest">#REF!</definedName>
    <definedName name="A83722613X">#REF!,#REF!</definedName>
    <definedName name="A83722613X_Data">#REF!</definedName>
    <definedName name="A83722613X_Latest">#REF!</definedName>
    <definedName name="A83722620W">#REF!,#REF!</definedName>
    <definedName name="A83722620W_Data">#REF!</definedName>
    <definedName name="A83722620W_Latest">#REF!</definedName>
    <definedName name="A83722621X">#REF!,#REF!</definedName>
    <definedName name="A83722621X_Data">#REF!</definedName>
    <definedName name="A83722621X_Latest">#REF!</definedName>
    <definedName name="A83722622A">#REF!,#REF!</definedName>
    <definedName name="A83722622A_Data">#REF!</definedName>
    <definedName name="A83722622A_Latest">#REF!</definedName>
    <definedName name="A85124990W">#REF!,#REF!</definedName>
    <definedName name="A85124990W_Data">#REF!</definedName>
    <definedName name="A85124990W_Latest">#REF!</definedName>
    <definedName name="A85124991X">#REF!,#REF!</definedName>
    <definedName name="A85124991X_Data">#REF!</definedName>
    <definedName name="A85124991X_Latest">#REF!</definedName>
    <definedName name="A85124992A">#REF!,#REF!</definedName>
    <definedName name="A85124992A_Data">#REF!</definedName>
    <definedName name="A85124992A_Latest">#REF!</definedName>
    <definedName name="A85124993C">#REF!,#REF!</definedName>
    <definedName name="A85124993C_Data">#REF!</definedName>
    <definedName name="A85124993C_Latest">#REF!</definedName>
    <definedName name="A85124994F">#REF!,#REF!</definedName>
    <definedName name="A85124994F_Data">#REF!</definedName>
    <definedName name="A85124994F_Latest">#REF!</definedName>
    <definedName name="A85124995J">#REF!,#REF!</definedName>
    <definedName name="A85124995J_Data">#REF!</definedName>
    <definedName name="A85124995J_Latest">#REF!</definedName>
    <definedName name="A85124996K">#REF!,#REF!</definedName>
    <definedName name="A85124996K_Data">#REF!</definedName>
    <definedName name="A85124996K_Latest">#REF!</definedName>
    <definedName name="A85124997L">#REF!,#REF!</definedName>
    <definedName name="A85124997L_Data">#REF!</definedName>
    <definedName name="A85124997L_Latest">#REF!</definedName>
    <definedName name="A85124998R">#REF!,#REF!</definedName>
    <definedName name="A85124998R_Data">#REF!</definedName>
    <definedName name="A85124998R_Latest">#REF!</definedName>
    <definedName name="A85124999T">#REF!,#REF!</definedName>
    <definedName name="A85124999T_Data">#REF!</definedName>
    <definedName name="A85124999T_Latest">#REF!</definedName>
    <definedName name="A85125000T">#REF!,#REF!</definedName>
    <definedName name="A85125000T_Data">#REF!</definedName>
    <definedName name="A85125000T_Latest">#REF!</definedName>
    <definedName name="A85125001V">#REF!,#REF!</definedName>
    <definedName name="A85125001V_Data">#REF!</definedName>
    <definedName name="A85125001V_Latest">#REF!</definedName>
    <definedName name="A85125002W">#REF!,#REF!</definedName>
    <definedName name="A85125002W_Data">#REF!</definedName>
    <definedName name="A85125002W_Latest">#REF!</definedName>
    <definedName name="A85125003X">#REF!,#REF!</definedName>
    <definedName name="A85125003X_Data">#REF!</definedName>
    <definedName name="A85125003X_Latest">#REF!</definedName>
    <definedName name="A85125004A">#REF!,#REF!</definedName>
    <definedName name="A85125004A_Data">#REF!</definedName>
    <definedName name="A85125004A_Latest">#REF!</definedName>
    <definedName name="A85125005C">#REF!,#REF!</definedName>
    <definedName name="A85125005C_Data">#REF!</definedName>
    <definedName name="A85125005C_Latest">#REF!</definedName>
    <definedName name="A85125006F">#REF!,#REF!</definedName>
    <definedName name="A85125006F_Data">#REF!</definedName>
    <definedName name="A85125006F_Latest">#REF!</definedName>
    <definedName name="A85125007J">#REF!,#REF!</definedName>
    <definedName name="A85125007J_Data">#REF!</definedName>
    <definedName name="A85125007J_Latest">#REF!</definedName>
    <definedName name="A85125008K">#REF!,#REF!</definedName>
    <definedName name="A85125008K_Data">#REF!</definedName>
    <definedName name="A85125008K_Latest">#REF!</definedName>
    <definedName name="A85125009L">#REF!,#REF!</definedName>
    <definedName name="A85125009L_Data">#REF!</definedName>
    <definedName name="A85125009L_Latest">#REF!</definedName>
    <definedName name="A85125010W">#REF!,#REF!</definedName>
    <definedName name="A85125010W_Data">#REF!</definedName>
    <definedName name="A85125010W_Latest">#REF!</definedName>
    <definedName name="A85125011X">#REF!,#REF!</definedName>
    <definedName name="A85125011X_Data">#REF!</definedName>
    <definedName name="A85125011X_Latest">#REF!</definedName>
    <definedName name="A85125012A">#REF!,#REF!</definedName>
    <definedName name="A85125012A_Data">#REF!</definedName>
    <definedName name="A85125012A_Latest">#REF!</definedName>
    <definedName name="A85125013C">#REF!,#REF!</definedName>
    <definedName name="A85125013C_Data">#REF!</definedName>
    <definedName name="A85125013C_Latest">#REF!</definedName>
    <definedName name="A85125014F">#REF!,#REF!</definedName>
    <definedName name="A85125014F_Data">#REF!</definedName>
    <definedName name="A85125014F_Latest">#REF!</definedName>
    <definedName name="A85125015J">#REF!,#REF!</definedName>
    <definedName name="A85125015J_Data">#REF!</definedName>
    <definedName name="A85125015J_Latest">#REF!</definedName>
    <definedName name="A85125016K">#REF!,#REF!</definedName>
    <definedName name="A85125016K_Data">#REF!</definedName>
    <definedName name="A85125016K_Latest">#REF!</definedName>
    <definedName name="A85125017L">#REF!,#REF!</definedName>
    <definedName name="A85125017L_Data">#REF!</definedName>
    <definedName name="A85125017L_Latest">#REF!</definedName>
    <definedName name="A85125018R">#REF!,#REF!</definedName>
    <definedName name="A85125018R_Data">#REF!</definedName>
    <definedName name="A85125018R_Latest">#REF!</definedName>
    <definedName name="A85125019T">#REF!,#REF!</definedName>
    <definedName name="A85125019T_Data">#REF!</definedName>
    <definedName name="A85125019T_Latest">#REF!</definedName>
    <definedName name="A85125020A">#REF!,#REF!</definedName>
    <definedName name="A85125020A_Data">#REF!</definedName>
    <definedName name="A85125020A_Latest">#REF!</definedName>
    <definedName name="A85125021C">#REF!,#REF!</definedName>
    <definedName name="A85125021C_Data">#REF!</definedName>
    <definedName name="A85125021C_Latest">#REF!</definedName>
    <definedName name="A85125022F">#REF!,#REF!</definedName>
    <definedName name="A85125022F_Data">#REF!</definedName>
    <definedName name="A85125022F_Latest">#REF!</definedName>
    <definedName name="A85125023J">#REF!,#REF!</definedName>
    <definedName name="A85125023J_Data">#REF!</definedName>
    <definedName name="A85125023J_Latest">#REF!</definedName>
    <definedName name="A85125024K">#REF!,#REF!</definedName>
    <definedName name="A85125024K_Data">#REF!</definedName>
    <definedName name="A85125024K_Latest">#REF!</definedName>
    <definedName name="A85125025L">#REF!,#REF!</definedName>
    <definedName name="A85125025L_Data">#REF!</definedName>
    <definedName name="A85125025L_Latest">#REF!</definedName>
    <definedName name="A85125026R">#REF!,#REF!</definedName>
    <definedName name="A85125026R_Data">#REF!</definedName>
    <definedName name="A85125026R_Latest">#REF!</definedName>
    <definedName name="A85125027T">#REF!,#REF!</definedName>
    <definedName name="A85125027T_Data">#REF!</definedName>
    <definedName name="A85125027T_Latest">#REF!</definedName>
    <definedName name="A85125028V">#REF!,#REF!</definedName>
    <definedName name="A85125028V_Data">#REF!</definedName>
    <definedName name="A85125028V_Latest">#REF!</definedName>
    <definedName name="A85125029W">#REF!,#REF!</definedName>
    <definedName name="A85125029W_Data">#REF!</definedName>
    <definedName name="A85125029W_Latest">#REF!</definedName>
    <definedName name="A85125030F">#REF!,#REF!</definedName>
    <definedName name="A85125030F_Data">#REF!</definedName>
    <definedName name="A85125030F_Latest">#REF!</definedName>
    <definedName name="A85125031J">#REF!,#REF!</definedName>
    <definedName name="A85125031J_Data">#REF!</definedName>
    <definedName name="A85125031J_Latest">#REF!</definedName>
    <definedName name="A85125032K">#REF!,#REF!</definedName>
    <definedName name="A85125032K_Data">#REF!</definedName>
    <definedName name="A85125032K_Latest">#REF!</definedName>
    <definedName name="A85125033L">#REF!,#REF!</definedName>
    <definedName name="A85125033L_Data">#REF!</definedName>
    <definedName name="A85125033L_Latest">#REF!</definedName>
    <definedName name="A85125034R">#REF!,#REF!</definedName>
    <definedName name="A85125034R_Data">#REF!</definedName>
    <definedName name="A85125034R_Latest">#REF!</definedName>
    <definedName name="A85125035T">#REF!,#REF!</definedName>
    <definedName name="A85125035T_Data">#REF!</definedName>
    <definedName name="A85125035T_Latest">#REF!</definedName>
    <definedName name="A85125036V">#REF!,#REF!</definedName>
    <definedName name="A85125036V_Data">#REF!</definedName>
    <definedName name="A85125036V_Latest">#REF!</definedName>
    <definedName name="A85125037W">#REF!,#REF!</definedName>
    <definedName name="A85125037W_Data">#REF!</definedName>
    <definedName name="A85125037W_Latest">#REF!</definedName>
    <definedName name="A85125038X">#REF!,#REF!</definedName>
    <definedName name="A85125038X_Data">#REF!</definedName>
    <definedName name="A85125038X_Latest">#REF!</definedName>
    <definedName name="A85125039A">#REF!,#REF!</definedName>
    <definedName name="A85125039A_Data">#REF!</definedName>
    <definedName name="A85125039A_Latest">#REF!</definedName>
    <definedName name="A85125040K">#REF!,#REF!</definedName>
    <definedName name="A85125040K_Data">#REF!</definedName>
    <definedName name="A85125040K_Latest">#REF!</definedName>
    <definedName name="A85125041L">#REF!,#REF!</definedName>
    <definedName name="A85125041L_Data">#REF!</definedName>
    <definedName name="A85125041L_Latest">#REF!</definedName>
    <definedName name="A85125042R">#REF!,#REF!</definedName>
    <definedName name="A85125042R_Data">#REF!</definedName>
    <definedName name="A85125042R_Latest">#REF!</definedName>
    <definedName name="A85125043T">#REF!,#REF!</definedName>
    <definedName name="A85125043T_Data">#REF!</definedName>
    <definedName name="A85125043T_Latest">#REF!</definedName>
    <definedName name="A85125044V">#REF!,#REF!</definedName>
    <definedName name="A85125044V_Data">#REF!</definedName>
    <definedName name="A85125044V_Latest">#REF!</definedName>
    <definedName name="A85125045W">#REF!,#REF!</definedName>
    <definedName name="A85125045W_Data">#REF!</definedName>
    <definedName name="A85125045W_Latest">#REF!</definedName>
    <definedName name="A85125046X">#REF!,#REF!</definedName>
    <definedName name="A85125046X_Data">#REF!</definedName>
    <definedName name="A85125046X_Latest">#REF!</definedName>
    <definedName name="A85125047A">#REF!,#REF!</definedName>
    <definedName name="A85125047A_Data">#REF!</definedName>
    <definedName name="A85125047A_Latest">#REF!</definedName>
    <definedName name="A85125048C">#REF!,#REF!</definedName>
    <definedName name="A85125048C_Data">#REF!</definedName>
    <definedName name="A85125048C_Latest">#REF!</definedName>
    <definedName name="A85125049F">#REF!,#REF!</definedName>
    <definedName name="A85125049F_Data">#REF!</definedName>
    <definedName name="A85125049F_Latest">#REF!</definedName>
    <definedName name="A85125050R">#REF!,#REF!</definedName>
    <definedName name="A85125050R_Data">#REF!</definedName>
    <definedName name="A85125050R_Latest">#REF!</definedName>
    <definedName name="A85125051T">#REF!,#REF!</definedName>
    <definedName name="A85125051T_Data">#REF!</definedName>
    <definedName name="A85125051T_Latest">#REF!</definedName>
    <definedName name="A85125052V">#REF!,#REF!</definedName>
    <definedName name="A85125052V_Data">#REF!</definedName>
    <definedName name="A85125052V_Latest">#REF!</definedName>
    <definedName name="A85125053W">#REF!,#REF!</definedName>
    <definedName name="A85125053W_Data">#REF!</definedName>
    <definedName name="A85125053W_Latest">#REF!</definedName>
    <definedName name="A85125054X">#REF!,#REF!</definedName>
    <definedName name="A85125054X_Data">#REF!</definedName>
    <definedName name="A85125054X_Latest">#REF!</definedName>
    <definedName name="A85125055A">#REF!,#REF!</definedName>
    <definedName name="A85125055A_Data">#REF!</definedName>
    <definedName name="A85125055A_Latest">#REF!</definedName>
    <definedName name="A85125056C">#REF!,#REF!</definedName>
    <definedName name="A85125056C_Data">#REF!</definedName>
    <definedName name="A85125056C_Latest">#REF!</definedName>
    <definedName name="A85125057F">#REF!,#REF!</definedName>
    <definedName name="A85125057F_Data">#REF!</definedName>
    <definedName name="A85125057F_Latest">#REF!</definedName>
    <definedName name="A85125379W">#REF!,#REF!</definedName>
    <definedName name="A85125379W_Data">#REF!</definedName>
    <definedName name="A85125379W_Latest">#REF!</definedName>
    <definedName name="A85125380F">#REF!,#REF!</definedName>
    <definedName name="A85125380F_Data">#REF!</definedName>
    <definedName name="A85125380F_Latest">#REF!</definedName>
    <definedName name="A85125381J">#REF!,#REF!</definedName>
    <definedName name="A85125381J_Data">#REF!</definedName>
    <definedName name="A85125381J_Latest">#REF!</definedName>
    <definedName name="A85125382K">#REF!,#REF!</definedName>
    <definedName name="A85125382K_Data">#REF!</definedName>
    <definedName name="A85125382K_Latest">#REF!</definedName>
    <definedName name="A85125383L">#REF!,#REF!</definedName>
    <definedName name="A85125383L_Data">#REF!</definedName>
    <definedName name="A85125383L_Latest">#REF!</definedName>
    <definedName name="A85125384R">#REF!,#REF!</definedName>
    <definedName name="A85125384R_Data">#REF!</definedName>
    <definedName name="A85125384R_Latest">#REF!</definedName>
    <definedName name="A85125385T">#REF!,#REF!</definedName>
    <definedName name="A85125385T_Data">#REF!</definedName>
    <definedName name="A85125385T_Latest">#REF!</definedName>
    <definedName name="A85125386V">#REF!,#REF!</definedName>
    <definedName name="A85125386V_Data">#REF!</definedName>
    <definedName name="A85125386V_Latest">#REF!</definedName>
    <definedName name="A85125387W">#REF!,#REF!</definedName>
    <definedName name="A85125387W_Data">#REF!</definedName>
    <definedName name="A85125387W_Latest">#REF!</definedName>
    <definedName name="A85125388X">#REF!,#REF!</definedName>
    <definedName name="A85125388X_Data">#REF!</definedName>
    <definedName name="A85125388X_Latest">#REF!</definedName>
    <definedName name="A85125389A">#REF!,#REF!</definedName>
    <definedName name="A85125389A_Data">#REF!</definedName>
    <definedName name="A85125389A_Latest">#REF!</definedName>
    <definedName name="A85125390K">#REF!,#REF!</definedName>
    <definedName name="A85125390K_Data">#REF!</definedName>
    <definedName name="A85125390K_Latest">#REF!</definedName>
    <definedName name="A85125391L">#REF!,#REF!</definedName>
    <definedName name="A85125391L_Data">#REF!</definedName>
    <definedName name="A85125391L_Latest">#REF!</definedName>
    <definedName name="A85125392R">#REF!,#REF!</definedName>
    <definedName name="A85125392R_Data">#REF!</definedName>
    <definedName name="A85125392R_Latest">#REF!</definedName>
    <definedName name="A85125393T">#REF!,#REF!</definedName>
    <definedName name="A85125393T_Data">#REF!</definedName>
    <definedName name="A85125393T_Latest">#REF!</definedName>
    <definedName name="A85125394V">#REF!,#REF!</definedName>
    <definedName name="A85125394V_Data">#REF!</definedName>
    <definedName name="A85125394V_Latest">#REF!</definedName>
    <definedName name="A85125811W">#REF!,#REF!</definedName>
    <definedName name="A85125811W_Data">#REF!</definedName>
    <definedName name="A85125811W_Latest">#REF!</definedName>
    <definedName name="A85125812X">#REF!,#REF!</definedName>
    <definedName name="A85125812X_Data">#REF!</definedName>
    <definedName name="A85125812X_Latest">#REF!</definedName>
    <definedName name="A85125813A">#REF!,#REF!</definedName>
    <definedName name="A85125813A_Data">#REF!</definedName>
    <definedName name="A85125813A_Latest">#REF!</definedName>
    <definedName name="A85125814C">#REF!,#REF!</definedName>
    <definedName name="A85125814C_Data">#REF!</definedName>
    <definedName name="A85125814C_Latest">#REF!</definedName>
    <definedName name="A85125815F">#REF!,#REF!</definedName>
    <definedName name="A85125815F_Data">#REF!</definedName>
    <definedName name="A85125815F_Latest">#REF!</definedName>
    <definedName name="A85125816J">#REF!,#REF!</definedName>
    <definedName name="A85125816J_Data">#REF!</definedName>
    <definedName name="A85125816J_Latest">#REF!</definedName>
    <definedName name="A85125817K">#REF!,#REF!</definedName>
    <definedName name="A85125817K_Data">#REF!</definedName>
    <definedName name="A85125817K_Latest">#REF!</definedName>
    <definedName name="A85125818L">#REF!,#REF!</definedName>
    <definedName name="A85125818L_Data">#REF!</definedName>
    <definedName name="A85125818L_Latest">#REF!</definedName>
    <definedName name="A85125819R">#REF!,#REF!</definedName>
    <definedName name="A85125819R_Data">#REF!</definedName>
    <definedName name="A85125819R_Latest">#REF!</definedName>
    <definedName name="A85125820X">#REF!,#REF!</definedName>
    <definedName name="A85125820X_Data">#REF!</definedName>
    <definedName name="A85125820X_Latest">#REF!</definedName>
    <definedName name="A85125821A">#REF!,#REF!</definedName>
    <definedName name="A85125821A_Data">#REF!</definedName>
    <definedName name="A85125821A_Latest">#REF!</definedName>
    <definedName name="A85125822C">#REF!,#REF!</definedName>
    <definedName name="A85125822C_Data">#REF!</definedName>
    <definedName name="A85125822C_Latest">#REF!</definedName>
    <definedName name="A85125823F">#REF!,#REF!</definedName>
    <definedName name="A85125823F_Data">#REF!</definedName>
    <definedName name="A85125823F_Latest">#REF!</definedName>
    <definedName name="A85125824J">#REF!,#REF!</definedName>
    <definedName name="A85125824J_Data">#REF!</definedName>
    <definedName name="A85125824J_Latest">#REF!</definedName>
    <definedName name="A85125825K">#REF!,#REF!</definedName>
    <definedName name="A85125825K_Data">#REF!</definedName>
    <definedName name="A85125825K_Latest">#REF!</definedName>
    <definedName name="A85125826L">#REF!,#REF!</definedName>
    <definedName name="A85125826L_Data">#REF!</definedName>
    <definedName name="A85125826L_Latest">#REF!</definedName>
    <definedName name="A85125827R">#REF!,#REF!</definedName>
    <definedName name="A85125827R_Data">#REF!</definedName>
    <definedName name="A85125827R_Latest">#REF!</definedName>
    <definedName name="A85125828T">#REF!,#REF!</definedName>
    <definedName name="A85125828T_Data">#REF!</definedName>
    <definedName name="A85125828T_Latest">#REF!</definedName>
    <definedName name="A85125829V">#REF!,#REF!</definedName>
    <definedName name="A85125829V_Data">#REF!</definedName>
    <definedName name="A85125829V_Latest">#REF!</definedName>
    <definedName name="A85125830C">#REF!,#REF!</definedName>
    <definedName name="A85125830C_Data">#REF!</definedName>
    <definedName name="A85125830C_Latest">#REF!</definedName>
    <definedName name="A85125831F">#REF!,#REF!</definedName>
    <definedName name="A85125831F_Data">#REF!</definedName>
    <definedName name="A85125831F_Latest">#REF!</definedName>
    <definedName name="A85125832J">#REF!,#REF!</definedName>
    <definedName name="A85125832J_Data">#REF!</definedName>
    <definedName name="A85125832J_Latest">#REF!</definedName>
    <definedName name="A85125833K">#REF!,#REF!</definedName>
    <definedName name="A85125833K_Data">#REF!</definedName>
    <definedName name="A85125833K_Latest">#REF!</definedName>
    <definedName name="A85125834L">#REF!,#REF!</definedName>
    <definedName name="A85125834L_Data">#REF!</definedName>
    <definedName name="A85125834L_Latest">#REF!</definedName>
    <definedName name="A85125835R">#REF!,#REF!</definedName>
    <definedName name="A85125835R_Data">#REF!</definedName>
    <definedName name="A85125835R_Latest">#REF!</definedName>
    <definedName name="A85125836T">#REF!,#REF!</definedName>
    <definedName name="A85125836T_Data">#REF!</definedName>
    <definedName name="A85125836T_Latest">#REF!</definedName>
    <definedName name="A85125837V">#REF!,#REF!</definedName>
    <definedName name="A85125837V_Data">#REF!</definedName>
    <definedName name="A85125837V_Latest">#REF!</definedName>
    <definedName name="A85125838W">#REF!,#REF!</definedName>
    <definedName name="A85125838W_Data">#REF!</definedName>
    <definedName name="A85125838W_Latest">#REF!</definedName>
    <definedName name="A85125839X">#REF!,#REF!</definedName>
    <definedName name="A85125839X_Data">#REF!</definedName>
    <definedName name="A85125839X_Latest">#REF!</definedName>
    <definedName name="A85125840J">#REF!,#REF!</definedName>
    <definedName name="A85125840J_Data">#REF!</definedName>
    <definedName name="A85125840J_Latest">#REF!</definedName>
    <definedName name="A85125841K">#REF!,#REF!</definedName>
    <definedName name="A85125841K_Data">#REF!</definedName>
    <definedName name="A85125841K_Latest">#REF!</definedName>
    <definedName name="A85125842L">#REF!,#REF!</definedName>
    <definedName name="A85125842L_Data">#REF!</definedName>
    <definedName name="A85125842L_Latest">#REF!</definedName>
    <definedName name="A85125843R">#REF!,#REF!</definedName>
    <definedName name="A85125843R_Data">#REF!</definedName>
    <definedName name="A85125843R_Latest">#REF!</definedName>
    <definedName name="A85125844T">#REF!,#REF!</definedName>
    <definedName name="A85125844T_Data">#REF!</definedName>
    <definedName name="A85125844T_Latest">#REF!</definedName>
    <definedName name="A85125845V">#REF!,#REF!</definedName>
    <definedName name="A85125845V_Data">#REF!</definedName>
    <definedName name="A85125845V_Latest">#REF!</definedName>
    <definedName name="A85125846W">#REF!,#REF!</definedName>
    <definedName name="A85125846W_Data">#REF!</definedName>
    <definedName name="A85125846W_Latest">#REF!</definedName>
    <definedName name="A85125847X">#REF!,#REF!</definedName>
    <definedName name="A85125847X_Data">#REF!</definedName>
    <definedName name="A85125847X_Latest">#REF!</definedName>
    <definedName name="A85125848A">#REF!,#REF!</definedName>
    <definedName name="A85125848A_Data">#REF!</definedName>
    <definedName name="A85125848A_Latest">#REF!</definedName>
    <definedName name="A85125849C">#REF!,#REF!</definedName>
    <definedName name="A85125849C_Data">#REF!</definedName>
    <definedName name="A85125849C_Latest">#REF!</definedName>
    <definedName name="A85125850L">#REF!,#REF!</definedName>
    <definedName name="A85125850L_Data">#REF!</definedName>
    <definedName name="A85125850L_Latest">#REF!</definedName>
    <definedName name="A85125851R">#REF!,#REF!</definedName>
    <definedName name="A85125851R_Data">#REF!</definedName>
    <definedName name="A85125851R_Latest">#REF!</definedName>
    <definedName name="A85125852T">#REF!,#REF!</definedName>
    <definedName name="A85125852T_Data">#REF!</definedName>
    <definedName name="A85125852T_Latest">#REF!</definedName>
    <definedName name="A85125853V">#REF!,#REF!</definedName>
    <definedName name="A85125853V_Data">#REF!</definedName>
    <definedName name="A85125853V_Latest">#REF!</definedName>
    <definedName name="A85125854W">#REF!,#REF!</definedName>
    <definedName name="A85125854W_Data">#REF!</definedName>
    <definedName name="A85125854W_Latest">#REF!</definedName>
    <definedName name="A85125855X">#REF!,#REF!</definedName>
    <definedName name="A85125855X_Data">#REF!</definedName>
    <definedName name="A85125855X_Latest">#REF!</definedName>
    <definedName name="A85125856A">#REF!,#REF!</definedName>
    <definedName name="A85125856A_Data">#REF!</definedName>
    <definedName name="A85125856A_Latest">#REF!</definedName>
    <definedName name="A85125857C">#REF!,#REF!</definedName>
    <definedName name="A85125857C_Data">#REF!</definedName>
    <definedName name="A85125857C_Latest">#REF!</definedName>
    <definedName name="A85125858F">#REF!,#REF!</definedName>
    <definedName name="A85125858F_Data">#REF!</definedName>
    <definedName name="A85125858F_Latest">#REF!</definedName>
    <definedName name="A85125859J">#REF!,#REF!</definedName>
    <definedName name="A85125859J_Data">#REF!</definedName>
    <definedName name="A85125859J_Latest">#REF!</definedName>
    <definedName name="A85125860T">#REF!,#REF!</definedName>
    <definedName name="A85125860T_Data">#REF!</definedName>
    <definedName name="A85125860T_Latest">#REF!</definedName>
    <definedName name="A85125861V">#REF!,#REF!</definedName>
    <definedName name="A85125861V_Data">#REF!</definedName>
    <definedName name="A85125861V_Latest">#REF!</definedName>
    <definedName name="A85125862W">#REF!,#REF!</definedName>
    <definedName name="A85125862W_Data">#REF!</definedName>
    <definedName name="A85125862W_Latest">#REF!</definedName>
    <definedName name="A85125863X">#REF!,#REF!</definedName>
    <definedName name="A85125863X_Data">#REF!</definedName>
    <definedName name="A85125863X_Latest">#REF!</definedName>
    <definedName name="A85125864A">#REF!,#REF!</definedName>
    <definedName name="A85125864A_Data">#REF!</definedName>
    <definedName name="A85125864A_Latest">#REF!</definedName>
    <definedName name="A85125865C">#REF!,#REF!</definedName>
    <definedName name="A85125865C_Data">#REF!</definedName>
    <definedName name="A85125865C_Latest">#REF!</definedName>
    <definedName name="A85125866F">#REF!,#REF!</definedName>
    <definedName name="A85125866F_Data">#REF!</definedName>
    <definedName name="A85125866F_Latest">#REF!</definedName>
    <definedName name="A85125867J">#REF!,#REF!</definedName>
    <definedName name="A85125867J_Data">#REF!</definedName>
    <definedName name="A85125867J_Latest">#REF!</definedName>
    <definedName name="A85125868K">#REF!,#REF!</definedName>
    <definedName name="A85125868K_Data">#REF!</definedName>
    <definedName name="A85125868K_Latest">#REF!</definedName>
    <definedName name="A85125869L">#REF!,#REF!</definedName>
    <definedName name="A85125869L_Data">#REF!</definedName>
    <definedName name="A85125869L_Latest">#REF!</definedName>
    <definedName name="A85125870W">#REF!,#REF!</definedName>
    <definedName name="A85125870W_Data">#REF!</definedName>
    <definedName name="A85125870W_Latest">#REF!</definedName>
    <definedName name="A85125871X">#REF!,#REF!</definedName>
    <definedName name="A85125871X_Data">#REF!</definedName>
    <definedName name="A85125871X_Latest">#REF!</definedName>
    <definedName name="A85125872A">#REF!,#REF!</definedName>
    <definedName name="A85125872A_Data">#REF!</definedName>
    <definedName name="A85125872A_Latest">#REF!</definedName>
    <definedName name="A85125873C">#REF!,#REF!</definedName>
    <definedName name="A85125873C_Data">#REF!</definedName>
    <definedName name="A85125873C_Latest">#REF!</definedName>
    <definedName name="A85125874F">#REF!,#REF!</definedName>
    <definedName name="A85125874F_Data">#REF!</definedName>
    <definedName name="A85125874F_Latest">#REF!</definedName>
    <definedName name="A85125875J">#REF!,#REF!</definedName>
    <definedName name="A85125875J_Data">#REF!</definedName>
    <definedName name="A85125875J_Latest">#REF!</definedName>
    <definedName name="A85125876K">#REF!,#REF!</definedName>
    <definedName name="A85125876K_Data">#REF!</definedName>
    <definedName name="A85125876K_Latest">#REF!</definedName>
    <definedName name="A85125877L">#REF!,#REF!</definedName>
    <definedName name="A85125877L_Data">#REF!</definedName>
    <definedName name="A85125877L_Latest">#REF!</definedName>
    <definedName name="A85125878R">#REF!,#REF!</definedName>
    <definedName name="A85125878R_Data">#REF!</definedName>
    <definedName name="A85125878R_Latest">#REF!</definedName>
    <definedName name="A85125879T">#REF!,#REF!</definedName>
    <definedName name="A85125879T_Data">#REF!</definedName>
    <definedName name="A85125879T_Latest">#REF!</definedName>
    <definedName name="A85125880A">#REF!,#REF!</definedName>
    <definedName name="A85125880A_Data">#REF!</definedName>
    <definedName name="A85125880A_Latest">#REF!</definedName>
    <definedName name="A85125881C">#REF!,#REF!</definedName>
    <definedName name="A85125881C_Data">#REF!</definedName>
    <definedName name="A85125881C_Latest">#REF!</definedName>
    <definedName name="A85125882F">#REF!,#REF!</definedName>
    <definedName name="A85125882F_Data">#REF!</definedName>
    <definedName name="A85125882F_Latest">#REF!</definedName>
    <definedName name="A85125883J">#REF!,#REF!</definedName>
    <definedName name="A85125883J_Data">#REF!</definedName>
    <definedName name="A85125883J_Latest">#REF!</definedName>
    <definedName name="A85125884K">#REF!,#REF!</definedName>
    <definedName name="A85125884K_Data">#REF!</definedName>
    <definedName name="A85125884K_Latest">#REF!</definedName>
    <definedName name="A85125885L">#REF!,#REF!</definedName>
    <definedName name="A85125885L_Data">#REF!</definedName>
    <definedName name="A85125885L_Latest">#REF!</definedName>
    <definedName name="A85125886R">#REF!,#REF!</definedName>
    <definedName name="A85125886R_Data">#REF!</definedName>
    <definedName name="A85125886R_Latest">#REF!</definedName>
    <definedName name="A85125887T">#REF!,#REF!</definedName>
    <definedName name="A85125887T_Data">#REF!</definedName>
    <definedName name="A85125887T_Latest">#REF!</definedName>
    <definedName name="A85125888V">#REF!,#REF!</definedName>
    <definedName name="A85125888V_Data">#REF!</definedName>
    <definedName name="A85125888V_Latest">#REF!</definedName>
    <definedName name="A85125889W">#REF!,#REF!</definedName>
    <definedName name="A85125889W_Data">#REF!</definedName>
    <definedName name="A85125889W_Latest">#REF!</definedName>
    <definedName name="A85125890F">#REF!,#REF!</definedName>
    <definedName name="A85125890F_Data">#REF!</definedName>
    <definedName name="A85125890F_Latest">#REF!</definedName>
    <definedName name="A85125891J">#REF!,#REF!</definedName>
    <definedName name="A85125891J_Data">#REF!</definedName>
    <definedName name="A85125891J_Latest">#REF!</definedName>
    <definedName name="A85125892K">#REF!,#REF!</definedName>
    <definedName name="A85125892K_Data">#REF!</definedName>
    <definedName name="A85125892K_Latest">#REF!</definedName>
    <definedName name="A85125893L">#REF!,#REF!</definedName>
    <definedName name="A85125893L_Data">#REF!</definedName>
    <definedName name="A85125893L_Latest">#REF!</definedName>
    <definedName name="A85125894R">#REF!,#REF!</definedName>
    <definedName name="A85125894R_Data">#REF!</definedName>
    <definedName name="A85125894R_Latest">#REF!</definedName>
    <definedName name="A85125895T">#REF!,#REF!</definedName>
    <definedName name="A85125895T_Data">#REF!</definedName>
    <definedName name="A85125895T_Latest">#REF!</definedName>
    <definedName name="A85125896V">#REF!,#REF!</definedName>
    <definedName name="A85125896V_Data">#REF!</definedName>
    <definedName name="A85125896V_Latest">#REF!</definedName>
    <definedName name="A85125897W">#REF!,#REF!</definedName>
    <definedName name="A85125897W_Data">#REF!</definedName>
    <definedName name="A85125897W_Latest">#REF!</definedName>
    <definedName name="A85125898X">#REF!,#REF!</definedName>
    <definedName name="A85125898X_Data">#REF!</definedName>
    <definedName name="A85125898X_Latest">#REF!</definedName>
    <definedName name="A85125899A">#REF!,#REF!</definedName>
    <definedName name="A85125899A_Data">#REF!</definedName>
    <definedName name="A85125899A_Latest">#REF!</definedName>
    <definedName name="A85125900X">#REF!,#REF!</definedName>
    <definedName name="A85125900X_Data">#REF!</definedName>
    <definedName name="A85125900X_Latest">#REF!</definedName>
    <definedName name="A85125901A">#REF!,#REF!</definedName>
    <definedName name="A85125901A_Data">#REF!</definedName>
    <definedName name="A85125901A_Latest">#REF!</definedName>
    <definedName name="A85125902C">#REF!,#REF!</definedName>
    <definedName name="A85125902C_Data">#REF!</definedName>
    <definedName name="A85125902C_Latest">#REF!</definedName>
    <definedName name="A85125903F">#REF!,#REF!</definedName>
    <definedName name="A85125903F_Data">#REF!</definedName>
    <definedName name="A85125903F_Latest">#REF!</definedName>
    <definedName name="A85231682X">#REF!,#REF!</definedName>
    <definedName name="A85231682X_Data">#REF!</definedName>
    <definedName name="A85231682X_Latest">#REF!</definedName>
    <definedName name="A85231684C">#REF!,#REF!</definedName>
    <definedName name="A85231684C_Data">#REF!</definedName>
    <definedName name="A85231684C_Latest">#REF!</definedName>
    <definedName name="A85231686J">#REF!,#REF!</definedName>
    <definedName name="A85231686J_Data">#REF!</definedName>
    <definedName name="A85231686J_Latest">#REF!</definedName>
    <definedName name="A85231688L">#REF!,#REF!</definedName>
    <definedName name="A85231688L_Data">#REF!</definedName>
    <definedName name="A85231688L_Latest">#REF!</definedName>
    <definedName name="A85231690X">#REF!,#REF!</definedName>
    <definedName name="A85231690X_Data">#REF!</definedName>
    <definedName name="A85231690X_Latest">#REF!</definedName>
    <definedName name="A85231692C">#REF!,#REF!</definedName>
    <definedName name="A85231692C_Data">#REF!</definedName>
    <definedName name="A85231692C_Latest">#REF!</definedName>
    <definedName name="A85231694J">#REF!,#REF!</definedName>
    <definedName name="A85231694J_Data">#REF!</definedName>
    <definedName name="A85231694J_Latest">#REF!</definedName>
    <definedName name="A85231696L">#REF!,#REF!</definedName>
    <definedName name="A85231696L_Data">#REF!</definedName>
    <definedName name="A85231696L_Latest">#REF!</definedName>
    <definedName name="A85231698T">#REF!,#REF!</definedName>
    <definedName name="A85231698T_Data">#REF!</definedName>
    <definedName name="A85231698T_Latest">#REF!</definedName>
    <definedName name="A85231700T">#REF!,#REF!</definedName>
    <definedName name="A85231700T_Data">#REF!</definedName>
    <definedName name="A85231700T_Latest">#REF!</definedName>
    <definedName name="A85231702W">#REF!,#REF!</definedName>
    <definedName name="A85231702W_Data">#REF!</definedName>
    <definedName name="A85231702W_Latest">#REF!</definedName>
    <definedName name="A85231704A">#REF!,#REF!</definedName>
    <definedName name="A85231704A_Data">#REF!</definedName>
    <definedName name="A85231704A_Latest">#REF!</definedName>
    <definedName name="A85231706F">#REF!,#REF!</definedName>
    <definedName name="A85231706F_Data">#REF!</definedName>
    <definedName name="A85231706F_Latest">#REF!</definedName>
    <definedName name="A85231708K">#REF!,#REF!</definedName>
    <definedName name="A85231708K_Data">#REF!</definedName>
    <definedName name="A85231708K_Latest">#REF!</definedName>
    <definedName name="A85231710W">#REF!,#REF!</definedName>
    <definedName name="A85231710W_Data">#REF!</definedName>
    <definedName name="A85231710W_Latest">#REF!</definedName>
    <definedName name="A85231712A">#REF!,#REF!</definedName>
    <definedName name="A85231712A_Data">#REF!</definedName>
    <definedName name="A85231712A_Latest">#REF!</definedName>
    <definedName name="A85231714F">#REF!,#REF!</definedName>
    <definedName name="A85231714F_Data">#REF!</definedName>
    <definedName name="A85231714F_Latest">#REF!</definedName>
    <definedName name="A85231716K">#REF!,#REF!</definedName>
    <definedName name="A85231716K_Data">#REF!</definedName>
    <definedName name="A85231716K_Latest">#REF!</definedName>
    <definedName name="A85231718R">#REF!,#REF!</definedName>
    <definedName name="A85231718R_Data">#REF!</definedName>
    <definedName name="A85231718R_Latest">#REF!</definedName>
    <definedName name="A85231720A">#REF!,#REF!</definedName>
    <definedName name="A85231720A_Data">#REF!</definedName>
    <definedName name="A85231720A_Latest">#REF!</definedName>
    <definedName name="A85231722F">#REF!,#REF!</definedName>
    <definedName name="A85231722F_Data">#REF!</definedName>
    <definedName name="A85231722F_Latest">#REF!</definedName>
    <definedName name="A85231724K">#REF!,#REF!</definedName>
    <definedName name="A85231724K_Data">#REF!</definedName>
    <definedName name="A85231724K_Latest">#REF!</definedName>
    <definedName name="A85231726R">#REF!,#REF!</definedName>
    <definedName name="A85231726R_Data">#REF!</definedName>
    <definedName name="A85231726R_Latest">#REF!</definedName>
    <definedName name="A85231728V">#REF!,#REF!</definedName>
    <definedName name="A85231728V_Data">#REF!</definedName>
    <definedName name="A85231728V_Latest">#REF!</definedName>
    <definedName name="A85231730F">#REF!,#REF!</definedName>
    <definedName name="A85231730F_Data">#REF!</definedName>
    <definedName name="A85231730F_Latest">#REF!</definedName>
    <definedName name="A85231731J">#REF!,#REF!</definedName>
    <definedName name="A85231731J_Data">#REF!</definedName>
    <definedName name="A85231731J_Latest">#REF!</definedName>
    <definedName name="A85231732K">#REF!,#REF!</definedName>
    <definedName name="A85231732K_Data">#REF!</definedName>
    <definedName name="A85231732K_Latest">#REF!</definedName>
    <definedName name="A85231733L">#REF!,#REF!</definedName>
    <definedName name="A85231733L_Data">#REF!</definedName>
    <definedName name="A85231733L_Latest">#REF!</definedName>
    <definedName name="A85231734R">#REF!,#REF!</definedName>
    <definedName name="A85231734R_Data">#REF!</definedName>
    <definedName name="A85231734R_Latest">#REF!</definedName>
    <definedName name="A85231735T">#REF!,#REF!</definedName>
    <definedName name="A85231735T_Data">#REF!</definedName>
    <definedName name="A85231735T_Latest">#REF!</definedName>
    <definedName name="A85231736V">#REF!,#REF!</definedName>
    <definedName name="A85231736V_Data">#REF!</definedName>
    <definedName name="A85231736V_Latest">#REF!</definedName>
    <definedName name="A85231737W">#REF!,#REF!</definedName>
    <definedName name="A85231737W_Data">#REF!</definedName>
    <definedName name="A85231737W_Latest">#REF!</definedName>
    <definedName name="A85231738X">#REF!,#REF!</definedName>
    <definedName name="A85231738X_Data">#REF!</definedName>
    <definedName name="A85231738X_Latest">#REF!</definedName>
    <definedName name="A85231739A">#REF!,#REF!</definedName>
    <definedName name="A85231739A_Data">#REF!</definedName>
    <definedName name="A85231739A_Latest">#REF!</definedName>
    <definedName name="A85231740K">#REF!,#REF!</definedName>
    <definedName name="A85231740K_Data">#REF!</definedName>
    <definedName name="A85231740K_Latest">#REF!</definedName>
    <definedName name="A85231741L">#REF!,#REF!</definedName>
    <definedName name="A85231741L_Data">#REF!</definedName>
    <definedName name="A85231741L_Latest">#REF!</definedName>
    <definedName name="A85231742R">#REF!,#REF!</definedName>
    <definedName name="A85231742R_Data">#REF!</definedName>
    <definedName name="A85231742R_Latest">#REF!</definedName>
    <definedName name="A85231743T">#REF!,#REF!</definedName>
    <definedName name="A85231743T_Data">#REF!</definedName>
    <definedName name="A85231743T_Latest">#REF!</definedName>
    <definedName name="A85231744V">#REF!,#REF!</definedName>
    <definedName name="A85231744V_Data">#REF!</definedName>
    <definedName name="A85231744V_Latest">#REF!</definedName>
    <definedName name="A85231745W">#REF!,#REF!</definedName>
    <definedName name="A85231745W_Data">#REF!</definedName>
    <definedName name="A85231745W_Latest">#REF!</definedName>
    <definedName name="A85231746X">#REF!,#REF!</definedName>
    <definedName name="A85231746X_Data">#REF!</definedName>
    <definedName name="A85231746X_Latest">#REF!</definedName>
    <definedName name="A85231747A">#REF!,#REF!</definedName>
    <definedName name="A85231747A_Data">#REF!</definedName>
    <definedName name="A85231747A_Latest">#REF!</definedName>
    <definedName name="A85231748C">#REF!,#REF!</definedName>
    <definedName name="A85231748C_Data">#REF!</definedName>
    <definedName name="A85231748C_Latest">#REF!</definedName>
    <definedName name="A85231749F">#REF!,#REF!</definedName>
    <definedName name="A85231749F_Data">#REF!</definedName>
    <definedName name="A85231749F_Latest">#REF!</definedName>
    <definedName name="A85231750R">#REF!,#REF!</definedName>
    <definedName name="A85231750R_Data">#REF!</definedName>
    <definedName name="A85231750R_Latest">#REF!</definedName>
    <definedName name="A85231751T">#REF!,#REF!</definedName>
    <definedName name="A85231751T_Data">#REF!</definedName>
    <definedName name="A85231751T_Latest">#REF!</definedName>
    <definedName name="A85231752V">#REF!,#REF!</definedName>
    <definedName name="A85231752V_Data">#REF!</definedName>
    <definedName name="A85231752V_Latest">#REF!</definedName>
    <definedName name="A85231753W">#REF!,#REF!</definedName>
    <definedName name="A85231753W_Data">#REF!</definedName>
    <definedName name="A85231753W_Latest">#REF!</definedName>
    <definedName name="A85231754X">#REF!,#REF!</definedName>
    <definedName name="A85231754X_Data">#REF!</definedName>
    <definedName name="A85231754X_Latest">#REF!</definedName>
    <definedName name="A85231755A">#REF!,#REF!</definedName>
    <definedName name="A85231755A_Data">#REF!</definedName>
    <definedName name="A85231755A_Latest">#REF!</definedName>
    <definedName name="A85231756C">#REF!,#REF!</definedName>
    <definedName name="A85231756C_Data">#REF!</definedName>
    <definedName name="A85231756C_Latest">#REF!</definedName>
    <definedName name="A85231757F">#REF!,#REF!</definedName>
    <definedName name="A85231757F_Data">#REF!</definedName>
    <definedName name="A85231757F_Latest">#REF!</definedName>
    <definedName name="A85231758J">#REF!,#REF!</definedName>
    <definedName name="A85231758J_Data">#REF!</definedName>
    <definedName name="A85231758J_Latest">#REF!</definedName>
    <definedName name="A85231759K">#REF!,#REF!</definedName>
    <definedName name="A85231759K_Data">#REF!</definedName>
    <definedName name="A85231759K_Latest">#REF!</definedName>
    <definedName name="A85231760V">#REF!,#REF!</definedName>
    <definedName name="A85231760V_Data">#REF!</definedName>
    <definedName name="A85231760V_Latest">#REF!</definedName>
    <definedName name="A85231761W">#REF!,#REF!</definedName>
    <definedName name="A85231761W_Data">#REF!</definedName>
    <definedName name="A85231761W_Latest">#REF!</definedName>
    <definedName name="A85231762X">#REF!,#REF!</definedName>
    <definedName name="A85231762X_Data">#REF!</definedName>
    <definedName name="A85231762X_Latest">#REF!</definedName>
    <definedName name="A85231763A">#REF!,#REF!</definedName>
    <definedName name="A85231763A_Data">#REF!</definedName>
    <definedName name="A85231763A_Latest">#REF!</definedName>
    <definedName name="A85231764C">#REF!,#REF!</definedName>
    <definedName name="A85231764C_Data">#REF!</definedName>
    <definedName name="A85231764C_Latest">#REF!</definedName>
    <definedName name="A85231765F">#REF!,#REF!</definedName>
    <definedName name="A85231765F_Data">#REF!</definedName>
    <definedName name="A85231765F_Latest">#REF!</definedName>
    <definedName name="A85231766J">#REF!,#REF!</definedName>
    <definedName name="A85231766J_Data">#REF!</definedName>
    <definedName name="A85231766J_Latest">#REF!</definedName>
    <definedName name="A85231767K">#REF!,#REF!</definedName>
    <definedName name="A85231767K_Data">#REF!</definedName>
    <definedName name="A85231767K_Latest">#REF!</definedName>
    <definedName name="A85231768L">#REF!,#REF!</definedName>
    <definedName name="A85231768L_Data">#REF!</definedName>
    <definedName name="A85231768L_Latest">#REF!</definedName>
    <definedName name="A85231769R">#REF!,#REF!</definedName>
    <definedName name="A85231769R_Data">#REF!</definedName>
    <definedName name="A85231769R_Latest">#REF!</definedName>
    <definedName name="A85231770X">#REF!,#REF!</definedName>
    <definedName name="A85231770X_Data">#REF!</definedName>
    <definedName name="A85231770X_Latest">#REF!</definedName>
    <definedName name="A85231771A">#REF!,#REF!</definedName>
    <definedName name="A85231771A_Data">#REF!</definedName>
    <definedName name="A85231771A_Latest">#REF!</definedName>
    <definedName name="A85231772C">#REF!,#REF!</definedName>
    <definedName name="A85231772C_Data">#REF!</definedName>
    <definedName name="A85231772C_Latest">#REF!</definedName>
    <definedName name="A85231773F">#REF!,#REF!</definedName>
    <definedName name="A85231773F_Data">#REF!</definedName>
    <definedName name="A85231773F_Latest">#REF!</definedName>
    <definedName name="A85231774J">#REF!,#REF!</definedName>
    <definedName name="A85231774J_Data">#REF!</definedName>
    <definedName name="A85231774J_Latest">#REF!</definedName>
    <definedName name="A85231775K">#REF!,#REF!</definedName>
    <definedName name="A85231775K_Data">#REF!</definedName>
    <definedName name="A85231775K_Latest">#REF!</definedName>
    <definedName name="A85231776L">#REF!,#REF!</definedName>
    <definedName name="A85231776L_Data">#REF!</definedName>
    <definedName name="A85231776L_Latest">#REF!</definedName>
    <definedName name="A85231777R">#REF!,#REF!</definedName>
    <definedName name="A85231777R_Data">#REF!</definedName>
    <definedName name="A85231777R_Latest">#REF!</definedName>
    <definedName name="Date_Range">#REF!,#REF!</definedName>
    <definedName name="Date_Range_Data">#REF!</definedName>
    <definedName name="FN1_Data">#REF!</definedName>
    <definedName name="FN2_Data">#REF!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5" i="57" l="1"/>
  <c r="L49" i="77" l="1"/>
  <c r="N40" i="26"/>
  <c r="Q40" i="26" s="1"/>
  <c r="J40" i="26"/>
  <c r="H40" i="26"/>
  <c r="J64" i="1"/>
  <c r="D44" i="1"/>
  <c r="M44" i="1"/>
  <c r="C80" i="26"/>
  <c r="L80" i="26" s="1"/>
  <c r="C81" i="26"/>
  <c r="L81" i="26"/>
  <c r="C82" i="26"/>
  <c r="L82" i="26" s="1"/>
  <c r="C83" i="26"/>
  <c r="L83" i="26"/>
  <c r="M83" i="1"/>
  <c r="D83" i="1"/>
  <c r="C83" i="1"/>
  <c r="F83" i="1" s="1"/>
  <c r="G83" i="1" s="1"/>
  <c r="L83" i="1"/>
  <c r="N81" i="26"/>
  <c r="N83" i="26"/>
  <c r="P89" i="26"/>
  <c r="N89" i="26"/>
  <c r="D47" i="1"/>
  <c r="M47" i="1"/>
  <c r="E83" i="1"/>
  <c r="N83" i="1"/>
  <c r="AT227" i="90"/>
  <c r="N82" i="26" l="1"/>
  <c r="N80" i="26"/>
  <c r="O83" i="1"/>
  <c r="P83" i="1"/>
  <c r="M81" i="1"/>
  <c r="L81" i="1" s="1"/>
  <c r="M82" i="1"/>
  <c r="L82" i="1" s="1"/>
  <c r="D82" i="1"/>
  <c r="C82" i="1" s="1"/>
  <c r="C47" i="1" l="1"/>
  <c r="N46" i="26" s="1"/>
  <c r="L47" i="1"/>
  <c r="C51" i="1"/>
  <c r="N50" i="26" s="1"/>
  <c r="C52" i="1"/>
  <c r="N51" i="26" s="1"/>
  <c r="C49" i="1"/>
  <c r="C50" i="1"/>
  <c r="N49" i="26" s="1"/>
  <c r="C46" i="1"/>
  <c r="C48" i="1"/>
  <c r="C24" i="1"/>
  <c r="C32" i="1"/>
  <c r="C40" i="1"/>
  <c r="C35" i="1"/>
  <c r="C36" i="1"/>
  <c r="C37" i="1"/>
  <c r="C25" i="1"/>
  <c r="C33" i="1"/>
  <c r="C41" i="1"/>
  <c r="C43" i="1"/>
  <c r="C28" i="1"/>
  <c r="C29" i="1"/>
  <c r="C26" i="1"/>
  <c r="C34" i="1"/>
  <c r="C42" i="1"/>
  <c r="C27" i="1"/>
  <c r="C44" i="1"/>
  <c r="C30" i="1"/>
  <c r="C38" i="1"/>
  <c r="C31" i="1"/>
  <c r="C39" i="1"/>
  <c r="C18" i="1"/>
  <c r="C23" i="1"/>
  <c r="C19" i="1"/>
  <c r="C22" i="1"/>
  <c r="C20" i="1"/>
  <c r="C21" i="1"/>
  <c r="C12" i="1"/>
  <c r="C17" i="1"/>
  <c r="C13" i="1"/>
  <c r="C16" i="1"/>
  <c r="C14" i="1"/>
  <c r="C15" i="1"/>
  <c r="C10" i="1"/>
  <c r="C11" i="1"/>
  <c r="L52" i="1"/>
  <c r="L50" i="1"/>
  <c r="L51" i="1"/>
  <c r="L48" i="1"/>
  <c r="L49" i="1"/>
  <c r="L46" i="1"/>
  <c r="L44" i="1"/>
  <c r="L36" i="1"/>
  <c r="L28" i="1"/>
  <c r="L40" i="1"/>
  <c r="L31" i="1"/>
  <c r="L43" i="1"/>
  <c r="L35" i="1"/>
  <c r="L27" i="1"/>
  <c r="L33" i="1"/>
  <c r="L39" i="1"/>
  <c r="L29" i="1"/>
  <c r="L42" i="1"/>
  <c r="L34" i="1"/>
  <c r="L26" i="1"/>
  <c r="L41" i="1"/>
  <c r="L32" i="1"/>
  <c r="L37" i="1"/>
  <c r="L38" i="1"/>
  <c r="L30" i="1"/>
  <c r="L10" i="1"/>
  <c r="L11" i="1"/>
  <c r="L19" i="1"/>
  <c r="L14" i="1"/>
  <c r="L23" i="1"/>
  <c r="L24" i="1"/>
  <c r="L25" i="1"/>
  <c r="L12" i="1"/>
  <c r="L20" i="1"/>
  <c r="L21" i="1"/>
  <c r="L15" i="1"/>
  <c r="L16" i="1"/>
  <c r="L17" i="1"/>
  <c r="L18" i="1"/>
  <c r="L13" i="1"/>
  <c r="L22" i="1"/>
  <c r="R31" i="26" l="1"/>
  <c r="B227" i="90"/>
  <c r="C227" i="90"/>
  <c r="D227" i="90"/>
  <c r="E227" i="90"/>
  <c r="F227" i="90"/>
  <c r="G227" i="90"/>
  <c r="H227" i="90"/>
  <c r="I227" i="90"/>
  <c r="J227" i="90"/>
  <c r="K227" i="90"/>
  <c r="L227" i="90"/>
  <c r="M227" i="90"/>
  <c r="N227" i="90"/>
  <c r="O227" i="90"/>
  <c r="P227" i="90"/>
  <c r="Q227" i="90"/>
  <c r="R227" i="90"/>
  <c r="S227" i="90"/>
  <c r="T227" i="90"/>
  <c r="U227" i="90"/>
  <c r="V227" i="90"/>
  <c r="W227" i="90"/>
  <c r="X227" i="90"/>
  <c r="Y227" i="90"/>
  <c r="Z227" i="90"/>
  <c r="AA227" i="90"/>
  <c r="AB227" i="90"/>
  <c r="AC227" i="90"/>
  <c r="AD227" i="90"/>
  <c r="AE227" i="90"/>
  <c r="AF227" i="90"/>
  <c r="AG227" i="90"/>
  <c r="AH227" i="90"/>
  <c r="AI227" i="90"/>
  <c r="AJ227" i="90"/>
  <c r="AK227" i="90"/>
  <c r="AL227" i="90"/>
  <c r="AM227" i="90"/>
  <c r="AN227" i="90"/>
  <c r="AO227" i="90"/>
  <c r="AP227" i="90"/>
  <c r="AQ227" i="90"/>
  <c r="AR227" i="90"/>
  <c r="AS227" i="90"/>
  <c r="AU227" i="90"/>
  <c r="AV227" i="90"/>
  <c r="N88" i="26" l="1"/>
  <c r="F43" i="26"/>
  <c r="V26" i="26"/>
  <c r="D40" i="26"/>
  <c r="V44" i="26"/>
  <c r="O47" i="77"/>
  <c r="O46" i="77"/>
  <c r="V52" i="26"/>
  <c r="V90" i="26"/>
  <c r="Q88" i="26"/>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90" i="1"/>
  <c r="M46" i="1"/>
  <c r="P9" i="1" l="1"/>
  <c r="H9" i="26"/>
  <c r="H10" i="26"/>
  <c r="H11" i="26"/>
  <c r="H12" i="26"/>
  <c r="H13" i="26"/>
  <c r="H14" i="26"/>
  <c r="H15" i="26"/>
  <c r="H16" i="26"/>
  <c r="H17" i="26"/>
  <c r="H18" i="26"/>
  <c r="H19" i="26"/>
  <c r="H20" i="26"/>
  <c r="H21" i="26"/>
  <c r="H23" i="26"/>
  <c r="H24" i="26"/>
  <c r="H25" i="26"/>
  <c r="H26" i="26"/>
  <c r="H27" i="26"/>
  <c r="J27" i="26" s="1"/>
  <c r="H28" i="26"/>
  <c r="J28" i="26" s="1"/>
  <c r="H29" i="26"/>
  <c r="H30" i="26"/>
  <c r="H31" i="26"/>
  <c r="H32" i="26"/>
  <c r="H33" i="26"/>
  <c r="H34" i="26"/>
  <c r="H35" i="26"/>
  <c r="H36" i="26"/>
  <c r="H37" i="26"/>
  <c r="H38" i="26"/>
  <c r="H39" i="26"/>
  <c r="H41" i="26"/>
  <c r="H42" i="26"/>
  <c r="H43" i="26"/>
  <c r="J87" i="1"/>
  <c r="J84" i="1"/>
  <c r="J66" i="1"/>
  <c r="G27" i="77" l="1"/>
  <c r="H27" i="77" s="1"/>
  <c r="G26" i="77"/>
  <c r="H26" i="77" s="1"/>
  <c r="G25" i="77"/>
  <c r="H25" i="77" s="1"/>
  <c r="G24" i="77"/>
  <c r="K24" i="77" s="1"/>
  <c r="G23" i="77"/>
  <c r="H23" i="77" s="1"/>
  <c r="G22" i="77"/>
  <c r="H22" i="77" s="1"/>
  <c r="G21" i="77"/>
  <c r="H21" i="77" s="1"/>
  <c r="G20" i="77"/>
  <c r="H20" i="77" s="1"/>
  <c r="G19" i="77"/>
  <c r="H19" i="77" s="1"/>
  <c r="G18" i="77"/>
  <c r="H18" i="77" s="1"/>
  <c r="G17" i="77"/>
  <c r="H17" i="77" s="1"/>
  <c r="G16" i="77"/>
  <c r="H16" i="77" s="1"/>
  <c r="G15" i="77"/>
  <c r="H15" i="77" s="1"/>
  <c r="G14" i="77"/>
  <c r="H14" i="77" s="1"/>
  <c r="G13" i="77"/>
  <c r="K13" i="77" s="1"/>
  <c r="AK50" i="77"/>
  <c r="AJ50" i="77"/>
  <c r="AI50" i="77"/>
  <c r="AK49" i="77"/>
  <c r="V37" i="26" s="1"/>
  <c r="AJ49" i="77"/>
  <c r="V77" i="26" s="1"/>
  <c r="AI49" i="77"/>
  <c r="AK48" i="77"/>
  <c r="AJ48" i="77"/>
  <c r="AI48" i="77"/>
  <c r="AK47" i="77"/>
  <c r="AJ47" i="77"/>
  <c r="AI47" i="77"/>
  <c r="AK46" i="77"/>
  <c r="AJ46" i="77"/>
  <c r="AI46" i="77"/>
  <c r="AK45" i="77"/>
  <c r="AJ45" i="77"/>
  <c r="AI45" i="77"/>
  <c r="AK44" i="77"/>
  <c r="AJ44" i="77"/>
  <c r="AI44" i="77"/>
  <c r="AK43" i="77"/>
  <c r="AJ43" i="77"/>
  <c r="AI43" i="77"/>
  <c r="AK42" i="77"/>
  <c r="AJ42" i="77"/>
  <c r="AI42" i="77"/>
  <c r="AK41" i="77"/>
  <c r="AJ41" i="77"/>
  <c r="AI41" i="77"/>
  <c r="AK40" i="77"/>
  <c r="AJ40" i="77"/>
  <c r="AI40" i="77"/>
  <c r="AK39" i="77"/>
  <c r="AJ39" i="77"/>
  <c r="AI39" i="77"/>
  <c r="AK38" i="77"/>
  <c r="AJ38" i="77"/>
  <c r="AI38" i="77"/>
  <c r="AK37" i="77"/>
  <c r="AJ37" i="77"/>
  <c r="AI37" i="77"/>
  <c r="AK36" i="77"/>
  <c r="AJ36" i="77"/>
  <c r="AI36" i="77"/>
  <c r="AK35" i="77"/>
  <c r="AJ35" i="77"/>
  <c r="AI35" i="77"/>
  <c r="AK34" i="77"/>
  <c r="AJ34" i="77"/>
  <c r="AI34" i="77"/>
  <c r="AK33" i="77"/>
  <c r="AJ33" i="77"/>
  <c r="AI33" i="77"/>
  <c r="AK32" i="77"/>
  <c r="AJ32" i="77"/>
  <c r="AI32" i="77"/>
  <c r="AK31" i="77"/>
  <c r="AJ31" i="77"/>
  <c r="AI31" i="77"/>
  <c r="AK30" i="77"/>
  <c r="AJ30" i="77"/>
  <c r="AI30" i="77"/>
  <c r="AK29" i="77"/>
  <c r="AJ29" i="77"/>
  <c r="AI29" i="77"/>
  <c r="AK28" i="77"/>
  <c r="AJ28" i="77"/>
  <c r="AI28" i="77"/>
  <c r="AK27" i="77"/>
  <c r="AJ27" i="77"/>
  <c r="AI27" i="77"/>
  <c r="AK26" i="77"/>
  <c r="AJ26" i="77"/>
  <c r="AI26" i="77"/>
  <c r="AK25" i="77"/>
  <c r="AJ25" i="77"/>
  <c r="AI25" i="77"/>
  <c r="AK24" i="77"/>
  <c r="AJ24" i="77"/>
  <c r="AI24" i="77"/>
  <c r="AK23" i="77"/>
  <c r="AJ23" i="77"/>
  <c r="AI23" i="77"/>
  <c r="AK22" i="77"/>
  <c r="AJ22" i="77"/>
  <c r="AI22" i="77"/>
  <c r="AK21" i="77"/>
  <c r="AJ21" i="77"/>
  <c r="AI21" i="77"/>
  <c r="AK20" i="77"/>
  <c r="AJ20" i="77"/>
  <c r="AI20" i="77"/>
  <c r="AK19" i="77"/>
  <c r="AJ19" i="77"/>
  <c r="AI19" i="77"/>
  <c r="AK18" i="77"/>
  <c r="AJ18" i="77"/>
  <c r="AI18" i="77"/>
  <c r="AK17" i="77"/>
  <c r="AJ17" i="77"/>
  <c r="AI17" i="77"/>
  <c r="AK16" i="77"/>
  <c r="AJ16" i="77"/>
  <c r="AI16" i="77"/>
  <c r="AK15" i="77"/>
  <c r="AJ15" i="77"/>
  <c r="AI15" i="77"/>
  <c r="AK14" i="77"/>
  <c r="AJ14" i="77"/>
  <c r="AI14" i="77"/>
  <c r="AK13" i="77"/>
  <c r="AJ13" i="77"/>
  <c r="AI13" i="77"/>
  <c r="AK12" i="77"/>
  <c r="AJ12" i="77"/>
  <c r="AI12" i="77"/>
  <c r="AK11" i="77"/>
  <c r="AJ11" i="77"/>
  <c r="AI11" i="77"/>
  <c r="AK10" i="77"/>
  <c r="AJ10" i="77"/>
  <c r="AI10" i="77"/>
  <c r="AK9" i="77"/>
  <c r="AJ9" i="77"/>
  <c r="AI9" i="77"/>
  <c r="AK8" i="77"/>
  <c r="AJ8" i="77"/>
  <c r="AI8" i="77"/>
  <c r="AK7" i="77"/>
  <c r="AJ7" i="77"/>
  <c r="AI7" i="77"/>
  <c r="AK6" i="77"/>
  <c r="AJ6" i="77"/>
  <c r="AI6" i="77"/>
  <c r="AK5" i="77"/>
  <c r="AJ5" i="77"/>
  <c r="AI5" i="77"/>
  <c r="Y11" i="77"/>
  <c r="Y10" i="77"/>
  <c r="Y9" i="77"/>
  <c r="Y8" i="77"/>
  <c r="Y7" i="77"/>
  <c r="Y6" i="77"/>
  <c r="Y5" i="77"/>
  <c r="P50" i="77"/>
  <c r="O50" i="77"/>
  <c r="P49" i="77"/>
  <c r="O49" i="77"/>
  <c r="P48" i="77"/>
  <c r="O48" i="77"/>
  <c r="P47" i="77"/>
  <c r="P46" i="77"/>
  <c r="P45" i="77"/>
  <c r="O45" i="77"/>
  <c r="P44" i="77"/>
  <c r="O44" i="77"/>
  <c r="P43" i="77"/>
  <c r="O43" i="77"/>
  <c r="P42" i="77"/>
  <c r="O42" i="77"/>
  <c r="P41" i="77"/>
  <c r="O41" i="77"/>
  <c r="P40" i="77"/>
  <c r="O40" i="77"/>
  <c r="P39" i="77"/>
  <c r="O39" i="77"/>
  <c r="P38" i="77"/>
  <c r="O38" i="77"/>
  <c r="P37" i="77"/>
  <c r="O37" i="77"/>
  <c r="P36" i="77"/>
  <c r="O36" i="77"/>
  <c r="P35" i="77"/>
  <c r="O35" i="77"/>
  <c r="P34" i="77"/>
  <c r="O34" i="77"/>
  <c r="P33" i="77"/>
  <c r="O33" i="77"/>
  <c r="P32" i="77"/>
  <c r="O32" i="77"/>
  <c r="P31" i="77"/>
  <c r="O31" i="77"/>
  <c r="P30" i="77"/>
  <c r="O30" i="77"/>
  <c r="P29" i="77"/>
  <c r="O29" i="77"/>
  <c r="P28" i="77"/>
  <c r="O28" i="77"/>
  <c r="P27" i="77"/>
  <c r="O27" i="77"/>
  <c r="P26" i="77"/>
  <c r="O26" i="77"/>
  <c r="P25" i="77"/>
  <c r="O25" i="77"/>
  <c r="P24" i="77"/>
  <c r="O24" i="77"/>
  <c r="P23" i="77"/>
  <c r="O23" i="77"/>
  <c r="P22" i="77"/>
  <c r="O22" i="77"/>
  <c r="P21" i="77"/>
  <c r="O21" i="77"/>
  <c r="P20" i="77"/>
  <c r="O20" i="77"/>
  <c r="P19" i="77"/>
  <c r="O19" i="77"/>
  <c r="P18" i="77"/>
  <c r="O18" i="77"/>
  <c r="P17" i="77"/>
  <c r="O17" i="77"/>
  <c r="P16" i="77"/>
  <c r="O16" i="77"/>
  <c r="P15" i="77"/>
  <c r="O15" i="77"/>
  <c r="P14" i="77"/>
  <c r="O14" i="77"/>
  <c r="P13" i="77"/>
  <c r="O13" i="77"/>
  <c r="P12" i="77"/>
  <c r="O12" i="77"/>
  <c r="P11" i="77"/>
  <c r="O11" i="77"/>
  <c r="P10" i="77"/>
  <c r="O10" i="77"/>
  <c r="P9" i="77"/>
  <c r="O9" i="77"/>
  <c r="P8" i="77"/>
  <c r="O8" i="77"/>
  <c r="P7" i="77"/>
  <c r="O7" i="77"/>
  <c r="P6" i="77"/>
  <c r="O6" i="77"/>
  <c r="P5" i="77"/>
  <c r="O5" i="77"/>
  <c r="D100" i="60"/>
  <c r="D99" i="60"/>
  <c r="D98" i="60"/>
  <c r="D97" i="60"/>
  <c r="D96" i="60"/>
  <c r="D95" i="60"/>
  <c r="D94" i="60"/>
  <c r="D93" i="60"/>
  <c r="D92" i="60"/>
  <c r="D90" i="60"/>
  <c r="D89" i="60"/>
  <c r="D88" i="60"/>
  <c r="D87" i="60"/>
  <c r="D86" i="60"/>
  <c r="D85" i="60"/>
  <c r="D84" i="60"/>
  <c r="D83" i="60"/>
  <c r="D82" i="60"/>
  <c r="D81" i="60"/>
  <c r="D80" i="60"/>
  <c r="D79" i="60"/>
  <c r="D78" i="60"/>
  <c r="D77" i="60"/>
  <c r="D76" i="60"/>
  <c r="D75" i="60"/>
  <c r="D74" i="60"/>
  <c r="D73" i="60"/>
  <c r="D72" i="60"/>
  <c r="D71" i="60"/>
  <c r="D70" i="60"/>
  <c r="D69" i="60"/>
  <c r="D68" i="60"/>
  <c r="D67" i="60"/>
  <c r="D66" i="60"/>
  <c r="D65" i="60"/>
  <c r="D64" i="60"/>
  <c r="D63" i="60"/>
  <c r="D62" i="60"/>
  <c r="D61" i="60"/>
  <c r="D60" i="60"/>
  <c r="D59" i="60"/>
  <c r="D58" i="60"/>
  <c r="D57" i="60"/>
  <c r="D56" i="60"/>
  <c r="D55" i="60"/>
  <c r="D54" i="60"/>
  <c r="D53" i="60"/>
  <c r="D52" i="60"/>
  <c r="D51" i="60"/>
  <c r="D50" i="60"/>
  <c r="D49" i="60"/>
  <c r="D48" i="60"/>
  <c r="D47" i="60"/>
  <c r="D45" i="60"/>
  <c r="D44" i="60"/>
  <c r="D43" i="60"/>
  <c r="D41" i="60"/>
  <c r="D40" i="60"/>
  <c r="D39" i="60"/>
  <c r="D38" i="60"/>
  <c r="D37" i="60"/>
  <c r="D36" i="60"/>
  <c r="D35" i="60"/>
  <c r="D34" i="60"/>
  <c r="D32" i="60"/>
  <c r="D30" i="60"/>
  <c r="D29" i="60"/>
  <c r="D28" i="60"/>
  <c r="D27" i="60"/>
  <c r="D26" i="60"/>
  <c r="D24" i="60"/>
  <c r="D23" i="60"/>
  <c r="D22" i="60"/>
  <c r="D21" i="60"/>
  <c r="D20" i="60"/>
  <c r="D19" i="60"/>
  <c r="D18" i="60"/>
  <c r="D17" i="60"/>
  <c r="D16" i="60"/>
  <c r="D15" i="60"/>
  <c r="D14" i="60"/>
  <c r="D12" i="60"/>
  <c r="D11" i="60"/>
  <c r="V42" i="55"/>
  <c r="U42" i="55"/>
  <c r="T42" i="55"/>
  <c r="S42" i="55"/>
  <c r="R42" i="55"/>
  <c r="Q42" i="55"/>
  <c r="V39" i="55"/>
  <c r="U39" i="55"/>
  <c r="T39" i="55"/>
  <c r="S39" i="55"/>
  <c r="R39" i="55"/>
  <c r="Q39" i="55"/>
  <c r="V38" i="55"/>
  <c r="U38" i="55"/>
  <c r="T38" i="55"/>
  <c r="S38" i="55"/>
  <c r="R38" i="55"/>
  <c r="Q38" i="55"/>
  <c r="V37" i="55"/>
  <c r="U37" i="55"/>
  <c r="T37" i="55"/>
  <c r="S37" i="55"/>
  <c r="R37" i="55"/>
  <c r="Q37" i="55"/>
  <c r="V36" i="55"/>
  <c r="U36" i="55"/>
  <c r="T36" i="55"/>
  <c r="S36" i="55"/>
  <c r="R36" i="55"/>
  <c r="Q36" i="55"/>
  <c r="V35" i="55"/>
  <c r="U35" i="55"/>
  <c r="T35" i="55"/>
  <c r="S35" i="55"/>
  <c r="R35" i="55"/>
  <c r="Q35" i="55"/>
  <c r="V34" i="55"/>
  <c r="U34" i="55"/>
  <c r="T34" i="55"/>
  <c r="S34" i="55"/>
  <c r="R34" i="55"/>
  <c r="Q34" i="55"/>
  <c r="V31" i="55"/>
  <c r="U31" i="55"/>
  <c r="T31" i="55"/>
  <c r="S31" i="55"/>
  <c r="R31" i="55"/>
  <c r="Q31" i="55"/>
  <c r="V29" i="55"/>
  <c r="U29" i="55"/>
  <c r="T29" i="55"/>
  <c r="S29" i="55"/>
  <c r="R29" i="55"/>
  <c r="Q29" i="55"/>
  <c r="V28" i="55"/>
  <c r="U28" i="55"/>
  <c r="T28" i="55"/>
  <c r="S28" i="55"/>
  <c r="R28" i="55"/>
  <c r="Q28" i="55"/>
  <c r="V25" i="55"/>
  <c r="U25" i="55"/>
  <c r="T25" i="55"/>
  <c r="S25" i="55"/>
  <c r="R25" i="55"/>
  <c r="Q25" i="55"/>
  <c r="V23" i="55"/>
  <c r="U23" i="55"/>
  <c r="T23" i="55"/>
  <c r="S23" i="55"/>
  <c r="R23" i="55"/>
  <c r="Q23" i="55"/>
  <c r="V21" i="55"/>
  <c r="U21" i="55"/>
  <c r="T21" i="55"/>
  <c r="S21" i="55"/>
  <c r="R21" i="55"/>
  <c r="Q21" i="55"/>
  <c r="V20" i="55"/>
  <c r="U20" i="55"/>
  <c r="T20" i="55"/>
  <c r="S20" i="55"/>
  <c r="R20" i="55"/>
  <c r="Q20" i="55"/>
  <c r="V19" i="55"/>
  <c r="U19" i="55"/>
  <c r="T19" i="55"/>
  <c r="S19" i="55"/>
  <c r="R19" i="55"/>
  <c r="Q19" i="55"/>
  <c r="V18" i="55"/>
  <c r="U18" i="55"/>
  <c r="T18" i="55"/>
  <c r="S18" i="55"/>
  <c r="R18" i="55"/>
  <c r="Q18" i="55"/>
  <c r="V17" i="55"/>
  <c r="U17" i="55"/>
  <c r="T17" i="55"/>
  <c r="S17" i="55"/>
  <c r="R17" i="55"/>
  <c r="Q17" i="55"/>
  <c r="V16" i="55"/>
  <c r="U16" i="55"/>
  <c r="T16" i="55"/>
  <c r="S16" i="55"/>
  <c r="R16" i="55"/>
  <c r="Q16" i="55"/>
  <c r="V15" i="55"/>
  <c r="U15" i="55"/>
  <c r="T15" i="55"/>
  <c r="S15" i="55"/>
  <c r="R15" i="55"/>
  <c r="Q15" i="55"/>
  <c r="V14" i="55"/>
  <c r="U14" i="55"/>
  <c r="T14" i="55"/>
  <c r="S14" i="55"/>
  <c r="R14" i="55"/>
  <c r="Q14" i="55"/>
  <c r="V11" i="55"/>
  <c r="U11" i="55"/>
  <c r="T11" i="55"/>
  <c r="S11" i="55"/>
  <c r="R11" i="55"/>
  <c r="Q11" i="55"/>
  <c r="V10" i="55"/>
  <c r="U10" i="55"/>
  <c r="T10" i="55"/>
  <c r="S10" i="55"/>
  <c r="R10" i="55"/>
  <c r="Q10" i="55"/>
  <c r="K42" i="55"/>
  <c r="J42" i="55"/>
  <c r="I42" i="55"/>
  <c r="H42" i="55"/>
  <c r="G42" i="55"/>
  <c r="F42" i="55"/>
  <c r="K39" i="55"/>
  <c r="J39" i="55"/>
  <c r="I39" i="55"/>
  <c r="H39" i="55"/>
  <c r="G39" i="55"/>
  <c r="F39" i="55"/>
  <c r="K38" i="55"/>
  <c r="J38" i="55"/>
  <c r="I38" i="55"/>
  <c r="H38" i="55"/>
  <c r="G38" i="55"/>
  <c r="F38" i="55"/>
  <c r="K37" i="55"/>
  <c r="J37" i="55"/>
  <c r="I37" i="55"/>
  <c r="H37" i="55"/>
  <c r="G37" i="55"/>
  <c r="F37" i="55"/>
  <c r="K36" i="55"/>
  <c r="J36" i="55"/>
  <c r="I36" i="55"/>
  <c r="H36" i="55"/>
  <c r="G36" i="55"/>
  <c r="F36" i="55"/>
  <c r="K35" i="55"/>
  <c r="J35" i="55"/>
  <c r="I35" i="55"/>
  <c r="H35" i="55"/>
  <c r="G35" i="55"/>
  <c r="F35" i="55"/>
  <c r="K34" i="55"/>
  <c r="J34" i="55"/>
  <c r="I34" i="55"/>
  <c r="H34" i="55"/>
  <c r="G34" i="55"/>
  <c r="F34" i="55"/>
  <c r="K31" i="55"/>
  <c r="J31" i="55"/>
  <c r="I31" i="55"/>
  <c r="H31" i="55"/>
  <c r="G31" i="55"/>
  <c r="F31" i="55"/>
  <c r="K29" i="55"/>
  <c r="J29" i="55"/>
  <c r="I29" i="55"/>
  <c r="H29" i="55"/>
  <c r="G29" i="55"/>
  <c r="F29" i="55"/>
  <c r="K28" i="55"/>
  <c r="J28" i="55"/>
  <c r="H28" i="55"/>
  <c r="G28" i="55"/>
  <c r="F28" i="55"/>
  <c r="K25" i="55"/>
  <c r="J25" i="55"/>
  <c r="I25" i="55"/>
  <c r="H25" i="55"/>
  <c r="G25" i="55"/>
  <c r="F25" i="55"/>
  <c r="K23" i="55"/>
  <c r="J23" i="55"/>
  <c r="I23" i="55"/>
  <c r="H23" i="55"/>
  <c r="G23" i="55"/>
  <c r="F23" i="55"/>
  <c r="K21" i="55"/>
  <c r="J21" i="55"/>
  <c r="I21" i="55"/>
  <c r="H21" i="55"/>
  <c r="G21" i="55"/>
  <c r="F21" i="55"/>
  <c r="K20" i="55"/>
  <c r="J20" i="55"/>
  <c r="I20" i="55"/>
  <c r="H20" i="55"/>
  <c r="G20" i="55"/>
  <c r="F20" i="55"/>
  <c r="K19" i="55"/>
  <c r="J19" i="55"/>
  <c r="I19" i="55"/>
  <c r="H19" i="55"/>
  <c r="G19" i="55"/>
  <c r="F19" i="55"/>
  <c r="K18" i="55"/>
  <c r="J18" i="55"/>
  <c r="I18" i="55"/>
  <c r="H18" i="55"/>
  <c r="G18" i="55"/>
  <c r="F18" i="55"/>
  <c r="K17" i="55"/>
  <c r="J17" i="55"/>
  <c r="I17" i="55"/>
  <c r="H17" i="55"/>
  <c r="G17" i="55"/>
  <c r="F17" i="55"/>
  <c r="K16" i="55"/>
  <c r="J16" i="55"/>
  <c r="I16" i="55"/>
  <c r="H16" i="55"/>
  <c r="G16" i="55"/>
  <c r="F16" i="55"/>
  <c r="K15" i="55"/>
  <c r="J15" i="55"/>
  <c r="I15" i="55"/>
  <c r="H15" i="55"/>
  <c r="G15" i="55"/>
  <c r="F15" i="55"/>
  <c r="K14" i="55"/>
  <c r="J14" i="55"/>
  <c r="I14" i="55"/>
  <c r="H14" i="55"/>
  <c r="G14" i="55"/>
  <c r="F14" i="55"/>
  <c r="K11" i="55"/>
  <c r="J11" i="55"/>
  <c r="I11" i="55"/>
  <c r="H11" i="55"/>
  <c r="G11" i="55"/>
  <c r="F11" i="55"/>
  <c r="K10" i="55"/>
  <c r="J10" i="55"/>
  <c r="I10" i="55"/>
  <c r="H10" i="55"/>
  <c r="G10" i="55"/>
  <c r="F10" i="55"/>
  <c r="V42" i="54"/>
  <c r="U42" i="54"/>
  <c r="T42" i="54"/>
  <c r="S42" i="54"/>
  <c r="R42" i="54"/>
  <c r="Q42" i="54"/>
  <c r="V39" i="54"/>
  <c r="U39" i="54"/>
  <c r="T39" i="54"/>
  <c r="S39" i="54"/>
  <c r="R39" i="54"/>
  <c r="Q39" i="54"/>
  <c r="V38" i="54"/>
  <c r="U38" i="54"/>
  <c r="T38" i="54"/>
  <c r="S38" i="54"/>
  <c r="R38" i="54"/>
  <c r="Q38" i="54"/>
  <c r="V37" i="54"/>
  <c r="U37" i="54"/>
  <c r="T37" i="54"/>
  <c r="S37" i="54"/>
  <c r="R37" i="54"/>
  <c r="Q37" i="54"/>
  <c r="V36" i="54"/>
  <c r="U36" i="54"/>
  <c r="T36" i="54"/>
  <c r="S36" i="54"/>
  <c r="R36" i="54"/>
  <c r="Q36" i="54"/>
  <c r="V35" i="54"/>
  <c r="U35" i="54"/>
  <c r="T35" i="54"/>
  <c r="S35" i="54"/>
  <c r="R35" i="54"/>
  <c r="Q35" i="54"/>
  <c r="V34" i="54"/>
  <c r="U34" i="54"/>
  <c r="T34" i="54"/>
  <c r="S34" i="54"/>
  <c r="R34" i="54"/>
  <c r="Q34" i="54"/>
  <c r="V31" i="54"/>
  <c r="U31" i="54"/>
  <c r="T31" i="54"/>
  <c r="S31" i="54"/>
  <c r="R31" i="54"/>
  <c r="Q31" i="54"/>
  <c r="V29" i="54"/>
  <c r="U29" i="54"/>
  <c r="T29" i="54"/>
  <c r="S29" i="54"/>
  <c r="R29" i="54"/>
  <c r="Q29" i="54"/>
  <c r="V28" i="54"/>
  <c r="U28" i="54"/>
  <c r="T28" i="54"/>
  <c r="S28" i="54"/>
  <c r="R28" i="54"/>
  <c r="Q28" i="54"/>
  <c r="V25" i="54"/>
  <c r="U25" i="54"/>
  <c r="T25" i="54"/>
  <c r="S25" i="54"/>
  <c r="R25" i="54"/>
  <c r="Q25" i="54"/>
  <c r="V23" i="54"/>
  <c r="U23" i="54"/>
  <c r="T23" i="54"/>
  <c r="S23" i="54"/>
  <c r="R23" i="54"/>
  <c r="Q23" i="54"/>
  <c r="V21" i="54"/>
  <c r="U21" i="54"/>
  <c r="T21" i="54"/>
  <c r="S21" i="54"/>
  <c r="R21" i="54"/>
  <c r="Q21" i="54"/>
  <c r="V20" i="54"/>
  <c r="U20" i="54"/>
  <c r="T20" i="54"/>
  <c r="S20" i="54"/>
  <c r="R20" i="54"/>
  <c r="Q20" i="54"/>
  <c r="V19" i="54"/>
  <c r="U19" i="54"/>
  <c r="T19" i="54"/>
  <c r="S19" i="54"/>
  <c r="R19" i="54"/>
  <c r="Q19" i="54"/>
  <c r="V18" i="54"/>
  <c r="U18" i="54"/>
  <c r="T18" i="54"/>
  <c r="S18" i="54"/>
  <c r="R18" i="54"/>
  <c r="Q18" i="54"/>
  <c r="V17" i="54"/>
  <c r="U17" i="54"/>
  <c r="T17" i="54"/>
  <c r="S17" i="54"/>
  <c r="R17" i="54"/>
  <c r="Q17" i="54"/>
  <c r="V16" i="54"/>
  <c r="U16" i="54"/>
  <c r="T16" i="54"/>
  <c r="S16" i="54"/>
  <c r="R16" i="54"/>
  <c r="Q16" i="54"/>
  <c r="V15" i="54"/>
  <c r="U15" i="54"/>
  <c r="T15" i="54"/>
  <c r="S15" i="54"/>
  <c r="R15" i="54"/>
  <c r="Q15" i="54"/>
  <c r="V14" i="54"/>
  <c r="U14" i="54"/>
  <c r="T14" i="54"/>
  <c r="S14" i="54"/>
  <c r="R14" i="54"/>
  <c r="Q14" i="54"/>
  <c r="V11" i="54"/>
  <c r="U11" i="54"/>
  <c r="T11" i="54"/>
  <c r="S11" i="54"/>
  <c r="R11" i="54"/>
  <c r="Q11" i="54"/>
  <c r="V10" i="54"/>
  <c r="U10" i="54"/>
  <c r="T10" i="54"/>
  <c r="S10" i="54"/>
  <c r="R10" i="54"/>
  <c r="Q10" i="54"/>
  <c r="K42" i="54"/>
  <c r="J42" i="54"/>
  <c r="I42" i="54"/>
  <c r="H42" i="54"/>
  <c r="G42" i="54"/>
  <c r="F42" i="54"/>
  <c r="K39" i="54"/>
  <c r="J39" i="54"/>
  <c r="I39" i="54"/>
  <c r="H39" i="54"/>
  <c r="G39" i="54"/>
  <c r="F39" i="54"/>
  <c r="K38" i="54"/>
  <c r="J38" i="54"/>
  <c r="I38" i="54"/>
  <c r="H38" i="54"/>
  <c r="G38" i="54"/>
  <c r="F38" i="54"/>
  <c r="K37" i="54"/>
  <c r="J37" i="54"/>
  <c r="I37" i="54"/>
  <c r="H37" i="54"/>
  <c r="G37" i="54"/>
  <c r="F37" i="54"/>
  <c r="K36" i="54"/>
  <c r="J36" i="54"/>
  <c r="I36" i="54"/>
  <c r="H36" i="54"/>
  <c r="G36" i="54"/>
  <c r="F36" i="54"/>
  <c r="K35" i="54"/>
  <c r="J35" i="54"/>
  <c r="I35" i="54"/>
  <c r="H35" i="54"/>
  <c r="G35" i="54"/>
  <c r="F35" i="54"/>
  <c r="K34" i="54"/>
  <c r="J34" i="54"/>
  <c r="I34" i="54"/>
  <c r="H34" i="54"/>
  <c r="G34" i="54"/>
  <c r="F34" i="54"/>
  <c r="K31" i="54"/>
  <c r="J31" i="54"/>
  <c r="I31" i="54"/>
  <c r="H31" i="54"/>
  <c r="G31" i="54"/>
  <c r="F31" i="54"/>
  <c r="K29" i="54"/>
  <c r="J29" i="54"/>
  <c r="I29" i="54"/>
  <c r="H29" i="54"/>
  <c r="G29" i="54"/>
  <c r="F29" i="54"/>
  <c r="K28" i="54"/>
  <c r="J28" i="54"/>
  <c r="H28" i="54"/>
  <c r="G28" i="54"/>
  <c r="F28" i="54"/>
  <c r="K25" i="54"/>
  <c r="J25" i="54"/>
  <c r="I25" i="54"/>
  <c r="H25" i="54"/>
  <c r="G25" i="54"/>
  <c r="F25" i="54"/>
  <c r="K23" i="54"/>
  <c r="J23" i="54"/>
  <c r="I23" i="54"/>
  <c r="H23" i="54"/>
  <c r="G23" i="54"/>
  <c r="F23" i="54"/>
  <c r="K21" i="54"/>
  <c r="J21" i="54"/>
  <c r="I21" i="54"/>
  <c r="H21" i="54"/>
  <c r="G21" i="54"/>
  <c r="F21" i="54"/>
  <c r="K20" i="54"/>
  <c r="J20" i="54"/>
  <c r="I20" i="54"/>
  <c r="H20" i="54"/>
  <c r="G20" i="54"/>
  <c r="F20" i="54"/>
  <c r="K19" i="54"/>
  <c r="J19" i="54"/>
  <c r="I19" i="54"/>
  <c r="H19" i="54"/>
  <c r="G19" i="54"/>
  <c r="F19" i="54"/>
  <c r="K18" i="54"/>
  <c r="J18" i="54"/>
  <c r="I18" i="54"/>
  <c r="H18" i="54"/>
  <c r="G18" i="54"/>
  <c r="F18" i="54"/>
  <c r="K17" i="54"/>
  <c r="J17" i="54"/>
  <c r="I17" i="54"/>
  <c r="H17" i="54"/>
  <c r="G17" i="54"/>
  <c r="F17" i="54"/>
  <c r="K16" i="54"/>
  <c r="J16" i="54"/>
  <c r="I16" i="54"/>
  <c r="H16" i="54"/>
  <c r="G16" i="54"/>
  <c r="F16" i="54"/>
  <c r="K15" i="54"/>
  <c r="J15" i="54"/>
  <c r="I15" i="54"/>
  <c r="H15" i="54"/>
  <c r="G15" i="54"/>
  <c r="F15" i="54"/>
  <c r="K14" i="54"/>
  <c r="J14" i="54"/>
  <c r="I14" i="54"/>
  <c r="H14" i="54"/>
  <c r="G14" i="54"/>
  <c r="F14" i="54"/>
  <c r="K11" i="54"/>
  <c r="J11" i="54"/>
  <c r="I11" i="54"/>
  <c r="H11" i="54"/>
  <c r="G11" i="54"/>
  <c r="F11" i="54"/>
  <c r="K10" i="54"/>
  <c r="J10" i="54"/>
  <c r="I10" i="54"/>
  <c r="H10" i="54"/>
  <c r="G10" i="54"/>
  <c r="F10" i="54"/>
  <c r="AL98" i="55"/>
  <c r="AL97" i="55"/>
  <c r="AL96" i="55"/>
  <c r="AL95" i="55"/>
  <c r="AL94" i="55"/>
  <c r="AL93" i="55"/>
  <c r="AL92" i="55"/>
  <c r="AL91" i="55"/>
  <c r="AL90" i="55"/>
  <c r="AA98" i="55"/>
  <c r="AA97" i="55"/>
  <c r="AA96" i="55"/>
  <c r="AA95" i="55"/>
  <c r="AA94" i="55"/>
  <c r="AA93" i="55"/>
  <c r="AA92" i="55"/>
  <c r="AA91" i="55"/>
  <c r="AA90" i="55"/>
  <c r="AG88" i="55"/>
  <c r="AG87" i="55"/>
  <c r="AG86" i="55"/>
  <c r="AG85" i="55"/>
  <c r="AG84" i="55"/>
  <c r="AG83" i="55"/>
  <c r="AG82" i="55"/>
  <c r="AG81" i="55"/>
  <c r="AG80" i="55"/>
  <c r="AL51" i="55"/>
  <c r="AL50" i="55"/>
  <c r="AL49" i="55"/>
  <c r="AL48" i="55"/>
  <c r="AL47" i="55"/>
  <c r="AL46" i="55"/>
  <c r="AL45" i="55"/>
  <c r="AL43" i="55"/>
  <c r="AL42" i="55"/>
  <c r="AL41" i="55"/>
  <c r="AL40" i="55"/>
  <c r="AL39" i="55"/>
  <c r="AL38" i="55"/>
  <c r="AL37" i="55"/>
  <c r="AL36" i="55"/>
  <c r="AL35" i="55"/>
  <c r="AL34" i="55"/>
  <c r="AL33" i="55"/>
  <c r="AL32" i="55"/>
  <c r="AL31" i="55"/>
  <c r="AL30" i="55"/>
  <c r="AL29" i="55"/>
  <c r="AL28" i="55"/>
  <c r="AL27" i="55"/>
  <c r="AL26" i="55"/>
  <c r="AL25" i="55"/>
  <c r="AL24" i="55"/>
  <c r="AL23" i="55"/>
  <c r="AL22" i="55"/>
  <c r="AL21" i="55"/>
  <c r="AL20" i="55"/>
  <c r="AL19" i="55"/>
  <c r="AL18" i="55"/>
  <c r="AL17" i="55"/>
  <c r="AL16" i="55"/>
  <c r="AL15" i="55"/>
  <c r="AL14" i="55"/>
  <c r="AL13" i="55"/>
  <c r="AL12" i="55"/>
  <c r="AL11" i="55"/>
  <c r="AL10" i="55"/>
  <c r="AL9" i="55"/>
  <c r="AA51" i="55"/>
  <c r="AA50" i="55"/>
  <c r="AA49" i="55"/>
  <c r="AA48" i="55"/>
  <c r="AA46" i="55"/>
  <c r="AA45" i="55"/>
  <c r="AA43" i="55"/>
  <c r="AA42" i="55"/>
  <c r="AA41" i="55"/>
  <c r="AA40" i="55"/>
  <c r="AA39" i="55"/>
  <c r="AA38" i="55"/>
  <c r="AA37" i="55"/>
  <c r="AA36" i="55"/>
  <c r="AA35" i="55"/>
  <c r="AA34" i="55"/>
  <c r="AA33" i="55"/>
  <c r="AA32" i="55"/>
  <c r="AA31" i="55"/>
  <c r="AA30" i="55"/>
  <c r="AA29" i="55"/>
  <c r="AA28" i="55"/>
  <c r="AA27" i="55"/>
  <c r="AA26" i="55"/>
  <c r="AA25" i="55"/>
  <c r="AA24" i="55"/>
  <c r="AA23" i="55"/>
  <c r="AA22" i="55"/>
  <c r="AA21" i="55"/>
  <c r="AA20" i="55"/>
  <c r="AA19" i="55"/>
  <c r="AA18" i="55"/>
  <c r="AA17" i="55"/>
  <c r="AA16" i="55"/>
  <c r="AA15" i="55"/>
  <c r="AA14" i="55"/>
  <c r="AA13" i="55"/>
  <c r="AA12" i="55"/>
  <c r="AA11" i="55"/>
  <c r="AA10" i="55"/>
  <c r="AA9" i="55"/>
  <c r="AM101" i="54"/>
  <c r="AG88" i="54"/>
  <c r="AG87" i="54"/>
  <c r="AG86" i="54"/>
  <c r="AG85" i="54"/>
  <c r="AG84" i="54"/>
  <c r="AG83" i="54"/>
  <c r="AG82" i="54"/>
  <c r="AG81" i="54"/>
  <c r="AG80" i="54"/>
  <c r="AM97" i="54"/>
  <c r="AM96" i="54"/>
  <c r="AM95" i="54"/>
  <c r="AM94" i="54"/>
  <c r="AM93" i="54"/>
  <c r="AM92" i="54"/>
  <c r="AM91" i="54"/>
  <c r="AM90" i="54"/>
  <c r="AM88" i="54"/>
  <c r="AM87" i="54"/>
  <c r="AM86" i="54"/>
  <c r="AM85" i="54"/>
  <c r="AM84" i="54"/>
  <c r="AM83" i="54"/>
  <c r="AM82" i="54"/>
  <c r="AM81" i="54"/>
  <c r="AM80" i="54"/>
  <c r="AM79" i="54"/>
  <c r="AM78" i="54"/>
  <c r="AM77" i="54"/>
  <c r="AM76" i="54"/>
  <c r="AM75" i="54"/>
  <c r="AM74" i="54"/>
  <c r="AM73" i="54"/>
  <c r="AM72" i="54"/>
  <c r="AM71" i="54"/>
  <c r="AM70" i="54"/>
  <c r="AM69" i="54"/>
  <c r="AM68" i="54"/>
  <c r="AM67" i="54"/>
  <c r="AM66" i="54"/>
  <c r="AM65" i="54"/>
  <c r="AM64" i="54"/>
  <c r="AM63" i="54"/>
  <c r="AM62" i="54"/>
  <c r="AM61" i="54"/>
  <c r="AM60" i="54"/>
  <c r="AM59" i="54"/>
  <c r="AM58" i="54"/>
  <c r="AM57" i="54"/>
  <c r="AM56" i="54"/>
  <c r="AM55" i="54"/>
  <c r="AM54" i="54"/>
  <c r="AM53" i="54"/>
  <c r="AM52" i="54"/>
  <c r="AM51" i="54"/>
  <c r="AM50" i="54"/>
  <c r="AM49" i="54"/>
  <c r="AM48" i="54"/>
  <c r="AM47" i="54"/>
  <c r="AM46" i="54"/>
  <c r="AM45" i="54"/>
  <c r="AM43" i="54"/>
  <c r="AM42" i="54"/>
  <c r="AM41" i="54"/>
  <c r="AM40" i="54"/>
  <c r="AM39" i="54"/>
  <c r="AM38" i="54"/>
  <c r="AM37" i="54"/>
  <c r="AM36" i="54"/>
  <c r="AM35" i="54"/>
  <c r="AM34" i="54"/>
  <c r="AM33" i="54"/>
  <c r="AM32" i="54"/>
  <c r="AM31" i="54"/>
  <c r="AM30" i="54"/>
  <c r="AM29" i="54"/>
  <c r="AM28" i="54"/>
  <c r="AM27" i="54"/>
  <c r="AM26" i="54"/>
  <c r="AM25" i="54"/>
  <c r="AM24" i="54"/>
  <c r="AM23" i="54"/>
  <c r="AM22" i="54"/>
  <c r="AM21" i="54"/>
  <c r="AM20" i="54"/>
  <c r="AM19" i="54"/>
  <c r="AM18" i="54"/>
  <c r="AM17" i="54"/>
  <c r="AM16" i="54"/>
  <c r="AM15" i="54"/>
  <c r="AM14" i="54"/>
  <c r="AM13" i="54"/>
  <c r="AM12" i="54"/>
  <c r="AM11" i="54"/>
  <c r="AM10" i="54"/>
  <c r="AM9" i="54"/>
  <c r="AA98" i="54"/>
  <c r="AA97" i="54"/>
  <c r="AA96" i="54"/>
  <c r="AA95" i="54"/>
  <c r="AA94" i="54"/>
  <c r="AA93" i="54"/>
  <c r="AA92" i="54"/>
  <c r="AA91" i="54"/>
  <c r="AA90" i="54"/>
  <c r="AA88" i="54"/>
  <c r="AA87" i="54"/>
  <c r="AA86" i="54"/>
  <c r="AA85" i="54"/>
  <c r="AA84" i="54"/>
  <c r="AA83" i="54"/>
  <c r="AA82" i="54"/>
  <c r="AA81" i="54"/>
  <c r="AA80" i="54"/>
  <c r="AA79" i="54"/>
  <c r="AA78" i="54"/>
  <c r="AA77" i="54"/>
  <c r="AA76" i="54"/>
  <c r="AA75" i="54"/>
  <c r="AA74" i="54"/>
  <c r="AA73" i="54"/>
  <c r="AA72" i="54"/>
  <c r="AA71" i="54"/>
  <c r="AA70" i="54"/>
  <c r="AA69" i="54"/>
  <c r="AA68" i="54"/>
  <c r="AA67" i="54"/>
  <c r="AA66" i="54"/>
  <c r="AA65" i="54"/>
  <c r="AA64" i="54"/>
  <c r="AA63" i="54"/>
  <c r="AA62" i="54"/>
  <c r="AA61" i="54"/>
  <c r="AA60" i="54"/>
  <c r="AA59" i="54"/>
  <c r="AA58" i="54"/>
  <c r="AA57" i="54"/>
  <c r="AA56" i="54"/>
  <c r="AA55" i="54"/>
  <c r="AA54" i="54"/>
  <c r="AA53" i="54"/>
  <c r="AA52" i="54"/>
  <c r="AA51" i="54"/>
  <c r="AA50" i="54"/>
  <c r="AA49" i="54"/>
  <c r="AA48" i="54"/>
  <c r="AA46" i="54"/>
  <c r="AA45" i="54"/>
  <c r="AA43" i="54"/>
  <c r="AA42" i="54"/>
  <c r="AA41" i="54"/>
  <c r="AA40" i="54"/>
  <c r="AA39" i="54"/>
  <c r="AA38" i="54"/>
  <c r="AA37" i="54"/>
  <c r="AA36" i="54"/>
  <c r="AA35" i="54"/>
  <c r="AA34" i="54"/>
  <c r="AA33" i="54"/>
  <c r="AA32" i="54"/>
  <c r="AA31" i="54"/>
  <c r="AA30" i="54"/>
  <c r="AA29" i="54"/>
  <c r="AA28" i="54"/>
  <c r="AA27" i="54"/>
  <c r="AA26" i="54"/>
  <c r="AA25" i="54"/>
  <c r="AA24" i="54"/>
  <c r="AA23" i="54"/>
  <c r="AA22" i="54"/>
  <c r="AA21" i="54"/>
  <c r="AA20" i="54"/>
  <c r="AA19" i="54"/>
  <c r="AA18" i="54"/>
  <c r="AA17" i="54"/>
  <c r="AA16" i="54"/>
  <c r="AA15" i="54"/>
  <c r="AA14" i="54"/>
  <c r="AA13" i="54"/>
  <c r="AA12" i="54"/>
  <c r="AA11" i="54"/>
  <c r="AA10" i="54"/>
  <c r="AA9" i="54"/>
  <c r="N42" i="55"/>
  <c r="M42" i="55"/>
  <c r="N39" i="55"/>
  <c r="M39" i="55"/>
  <c r="N38" i="55"/>
  <c r="M38" i="55"/>
  <c r="N37" i="55"/>
  <c r="M37" i="55"/>
  <c r="N36" i="55"/>
  <c r="M36" i="55"/>
  <c r="N35" i="55"/>
  <c r="M35" i="55"/>
  <c r="N34" i="55"/>
  <c r="M34" i="55"/>
  <c r="N31" i="55"/>
  <c r="M31" i="55"/>
  <c r="N29" i="55"/>
  <c r="M29" i="55"/>
  <c r="N28" i="55"/>
  <c r="M28" i="55"/>
  <c r="N25" i="55"/>
  <c r="M25" i="55"/>
  <c r="N23" i="55"/>
  <c r="M23" i="55"/>
  <c r="N21" i="55"/>
  <c r="M21" i="55"/>
  <c r="N20" i="55"/>
  <c r="M20" i="55"/>
  <c r="N19" i="55"/>
  <c r="M19" i="55"/>
  <c r="N18" i="55"/>
  <c r="M18" i="55"/>
  <c r="N17" i="55"/>
  <c r="M17" i="55"/>
  <c r="N16" i="55"/>
  <c r="M16" i="55"/>
  <c r="N15" i="55"/>
  <c r="M15" i="55"/>
  <c r="N14" i="55"/>
  <c r="M14" i="55"/>
  <c r="N11" i="55"/>
  <c r="M11" i="55"/>
  <c r="N10" i="55"/>
  <c r="M10" i="55"/>
  <c r="Y42" i="55"/>
  <c r="Y39" i="55"/>
  <c r="Y38" i="55"/>
  <c r="Y37" i="55"/>
  <c r="Y36" i="55"/>
  <c r="Y35" i="55"/>
  <c r="Y34" i="55"/>
  <c r="Y31" i="55"/>
  <c r="Y29" i="55"/>
  <c r="Y28" i="55"/>
  <c r="Y25" i="55"/>
  <c r="Y23" i="55"/>
  <c r="Y21" i="55"/>
  <c r="Y20" i="55"/>
  <c r="Y19" i="55"/>
  <c r="Y18" i="55"/>
  <c r="Y17" i="55"/>
  <c r="Y16" i="55"/>
  <c r="Y15" i="55"/>
  <c r="Y14" i="55"/>
  <c r="Y11" i="55"/>
  <c r="Y10" i="55"/>
  <c r="N42" i="54"/>
  <c r="M42" i="54"/>
  <c r="N39" i="54"/>
  <c r="M39" i="54"/>
  <c r="N38" i="54"/>
  <c r="M38" i="54"/>
  <c r="N37" i="54"/>
  <c r="M37" i="54"/>
  <c r="N36" i="54"/>
  <c r="M36" i="54"/>
  <c r="N35" i="54"/>
  <c r="M35" i="54"/>
  <c r="N34" i="54"/>
  <c r="M34" i="54"/>
  <c r="N31" i="54"/>
  <c r="M31" i="54"/>
  <c r="N29" i="54"/>
  <c r="M29" i="54"/>
  <c r="N28" i="54"/>
  <c r="M28" i="54"/>
  <c r="N25" i="54"/>
  <c r="M25" i="54"/>
  <c r="N23" i="54"/>
  <c r="M23" i="54"/>
  <c r="N21" i="54"/>
  <c r="M21" i="54"/>
  <c r="N20" i="54"/>
  <c r="M20" i="54"/>
  <c r="N19" i="54"/>
  <c r="M19" i="54"/>
  <c r="N18" i="54"/>
  <c r="M18" i="54"/>
  <c r="N17" i="54"/>
  <c r="M17" i="54"/>
  <c r="N16" i="54"/>
  <c r="M16" i="54"/>
  <c r="N15" i="54"/>
  <c r="M15" i="54"/>
  <c r="N14" i="54"/>
  <c r="M14" i="54"/>
  <c r="N11" i="54"/>
  <c r="M11" i="54"/>
  <c r="N10" i="54"/>
  <c r="M10" i="54"/>
  <c r="Y42" i="54"/>
  <c r="Y39" i="54"/>
  <c r="Y38" i="54"/>
  <c r="Y37" i="54"/>
  <c r="Y36" i="54"/>
  <c r="Y35" i="54"/>
  <c r="Y34" i="54"/>
  <c r="Y31" i="54"/>
  <c r="Y29" i="54"/>
  <c r="Y28" i="54"/>
  <c r="Y25" i="54"/>
  <c r="Y23" i="54"/>
  <c r="Y21" i="54"/>
  <c r="Y20" i="54"/>
  <c r="Y19" i="54"/>
  <c r="Y18" i="54"/>
  <c r="Y17" i="54"/>
  <c r="Y16" i="54"/>
  <c r="Y15" i="54"/>
  <c r="Y14" i="54"/>
  <c r="Y11" i="54"/>
  <c r="Y10" i="54"/>
  <c r="X43" i="55"/>
  <c r="X32" i="55"/>
  <c r="X43" i="54"/>
  <c r="V97" i="55"/>
  <c r="U97" i="55"/>
  <c r="T97" i="55"/>
  <c r="S97" i="55"/>
  <c r="R97" i="55"/>
  <c r="Q97" i="55"/>
  <c r="V96" i="55"/>
  <c r="U96" i="55"/>
  <c r="T96" i="55"/>
  <c r="S96" i="55"/>
  <c r="R96" i="55"/>
  <c r="Q96" i="55"/>
  <c r="V95" i="55"/>
  <c r="U95" i="55"/>
  <c r="T95" i="55"/>
  <c r="S95" i="55"/>
  <c r="R95" i="55"/>
  <c r="Q95" i="55"/>
  <c r="V94" i="55"/>
  <c r="U94" i="55"/>
  <c r="T94" i="55"/>
  <c r="S94" i="55"/>
  <c r="R94" i="55"/>
  <c r="Q94" i="55"/>
  <c r="V93" i="55"/>
  <c r="U93" i="55"/>
  <c r="T93" i="55"/>
  <c r="S93" i="55"/>
  <c r="R93" i="55"/>
  <c r="Q93" i="55"/>
  <c r="V92" i="55"/>
  <c r="U92" i="55"/>
  <c r="T92" i="55"/>
  <c r="S92" i="55"/>
  <c r="R92" i="55"/>
  <c r="Q92" i="55"/>
  <c r="V91" i="55"/>
  <c r="U91" i="55"/>
  <c r="T91" i="55"/>
  <c r="S91" i="55"/>
  <c r="R91" i="55"/>
  <c r="Q91" i="55"/>
  <c r="V90" i="55"/>
  <c r="U90" i="55"/>
  <c r="T90" i="55"/>
  <c r="S90" i="55"/>
  <c r="R90" i="55"/>
  <c r="Q90" i="55"/>
  <c r="V51" i="55"/>
  <c r="U51" i="55"/>
  <c r="T51" i="55"/>
  <c r="S51" i="55"/>
  <c r="R51" i="55"/>
  <c r="Q51" i="55"/>
  <c r="V50" i="55"/>
  <c r="U50" i="55"/>
  <c r="T50" i="55"/>
  <c r="S50" i="55"/>
  <c r="R50" i="55"/>
  <c r="Q50" i="55"/>
  <c r="V49" i="55"/>
  <c r="U49" i="55"/>
  <c r="T49" i="55"/>
  <c r="S49" i="55"/>
  <c r="R49" i="55"/>
  <c r="Q49" i="55"/>
  <c r="V46" i="55"/>
  <c r="U46" i="55"/>
  <c r="T46" i="55"/>
  <c r="S46" i="55"/>
  <c r="R46" i="55"/>
  <c r="Q46" i="55"/>
  <c r="V45" i="55"/>
  <c r="U45" i="55"/>
  <c r="T45" i="55"/>
  <c r="S45" i="55"/>
  <c r="R45" i="55"/>
  <c r="Q45" i="55"/>
  <c r="V43" i="55"/>
  <c r="U43" i="55"/>
  <c r="T43" i="55"/>
  <c r="S43" i="55"/>
  <c r="R43" i="55"/>
  <c r="Q43" i="55"/>
  <c r="V41" i="55"/>
  <c r="U41" i="55"/>
  <c r="T41" i="55"/>
  <c r="S41" i="55"/>
  <c r="R41" i="55"/>
  <c r="Q41" i="55"/>
  <c r="V40" i="55"/>
  <c r="U40" i="55"/>
  <c r="T40" i="55"/>
  <c r="S40" i="55"/>
  <c r="R40" i="55"/>
  <c r="Q40" i="55"/>
  <c r="V33" i="55"/>
  <c r="U33" i="55"/>
  <c r="T33" i="55"/>
  <c r="S33" i="55"/>
  <c r="R33" i="55"/>
  <c r="Q33" i="55"/>
  <c r="V32" i="55"/>
  <c r="U32" i="55"/>
  <c r="T32" i="55"/>
  <c r="S32" i="55"/>
  <c r="R32" i="55"/>
  <c r="Q32" i="55"/>
  <c r="V30" i="55"/>
  <c r="U30" i="55"/>
  <c r="T30" i="55"/>
  <c r="S30" i="55"/>
  <c r="R30" i="55"/>
  <c r="Q30" i="55"/>
  <c r="V27" i="55"/>
  <c r="U27" i="55"/>
  <c r="T27" i="55"/>
  <c r="S27" i="55"/>
  <c r="R27" i="55"/>
  <c r="Q27" i="55"/>
  <c r="V26" i="55"/>
  <c r="U26" i="55"/>
  <c r="T26" i="55"/>
  <c r="S26" i="55"/>
  <c r="R26" i="55"/>
  <c r="Q26" i="55"/>
  <c r="V24" i="55"/>
  <c r="U24" i="55"/>
  <c r="T24" i="55"/>
  <c r="V22" i="55"/>
  <c r="U22" i="55"/>
  <c r="T22" i="55"/>
  <c r="S22" i="55"/>
  <c r="R22" i="55"/>
  <c r="Q22" i="55"/>
  <c r="V13" i="55"/>
  <c r="U13" i="55"/>
  <c r="T13" i="55"/>
  <c r="S13" i="55"/>
  <c r="R13" i="55"/>
  <c r="Q13" i="55"/>
  <c r="V12" i="55"/>
  <c r="U12" i="55"/>
  <c r="T12" i="55"/>
  <c r="S12" i="55"/>
  <c r="R12" i="55"/>
  <c r="Q12" i="55"/>
  <c r="V9" i="55"/>
  <c r="U9" i="55"/>
  <c r="T9" i="55"/>
  <c r="S9" i="55"/>
  <c r="R9" i="55"/>
  <c r="Q9" i="55"/>
  <c r="V97" i="54"/>
  <c r="U97" i="54"/>
  <c r="T97" i="54"/>
  <c r="S97" i="54"/>
  <c r="R97" i="54"/>
  <c r="Q97" i="54"/>
  <c r="V96" i="54"/>
  <c r="U96" i="54"/>
  <c r="T96" i="54"/>
  <c r="S96" i="54"/>
  <c r="R96" i="54"/>
  <c r="Q96" i="54"/>
  <c r="V95" i="54"/>
  <c r="U95" i="54"/>
  <c r="T95" i="54"/>
  <c r="S95" i="54"/>
  <c r="R95" i="54"/>
  <c r="Q95" i="54"/>
  <c r="V94" i="54"/>
  <c r="U94" i="54"/>
  <c r="T94" i="54"/>
  <c r="S94" i="54"/>
  <c r="R94" i="54"/>
  <c r="Q94" i="54"/>
  <c r="V93" i="54"/>
  <c r="U93" i="54"/>
  <c r="T93" i="54"/>
  <c r="S93" i="54"/>
  <c r="R93" i="54"/>
  <c r="Q93" i="54"/>
  <c r="V92" i="54"/>
  <c r="U92" i="54"/>
  <c r="T92" i="54"/>
  <c r="S92" i="54"/>
  <c r="R92" i="54"/>
  <c r="Q92" i="54"/>
  <c r="V91" i="54"/>
  <c r="U91" i="54"/>
  <c r="T91" i="54"/>
  <c r="S91" i="54"/>
  <c r="R91" i="54"/>
  <c r="Q91" i="54"/>
  <c r="V90" i="54"/>
  <c r="U90" i="54"/>
  <c r="T90" i="54"/>
  <c r="S90" i="54"/>
  <c r="R90" i="54"/>
  <c r="Q90" i="54"/>
  <c r="V51" i="54"/>
  <c r="U51" i="54"/>
  <c r="T51" i="54"/>
  <c r="S51" i="54"/>
  <c r="R51" i="54"/>
  <c r="Q51" i="54"/>
  <c r="V50" i="54"/>
  <c r="U50" i="54"/>
  <c r="T50" i="54"/>
  <c r="S50" i="54"/>
  <c r="R50" i="54"/>
  <c r="Q50" i="54"/>
  <c r="V49" i="54"/>
  <c r="U49" i="54"/>
  <c r="T49" i="54"/>
  <c r="S49" i="54"/>
  <c r="R49" i="54"/>
  <c r="Q49" i="54"/>
  <c r="V46" i="54"/>
  <c r="U46" i="54"/>
  <c r="T46" i="54"/>
  <c r="S46" i="54"/>
  <c r="R46" i="54"/>
  <c r="Q46" i="54"/>
  <c r="V45" i="54"/>
  <c r="U45" i="54"/>
  <c r="T45" i="54"/>
  <c r="S45" i="54"/>
  <c r="R45" i="54"/>
  <c r="Q45" i="54"/>
  <c r="V43" i="54"/>
  <c r="U43" i="54"/>
  <c r="T43" i="54"/>
  <c r="S43" i="54"/>
  <c r="R43" i="54"/>
  <c r="Q43" i="54"/>
  <c r="V41" i="54"/>
  <c r="U41" i="54"/>
  <c r="T41" i="54"/>
  <c r="S41" i="54"/>
  <c r="R41" i="54"/>
  <c r="Q41" i="54"/>
  <c r="V40" i="54"/>
  <c r="U40" i="54"/>
  <c r="T40" i="54"/>
  <c r="S40" i="54"/>
  <c r="R40" i="54"/>
  <c r="Q40" i="54"/>
  <c r="V33" i="54"/>
  <c r="U33" i="54"/>
  <c r="T33" i="54"/>
  <c r="S33" i="54"/>
  <c r="R33" i="54"/>
  <c r="Q33" i="54"/>
  <c r="V32" i="54"/>
  <c r="U32" i="54"/>
  <c r="T32" i="54"/>
  <c r="S32" i="54"/>
  <c r="R32" i="54"/>
  <c r="Q32" i="54"/>
  <c r="V30" i="54"/>
  <c r="U30" i="54"/>
  <c r="T30" i="54"/>
  <c r="S30" i="54"/>
  <c r="R30" i="54"/>
  <c r="Q30" i="54"/>
  <c r="V27" i="54"/>
  <c r="U27" i="54"/>
  <c r="T27" i="54"/>
  <c r="S27" i="54"/>
  <c r="R27" i="54"/>
  <c r="Q27" i="54"/>
  <c r="V26" i="54"/>
  <c r="U26" i="54"/>
  <c r="T26" i="54"/>
  <c r="S26" i="54"/>
  <c r="R26" i="54"/>
  <c r="Q26" i="54"/>
  <c r="V22" i="54"/>
  <c r="U22" i="54"/>
  <c r="T22" i="54"/>
  <c r="S22" i="54"/>
  <c r="R22" i="54"/>
  <c r="Q22" i="54"/>
  <c r="V13" i="54"/>
  <c r="U13" i="54"/>
  <c r="T13" i="54"/>
  <c r="S13" i="54"/>
  <c r="R13" i="54"/>
  <c r="Q13" i="54"/>
  <c r="V12" i="54"/>
  <c r="U12" i="54"/>
  <c r="T12" i="54"/>
  <c r="S12" i="54"/>
  <c r="R12" i="54"/>
  <c r="Q12" i="54"/>
  <c r="V9" i="54"/>
  <c r="U9" i="54"/>
  <c r="T9" i="54"/>
  <c r="S9" i="54"/>
  <c r="R9" i="54"/>
  <c r="Q9" i="54"/>
  <c r="X93" i="55"/>
  <c r="X82" i="55"/>
  <c r="X76" i="55"/>
  <c r="X66" i="55"/>
  <c r="X50" i="55"/>
  <c r="X49" i="55"/>
  <c r="X46" i="55"/>
  <c r="X45" i="55"/>
  <c r="X42" i="55"/>
  <c r="X41" i="55"/>
  <c r="X39" i="55"/>
  <c r="X38" i="55"/>
  <c r="X37" i="55"/>
  <c r="X36" i="55"/>
  <c r="X35" i="55"/>
  <c r="X34" i="55"/>
  <c r="X33" i="55"/>
  <c r="X31" i="55"/>
  <c r="X30" i="55"/>
  <c r="X29" i="55"/>
  <c r="X28" i="55"/>
  <c r="X26" i="55"/>
  <c r="X25" i="55"/>
  <c r="X24" i="55"/>
  <c r="X23" i="55"/>
  <c r="X21" i="55"/>
  <c r="X20" i="55"/>
  <c r="X19" i="55"/>
  <c r="X18" i="55"/>
  <c r="X17" i="55"/>
  <c r="X16" i="55"/>
  <c r="X15" i="55"/>
  <c r="X14" i="55"/>
  <c r="X13" i="55"/>
  <c r="X12" i="55"/>
  <c r="X11" i="55"/>
  <c r="X10" i="55"/>
  <c r="X9" i="55"/>
  <c r="X93" i="54"/>
  <c r="X50" i="54"/>
  <c r="X49" i="54"/>
  <c r="X46" i="54"/>
  <c r="X45" i="54"/>
  <c r="Y43" i="54"/>
  <c r="Y43" i="55" s="1"/>
  <c r="X42" i="54"/>
  <c r="X41" i="54"/>
  <c r="X39" i="54"/>
  <c r="X38" i="54"/>
  <c r="X37" i="54"/>
  <c r="X36" i="54"/>
  <c r="X35" i="54"/>
  <c r="X34" i="54"/>
  <c r="X33" i="54"/>
  <c r="X31" i="54"/>
  <c r="X30" i="54"/>
  <c r="X29" i="54"/>
  <c r="X28" i="54"/>
  <c r="X26" i="54"/>
  <c r="X25" i="54"/>
  <c r="X24" i="54"/>
  <c r="X23" i="54"/>
  <c r="X21" i="54"/>
  <c r="X20" i="54"/>
  <c r="X19" i="54"/>
  <c r="X18" i="54"/>
  <c r="X17" i="54"/>
  <c r="X16" i="54"/>
  <c r="X15" i="54"/>
  <c r="X14" i="54"/>
  <c r="X13" i="54"/>
  <c r="X12" i="54"/>
  <c r="X11" i="54"/>
  <c r="X10" i="54"/>
  <c r="X9" i="54"/>
  <c r="K97" i="55"/>
  <c r="J97" i="55"/>
  <c r="I97" i="55"/>
  <c r="H97" i="55"/>
  <c r="G97" i="55"/>
  <c r="F97" i="55"/>
  <c r="K96" i="55"/>
  <c r="J96" i="55"/>
  <c r="I96" i="55"/>
  <c r="H96" i="55"/>
  <c r="G96" i="55"/>
  <c r="F96" i="55"/>
  <c r="K95" i="55"/>
  <c r="J95" i="55"/>
  <c r="I95" i="55"/>
  <c r="H95" i="55"/>
  <c r="G95" i="55"/>
  <c r="F95" i="55"/>
  <c r="K94" i="55"/>
  <c r="J94" i="55"/>
  <c r="I94" i="55"/>
  <c r="H94" i="55"/>
  <c r="G94" i="55"/>
  <c r="F94" i="55"/>
  <c r="K93" i="55"/>
  <c r="J93" i="55"/>
  <c r="I93" i="55"/>
  <c r="H93" i="55"/>
  <c r="G93" i="55"/>
  <c r="F93" i="55"/>
  <c r="K92" i="55"/>
  <c r="J92" i="55"/>
  <c r="I92" i="55"/>
  <c r="H92" i="55"/>
  <c r="G92" i="55"/>
  <c r="F92" i="55"/>
  <c r="K91" i="55"/>
  <c r="J91" i="55"/>
  <c r="I91" i="55"/>
  <c r="H91" i="55"/>
  <c r="G91" i="55"/>
  <c r="F91" i="55"/>
  <c r="K90" i="55"/>
  <c r="J90" i="55"/>
  <c r="I90" i="55"/>
  <c r="H90" i="55"/>
  <c r="G90" i="55"/>
  <c r="F90" i="55"/>
  <c r="K51" i="55"/>
  <c r="J51" i="55"/>
  <c r="I51" i="55"/>
  <c r="H51" i="55"/>
  <c r="G51" i="55"/>
  <c r="F51" i="55"/>
  <c r="K50" i="55"/>
  <c r="J50" i="55"/>
  <c r="I50" i="55"/>
  <c r="H50" i="55"/>
  <c r="G50" i="55"/>
  <c r="F50" i="55"/>
  <c r="K49" i="55"/>
  <c r="J49" i="55"/>
  <c r="I49" i="55"/>
  <c r="H49" i="55"/>
  <c r="G49" i="55"/>
  <c r="F49" i="55"/>
  <c r="K46" i="55"/>
  <c r="J46" i="55"/>
  <c r="I46" i="55"/>
  <c r="H46" i="55"/>
  <c r="G46" i="55"/>
  <c r="F46" i="55"/>
  <c r="K45" i="55"/>
  <c r="J45" i="55"/>
  <c r="I45" i="55"/>
  <c r="H45" i="55"/>
  <c r="G45" i="55"/>
  <c r="F45" i="55"/>
  <c r="K43" i="55"/>
  <c r="J43" i="55"/>
  <c r="I43" i="55"/>
  <c r="H43" i="55"/>
  <c r="G43" i="55"/>
  <c r="F43" i="55"/>
  <c r="K41" i="55"/>
  <c r="J41" i="55"/>
  <c r="I41" i="55"/>
  <c r="H41" i="55"/>
  <c r="G41" i="55"/>
  <c r="F41" i="55"/>
  <c r="K40" i="55"/>
  <c r="J40" i="55"/>
  <c r="I40" i="55"/>
  <c r="H40" i="55"/>
  <c r="G40" i="55"/>
  <c r="F40" i="55"/>
  <c r="K33" i="55"/>
  <c r="J33" i="55"/>
  <c r="I33" i="55"/>
  <c r="H33" i="55"/>
  <c r="G33" i="55"/>
  <c r="F33" i="55"/>
  <c r="K32" i="55"/>
  <c r="J32" i="55"/>
  <c r="I32" i="55"/>
  <c r="H32" i="55"/>
  <c r="G32" i="55"/>
  <c r="F32" i="55"/>
  <c r="K30" i="55"/>
  <c r="J30" i="55"/>
  <c r="I30" i="55"/>
  <c r="H30" i="55"/>
  <c r="G30" i="55"/>
  <c r="F30" i="55"/>
  <c r="K27" i="55"/>
  <c r="J27" i="55"/>
  <c r="I27" i="55"/>
  <c r="H27" i="55"/>
  <c r="G27" i="55"/>
  <c r="F27" i="55"/>
  <c r="K26" i="55"/>
  <c r="J26" i="55"/>
  <c r="I26" i="55"/>
  <c r="H26" i="55"/>
  <c r="G26" i="55"/>
  <c r="F26" i="55"/>
  <c r="K22" i="55"/>
  <c r="J22" i="55"/>
  <c r="I22" i="55"/>
  <c r="H22" i="55"/>
  <c r="G22" i="55"/>
  <c r="F22" i="55"/>
  <c r="K13" i="55"/>
  <c r="J13" i="55"/>
  <c r="I13" i="55"/>
  <c r="H13" i="55"/>
  <c r="G13" i="55"/>
  <c r="F13" i="55"/>
  <c r="K12" i="55"/>
  <c r="J12" i="55"/>
  <c r="I12" i="55"/>
  <c r="H12" i="55"/>
  <c r="G12" i="55"/>
  <c r="F12" i="55"/>
  <c r="K9" i="55"/>
  <c r="J9" i="55"/>
  <c r="I9" i="55"/>
  <c r="H9" i="55"/>
  <c r="G9" i="55"/>
  <c r="F9" i="55"/>
  <c r="K97" i="54"/>
  <c r="J97" i="54"/>
  <c r="I97" i="54"/>
  <c r="H97" i="54"/>
  <c r="G97" i="54"/>
  <c r="F97" i="54"/>
  <c r="K96" i="54"/>
  <c r="J96" i="54"/>
  <c r="I96" i="54"/>
  <c r="H96" i="54"/>
  <c r="G96" i="54"/>
  <c r="F96" i="54"/>
  <c r="K95" i="54"/>
  <c r="J95" i="54"/>
  <c r="I95" i="54"/>
  <c r="H95" i="54"/>
  <c r="G95" i="54"/>
  <c r="F95" i="54"/>
  <c r="K94" i="54"/>
  <c r="J94" i="54"/>
  <c r="I94" i="54"/>
  <c r="H94" i="54"/>
  <c r="G94" i="54"/>
  <c r="F94" i="54"/>
  <c r="K93" i="54"/>
  <c r="J93" i="54"/>
  <c r="I93" i="54"/>
  <c r="H93" i="54"/>
  <c r="G93" i="54"/>
  <c r="F93" i="54"/>
  <c r="K92" i="54"/>
  <c r="J92" i="54"/>
  <c r="I92" i="54"/>
  <c r="H92" i="54"/>
  <c r="G92" i="54"/>
  <c r="F92" i="54"/>
  <c r="K91" i="54"/>
  <c r="J91" i="54"/>
  <c r="I91" i="54"/>
  <c r="H91" i="54"/>
  <c r="G91" i="54"/>
  <c r="F91" i="54"/>
  <c r="K90" i="54"/>
  <c r="J90" i="54"/>
  <c r="I90" i="54"/>
  <c r="H90" i="54"/>
  <c r="G90" i="54"/>
  <c r="F90" i="54"/>
  <c r="K51" i="54"/>
  <c r="J51" i="54"/>
  <c r="I51" i="54"/>
  <c r="H51" i="54"/>
  <c r="G51" i="54"/>
  <c r="F51" i="54"/>
  <c r="K50" i="54"/>
  <c r="J50" i="54"/>
  <c r="I50" i="54"/>
  <c r="H50" i="54"/>
  <c r="G50" i="54"/>
  <c r="F50" i="54"/>
  <c r="K49" i="54"/>
  <c r="J49" i="54"/>
  <c r="I49" i="54"/>
  <c r="H49" i="54"/>
  <c r="G49" i="54"/>
  <c r="F49" i="54"/>
  <c r="K46" i="54"/>
  <c r="J46" i="54"/>
  <c r="I46" i="54"/>
  <c r="H46" i="54"/>
  <c r="G46" i="54"/>
  <c r="F46" i="54"/>
  <c r="K45" i="54"/>
  <c r="J45" i="54"/>
  <c r="I45" i="54"/>
  <c r="H45" i="54"/>
  <c r="G45" i="54"/>
  <c r="F45" i="54"/>
  <c r="K43" i="54"/>
  <c r="J43" i="54"/>
  <c r="I43" i="54"/>
  <c r="H43" i="54"/>
  <c r="G43" i="54"/>
  <c r="F43" i="54"/>
  <c r="K41" i="54"/>
  <c r="J41" i="54"/>
  <c r="I41" i="54"/>
  <c r="H41" i="54"/>
  <c r="G41" i="54"/>
  <c r="F41" i="54"/>
  <c r="K40" i="54"/>
  <c r="J40" i="54"/>
  <c r="I40" i="54"/>
  <c r="H40" i="54"/>
  <c r="G40" i="54"/>
  <c r="F40" i="54"/>
  <c r="K33" i="54"/>
  <c r="J33" i="54"/>
  <c r="I33" i="54"/>
  <c r="H33" i="54"/>
  <c r="G33" i="54"/>
  <c r="F33" i="54"/>
  <c r="K32" i="54"/>
  <c r="J32" i="54"/>
  <c r="I32" i="54"/>
  <c r="H32" i="54"/>
  <c r="G32" i="54"/>
  <c r="F32" i="54"/>
  <c r="K30" i="54"/>
  <c r="J30" i="54"/>
  <c r="I30" i="54"/>
  <c r="H30" i="54"/>
  <c r="G30" i="54"/>
  <c r="F30" i="54"/>
  <c r="K27" i="54"/>
  <c r="J27" i="54"/>
  <c r="I27" i="54"/>
  <c r="H27" i="54"/>
  <c r="G27" i="54"/>
  <c r="F27" i="54"/>
  <c r="K26" i="54"/>
  <c r="J26" i="54"/>
  <c r="I26" i="54"/>
  <c r="H26" i="54"/>
  <c r="G26" i="54"/>
  <c r="F26" i="54"/>
  <c r="K22" i="54"/>
  <c r="J22" i="54"/>
  <c r="I22" i="54"/>
  <c r="H22" i="54"/>
  <c r="G22" i="54"/>
  <c r="F22" i="54"/>
  <c r="K13" i="54"/>
  <c r="J13" i="54"/>
  <c r="I13" i="54"/>
  <c r="H13" i="54"/>
  <c r="G13" i="54"/>
  <c r="F13" i="54"/>
  <c r="K12" i="54"/>
  <c r="J12" i="54"/>
  <c r="I12" i="54"/>
  <c r="H12" i="54"/>
  <c r="G12" i="54"/>
  <c r="F12" i="54"/>
  <c r="K9" i="54"/>
  <c r="J9" i="54"/>
  <c r="I9" i="54"/>
  <c r="H9" i="54"/>
  <c r="G9" i="54"/>
  <c r="F9" i="54"/>
  <c r="D31" i="3"/>
  <c r="C31" i="3"/>
  <c r="B31" i="3"/>
  <c r="D30" i="3"/>
  <c r="C30" i="3"/>
  <c r="B30" i="3"/>
  <c r="D29" i="3"/>
  <c r="C29" i="3"/>
  <c r="B29" i="3"/>
  <c r="D37" i="3"/>
  <c r="C37" i="3"/>
  <c r="D36" i="3"/>
  <c r="C36" i="3"/>
  <c r="D35" i="3"/>
  <c r="C35" i="3"/>
  <c r="D34" i="3"/>
  <c r="C34" i="3"/>
  <c r="D33" i="3"/>
  <c r="C33" i="3"/>
  <c r="D32" i="3"/>
  <c r="C32" i="3"/>
  <c r="D28" i="3"/>
  <c r="C28" i="3"/>
  <c r="D27" i="3"/>
  <c r="C27" i="3"/>
  <c r="D26" i="3"/>
  <c r="C26" i="3"/>
  <c r="D25" i="3"/>
  <c r="C25" i="3"/>
  <c r="D24" i="3"/>
  <c r="C24" i="3"/>
  <c r="D23" i="3"/>
  <c r="C23" i="3"/>
  <c r="D22" i="3"/>
  <c r="C22" i="3"/>
  <c r="D21" i="3"/>
  <c r="C21" i="3"/>
  <c r="D20" i="3"/>
  <c r="C20" i="3"/>
  <c r="D19" i="3"/>
  <c r="C19" i="3"/>
  <c r="D18" i="3"/>
  <c r="C18" i="3"/>
  <c r="D17" i="3"/>
  <c r="C17" i="3"/>
  <c r="D16" i="3"/>
  <c r="C16" i="3"/>
  <c r="D15" i="3"/>
  <c r="C15" i="3"/>
  <c r="D14" i="3"/>
  <c r="C14" i="3"/>
  <c r="D13" i="3"/>
  <c r="C13" i="3"/>
  <c r="D12" i="3"/>
  <c r="C12" i="3"/>
  <c r="D11" i="3"/>
  <c r="C11" i="3"/>
  <c r="D10" i="3"/>
  <c r="C10" i="3"/>
  <c r="D9" i="3"/>
  <c r="C9" i="3"/>
  <c r="D8" i="3"/>
  <c r="C8" i="3"/>
  <c r="B37" i="3"/>
  <c r="B36" i="3"/>
  <c r="B35" i="3"/>
  <c r="B34" i="3"/>
  <c r="B33" i="3"/>
  <c r="B32" i="3"/>
  <c r="B28" i="3"/>
  <c r="B27" i="3"/>
  <c r="B26" i="3"/>
  <c r="B25" i="3"/>
  <c r="B24" i="3"/>
  <c r="B23" i="3"/>
  <c r="B22" i="3"/>
  <c r="B21" i="3"/>
  <c r="B20" i="3"/>
  <c r="B19" i="3"/>
  <c r="B18" i="3"/>
  <c r="B17" i="3"/>
  <c r="B16" i="3"/>
  <c r="B15" i="3"/>
  <c r="B14" i="3"/>
  <c r="B13" i="3"/>
  <c r="B12" i="3"/>
  <c r="B11" i="3"/>
  <c r="B10" i="3"/>
  <c r="B9" i="3"/>
  <c r="B8" i="3"/>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89" i="1"/>
  <c r="N88" i="1"/>
  <c r="N87" i="1"/>
  <c r="N86" i="1"/>
  <c r="N85" i="1"/>
  <c r="N84" i="1"/>
  <c r="P84" i="1" s="1"/>
  <c r="N82" i="1"/>
  <c r="N81" i="1"/>
  <c r="N80" i="1"/>
  <c r="N79" i="1"/>
  <c r="N78" i="1"/>
  <c r="N77" i="1"/>
  <c r="N76" i="1"/>
  <c r="P76" i="1" s="1"/>
  <c r="N75" i="1"/>
  <c r="N74" i="1"/>
  <c r="N73" i="1"/>
  <c r="N72" i="1"/>
  <c r="N71" i="1"/>
  <c r="N70" i="1"/>
  <c r="N69" i="1"/>
  <c r="P69" i="1" s="1"/>
  <c r="N68" i="1"/>
  <c r="N67" i="1"/>
  <c r="N66" i="1"/>
  <c r="N65" i="1"/>
  <c r="N64" i="1"/>
  <c r="N63" i="1"/>
  <c r="N62" i="1"/>
  <c r="N61" i="1"/>
  <c r="N60" i="1"/>
  <c r="N59" i="1"/>
  <c r="N58" i="1"/>
  <c r="N57" i="1"/>
  <c r="N56" i="1"/>
  <c r="N55" i="1"/>
  <c r="N54" i="1"/>
  <c r="N52" i="1"/>
  <c r="N51" i="1"/>
  <c r="N50" i="1"/>
  <c r="N49" i="1"/>
  <c r="N48" i="1"/>
  <c r="N47" i="1"/>
  <c r="N46"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89" i="1"/>
  <c r="E88" i="1"/>
  <c r="E87" i="1"/>
  <c r="E86" i="1"/>
  <c r="E85" i="1"/>
  <c r="E84"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2" i="1"/>
  <c r="E51" i="1"/>
  <c r="E50" i="1"/>
  <c r="E49" i="1"/>
  <c r="E48" i="1"/>
  <c r="E47" i="1"/>
  <c r="E46"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89" i="1"/>
  <c r="M88" i="1"/>
  <c r="M87" i="1"/>
  <c r="M86" i="1"/>
  <c r="M85" i="1"/>
  <c r="M84" i="1"/>
  <c r="M80" i="1"/>
  <c r="M79" i="1"/>
  <c r="L79" i="1" s="1"/>
  <c r="M78" i="1"/>
  <c r="M77" i="1"/>
  <c r="M76" i="1"/>
  <c r="M75" i="1"/>
  <c r="M74" i="1"/>
  <c r="M73" i="1"/>
  <c r="M72" i="1"/>
  <c r="M71" i="1"/>
  <c r="M70" i="1"/>
  <c r="M69" i="1"/>
  <c r="M68" i="1"/>
  <c r="M67" i="1"/>
  <c r="M66" i="1"/>
  <c r="M65" i="1"/>
  <c r="M64" i="1"/>
  <c r="M63" i="1"/>
  <c r="M62" i="1"/>
  <c r="M61" i="1"/>
  <c r="M60" i="1"/>
  <c r="M59" i="1"/>
  <c r="M58" i="1"/>
  <c r="M57" i="1"/>
  <c r="M56" i="1"/>
  <c r="M55" i="1"/>
  <c r="M54" i="1"/>
  <c r="L54" i="1" s="1"/>
  <c r="M52" i="1"/>
  <c r="M51" i="1"/>
  <c r="M50" i="1"/>
  <c r="M49" i="1"/>
  <c r="M48"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D218" i="1"/>
  <c r="C218" i="1" s="1"/>
  <c r="D217" i="1"/>
  <c r="C217" i="1" s="1"/>
  <c r="D216" i="1"/>
  <c r="C216" i="1" s="1"/>
  <c r="D215" i="1"/>
  <c r="C215" i="1" s="1"/>
  <c r="D214" i="1"/>
  <c r="C214" i="1" s="1"/>
  <c r="D213" i="1"/>
  <c r="C213" i="1" s="1"/>
  <c r="D212" i="1"/>
  <c r="C212" i="1" s="1"/>
  <c r="D211" i="1"/>
  <c r="C211" i="1" s="1"/>
  <c r="D210" i="1"/>
  <c r="C210" i="1" s="1"/>
  <c r="D209" i="1"/>
  <c r="C209" i="1" s="1"/>
  <c r="D208" i="1"/>
  <c r="C208" i="1" s="1"/>
  <c r="D207" i="1"/>
  <c r="C207" i="1" s="1"/>
  <c r="D206" i="1"/>
  <c r="C206" i="1" s="1"/>
  <c r="D205" i="1"/>
  <c r="C205" i="1" s="1"/>
  <c r="D204" i="1"/>
  <c r="C204" i="1" s="1"/>
  <c r="D203" i="1"/>
  <c r="C203" i="1" s="1"/>
  <c r="D202" i="1"/>
  <c r="C202" i="1" s="1"/>
  <c r="D201" i="1"/>
  <c r="C201" i="1" s="1"/>
  <c r="D200" i="1"/>
  <c r="C200" i="1" s="1"/>
  <c r="D199" i="1"/>
  <c r="C199" i="1" s="1"/>
  <c r="D198" i="1"/>
  <c r="C198" i="1" s="1"/>
  <c r="D197" i="1"/>
  <c r="C197" i="1" s="1"/>
  <c r="D196" i="1"/>
  <c r="C196" i="1" s="1"/>
  <c r="D195" i="1"/>
  <c r="C195" i="1" s="1"/>
  <c r="D194" i="1"/>
  <c r="C194" i="1" s="1"/>
  <c r="D193" i="1"/>
  <c r="C193" i="1" s="1"/>
  <c r="D192" i="1"/>
  <c r="C192" i="1" s="1"/>
  <c r="D191" i="1"/>
  <c r="C191" i="1" s="1"/>
  <c r="D190" i="1"/>
  <c r="C190" i="1" s="1"/>
  <c r="D189" i="1"/>
  <c r="C189" i="1" s="1"/>
  <c r="D188" i="1"/>
  <c r="C188" i="1" s="1"/>
  <c r="D187" i="1"/>
  <c r="C187" i="1" s="1"/>
  <c r="D186" i="1"/>
  <c r="C186" i="1" s="1"/>
  <c r="D185" i="1"/>
  <c r="C185" i="1" s="1"/>
  <c r="D184" i="1"/>
  <c r="C184" i="1" s="1"/>
  <c r="D183" i="1"/>
  <c r="C183" i="1" s="1"/>
  <c r="D182" i="1"/>
  <c r="C182" i="1" s="1"/>
  <c r="D181" i="1"/>
  <c r="C181" i="1" s="1"/>
  <c r="D180" i="1"/>
  <c r="C180" i="1" s="1"/>
  <c r="D179" i="1"/>
  <c r="C179" i="1" s="1"/>
  <c r="D178" i="1"/>
  <c r="C178" i="1" s="1"/>
  <c r="D177" i="1"/>
  <c r="C177" i="1" s="1"/>
  <c r="D176" i="1"/>
  <c r="C176" i="1" s="1"/>
  <c r="D175" i="1"/>
  <c r="C175" i="1" s="1"/>
  <c r="D174" i="1"/>
  <c r="C174" i="1" s="1"/>
  <c r="D173" i="1"/>
  <c r="C173" i="1" s="1"/>
  <c r="D172" i="1"/>
  <c r="C172" i="1" s="1"/>
  <c r="D171" i="1"/>
  <c r="C171" i="1" s="1"/>
  <c r="D170" i="1"/>
  <c r="C170" i="1" s="1"/>
  <c r="D169" i="1"/>
  <c r="C169" i="1" s="1"/>
  <c r="D168" i="1"/>
  <c r="C168" i="1" s="1"/>
  <c r="D167" i="1"/>
  <c r="C167" i="1" s="1"/>
  <c r="D166" i="1"/>
  <c r="C166" i="1" s="1"/>
  <c r="D165" i="1"/>
  <c r="C165" i="1" s="1"/>
  <c r="D164" i="1"/>
  <c r="C164" i="1" s="1"/>
  <c r="D163" i="1"/>
  <c r="C163" i="1" s="1"/>
  <c r="D162" i="1"/>
  <c r="C162" i="1" s="1"/>
  <c r="D161" i="1"/>
  <c r="C161" i="1" s="1"/>
  <c r="D160" i="1"/>
  <c r="C160" i="1" s="1"/>
  <c r="D159" i="1"/>
  <c r="C159" i="1" s="1"/>
  <c r="D158" i="1"/>
  <c r="C158" i="1" s="1"/>
  <c r="D157" i="1"/>
  <c r="C157" i="1" s="1"/>
  <c r="D156" i="1"/>
  <c r="C156" i="1" s="1"/>
  <c r="D155" i="1"/>
  <c r="C155" i="1" s="1"/>
  <c r="D154" i="1"/>
  <c r="C154" i="1" s="1"/>
  <c r="D153" i="1"/>
  <c r="C153" i="1" s="1"/>
  <c r="D152" i="1"/>
  <c r="C152" i="1" s="1"/>
  <c r="D151" i="1"/>
  <c r="C151" i="1" s="1"/>
  <c r="D150" i="1"/>
  <c r="C150" i="1" s="1"/>
  <c r="D149" i="1"/>
  <c r="C149" i="1" s="1"/>
  <c r="D148" i="1"/>
  <c r="C148" i="1" s="1"/>
  <c r="D147" i="1"/>
  <c r="C147" i="1" s="1"/>
  <c r="D146" i="1"/>
  <c r="C146" i="1" s="1"/>
  <c r="D145" i="1"/>
  <c r="C145" i="1" s="1"/>
  <c r="D144" i="1"/>
  <c r="C144" i="1" s="1"/>
  <c r="D143" i="1"/>
  <c r="C143" i="1" s="1"/>
  <c r="D142" i="1"/>
  <c r="C142" i="1" s="1"/>
  <c r="D141" i="1"/>
  <c r="C141" i="1" s="1"/>
  <c r="D140" i="1"/>
  <c r="C140" i="1" s="1"/>
  <c r="D139" i="1"/>
  <c r="C139" i="1" s="1"/>
  <c r="D138" i="1"/>
  <c r="C138" i="1" s="1"/>
  <c r="D137" i="1"/>
  <c r="C137" i="1" s="1"/>
  <c r="D136" i="1"/>
  <c r="C136" i="1" s="1"/>
  <c r="D135" i="1"/>
  <c r="C135" i="1" s="1"/>
  <c r="D134" i="1"/>
  <c r="C134" i="1" s="1"/>
  <c r="D133" i="1"/>
  <c r="C133" i="1" s="1"/>
  <c r="D132" i="1"/>
  <c r="C132" i="1" s="1"/>
  <c r="D131" i="1"/>
  <c r="C131" i="1" s="1"/>
  <c r="D130" i="1"/>
  <c r="C130" i="1" s="1"/>
  <c r="D129" i="1"/>
  <c r="C129" i="1" s="1"/>
  <c r="D128" i="1"/>
  <c r="C128" i="1" s="1"/>
  <c r="D127" i="1"/>
  <c r="C127" i="1" s="1"/>
  <c r="D126" i="1"/>
  <c r="C126" i="1" s="1"/>
  <c r="D125" i="1"/>
  <c r="C125" i="1" s="1"/>
  <c r="D124" i="1"/>
  <c r="C124" i="1" s="1"/>
  <c r="D123" i="1"/>
  <c r="C123" i="1" s="1"/>
  <c r="D122" i="1"/>
  <c r="C122" i="1" s="1"/>
  <c r="D121" i="1"/>
  <c r="C121" i="1" s="1"/>
  <c r="D120" i="1"/>
  <c r="C120" i="1" s="1"/>
  <c r="D119" i="1"/>
  <c r="C119" i="1" s="1"/>
  <c r="D118" i="1"/>
  <c r="C118" i="1" s="1"/>
  <c r="D117" i="1"/>
  <c r="C117" i="1" s="1"/>
  <c r="D116" i="1"/>
  <c r="C116" i="1" s="1"/>
  <c r="D115" i="1"/>
  <c r="C115" i="1" s="1"/>
  <c r="D114" i="1"/>
  <c r="C114" i="1" s="1"/>
  <c r="D113" i="1"/>
  <c r="C113" i="1" s="1"/>
  <c r="D112" i="1"/>
  <c r="C112" i="1" s="1"/>
  <c r="D111" i="1"/>
  <c r="C111" i="1" s="1"/>
  <c r="D110" i="1"/>
  <c r="C110" i="1" s="1"/>
  <c r="D109" i="1"/>
  <c r="C109" i="1" s="1"/>
  <c r="D108" i="1"/>
  <c r="C108" i="1" s="1"/>
  <c r="D107" i="1"/>
  <c r="C107" i="1" s="1"/>
  <c r="D106" i="1"/>
  <c r="C106" i="1" s="1"/>
  <c r="D105" i="1"/>
  <c r="C105" i="1" s="1"/>
  <c r="D104" i="1"/>
  <c r="C104" i="1" s="1"/>
  <c r="D103" i="1"/>
  <c r="C103" i="1" s="1"/>
  <c r="D102" i="1"/>
  <c r="C102" i="1" s="1"/>
  <c r="D101" i="1"/>
  <c r="C101" i="1" s="1"/>
  <c r="D100" i="1"/>
  <c r="C100" i="1" s="1"/>
  <c r="D99" i="1"/>
  <c r="C99" i="1" s="1"/>
  <c r="D98" i="1"/>
  <c r="C98" i="1" s="1"/>
  <c r="D97" i="1"/>
  <c r="C97" i="1" s="1"/>
  <c r="D96" i="1"/>
  <c r="C96" i="1" s="1"/>
  <c r="D95" i="1"/>
  <c r="C95" i="1" s="1"/>
  <c r="D94" i="1"/>
  <c r="C94" i="1" s="1"/>
  <c r="D93" i="1"/>
  <c r="C93" i="1" s="1"/>
  <c r="D92" i="1"/>
  <c r="C92" i="1" s="1"/>
  <c r="D91" i="1"/>
  <c r="D89" i="1"/>
  <c r="C89" i="1" s="1"/>
  <c r="D88" i="1"/>
  <c r="C88" i="1" s="1"/>
  <c r="D87" i="1"/>
  <c r="C87" i="1" s="1"/>
  <c r="D86" i="1"/>
  <c r="C86" i="1" s="1"/>
  <c r="D85" i="1"/>
  <c r="C85" i="1" s="1"/>
  <c r="D84" i="1"/>
  <c r="C84" i="1" s="1"/>
  <c r="D81" i="1"/>
  <c r="C81" i="1" s="1"/>
  <c r="D80" i="1"/>
  <c r="C80" i="1" s="1"/>
  <c r="D79" i="1"/>
  <c r="D78" i="1"/>
  <c r="C78" i="1" s="1"/>
  <c r="D77" i="1"/>
  <c r="C77" i="1" s="1"/>
  <c r="D76" i="1"/>
  <c r="C76" i="1" s="1"/>
  <c r="D75" i="1"/>
  <c r="C75" i="1" s="1"/>
  <c r="D74" i="1"/>
  <c r="C74" i="1" s="1"/>
  <c r="D73" i="1"/>
  <c r="C73" i="1" s="1"/>
  <c r="D72" i="1"/>
  <c r="C72" i="1" s="1"/>
  <c r="D71" i="1"/>
  <c r="C71" i="1" s="1"/>
  <c r="D70" i="1"/>
  <c r="C70" i="1" s="1"/>
  <c r="D69" i="1"/>
  <c r="C69" i="1" s="1"/>
  <c r="D68" i="1"/>
  <c r="C68" i="1" s="1"/>
  <c r="D67" i="1"/>
  <c r="C67" i="1" s="1"/>
  <c r="D66" i="1"/>
  <c r="C66" i="1" s="1"/>
  <c r="D65" i="1"/>
  <c r="C65" i="1" s="1"/>
  <c r="D64" i="1"/>
  <c r="C64" i="1" s="1"/>
  <c r="D63" i="1"/>
  <c r="C63" i="1" s="1"/>
  <c r="D62" i="1"/>
  <c r="C62" i="1" s="1"/>
  <c r="D61" i="1"/>
  <c r="C61" i="1" s="1"/>
  <c r="D60" i="1"/>
  <c r="C60" i="1" s="1"/>
  <c r="D59" i="1"/>
  <c r="C59" i="1" s="1"/>
  <c r="D58" i="1"/>
  <c r="C58" i="1" s="1"/>
  <c r="D57" i="1"/>
  <c r="C57" i="1" s="1"/>
  <c r="D56" i="1"/>
  <c r="C56" i="1" s="1"/>
  <c r="D55" i="1"/>
  <c r="C55" i="1" s="1"/>
  <c r="D54" i="1"/>
  <c r="D52" i="1"/>
  <c r="D51" i="1"/>
  <c r="D50" i="1"/>
  <c r="D49" i="1"/>
  <c r="D48" i="1"/>
  <c r="D46"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B87" i="26"/>
  <c r="V87" i="26" s="1"/>
  <c r="B86" i="26"/>
  <c r="B85" i="26"/>
  <c r="B84" i="26"/>
  <c r="B83" i="26"/>
  <c r="D83" i="26" s="1"/>
  <c r="B82" i="26"/>
  <c r="D82" i="26" s="1"/>
  <c r="B81" i="26"/>
  <c r="D81" i="26" s="1"/>
  <c r="B80" i="26"/>
  <c r="D80" i="26" s="1"/>
  <c r="B79" i="26"/>
  <c r="B78" i="26"/>
  <c r="B75" i="26"/>
  <c r="B74" i="26"/>
  <c r="B73" i="26"/>
  <c r="B72" i="26"/>
  <c r="B71" i="26"/>
  <c r="B70" i="26"/>
  <c r="B69" i="26"/>
  <c r="B68" i="26"/>
  <c r="B67" i="26"/>
  <c r="B66" i="26"/>
  <c r="B65" i="26"/>
  <c r="B64" i="26"/>
  <c r="B63" i="26"/>
  <c r="B62" i="26"/>
  <c r="B61" i="26"/>
  <c r="B60" i="26"/>
  <c r="B59" i="26"/>
  <c r="B58" i="26"/>
  <c r="B57" i="26"/>
  <c r="B56" i="26"/>
  <c r="B55" i="26"/>
  <c r="B54" i="26"/>
  <c r="B53" i="26"/>
  <c r="V89" i="26"/>
  <c r="V86" i="26"/>
  <c r="V85" i="26"/>
  <c r="V84" i="26"/>
  <c r="V83" i="26"/>
  <c r="V79" i="26"/>
  <c r="V68" i="26"/>
  <c r="V65" i="26"/>
  <c r="V64" i="26"/>
  <c r="V63" i="26"/>
  <c r="V62" i="26"/>
  <c r="V57" i="26"/>
  <c r="V56" i="26"/>
  <c r="V55" i="26"/>
  <c r="V54" i="26"/>
  <c r="V51" i="26"/>
  <c r="V50" i="26"/>
  <c r="V49" i="26"/>
  <c r="V48" i="26"/>
  <c r="V47" i="26"/>
  <c r="V46" i="26"/>
  <c r="V45" i="26"/>
  <c r="V42" i="26"/>
  <c r="V41" i="26"/>
  <c r="V40" i="26"/>
  <c r="V39" i="26"/>
  <c r="V38" i="26"/>
  <c r="V35" i="26"/>
  <c r="V34" i="26"/>
  <c r="V33" i="26"/>
  <c r="V32" i="26"/>
  <c r="V31" i="26"/>
  <c r="V30" i="26"/>
  <c r="V29" i="26"/>
  <c r="V28" i="26"/>
  <c r="V27" i="26"/>
  <c r="V25" i="26"/>
  <c r="V24" i="26"/>
  <c r="V23" i="26"/>
  <c r="V22" i="26"/>
  <c r="V21" i="26"/>
  <c r="V20" i="26"/>
  <c r="V19" i="26"/>
  <c r="V18" i="26"/>
  <c r="V17" i="26"/>
  <c r="V16" i="26"/>
  <c r="V15" i="26"/>
  <c r="V14" i="26"/>
  <c r="V13" i="26"/>
  <c r="V12" i="26"/>
  <c r="V11" i="26"/>
  <c r="V10" i="26"/>
  <c r="V9" i="26"/>
  <c r="O89" i="26"/>
  <c r="O52" i="26"/>
  <c r="O51" i="26"/>
  <c r="O50" i="26"/>
  <c r="O49" i="26"/>
  <c r="O48" i="26"/>
  <c r="O47" i="26"/>
  <c r="O46" i="26"/>
  <c r="O45"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N45" i="26"/>
  <c r="N43" i="26"/>
  <c r="N42" i="26"/>
  <c r="N41" i="26"/>
  <c r="N39" i="26"/>
  <c r="N38" i="26"/>
  <c r="N37" i="26"/>
  <c r="N36" i="26"/>
  <c r="N35" i="26"/>
  <c r="N34" i="26"/>
  <c r="N33" i="26"/>
  <c r="N32" i="26"/>
  <c r="N31" i="26"/>
  <c r="N30" i="26"/>
  <c r="N29" i="26"/>
  <c r="N28" i="26"/>
  <c r="N27" i="26"/>
  <c r="N26" i="26"/>
  <c r="N25" i="26"/>
  <c r="N24" i="26"/>
  <c r="N23" i="26"/>
  <c r="N22" i="26"/>
  <c r="N21" i="26"/>
  <c r="N20" i="26"/>
  <c r="N19" i="26"/>
  <c r="N18" i="26"/>
  <c r="N17" i="26"/>
  <c r="N16" i="26"/>
  <c r="N15" i="26"/>
  <c r="N14" i="26"/>
  <c r="N13" i="26"/>
  <c r="N12" i="26"/>
  <c r="N11" i="26"/>
  <c r="N10" i="26"/>
  <c r="N9" i="26"/>
  <c r="C98" i="60"/>
  <c r="C97" i="60"/>
  <c r="C96" i="60"/>
  <c r="C95" i="60"/>
  <c r="C93" i="60"/>
  <c r="C92" i="60"/>
  <c r="J51" i="26"/>
  <c r="J50" i="26"/>
  <c r="J49" i="26"/>
  <c r="J48" i="26"/>
  <c r="J46" i="26"/>
  <c r="J45" i="26"/>
  <c r="J43" i="26"/>
  <c r="J42" i="26"/>
  <c r="J41" i="26"/>
  <c r="J39" i="26"/>
  <c r="J38" i="26"/>
  <c r="J37" i="26"/>
  <c r="J36" i="26"/>
  <c r="J35" i="26"/>
  <c r="J34" i="26"/>
  <c r="J33" i="26"/>
  <c r="J32" i="26"/>
  <c r="J31" i="26"/>
  <c r="J30" i="26"/>
  <c r="J29" i="26"/>
  <c r="J26" i="26"/>
  <c r="J25" i="26"/>
  <c r="J24" i="26"/>
  <c r="J23" i="26"/>
  <c r="J22" i="26"/>
  <c r="J21" i="26"/>
  <c r="J20" i="26"/>
  <c r="J19" i="26"/>
  <c r="J18" i="26"/>
  <c r="J17" i="26"/>
  <c r="J16" i="26"/>
  <c r="J15" i="26"/>
  <c r="J14" i="26"/>
  <c r="J13" i="26"/>
  <c r="J12" i="26"/>
  <c r="J11" i="26"/>
  <c r="J10" i="26"/>
  <c r="J9" i="26"/>
  <c r="R29" i="26"/>
  <c r="R23" i="26"/>
  <c r="H51" i="26"/>
  <c r="H50" i="26"/>
  <c r="H48" i="26"/>
  <c r="H47" i="26"/>
  <c r="H46" i="26"/>
  <c r="H45" i="26"/>
  <c r="D51" i="26"/>
  <c r="D50" i="26"/>
  <c r="D48" i="26"/>
  <c r="D47" i="26"/>
  <c r="D46" i="26"/>
  <c r="D45" i="26"/>
  <c r="D43" i="26"/>
  <c r="D42" i="26"/>
  <c r="F42" i="26" s="1"/>
  <c r="D41" i="26"/>
  <c r="D39" i="26"/>
  <c r="F39" i="26" s="1"/>
  <c r="D38" i="26"/>
  <c r="F38" i="26" s="1"/>
  <c r="D37" i="26"/>
  <c r="F37" i="26" s="1"/>
  <c r="D36" i="26"/>
  <c r="D35" i="26"/>
  <c r="F35" i="26" s="1"/>
  <c r="D34" i="26"/>
  <c r="F34" i="26" s="1"/>
  <c r="D33" i="26"/>
  <c r="F33" i="26" s="1"/>
  <c r="D32" i="26"/>
  <c r="D31" i="26"/>
  <c r="F31" i="26" s="1"/>
  <c r="D30" i="26"/>
  <c r="D29" i="26"/>
  <c r="F29" i="26" s="1"/>
  <c r="D28" i="26"/>
  <c r="F28" i="26" s="1"/>
  <c r="D27" i="26"/>
  <c r="D26" i="26"/>
  <c r="D25" i="26"/>
  <c r="F25" i="26" s="1"/>
  <c r="D24" i="26"/>
  <c r="D23" i="26"/>
  <c r="F23" i="26" s="1"/>
  <c r="D21" i="26"/>
  <c r="F21" i="26" s="1"/>
  <c r="D20" i="26"/>
  <c r="F20" i="26" s="1"/>
  <c r="D19" i="26"/>
  <c r="D18" i="26"/>
  <c r="F18" i="26" s="1"/>
  <c r="D17" i="26"/>
  <c r="F17" i="26" s="1"/>
  <c r="D16" i="26"/>
  <c r="F16" i="26" s="1"/>
  <c r="D15" i="26"/>
  <c r="F15" i="26" s="1"/>
  <c r="D14" i="26"/>
  <c r="D13" i="26"/>
  <c r="D12" i="26"/>
  <c r="D11" i="26"/>
  <c r="F11" i="26" s="1"/>
  <c r="D10" i="26"/>
  <c r="F10" i="26" s="1"/>
  <c r="D9" i="26"/>
  <c r="C89" i="26"/>
  <c r="D89" i="26" s="1"/>
  <c r="C88" i="26"/>
  <c r="C87" i="26"/>
  <c r="N87" i="26" s="1"/>
  <c r="C86" i="26"/>
  <c r="N86" i="26" s="1"/>
  <c r="C85" i="26"/>
  <c r="C84" i="26"/>
  <c r="C79" i="26"/>
  <c r="C78" i="26"/>
  <c r="C77" i="26"/>
  <c r="N77" i="26" s="1"/>
  <c r="C76" i="26"/>
  <c r="N76" i="26" s="1"/>
  <c r="C75" i="26"/>
  <c r="C74" i="26"/>
  <c r="C73" i="26"/>
  <c r="C72" i="26"/>
  <c r="N72" i="26" s="1"/>
  <c r="C71" i="26"/>
  <c r="C70" i="26"/>
  <c r="C69" i="26"/>
  <c r="C68" i="26"/>
  <c r="C67" i="26"/>
  <c r="C66" i="26"/>
  <c r="C65" i="26"/>
  <c r="C64" i="26"/>
  <c r="C63" i="26"/>
  <c r="N63" i="26" s="1"/>
  <c r="C62" i="26"/>
  <c r="C61" i="26"/>
  <c r="C60" i="26"/>
  <c r="C59" i="26"/>
  <c r="C58" i="26"/>
  <c r="C57" i="26"/>
  <c r="C56" i="26"/>
  <c r="C55" i="26"/>
  <c r="C54" i="26"/>
  <c r="C53" i="26"/>
  <c r="C51" i="26"/>
  <c r="C50" i="26"/>
  <c r="C49" i="26"/>
  <c r="H49" i="26" s="1"/>
  <c r="C48" i="26"/>
  <c r="C47" i="26"/>
  <c r="C46" i="26"/>
  <c r="C45" i="26"/>
  <c r="C43" i="26"/>
  <c r="C42" i="26"/>
  <c r="C41" i="26"/>
  <c r="C40" i="26"/>
  <c r="C39" i="26"/>
  <c r="C38" i="26"/>
  <c r="C37" i="26"/>
  <c r="C36" i="26"/>
  <c r="C35" i="26"/>
  <c r="C34" i="26"/>
  <c r="C33" i="26"/>
  <c r="C32" i="26"/>
  <c r="C31" i="26"/>
  <c r="C30" i="26"/>
  <c r="C29" i="26"/>
  <c r="C28" i="26"/>
  <c r="C27" i="26"/>
  <c r="C26" i="26"/>
  <c r="C25" i="26"/>
  <c r="C24" i="26"/>
  <c r="C23" i="26"/>
  <c r="C22" i="26"/>
  <c r="H22" i="26" s="1"/>
  <c r="C21" i="26"/>
  <c r="C20" i="26"/>
  <c r="C19" i="26"/>
  <c r="C18" i="26"/>
  <c r="C17" i="26"/>
  <c r="C16" i="26"/>
  <c r="C15" i="26"/>
  <c r="C14" i="26"/>
  <c r="C13" i="26"/>
  <c r="C12" i="26"/>
  <c r="C11" i="26"/>
  <c r="C10" i="26"/>
  <c r="C9" i="26"/>
  <c r="AB226" i="90"/>
  <c r="AC226" i="90"/>
  <c r="AC229" i="90" s="1"/>
  <c r="AC230" i="90" s="1"/>
  <c r="M226" i="90"/>
  <c r="M229" i="90" s="1"/>
  <c r="M230" i="90" s="1"/>
  <c r="N226" i="90"/>
  <c r="N228" i="90" s="1"/>
  <c r="O226" i="90"/>
  <c r="P226" i="90"/>
  <c r="Q226" i="90"/>
  <c r="R226" i="90"/>
  <c r="S226" i="90"/>
  <c r="S228" i="90" s="1"/>
  <c r="T226" i="90"/>
  <c r="T228" i="90" s="1"/>
  <c r="U226" i="90"/>
  <c r="U229" i="90" s="1"/>
  <c r="U230" i="90" s="1"/>
  <c r="V226" i="90"/>
  <c r="V228" i="90" s="1"/>
  <c r="W226" i="90"/>
  <c r="X226" i="90"/>
  <c r="Y226" i="90"/>
  <c r="Z226" i="90"/>
  <c r="AA226" i="90"/>
  <c r="AA228" i="90" s="1"/>
  <c r="AD226" i="90"/>
  <c r="AD228" i="90" s="1"/>
  <c r="AE226" i="90"/>
  <c r="AE229" i="90" s="1"/>
  <c r="AE230" i="90" s="1"/>
  <c r="P228" i="90"/>
  <c r="R228" i="90"/>
  <c r="AW48" i="90"/>
  <c r="AV48" i="90"/>
  <c r="AU48" i="90"/>
  <c r="AT48" i="90"/>
  <c r="AS48" i="90"/>
  <c r="AR48" i="90"/>
  <c r="AQ48" i="90"/>
  <c r="AP48" i="90"/>
  <c r="AO48" i="90"/>
  <c r="AN48" i="90"/>
  <c r="AM48" i="90"/>
  <c r="AL48" i="90"/>
  <c r="AK48" i="90"/>
  <c r="AJ48" i="90"/>
  <c r="AI48" i="90"/>
  <c r="AH48" i="90"/>
  <c r="AG48" i="90"/>
  <c r="AF48" i="90"/>
  <c r="L55" i="26" l="1"/>
  <c r="N55" i="26"/>
  <c r="L71" i="26"/>
  <c r="N71" i="26"/>
  <c r="L79" i="26"/>
  <c r="N79" i="26"/>
  <c r="L57" i="26"/>
  <c r="N57" i="26"/>
  <c r="L65" i="26"/>
  <c r="N65" i="26"/>
  <c r="L73" i="26"/>
  <c r="N73" i="26"/>
  <c r="L85" i="26"/>
  <c r="N85" i="26"/>
  <c r="L60" i="26"/>
  <c r="N60" i="26"/>
  <c r="L68" i="26"/>
  <c r="N68" i="26"/>
  <c r="L53" i="26"/>
  <c r="N53" i="26"/>
  <c r="L61" i="26"/>
  <c r="N61" i="26"/>
  <c r="L69" i="26"/>
  <c r="N69" i="26"/>
  <c r="L54" i="26"/>
  <c r="N54" i="26"/>
  <c r="L62" i="26"/>
  <c r="N62" i="26"/>
  <c r="L70" i="26"/>
  <c r="N70" i="26"/>
  <c r="L78" i="26"/>
  <c r="N78" i="26"/>
  <c r="L56" i="26"/>
  <c r="N56" i="26"/>
  <c r="L64" i="26"/>
  <c r="N64" i="26"/>
  <c r="L84" i="26"/>
  <c r="N84" i="26"/>
  <c r="L58" i="26"/>
  <c r="N58" i="26"/>
  <c r="L66" i="26"/>
  <c r="N66" i="26"/>
  <c r="L74" i="26"/>
  <c r="N74" i="26"/>
  <c r="L59" i="26"/>
  <c r="N59" i="26"/>
  <c r="L67" i="26"/>
  <c r="N67" i="26"/>
  <c r="L75" i="26"/>
  <c r="N75" i="26"/>
  <c r="P79" i="1"/>
  <c r="O79" i="1"/>
  <c r="V36" i="26"/>
  <c r="V76" i="26"/>
  <c r="Z11" i="77"/>
  <c r="D71" i="26"/>
  <c r="V71" i="26"/>
  <c r="C79" i="1"/>
  <c r="V73" i="26"/>
  <c r="D45" i="1"/>
  <c r="D57" i="26"/>
  <c r="J47" i="26"/>
  <c r="V80" i="26"/>
  <c r="D22" i="26"/>
  <c r="V81" i="26"/>
  <c r="V72" i="26"/>
  <c r="D56" i="26"/>
  <c r="D64" i="26"/>
  <c r="D66" i="26"/>
  <c r="D74" i="26"/>
  <c r="D49" i="26"/>
  <c r="D85" i="26"/>
  <c r="V59" i="26"/>
  <c r="D86" i="26"/>
  <c r="L86" i="26"/>
  <c r="V78" i="26"/>
  <c r="D72" i="26"/>
  <c r="L72" i="26"/>
  <c r="L88" i="26"/>
  <c r="D65" i="26"/>
  <c r="H89" i="26"/>
  <c r="J89" i="26" s="1"/>
  <c r="V82" i="26"/>
  <c r="D79" i="26"/>
  <c r="D63" i="26"/>
  <c r="L63" i="26"/>
  <c r="D87" i="26"/>
  <c r="L87" i="26"/>
  <c r="V70" i="26"/>
  <c r="D73" i="26"/>
  <c r="D76" i="26"/>
  <c r="L76" i="26"/>
  <c r="D55" i="26"/>
  <c r="D75" i="26"/>
  <c r="L77" i="26"/>
  <c r="D77" i="26"/>
  <c r="D58" i="26"/>
  <c r="D67" i="26"/>
  <c r="V58" i="26"/>
  <c r="V66" i="26"/>
  <c r="V74" i="26"/>
  <c r="D59" i="26"/>
  <c r="D69" i="26"/>
  <c r="D78" i="26"/>
  <c r="V75" i="26"/>
  <c r="D61" i="26"/>
  <c r="D70" i="26"/>
  <c r="V60" i="26"/>
  <c r="V67" i="26"/>
  <c r="D60" i="26"/>
  <c r="D68" i="26"/>
  <c r="D84" i="26"/>
  <c r="D53" i="26"/>
  <c r="D62" i="26"/>
  <c r="V53" i="26"/>
  <c r="V61" i="26"/>
  <c r="V69" i="26"/>
  <c r="D54" i="26"/>
  <c r="K18" i="77"/>
  <c r="K23" i="77"/>
  <c r="K26" i="77"/>
  <c r="K15" i="77"/>
  <c r="K22" i="77"/>
  <c r="H13" i="77"/>
  <c r="K17" i="77"/>
  <c r="H24" i="77"/>
  <c r="K21" i="77"/>
  <c r="K14" i="77"/>
  <c r="K25" i="77"/>
  <c r="K19" i="77"/>
  <c r="K16" i="77"/>
  <c r="K27" i="77"/>
  <c r="K20" i="77"/>
  <c r="Q229" i="90"/>
  <c r="Q230" i="90" s="1"/>
  <c r="P229" i="90"/>
  <c r="P230" i="90" s="1"/>
  <c r="W229" i="90"/>
  <c r="W230" i="90" s="1"/>
  <c r="O229" i="90"/>
  <c r="O230" i="90" s="1"/>
  <c r="X228" i="90"/>
  <c r="X229" i="90"/>
  <c r="X230" i="90" s="1"/>
  <c r="T229" i="90"/>
  <c r="T230" i="90" s="1"/>
  <c r="S229" i="90"/>
  <c r="S230" i="90" s="1"/>
  <c r="M228" i="90"/>
  <c r="V229" i="90"/>
  <c r="V230" i="90" s="1"/>
  <c r="O228" i="90"/>
  <c r="N229" i="90"/>
  <c r="N230" i="90" s="1"/>
  <c r="W228" i="90"/>
  <c r="U228" i="90"/>
  <c r="AA229" i="90"/>
  <c r="AA230" i="90" s="1"/>
  <c r="Y229" i="90"/>
  <c r="Y230" i="90" s="1"/>
  <c r="AB228" i="90"/>
  <c r="AB229" i="90"/>
  <c r="AB230" i="90" s="1"/>
  <c r="Z229" i="90"/>
  <c r="Z230" i="90" s="1"/>
  <c r="AE228" i="90"/>
  <c r="AD229" i="90"/>
  <c r="AD230" i="90" s="1"/>
  <c r="AC228" i="90"/>
  <c r="Z228" i="90"/>
  <c r="Q228" i="90"/>
  <c r="Y228" i="90"/>
  <c r="R229" i="90"/>
  <c r="R230" i="90" s="1"/>
  <c r="C10" i="81"/>
  <c r="C9" i="81"/>
  <c r="C8" i="81"/>
  <c r="C7" i="81"/>
  <c r="C6" i="81"/>
  <c r="F79" i="1" l="1"/>
  <c r="I47" i="26"/>
  <c r="G47" i="26" s="1"/>
  <c r="K47" i="26" s="1"/>
  <c r="I48" i="26"/>
  <c r="G48" i="26" s="1"/>
  <c r="K48" i="26" s="1"/>
  <c r="I49" i="26"/>
  <c r="G49" i="26" s="1"/>
  <c r="K49" i="26" s="1"/>
  <c r="I50" i="26"/>
  <c r="G50" i="26" s="1"/>
  <c r="K50" i="26" s="1"/>
  <c r="I51" i="26"/>
  <c r="G51" i="26" s="1"/>
  <c r="K51" i="26" s="1"/>
  <c r="X90" i="26"/>
  <c r="W46" i="26"/>
  <c r="W47" i="26"/>
  <c r="W48" i="26"/>
  <c r="W49" i="26"/>
  <c r="W50" i="26"/>
  <c r="W51" i="26"/>
  <c r="W45" i="26"/>
  <c r="W10" i="26"/>
  <c r="W12" i="26"/>
  <c r="W13" i="26"/>
  <c r="W14" i="26"/>
  <c r="W15" i="26"/>
  <c r="W16" i="26"/>
  <c r="W17" i="26"/>
  <c r="W18" i="26"/>
  <c r="W19" i="26"/>
  <c r="W20" i="26"/>
  <c r="W21" i="26"/>
  <c r="W22" i="26"/>
  <c r="W24" i="26"/>
  <c r="W25" i="26"/>
  <c r="W26" i="26"/>
  <c r="W27" i="26"/>
  <c r="W28" i="26"/>
  <c r="W30" i="26"/>
  <c r="W32" i="26"/>
  <c r="W33" i="26"/>
  <c r="W34" i="26"/>
  <c r="W35" i="26"/>
  <c r="W36" i="26"/>
  <c r="W37" i="26"/>
  <c r="W38" i="26"/>
  <c r="W39" i="26"/>
  <c r="W41" i="26"/>
  <c r="W42" i="26"/>
  <c r="W43" i="26"/>
  <c r="W9" i="26"/>
  <c r="I43" i="26" l="1"/>
  <c r="G43" i="26" s="1"/>
  <c r="K43" i="26" s="1"/>
  <c r="Q43" i="26"/>
  <c r="I35" i="26"/>
  <c r="G35" i="26" s="1"/>
  <c r="K35" i="26" s="1"/>
  <c r="Q35" i="26"/>
  <c r="I25" i="26"/>
  <c r="G25" i="26" s="1"/>
  <c r="K25" i="26" s="1"/>
  <c r="Q25" i="26"/>
  <c r="I16" i="26"/>
  <c r="G16" i="26" s="1"/>
  <c r="K16" i="26" s="1"/>
  <c r="Q16" i="26"/>
  <c r="I42" i="26"/>
  <c r="G42" i="26" s="1"/>
  <c r="K42" i="26" s="1"/>
  <c r="Q42" i="26"/>
  <c r="I34" i="26"/>
  <c r="G34" i="26" s="1"/>
  <c r="K34" i="26" s="1"/>
  <c r="Q34" i="26"/>
  <c r="I24" i="26"/>
  <c r="G24" i="26" s="1"/>
  <c r="K24" i="26" s="1"/>
  <c r="Q24" i="26"/>
  <c r="I15" i="26"/>
  <c r="G15" i="26" s="1"/>
  <c r="K15" i="26" s="1"/>
  <c r="Q15" i="26"/>
  <c r="I41" i="26"/>
  <c r="G41" i="26" s="1"/>
  <c r="K41" i="26" s="1"/>
  <c r="Q41" i="26"/>
  <c r="I33" i="26"/>
  <c r="G33" i="26" s="1"/>
  <c r="K33" i="26" s="1"/>
  <c r="Q33" i="26"/>
  <c r="I22" i="26"/>
  <c r="G22" i="26" s="1"/>
  <c r="K22" i="26" s="1"/>
  <c r="Q22" i="26"/>
  <c r="I14" i="26"/>
  <c r="G14" i="26" s="1"/>
  <c r="K14" i="26" s="1"/>
  <c r="Q14" i="26"/>
  <c r="I40" i="26"/>
  <c r="G40" i="26" s="1"/>
  <c r="K40" i="26" s="1"/>
  <c r="I32" i="26"/>
  <c r="G32" i="26" s="1"/>
  <c r="K32" i="26" s="1"/>
  <c r="Q32" i="26"/>
  <c r="I21" i="26"/>
  <c r="G21" i="26" s="1"/>
  <c r="K21" i="26" s="1"/>
  <c r="Q21" i="26"/>
  <c r="I13" i="26"/>
  <c r="G13" i="26" s="1"/>
  <c r="K13" i="26" s="1"/>
  <c r="Q13" i="26"/>
  <c r="I30" i="26"/>
  <c r="G30" i="26" s="1"/>
  <c r="K30" i="26" s="1"/>
  <c r="Q30" i="26"/>
  <c r="I12" i="26"/>
  <c r="G12" i="26" s="1"/>
  <c r="K12" i="26" s="1"/>
  <c r="Q12" i="26"/>
  <c r="I11" i="26"/>
  <c r="G11" i="26" s="1"/>
  <c r="K11" i="26" s="1"/>
  <c r="Q11" i="26"/>
  <c r="I9" i="26"/>
  <c r="G9" i="26" s="1"/>
  <c r="K9" i="26" s="1"/>
  <c r="Q9" i="26"/>
  <c r="I36" i="26"/>
  <c r="G36" i="26" s="1"/>
  <c r="K36" i="26" s="1"/>
  <c r="Q36" i="26"/>
  <c r="I26" i="26"/>
  <c r="G26" i="26" s="1"/>
  <c r="K26" i="26" s="1"/>
  <c r="Q26" i="26"/>
  <c r="I17" i="26"/>
  <c r="G17" i="26" s="1"/>
  <c r="K17" i="26" s="1"/>
  <c r="Q17" i="26"/>
  <c r="I39" i="26"/>
  <c r="G39" i="26" s="1"/>
  <c r="K39" i="26" s="1"/>
  <c r="Q39" i="26"/>
  <c r="I20" i="26"/>
  <c r="G20" i="26" s="1"/>
  <c r="K20" i="26" s="1"/>
  <c r="Q20" i="26"/>
  <c r="I46" i="26"/>
  <c r="G46" i="26" s="1"/>
  <c r="K46" i="26" s="1"/>
  <c r="Q46" i="26"/>
  <c r="I38" i="26"/>
  <c r="G38" i="26" s="1"/>
  <c r="K38" i="26" s="1"/>
  <c r="Q38" i="26"/>
  <c r="I28" i="26"/>
  <c r="G28" i="26" s="1"/>
  <c r="K28" i="26" s="1"/>
  <c r="Q28" i="26"/>
  <c r="I19" i="26"/>
  <c r="G19" i="26" s="1"/>
  <c r="K19" i="26" s="1"/>
  <c r="Q19" i="26"/>
  <c r="I37" i="26"/>
  <c r="G37" i="26" s="1"/>
  <c r="K37" i="26" s="1"/>
  <c r="Q37" i="26"/>
  <c r="I27" i="26"/>
  <c r="G27" i="26" s="1"/>
  <c r="K27" i="26" s="1"/>
  <c r="Q27" i="26"/>
  <c r="I18" i="26"/>
  <c r="G18" i="26" s="1"/>
  <c r="K18" i="26" s="1"/>
  <c r="Q18" i="26"/>
  <c r="I10" i="26"/>
  <c r="G10" i="26" s="1"/>
  <c r="K10" i="26" s="1"/>
  <c r="Q10" i="26"/>
  <c r="F88" i="26"/>
  <c r="G89" i="1"/>
  <c r="G79" i="1"/>
  <c r="D88" i="26" l="1"/>
  <c r="E88" i="26" s="1"/>
  <c r="S82" i="79"/>
  <c r="S77" i="79"/>
  <c r="S78" i="79"/>
  <c r="S79" i="79"/>
  <c r="S80" i="79"/>
  <c r="Y78" i="79" l="1"/>
  <c r="Z78" i="79" s="1"/>
  <c r="Y82" i="79"/>
  <c r="Z82" i="79" s="1"/>
  <c r="Z80" i="79"/>
  <c r="Z79" i="79"/>
  <c r="Z81" i="79"/>
  <c r="V77" i="79"/>
  <c r="V82" i="79"/>
  <c r="U82" i="79"/>
  <c r="U81" i="79"/>
  <c r="U80" i="79"/>
  <c r="W80" i="79" s="1"/>
  <c r="X80" i="79" s="1"/>
  <c r="U79" i="79"/>
  <c r="W79" i="79" s="1"/>
  <c r="X79" i="79" s="1"/>
  <c r="U78" i="79"/>
  <c r="W78" i="79" s="1"/>
  <c r="X78" i="79" s="1"/>
  <c r="U77" i="79"/>
  <c r="W82" i="79" l="1"/>
  <c r="W81" i="79"/>
  <c r="X81" i="79" s="1"/>
  <c r="V88" i="26" s="1"/>
  <c r="S81" i="79"/>
  <c r="W77" i="79"/>
  <c r="X77" i="79" s="1"/>
  <c r="X82" i="79" l="1"/>
  <c r="M6" i="93" l="1"/>
  <c r="M43" i="26" l="1"/>
  <c r="M42" i="26"/>
  <c r="M41" i="26"/>
  <c r="F41" i="26" s="1"/>
  <c r="M37" i="26"/>
  <c r="M36" i="26"/>
  <c r="F36" i="26" s="1"/>
  <c r="M35" i="26"/>
  <c r="M34" i="26"/>
  <c r="M33" i="26"/>
  <c r="M28" i="26"/>
  <c r="M27" i="26"/>
  <c r="F27" i="26" s="1"/>
  <c r="M26" i="26"/>
  <c r="F26" i="26" s="1"/>
  <c r="M25" i="26"/>
  <c r="M24" i="26"/>
  <c r="F24" i="26" s="1"/>
  <c r="M20" i="26"/>
  <c r="M19" i="26"/>
  <c r="F19" i="26" s="1"/>
  <c r="M18" i="26"/>
  <c r="M17" i="26"/>
  <c r="M16" i="26"/>
  <c r="M12" i="26"/>
  <c r="F12" i="26" s="1"/>
  <c r="M11" i="26"/>
  <c r="M10" i="26"/>
  <c r="M39" i="26" l="1"/>
  <c r="M21" i="26"/>
  <c r="M13" i="26"/>
  <c r="F13" i="26" s="1"/>
  <c r="M30" i="26"/>
  <c r="F30" i="26" s="1"/>
  <c r="M38" i="26"/>
  <c r="M15" i="26"/>
  <c r="M32" i="26"/>
  <c r="F32" i="26" s="1"/>
  <c r="M14" i="26"/>
  <c r="F14" i="26" s="1"/>
  <c r="M40" i="26"/>
  <c r="F40" i="26" s="1"/>
  <c r="J44" i="26"/>
  <c r="U21" i="26" l="1"/>
  <c r="U18" i="26"/>
  <c r="M14" i="66" s="1"/>
  <c r="U37" i="26"/>
  <c r="U35" i="26"/>
  <c r="U33" i="26"/>
  <c r="U28" i="26"/>
  <c r="U27" i="26"/>
  <c r="U25" i="26"/>
  <c r="M16" i="66" s="1"/>
  <c r="U20" i="26"/>
  <c r="U30" i="26"/>
  <c r="U26" i="26"/>
  <c r="M15" i="66" s="1"/>
  <c r="U38" i="26"/>
  <c r="M13" i="66" s="1"/>
  <c r="U43" i="26"/>
  <c r="M10" i="66" s="1"/>
  <c r="U41" i="26"/>
  <c r="M22" i="26"/>
  <c r="F22" i="26" s="1"/>
  <c r="U19" i="26"/>
  <c r="M17" i="66" s="1"/>
  <c r="U17" i="26"/>
  <c r="U42" i="26"/>
  <c r="M11" i="66" s="1"/>
  <c r="U39" i="26"/>
  <c r="U40" i="26"/>
  <c r="M6" i="66" s="1"/>
  <c r="U32" i="26"/>
  <c r="U36" i="26"/>
  <c r="U34" i="26"/>
  <c r="U24" i="26"/>
  <c r="H44" i="26"/>
  <c r="L88" i="1"/>
  <c r="L78" i="1"/>
  <c r="L77" i="1"/>
  <c r="L74" i="1"/>
  <c r="L72" i="1"/>
  <c r="L67" i="1"/>
  <c r="P67" i="1" s="1"/>
  <c r="L66" i="1"/>
  <c r="L62" i="1"/>
  <c r="L61" i="1"/>
  <c r="P61" i="1" s="1"/>
  <c r="L59" i="1"/>
  <c r="L58" i="1"/>
  <c r="L57" i="1"/>
  <c r="L56" i="1"/>
  <c r="P56" i="1" s="1"/>
  <c r="L55" i="1"/>
  <c r="P72" i="1" l="1"/>
  <c r="U14" i="26"/>
  <c r="U10" i="26"/>
  <c r="U15" i="26"/>
  <c r="U11" i="26"/>
  <c r="M9" i="66" s="1"/>
  <c r="U22" i="26"/>
  <c r="U13" i="26"/>
  <c r="U12" i="26"/>
  <c r="U16" i="26"/>
  <c r="M46" i="26" l="1"/>
  <c r="F46" i="26" s="1"/>
  <c r="AW206" i="90" l="1"/>
  <c r="AV206" i="90"/>
  <c r="AU206" i="90"/>
  <c r="AT206" i="90"/>
  <c r="G8" i="77"/>
  <c r="H8" i="77" s="1"/>
  <c r="G9" i="77"/>
  <c r="K9" i="77" s="1"/>
  <c r="G10" i="77"/>
  <c r="H10" i="77" s="1"/>
  <c r="G11" i="77"/>
  <c r="K11" i="77" s="1"/>
  <c r="G12" i="77"/>
  <c r="H12" i="77" s="1"/>
  <c r="G6" i="77"/>
  <c r="H6" i="77" s="1"/>
  <c r="G7" i="77"/>
  <c r="H7" i="77" s="1"/>
  <c r="G5" i="77"/>
  <c r="K5" i="77" s="1"/>
  <c r="G28" i="77"/>
  <c r="H28" i="77" s="1"/>
  <c r="G29" i="77"/>
  <c r="K29" i="77" s="1"/>
  <c r="G30" i="77"/>
  <c r="H30" i="77" s="1"/>
  <c r="G31" i="77"/>
  <c r="H31" i="77" s="1"/>
  <c r="G32" i="77"/>
  <c r="H32" i="77" s="1"/>
  <c r="G33" i="77"/>
  <c r="K33" i="77" s="1"/>
  <c r="H33" i="77"/>
  <c r="G34" i="77"/>
  <c r="H34" i="77" s="1"/>
  <c r="G35" i="77"/>
  <c r="H35" i="77" s="1"/>
  <c r="G36" i="77"/>
  <c r="H36" i="77" s="1"/>
  <c r="G37" i="77"/>
  <c r="K37" i="77" s="1"/>
  <c r="G38" i="77"/>
  <c r="H38" i="77" s="1"/>
  <c r="G39" i="77"/>
  <c r="H39" i="77" s="1"/>
  <c r="G40" i="77"/>
  <c r="H40" i="77" s="1"/>
  <c r="G41" i="77"/>
  <c r="K41" i="77" s="1"/>
  <c r="G42" i="77"/>
  <c r="H42" i="77" s="1"/>
  <c r="G43" i="77"/>
  <c r="K43" i="77" s="1"/>
  <c r="G44" i="77"/>
  <c r="H44" i="77" s="1"/>
  <c r="H29" i="77" l="1"/>
  <c r="H11" i="77"/>
  <c r="H9" i="77"/>
  <c r="K34" i="77"/>
  <c r="K8" i="77"/>
  <c r="H37" i="77"/>
  <c r="K32" i="77"/>
  <c r="K10" i="77"/>
  <c r="K7" i="77"/>
  <c r="H41" i="77"/>
  <c r="K35" i="77"/>
  <c r="H43" i="77"/>
  <c r="K38" i="77"/>
  <c r="K30" i="77"/>
  <c r="K44" i="77"/>
  <c r="K40" i="77"/>
  <c r="K6" i="77"/>
  <c r="K42" i="77"/>
  <c r="K39" i="77"/>
  <c r="K31" i="77"/>
  <c r="K12" i="77"/>
  <c r="K36" i="77"/>
  <c r="K28" i="77"/>
  <c r="H5" i="77"/>
  <c r="K45" i="77" l="1"/>
  <c r="H45" i="77"/>
  <c r="C5" i="75" l="1" a="1"/>
  <c r="G5" i="75" s="1"/>
  <c r="H47" i="77" l="1"/>
  <c r="K47" i="77"/>
  <c r="E5" i="75"/>
  <c r="F5" i="75"/>
  <c r="C5" i="75"/>
  <c r="D5" i="75"/>
  <c r="H46" i="77" l="1"/>
  <c r="K46" i="77"/>
  <c r="H48" i="77" l="1"/>
  <c r="K48" i="77"/>
  <c r="C163" i="93" l="1"/>
  <c r="D163" i="93"/>
  <c r="E163" i="93"/>
  <c r="F163" i="93"/>
  <c r="K163" i="93" s="1"/>
  <c r="G163" i="93"/>
  <c r="I163" i="93" s="1"/>
  <c r="H163" i="93"/>
  <c r="J163" i="93" s="1"/>
  <c r="C164" i="93"/>
  <c r="D164" i="93"/>
  <c r="E164" i="93"/>
  <c r="F164" i="93"/>
  <c r="K164" i="93" s="1"/>
  <c r="G164" i="93"/>
  <c r="I164" i="93" s="1"/>
  <c r="H164" i="93"/>
  <c r="J164" i="93" s="1"/>
  <c r="C165" i="93"/>
  <c r="C167" i="93" s="1"/>
  <c r="D165" i="93"/>
  <c r="D167" i="93" s="1"/>
  <c r="E165" i="93"/>
  <c r="F165" i="93"/>
  <c r="G165" i="93"/>
  <c r="H165" i="93"/>
  <c r="C166" i="93"/>
  <c r="D166" i="93"/>
  <c r="E166" i="93"/>
  <c r="F166" i="93"/>
  <c r="K166" i="93" s="1"/>
  <c r="G166" i="93"/>
  <c r="H166" i="93"/>
  <c r="I166" i="93"/>
  <c r="J166" i="93"/>
  <c r="H167" i="93" l="1"/>
  <c r="G167" i="93"/>
  <c r="G168" i="93" s="1"/>
  <c r="I168" i="93" s="1"/>
  <c r="E167" i="93"/>
  <c r="E170" i="93" s="1"/>
  <c r="F167" i="93"/>
  <c r="C170" i="93"/>
  <c r="C168" i="93"/>
  <c r="J167" i="93"/>
  <c r="H168" i="93"/>
  <c r="J168" i="93" s="1"/>
  <c r="I167" i="93"/>
  <c r="K167" i="93"/>
  <c r="F168" i="93"/>
  <c r="K168" i="93" s="1"/>
  <c r="E168" i="93"/>
  <c r="D170" i="93"/>
  <c r="D168" i="93"/>
  <c r="BC45" i="77" l="1"/>
  <c r="BB45" i="77"/>
  <c r="BA45" i="77"/>
  <c r="AZ45" i="77"/>
  <c r="AO5" i="77"/>
  <c r="AO7" i="77"/>
  <c r="AO8" i="77"/>
  <c r="AO9" i="77"/>
  <c r="AO10" i="77"/>
  <c r="AO11" i="77"/>
  <c r="AO12" i="77"/>
  <c r="AO15" i="77"/>
  <c r="AO16" i="77"/>
  <c r="AO17" i="77"/>
  <c r="AO18" i="77"/>
  <c r="AO19" i="77"/>
  <c r="AO20" i="77"/>
  <c r="AO21" i="77"/>
  <c r="AO22" i="77"/>
  <c r="AO23" i="77"/>
  <c r="AO24" i="77"/>
  <c r="AO25" i="77"/>
  <c r="AO26" i="77"/>
  <c r="AO27" i="77"/>
  <c r="AO28" i="77"/>
  <c r="AO29" i="77"/>
  <c r="AO30" i="77"/>
  <c r="AO31" i="77"/>
  <c r="AO32" i="77"/>
  <c r="AO33" i="77"/>
  <c r="AO34" i="77"/>
  <c r="AO35" i="77"/>
  <c r="AO36" i="77"/>
  <c r="AO37" i="77"/>
  <c r="AO38" i="77"/>
  <c r="AO39" i="77"/>
  <c r="AO40" i="77"/>
  <c r="AO41" i="77"/>
  <c r="AO42" i="77"/>
  <c r="AO43" i="77"/>
  <c r="AO44" i="77"/>
  <c r="AX45" i="77"/>
  <c r="AW45" i="77"/>
  <c r="AV45" i="77"/>
  <c r="AU45" i="77"/>
  <c r="AG5" i="77"/>
  <c r="AG6" i="77"/>
  <c r="AG7" i="77"/>
  <c r="AG8" i="77"/>
  <c r="AG9" i="77"/>
  <c r="AG10" i="77"/>
  <c r="AG11" i="77"/>
  <c r="AG12" i="77"/>
  <c r="AG13" i="77"/>
  <c r="AG14" i="77"/>
  <c r="AG15" i="77"/>
  <c r="AG16" i="77"/>
  <c r="AG17" i="77"/>
  <c r="AG18" i="77"/>
  <c r="AG19" i="77"/>
  <c r="AG20" i="77"/>
  <c r="AG21" i="77"/>
  <c r="AG22" i="77"/>
  <c r="AG23" i="77"/>
  <c r="AG24" i="77"/>
  <c r="AG25" i="77"/>
  <c r="AG26" i="77"/>
  <c r="AG27" i="77"/>
  <c r="AG28" i="77"/>
  <c r="AG29" i="77"/>
  <c r="AG30" i="77"/>
  <c r="AG31" i="77"/>
  <c r="AG32" i="77"/>
  <c r="AG33" i="77"/>
  <c r="AG34" i="77"/>
  <c r="AG35" i="77"/>
  <c r="AG36" i="77"/>
  <c r="AG37" i="77"/>
  <c r="AG38" i="77"/>
  <c r="AG39" i="77"/>
  <c r="AG40" i="77"/>
  <c r="AG41" i="77"/>
  <c r="AG42" i="77"/>
  <c r="AG43" i="77"/>
  <c r="AG44" i="77"/>
  <c r="AG45" i="77"/>
  <c r="AG46" i="77"/>
  <c r="AG47" i="77"/>
  <c r="AG48" i="77"/>
  <c r="AG49" i="77"/>
  <c r="AG50" i="77"/>
  <c r="Q28" i="79"/>
  <c r="Q29" i="79"/>
  <c r="Q30" i="79"/>
  <c r="Q31" i="79"/>
  <c r="Q32" i="79"/>
  <c r="Q33" i="79"/>
  <c r="Q34" i="79"/>
  <c r="Q35" i="79"/>
  <c r="Q36" i="79"/>
  <c r="Q37" i="79"/>
  <c r="Q38" i="79"/>
  <c r="Q39" i="79"/>
  <c r="Q40" i="79"/>
  <c r="Q41" i="79"/>
  <c r="Q42" i="79"/>
  <c r="Q43" i="79"/>
  <c r="AO14" i="77" l="1"/>
  <c r="AO6" i="77"/>
  <c r="AO13" i="77"/>
  <c r="AH49" i="77"/>
  <c r="AH41" i="77"/>
  <c r="AH33" i="77"/>
  <c r="AH25" i="77"/>
  <c r="AH17" i="77"/>
  <c r="AH9" i="77"/>
  <c r="AH5" i="77"/>
  <c r="AH13" i="77"/>
  <c r="AH21" i="77"/>
  <c r="AH29" i="77"/>
  <c r="AH37" i="77"/>
  <c r="AH45" i="77"/>
  <c r="AH12" i="77"/>
  <c r="AH20" i="77"/>
  <c r="AH28" i="77"/>
  <c r="AH36" i="77"/>
  <c r="AH44" i="77"/>
  <c r="AH40" i="77"/>
  <c r="AH32" i="77"/>
  <c r="AH24" i="77"/>
  <c r="AH16" i="77"/>
  <c r="AH8" i="77"/>
  <c r="AH11" i="77"/>
  <c r="AH19" i="77"/>
  <c r="AH27" i="77"/>
  <c r="AH35" i="77"/>
  <c r="AH43" i="77"/>
  <c r="AH30" i="77"/>
  <c r="AH10" i="77"/>
  <c r="AH18" i="77"/>
  <c r="AH26" i="77"/>
  <c r="AH34" i="77"/>
  <c r="AH42" i="77"/>
  <c r="AH50" i="77"/>
  <c r="AH22" i="77"/>
  <c r="AH38" i="77"/>
  <c r="AH7" i="77"/>
  <c r="AH15" i="77"/>
  <c r="AH23" i="77"/>
  <c r="AH31" i="77"/>
  <c r="AH39" i="77"/>
  <c r="AH47" i="77"/>
  <c r="AH6" i="77"/>
  <c r="AH46" i="77"/>
  <c r="AH14" i="77"/>
  <c r="AH48" i="77" l="1"/>
  <c r="AE7" i="77" l="1"/>
  <c r="AQ7" i="77" l="1"/>
  <c r="AR7" i="77"/>
  <c r="AF7" i="77"/>
  <c r="AE44" i="77"/>
  <c r="AE40" i="77"/>
  <c r="AE36" i="77"/>
  <c r="AE32" i="77"/>
  <c r="AE28" i="77"/>
  <c r="AE24" i="77"/>
  <c r="AE20" i="77"/>
  <c r="X5" i="77"/>
  <c r="Q5" i="77" s="1"/>
  <c r="X6" i="77"/>
  <c r="Q6" i="77" s="1"/>
  <c r="X7" i="77"/>
  <c r="Q7" i="77" s="1"/>
  <c r="X8" i="77"/>
  <c r="Q8" i="77" s="1"/>
  <c r="X9" i="77"/>
  <c r="Q9" i="77" s="1"/>
  <c r="X10" i="77"/>
  <c r="Q10" i="77" s="1"/>
  <c r="X11" i="77"/>
  <c r="Q11" i="77" s="1"/>
  <c r="R8" i="77" l="1"/>
  <c r="R7" i="77"/>
  <c r="R10" i="77"/>
  <c r="R9" i="77"/>
  <c r="R6" i="77"/>
  <c r="R5" i="77"/>
  <c r="R11" i="77"/>
  <c r="AQ32" i="77"/>
  <c r="AR32" i="77"/>
  <c r="AQ36" i="77"/>
  <c r="AR36" i="77"/>
  <c r="AQ40" i="77"/>
  <c r="AR40" i="77"/>
  <c r="AQ44" i="77"/>
  <c r="AR44" i="77"/>
  <c r="AQ20" i="77"/>
  <c r="AR20" i="77"/>
  <c r="AQ24" i="77"/>
  <c r="AR24" i="77"/>
  <c r="AQ28" i="77"/>
  <c r="AR28" i="77"/>
  <c r="AE46" i="77"/>
  <c r="AE22" i="77"/>
  <c r="AE30" i="77"/>
  <c r="AE34" i="77"/>
  <c r="AE42" i="77"/>
  <c r="AE26" i="77"/>
  <c r="AE38" i="77"/>
  <c r="AE23" i="77"/>
  <c r="AE48" i="77"/>
  <c r="AE21" i="77"/>
  <c r="AE27" i="77"/>
  <c r="AE29" i="77"/>
  <c r="AE31" i="77"/>
  <c r="AE33" i="77"/>
  <c r="AE35" i="77"/>
  <c r="AE37" i="77"/>
  <c r="AE39" i="77"/>
  <c r="AE41" i="77"/>
  <c r="AE43" i="77"/>
  <c r="AE45" i="77"/>
  <c r="AE25" i="77"/>
  <c r="AE47" i="77"/>
  <c r="AF20" i="77"/>
  <c r="BE20" i="77"/>
  <c r="AF24" i="77"/>
  <c r="BE24" i="77"/>
  <c r="BE28" i="77"/>
  <c r="AF28" i="77"/>
  <c r="AF32" i="77"/>
  <c r="BE32" i="77"/>
  <c r="AF36" i="77"/>
  <c r="BE36" i="77"/>
  <c r="AF40" i="77"/>
  <c r="BE40" i="77"/>
  <c r="BE44" i="77"/>
  <c r="AF44" i="77"/>
  <c r="AE13" i="77"/>
  <c r="AE14" i="77"/>
  <c r="AE15" i="77"/>
  <c r="AE16" i="77"/>
  <c r="AE17" i="77"/>
  <c r="AE18" i="77"/>
  <c r="AE19" i="77"/>
  <c r="AE50" i="77"/>
  <c r="AE49" i="77"/>
  <c r="W14" i="77"/>
  <c r="W22" i="77"/>
  <c r="W30" i="77"/>
  <c r="W38" i="77"/>
  <c r="AF226" i="90"/>
  <c r="AG226" i="90"/>
  <c r="AH226" i="90"/>
  <c r="AI226" i="90"/>
  <c r="AJ226" i="90"/>
  <c r="AK226" i="90"/>
  <c r="AL226" i="90"/>
  <c r="AM226" i="90"/>
  <c r="AN226" i="90"/>
  <c r="AO226" i="90"/>
  <c r="AP226" i="90"/>
  <c r="AQ226" i="90"/>
  <c r="AR226" i="90"/>
  <c r="AS226" i="90"/>
  <c r="AT226" i="90"/>
  <c r="AU226" i="90"/>
  <c r="AV226" i="90"/>
  <c r="D42" i="77"/>
  <c r="D43" i="77"/>
  <c r="D44" i="77"/>
  <c r="D45" i="77"/>
  <c r="D46" i="77"/>
  <c r="D47" i="77"/>
  <c r="D48" i="77"/>
  <c r="B45" i="77"/>
  <c r="AN229" i="90" l="1"/>
  <c r="AN230" i="90" s="1"/>
  <c r="AN228" i="90"/>
  <c r="AF229" i="90"/>
  <c r="AF230" i="90" s="1"/>
  <c r="AF228" i="90"/>
  <c r="AU228" i="90"/>
  <c r="AU229" i="90"/>
  <c r="AU230" i="90" s="1"/>
  <c r="AL228" i="90"/>
  <c r="AL229" i="90"/>
  <c r="AL230" i="90" s="1"/>
  <c r="AR229" i="90"/>
  <c r="AR230" i="90" s="1"/>
  <c r="AR228" i="90"/>
  <c r="AQ229" i="90"/>
  <c r="AQ230" i="90" s="1"/>
  <c r="AQ228" i="90"/>
  <c r="AI229" i="90"/>
  <c r="AI230" i="90" s="1"/>
  <c r="AI228" i="90"/>
  <c r="AV229" i="90"/>
  <c r="AV230" i="90" s="1"/>
  <c r="AV228" i="90"/>
  <c r="AT228" i="90"/>
  <c r="AT229" i="90"/>
  <c r="AT230" i="90" s="1"/>
  <c r="AK229" i="90"/>
  <c r="AK230" i="90" s="1"/>
  <c r="AK228" i="90"/>
  <c r="AP229" i="90"/>
  <c r="AP230" i="90" s="1"/>
  <c r="AP228" i="90"/>
  <c r="AH229" i="90"/>
  <c r="AH230" i="90" s="1"/>
  <c r="AH228" i="90"/>
  <c r="AM229" i="90"/>
  <c r="AM230" i="90" s="1"/>
  <c r="AM228" i="90"/>
  <c r="AS229" i="90"/>
  <c r="AS230" i="90" s="1"/>
  <c r="AS228" i="90"/>
  <c r="AJ229" i="90"/>
  <c r="AJ230" i="90" s="1"/>
  <c r="AJ228" i="90"/>
  <c r="AO229" i="90"/>
  <c r="AO230" i="90" s="1"/>
  <c r="AO228" i="90"/>
  <c r="AG229" i="90"/>
  <c r="AG230" i="90" s="1"/>
  <c r="AG228" i="90"/>
  <c r="AQ39" i="77"/>
  <c r="AR39" i="77"/>
  <c r="AQ18" i="77"/>
  <c r="AR18" i="77"/>
  <c r="AR21" i="77"/>
  <c r="AQ21" i="77"/>
  <c r="AR41" i="77"/>
  <c r="AQ41" i="77"/>
  <c r="AQ16" i="77"/>
  <c r="AR16" i="77"/>
  <c r="AR23" i="77"/>
  <c r="AQ23" i="77"/>
  <c r="AQ22" i="77"/>
  <c r="AR22" i="77"/>
  <c r="AR17" i="77"/>
  <c r="AQ17" i="77"/>
  <c r="AR37" i="77"/>
  <c r="AQ37" i="77"/>
  <c r="AQ15" i="77"/>
  <c r="AR15" i="77"/>
  <c r="AR35" i="77"/>
  <c r="AQ35" i="77"/>
  <c r="AQ38" i="77"/>
  <c r="AR38" i="77"/>
  <c r="AQ14" i="77"/>
  <c r="AR14" i="77"/>
  <c r="AR33" i="77"/>
  <c r="AQ33" i="77"/>
  <c r="AQ26" i="77"/>
  <c r="AR26" i="77"/>
  <c r="AR13" i="77"/>
  <c r="AQ13" i="77"/>
  <c r="AR25" i="77"/>
  <c r="AQ25" i="77"/>
  <c r="AQ31" i="77"/>
  <c r="AR31" i="77"/>
  <c r="AQ42" i="77"/>
  <c r="AR42" i="77"/>
  <c r="AR29" i="77"/>
  <c r="AQ29" i="77"/>
  <c r="AQ34" i="77"/>
  <c r="AR34" i="77"/>
  <c r="AQ19" i="77"/>
  <c r="AR19" i="77"/>
  <c r="AQ43" i="77"/>
  <c r="AR43" i="77"/>
  <c r="AQ27" i="77"/>
  <c r="AR27" i="77"/>
  <c r="AQ30" i="77"/>
  <c r="AR30" i="77"/>
  <c r="AF22" i="77"/>
  <c r="AF48" i="77"/>
  <c r="BE45" i="77"/>
  <c r="BE41" i="77"/>
  <c r="BE39" i="77"/>
  <c r="AF30" i="77"/>
  <c r="BE21" i="77"/>
  <c r="AF46" i="77"/>
  <c r="W12" i="77"/>
  <c r="AF39" i="77"/>
  <c r="BE30" i="77"/>
  <c r="AF38" i="77"/>
  <c r="AF16" i="77"/>
  <c r="AF41" i="77"/>
  <c r="BE22" i="77"/>
  <c r="BE35" i="77"/>
  <c r="BE25" i="77"/>
  <c r="AF42" i="77"/>
  <c r="BE23" i="77"/>
  <c r="BE33" i="77"/>
  <c r="AF21" i="77"/>
  <c r="BE29" i="77"/>
  <c r="BE34" i="77"/>
  <c r="AF15" i="77"/>
  <c r="AF26" i="77"/>
  <c r="AF17" i="77"/>
  <c r="AF43" i="77"/>
  <c r="AF27" i="77"/>
  <c r="AF29" i="77"/>
  <c r="AF34" i="77"/>
  <c r="BE37" i="77"/>
  <c r="AF23" i="77"/>
  <c r="AF37" i="77"/>
  <c r="AF47" i="77"/>
  <c r="AF33" i="77"/>
  <c r="AF35" i="77"/>
  <c r="BE38" i="77"/>
  <c r="AF50" i="77"/>
  <c r="BE42" i="77"/>
  <c r="BE26" i="77"/>
  <c r="AF31" i="77"/>
  <c r="AF25" i="77"/>
  <c r="BE31" i="77"/>
  <c r="BE27" i="77"/>
  <c r="BE43" i="77"/>
  <c r="AF45" i="77"/>
  <c r="BE14" i="77"/>
  <c r="BE13" i="77"/>
  <c r="AF14" i="77"/>
  <c r="AF49" i="77"/>
  <c r="C19" i="83" a="1"/>
  <c r="BE17" i="77"/>
  <c r="AF13" i="77"/>
  <c r="BE19" i="77"/>
  <c r="BE18" i="77"/>
  <c r="AF19" i="77"/>
  <c r="BE16" i="77"/>
  <c r="BE15" i="77"/>
  <c r="AF18" i="77"/>
  <c r="W50" i="77"/>
  <c r="W46" i="77"/>
  <c r="W43" i="77"/>
  <c r="W35" i="77"/>
  <c r="W27" i="77"/>
  <c r="W19" i="77"/>
  <c r="W42" i="77"/>
  <c r="W34" i="77"/>
  <c r="W26" i="77"/>
  <c r="W18" i="77"/>
  <c r="W49" i="77"/>
  <c r="W41" i="77"/>
  <c r="W33" i="77"/>
  <c r="W25" i="77"/>
  <c r="W17" i="77"/>
  <c r="W40" i="77"/>
  <c r="W32" i="77"/>
  <c r="W24" i="77"/>
  <c r="W16" i="77"/>
  <c r="W31" i="77"/>
  <c r="W15" i="77"/>
  <c r="W48" i="77"/>
  <c r="W39" i="77"/>
  <c r="W47" i="77"/>
  <c r="W45" i="77"/>
  <c r="W37" i="77"/>
  <c r="W29" i="77"/>
  <c r="W21" i="77"/>
  <c r="W13" i="77"/>
  <c r="W23" i="77"/>
  <c r="W44" i="77"/>
  <c r="W36" i="77"/>
  <c r="W28" i="77"/>
  <c r="W20" i="77"/>
  <c r="AT232" i="90" l="1"/>
  <c r="AT231" i="90"/>
  <c r="C19" i="83"/>
  <c r="H19" i="83"/>
  <c r="E19" i="83"/>
  <c r="G19" i="83"/>
  <c r="D19" i="83"/>
  <c r="F19" i="83"/>
  <c r="Z10" i="77"/>
  <c r="W11" i="77"/>
  <c r="V11" i="77" s="1"/>
  <c r="W10" i="77" l="1"/>
  <c r="V10" i="77" s="1"/>
  <c r="Z9" i="77"/>
  <c r="Z8" i="77" l="1"/>
  <c r="W9" i="77"/>
  <c r="V9" i="77" s="1"/>
  <c r="Z7" i="77" l="1"/>
  <c r="W8" i="77"/>
  <c r="V8" i="77" s="1"/>
  <c r="Z6" i="77" l="1"/>
  <c r="W7" i="77"/>
  <c r="V7" i="77" s="1"/>
  <c r="AL7" i="77" l="1"/>
  <c r="W6" i="77"/>
  <c r="V6" i="77" s="1"/>
  <c r="Z5" i="77"/>
  <c r="B206" i="90" l="1" a="1"/>
  <c r="B206" i="90" s="1"/>
  <c r="B226" i="90" s="1"/>
  <c r="W5" i="77"/>
  <c r="V5" i="77" s="1"/>
  <c r="K206" i="90" l="1"/>
  <c r="L206" i="90"/>
  <c r="D206" i="90"/>
  <c r="D226" i="90" s="1"/>
  <c r="D228" i="90" s="1"/>
  <c r="H206" i="90"/>
  <c r="H226" i="90" s="1"/>
  <c r="H228" i="90" s="1"/>
  <c r="I206" i="90"/>
  <c r="I226" i="90" s="1"/>
  <c r="I228" i="90" s="1"/>
  <c r="J206" i="90"/>
  <c r="J226" i="90" s="1"/>
  <c r="J229" i="90" s="1"/>
  <c r="J230" i="90" s="1"/>
  <c r="F206" i="90"/>
  <c r="F226" i="90" s="1"/>
  <c r="E206" i="90"/>
  <c r="E226" i="90" s="1"/>
  <c r="G206" i="90"/>
  <c r="G226" i="90" s="1"/>
  <c r="G228" i="90" s="1"/>
  <c r="C206" i="90"/>
  <c r="L226" i="90"/>
  <c r="K226" i="90"/>
  <c r="D229" i="90"/>
  <c r="D230" i="90" s="1"/>
  <c r="C226" i="90"/>
  <c r="B229" i="90"/>
  <c r="B230" i="90" s="1"/>
  <c r="B228" i="90"/>
  <c r="X12" i="77"/>
  <c r="X13" i="77"/>
  <c r="X14" i="77"/>
  <c r="X15" i="77"/>
  <c r="X16" i="77"/>
  <c r="X17" i="77"/>
  <c r="X18" i="77"/>
  <c r="X19" i="77"/>
  <c r="X20" i="77"/>
  <c r="X21" i="77"/>
  <c r="X22" i="77"/>
  <c r="X23" i="77"/>
  <c r="X24" i="77"/>
  <c r="X25" i="77"/>
  <c r="X26" i="77"/>
  <c r="X27" i="77"/>
  <c r="X28" i="77"/>
  <c r="X29" i="77"/>
  <c r="X30" i="77"/>
  <c r="X31" i="77"/>
  <c r="X32" i="77"/>
  <c r="X33" i="77"/>
  <c r="X34" i="77"/>
  <c r="X35" i="77"/>
  <c r="X36" i="77"/>
  <c r="X37" i="77"/>
  <c r="X38" i="77"/>
  <c r="X39" i="77"/>
  <c r="X40" i="77"/>
  <c r="X41" i="77"/>
  <c r="X42" i="77"/>
  <c r="X43" i="77"/>
  <c r="X44" i="77"/>
  <c r="X45" i="77"/>
  <c r="X46" i="77"/>
  <c r="X47" i="77"/>
  <c r="X48" i="77"/>
  <c r="X49" i="77"/>
  <c r="X50" i="77"/>
  <c r="J228" i="90" l="1"/>
  <c r="H229" i="90"/>
  <c r="H230" i="90" s="1"/>
  <c r="G229" i="90"/>
  <c r="G230" i="90" s="1"/>
  <c r="I229" i="90"/>
  <c r="I230" i="90" s="1"/>
  <c r="C229" i="90"/>
  <c r="C230" i="90" s="1"/>
  <c r="C228" i="90"/>
  <c r="E229" i="90"/>
  <c r="E230" i="90" s="1"/>
  <c r="E228" i="90"/>
  <c r="K229" i="90"/>
  <c r="K230" i="90" s="1"/>
  <c r="K228" i="90"/>
  <c r="F228" i="90"/>
  <c r="F229" i="90"/>
  <c r="F230" i="90" s="1"/>
  <c r="L228" i="90"/>
  <c r="L229" i="90"/>
  <c r="L230" i="90" s="1"/>
  <c r="Q50" i="77"/>
  <c r="Q43" i="77"/>
  <c r="Q35" i="77"/>
  <c r="Q27" i="77"/>
  <c r="Q19" i="77"/>
  <c r="Q42" i="77"/>
  <c r="Q34" i="77"/>
  <c r="Q26" i="77"/>
  <c r="Q18" i="77"/>
  <c r="Q49" i="77"/>
  <c r="Q41" i="77"/>
  <c r="Q33" i="77"/>
  <c r="Q25" i="77"/>
  <c r="Q17" i="77"/>
  <c r="Q48" i="77"/>
  <c r="Q40" i="77"/>
  <c r="Q32" i="77"/>
  <c r="Q24" i="77"/>
  <c r="Q16" i="77"/>
  <c r="Q47" i="77"/>
  <c r="Q39" i="77"/>
  <c r="Q31" i="77"/>
  <c r="Q23" i="77"/>
  <c r="Q15" i="77"/>
  <c r="Q46" i="77"/>
  <c r="Q38" i="77"/>
  <c r="Q30" i="77"/>
  <c r="Q22" i="77"/>
  <c r="Q14" i="77"/>
  <c r="Q45" i="77"/>
  <c r="Q37" i="77"/>
  <c r="Q29" i="77"/>
  <c r="Q21" i="77"/>
  <c r="Q13" i="77"/>
  <c r="Q44" i="77"/>
  <c r="R44" i="77" s="1"/>
  <c r="Q36" i="77"/>
  <c r="Q28" i="77"/>
  <c r="Q20" i="77"/>
  <c r="Q12" i="77"/>
  <c r="B46" i="77"/>
  <c r="V50" i="77"/>
  <c r="AL50" i="77" s="1"/>
  <c r="X51" i="77"/>
  <c r="V12" i="77"/>
  <c r="V18" i="77"/>
  <c r="V44" i="77"/>
  <c r="V27" i="77"/>
  <c r="V28" i="77"/>
  <c r="V34" i="77"/>
  <c r="V41" i="77"/>
  <c r="V40" i="77"/>
  <c r="V16" i="77"/>
  <c r="V47" i="77"/>
  <c r="AL47" i="77" s="1"/>
  <c r="V23" i="77"/>
  <c r="V15" i="77"/>
  <c r="V20" i="77"/>
  <c r="V43" i="77"/>
  <c r="V19" i="77"/>
  <c r="V26" i="77"/>
  <c r="V49" i="77"/>
  <c r="AL49" i="77" s="1"/>
  <c r="V25" i="77"/>
  <c r="V48" i="77"/>
  <c r="AL48" i="77" s="1"/>
  <c r="V24" i="77"/>
  <c r="V46" i="77"/>
  <c r="AL46" i="77" s="1"/>
  <c r="V14" i="77"/>
  <c r="V36" i="77"/>
  <c r="V35" i="77"/>
  <c r="V42" i="77"/>
  <c r="V33" i="77"/>
  <c r="V17" i="77"/>
  <c r="V32" i="77"/>
  <c r="V39" i="77"/>
  <c r="V31" i="77"/>
  <c r="V38" i="77"/>
  <c r="V30" i="77"/>
  <c r="V22" i="77"/>
  <c r="V45" i="77"/>
  <c r="AL45" i="77" s="1"/>
  <c r="V37" i="77"/>
  <c r="V29" i="77"/>
  <c r="V21" i="77"/>
  <c r="V13" i="77"/>
  <c r="D17" i="77"/>
  <c r="D18" i="77"/>
  <c r="D19" i="77"/>
  <c r="D20" i="77"/>
  <c r="D21" i="77"/>
  <c r="D22" i="77"/>
  <c r="D23" i="77"/>
  <c r="D24" i="77"/>
  <c r="D25" i="77"/>
  <c r="D26" i="77"/>
  <c r="D27" i="77"/>
  <c r="D28" i="77"/>
  <c r="D29" i="77"/>
  <c r="D30" i="77"/>
  <c r="D31" i="77"/>
  <c r="D32" i="77"/>
  <c r="D33" i="77"/>
  <c r="D34" i="77"/>
  <c r="D35" i="77"/>
  <c r="D36" i="77"/>
  <c r="D37" i="77"/>
  <c r="D38" i="77"/>
  <c r="D39" i="77"/>
  <c r="D40" i="77"/>
  <c r="D41" i="77"/>
  <c r="D6" i="77"/>
  <c r="D7" i="77"/>
  <c r="D8" i="77"/>
  <c r="D9" i="77"/>
  <c r="D10" i="77"/>
  <c r="D11" i="77"/>
  <c r="D12" i="77"/>
  <c r="D13" i="77"/>
  <c r="D14" i="77"/>
  <c r="D15" i="77"/>
  <c r="D16" i="77"/>
  <c r="D5" i="77"/>
  <c r="AL36" i="77" l="1"/>
  <c r="AL41" i="77"/>
  <c r="AL35" i="77"/>
  <c r="AL40" i="77"/>
  <c r="AL30" i="77"/>
  <c r="AL26" i="77"/>
  <c r="AL38" i="77"/>
  <c r="AL19" i="77"/>
  <c r="AL31" i="77"/>
  <c r="AL43" i="77"/>
  <c r="AL34" i="77"/>
  <c r="AL21" i="77"/>
  <c r="AL39" i="77"/>
  <c r="AL20" i="77"/>
  <c r="AL28" i="77"/>
  <c r="AL29" i="77"/>
  <c r="AL32" i="77"/>
  <c r="AL24" i="77"/>
  <c r="AL15" i="77"/>
  <c r="AL27" i="77"/>
  <c r="AL37" i="77"/>
  <c r="AL17" i="77"/>
  <c r="AL23" i="77"/>
  <c r="AL33" i="77"/>
  <c r="AL25" i="77"/>
  <c r="AL18" i="77"/>
  <c r="AL22" i="77"/>
  <c r="AL42" i="77"/>
  <c r="AL16" i="77"/>
  <c r="AL44" i="77"/>
  <c r="R27" i="77"/>
  <c r="R13" i="77"/>
  <c r="R12" i="77"/>
  <c r="R37" i="77"/>
  <c r="R23" i="77"/>
  <c r="R48" i="77"/>
  <c r="R34" i="77"/>
  <c r="R20" i="77"/>
  <c r="R45" i="77"/>
  <c r="R31" i="77"/>
  <c r="R17" i="77"/>
  <c r="R42" i="77"/>
  <c r="R28" i="77"/>
  <c r="R14" i="77"/>
  <c r="R39" i="77"/>
  <c r="R25" i="77"/>
  <c r="R19" i="77"/>
  <c r="R22" i="77"/>
  <c r="R30" i="77"/>
  <c r="R16" i="77"/>
  <c r="R41" i="77"/>
  <c r="R35" i="77"/>
  <c r="R33" i="77"/>
  <c r="R38" i="77"/>
  <c r="R24" i="77"/>
  <c r="R49" i="77"/>
  <c r="R43" i="77"/>
  <c r="R36" i="77"/>
  <c r="R21" i="77"/>
  <c r="R46" i="77"/>
  <c r="R32" i="77"/>
  <c r="R18" i="77"/>
  <c r="R47" i="77"/>
  <c r="R29" i="77"/>
  <c r="R15" i="77"/>
  <c r="R40" i="77"/>
  <c r="R26" i="77"/>
  <c r="AA5" i="77" a="1"/>
  <c r="AA40" i="77" s="1"/>
  <c r="J40" i="77" s="1"/>
  <c r="AC40" i="77" s="1"/>
  <c r="N40" i="77" s="1"/>
  <c r="AL13" i="77"/>
  <c r="AL14" i="77"/>
  <c r="AB46" i="77"/>
  <c r="AB45" i="77"/>
  <c r="C15" i="83" a="1"/>
  <c r="C18" i="72"/>
  <c r="C17" i="72"/>
  <c r="C16" i="72"/>
  <c r="C6" i="72"/>
  <c r="AA37" i="77" l="1"/>
  <c r="J37" i="77" s="1"/>
  <c r="AC37" i="77" s="1"/>
  <c r="N37" i="77" s="1"/>
  <c r="AA31" i="77"/>
  <c r="J31" i="77" s="1"/>
  <c r="AC31" i="77" s="1"/>
  <c r="N31" i="77" s="1"/>
  <c r="AA50" i="77"/>
  <c r="J50" i="77" s="1"/>
  <c r="AC50" i="77" s="1"/>
  <c r="AA5" i="77"/>
  <c r="J5" i="77" s="1"/>
  <c r="AC5" i="77" s="1"/>
  <c r="N5" i="77" s="1"/>
  <c r="AB5" i="77" s="1"/>
  <c r="AA21" i="77"/>
  <c r="J21" i="77" s="1"/>
  <c r="AC21" i="77" s="1"/>
  <c r="N21" i="77" s="1"/>
  <c r="AA22" i="77"/>
  <c r="J22" i="77" s="1"/>
  <c r="AC22" i="77" s="1"/>
  <c r="N22" i="77" s="1"/>
  <c r="AA6" i="77"/>
  <c r="J6" i="77" s="1"/>
  <c r="AC6" i="77" s="1"/>
  <c r="N6" i="77" s="1"/>
  <c r="AB6" i="77" s="1"/>
  <c r="AA14" i="77"/>
  <c r="J14" i="77" s="1"/>
  <c r="AC14" i="77" s="1"/>
  <c r="N14" i="77" s="1"/>
  <c r="AA43" i="77"/>
  <c r="J43" i="77" s="1"/>
  <c r="AC43" i="77" s="1"/>
  <c r="N43" i="77" s="1"/>
  <c r="AA8" i="77"/>
  <c r="J8" i="77" s="1"/>
  <c r="AC8" i="77" s="1"/>
  <c r="N8" i="77" s="1"/>
  <c r="AB8" i="77" s="1"/>
  <c r="AA9" i="77"/>
  <c r="J9" i="77" s="1"/>
  <c r="AC9" i="77" s="1"/>
  <c r="N9" i="77" s="1"/>
  <c r="AB9" i="77" s="1"/>
  <c r="AA45" i="77"/>
  <c r="J45" i="77" s="1"/>
  <c r="AC45" i="77" s="1"/>
  <c r="AA48" i="77"/>
  <c r="J48" i="77" s="1"/>
  <c r="AC48" i="77" s="1"/>
  <c r="AA49" i="77"/>
  <c r="AA44" i="77"/>
  <c r="J44" i="77" s="1"/>
  <c r="AC44" i="77" s="1"/>
  <c r="N44" i="77" s="1"/>
  <c r="AA47" i="77"/>
  <c r="J47" i="77" s="1"/>
  <c r="AC47" i="77" s="1"/>
  <c r="AA39" i="77"/>
  <c r="J39" i="77" s="1"/>
  <c r="AC39" i="77" s="1"/>
  <c r="N39" i="77" s="1"/>
  <c r="AA28" i="77"/>
  <c r="J28" i="77" s="1"/>
  <c r="AC28" i="77" s="1"/>
  <c r="N28" i="77" s="1"/>
  <c r="AA42" i="77"/>
  <c r="J42" i="77" s="1"/>
  <c r="AC42" i="77" s="1"/>
  <c r="N42" i="77" s="1"/>
  <c r="AA38" i="77"/>
  <c r="J38" i="77" s="1"/>
  <c r="AC38" i="77" s="1"/>
  <c r="N38" i="77" s="1"/>
  <c r="AA12" i="77"/>
  <c r="J12" i="77" s="1"/>
  <c r="AC12" i="77" s="1"/>
  <c r="N12" i="77" s="1"/>
  <c r="AA13" i="77"/>
  <c r="J13" i="77" s="1"/>
  <c r="AC13" i="77" s="1"/>
  <c r="N13" i="77" s="1"/>
  <c r="AA15" i="77"/>
  <c r="J15" i="77" s="1"/>
  <c r="AC15" i="77" s="1"/>
  <c r="N15" i="77" s="1"/>
  <c r="AA27" i="77"/>
  <c r="J27" i="77" s="1"/>
  <c r="AC27" i="77" s="1"/>
  <c r="N27" i="77" s="1"/>
  <c r="AA32" i="77"/>
  <c r="J32" i="77" s="1"/>
  <c r="AC32" i="77" s="1"/>
  <c r="N32" i="77" s="1"/>
  <c r="AA11" i="77"/>
  <c r="J11" i="77" s="1"/>
  <c r="AC11" i="77" s="1"/>
  <c r="N11" i="77" s="1"/>
  <c r="AB11" i="77" s="1"/>
  <c r="AA33" i="77"/>
  <c r="J33" i="77" s="1"/>
  <c r="AC33" i="77" s="1"/>
  <c r="N33" i="77" s="1"/>
  <c r="AA10" i="77"/>
  <c r="J10" i="77" s="1"/>
  <c r="AC10" i="77" s="1"/>
  <c r="N10" i="77" s="1"/>
  <c r="AB10" i="77" s="1"/>
  <c r="AA16" i="77"/>
  <c r="J16" i="77" s="1"/>
  <c r="AC16" i="77" s="1"/>
  <c r="N16" i="77" s="1"/>
  <c r="AA7" i="77"/>
  <c r="J7" i="77" s="1"/>
  <c r="AC7" i="77" s="1"/>
  <c r="N7" i="77" s="1"/>
  <c r="AB7" i="77" s="1"/>
  <c r="AA51" i="77"/>
  <c r="AA24" i="77"/>
  <c r="J24" i="77" s="1"/>
  <c r="AC24" i="77" s="1"/>
  <c r="N24" i="77" s="1"/>
  <c r="AA41" i="77"/>
  <c r="J41" i="77" s="1"/>
  <c r="AC41" i="77" s="1"/>
  <c r="N41" i="77" s="1"/>
  <c r="AA46" i="77"/>
  <c r="J46" i="77" s="1"/>
  <c r="AC46" i="77" s="1"/>
  <c r="AA23" i="77"/>
  <c r="J23" i="77" s="1"/>
  <c r="AC23" i="77" s="1"/>
  <c r="N23" i="77" s="1"/>
  <c r="AA26" i="77"/>
  <c r="J26" i="77" s="1"/>
  <c r="AC26" i="77" s="1"/>
  <c r="N26" i="77" s="1"/>
  <c r="AA19" i="77"/>
  <c r="J19" i="77" s="1"/>
  <c r="AC19" i="77" s="1"/>
  <c r="N19" i="77" s="1"/>
  <c r="AA20" i="77"/>
  <c r="J20" i="77" s="1"/>
  <c r="AC20" i="77" s="1"/>
  <c r="N20" i="77" s="1"/>
  <c r="AA25" i="77"/>
  <c r="J25" i="77" s="1"/>
  <c r="AC25" i="77" s="1"/>
  <c r="N25" i="77" s="1"/>
  <c r="AA35" i="77"/>
  <c r="J35" i="77" s="1"/>
  <c r="AC35" i="77" s="1"/>
  <c r="N35" i="77" s="1"/>
  <c r="AA18" i="77"/>
  <c r="J18" i="77" s="1"/>
  <c r="AC18" i="77" s="1"/>
  <c r="N18" i="77" s="1"/>
  <c r="AA30" i="77"/>
  <c r="J30" i="77" s="1"/>
  <c r="AC30" i="77" s="1"/>
  <c r="N30" i="77" s="1"/>
  <c r="AA36" i="77"/>
  <c r="J36" i="77" s="1"/>
  <c r="AC36" i="77" s="1"/>
  <c r="N36" i="77" s="1"/>
  <c r="AA17" i="77"/>
  <c r="J17" i="77" s="1"/>
  <c r="AC17" i="77" s="1"/>
  <c r="N17" i="77" s="1"/>
  <c r="AA29" i="77"/>
  <c r="J29" i="77" s="1"/>
  <c r="AC29" i="77" s="1"/>
  <c r="N29" i="77" s="1"/>
  <c r="AA34" i="77"/>
  <c r="J34" i="77" s="1"/>
  <c r="AC34" i="77" s="1"/>
  <c r="N34" i="77" s="1"/>
  <c r="AN46" i="77"/>
  <c r="AP46" i="77" s="1"/>
  <c r="AN45" i="77"/>
  <c r="AP45" i="77" s="1"/>
  <c r="AO45" i="77" s="1"/>
  <c r="C15" i="83"/>
  <c r="E15" i="83"/>
  <c r="F15" i="83"/>
  <c r="G15" i="83"/>
  <c r="H15" i="83"/>
  <c r="H17" i="83" s="1"/>
  <c r="D15" i="83"/>
  <c r="C67" i="63"/>
  <c r="J49" i="77" l="1"/>
  <c r="AC49" i="77" s="1"/>
  <c r="AB14" i="77"/>
  <c r="B44" i="77"/>
  <c r="C6" i="77"/>
  <c r="C9" i="77"/>
  <c r="C12" i="77"/>
  <c r="C45" i="77"/>
  <c r="C5" i="77"/>
  <c r="C11" i="77"/>
  <c r="C47" i="77"/>
  <c r="C7" i="77"/>
  <c r="C37" i="77"/>
  <c r="S37" i="77"/>
  <c r="C8" i="77"/>
  <c r="C40" i="77"/>
  <c r="S40" i="77"/>
  <c r="B21" i="77"/>
  <c r="B22" i="77"/>
  <c r="AB31" i="77"/>
  <c r="AV31" i="77" s="1"/>
  <c r="B30" i="77"/>
  <c r="B24" i="77"/>
  <c r="AB43" i="77"/>
  <c r="AU43" i="77" s="1"/>
  <c r="B27" i="77"/>
  <c r="B39" i="77"/>
  <c r="B41" i="77"/>
  <c r="AB32" i="77"/>
  <c r="AV32" i="77" s="1"/>
  <c r="B35" i="77"/>
  <c r="AB42" i="77"/>
  <c r="AB15" i="77"/>
  <c r="AB34" i="77"/>
  <c r="AX34" i="77" s="1"/>
  <c r="AB25" i="77"/>
  <c r="AB20" i="77"/>
  <c r="AX20" i="77" s="1"/>
  <c r="B16" i="77"/>
  <c r="AB23" i="77"/>
  <c r="B26" i="77"/>
  <c r="AB29" i="77"/>
  <c r="AB18" i="77"/>
  <c r="AB17" i="77"/>
  <c r="B36" i="77"/>
  <c r="AB19" i="77"/>
  <c r="AB40" i="77"/>
  <c r="AV40" i="77" s="1"/>
  <c r="B32" i="77"/>
  <c r="B38" i="77"/>
  <c r="B40" i="77"/>
  <c r="B37" i="77"/>
  <c r="B14" i="77"/>
  <c r="AB37" i="77"/>
  <c r="AN44" i="77"/>
  <c r="AO46" i="77"/>
  <c r="AQ46" i="77"/>
  <c r="AR46" i="77" s="1"/>
  <c r="AQ45" i="77"/>
  <c r="AR45" i="77" s="1"/>
  <c r="C30" i="60"/>
  <c r="S45" i="77" l="1"/>
  <c r="S12" i="77"/>
  <c r="AX14" i="77"/>
  <c r="BC14" i="77" s="1"/>
  <c r="AU14" i="77"/>
  <c r="AZ14" i="77" s="1"/>
  <c r="AW14" i="77"/>
  <c r="BB14" i="77" s="1"/>
  <c r="AV14" i="77"/>
  <c r="BA14" i="77" s="1"/>
  <c r="S47" i="77"/>
  <c r="B20" i="77"/>
  <c r="BC20" i="77" s="1"/>
  <c r="AB21" i="77"/>
  <c r="AW21" i="77" s="1"/>
  <c r="B34" i="77"/>
  <c r="B19" i="77"/>
  <c r="B25" i="77"/>
  <c r="AU29" i="77"/>
  <c r="AW29" i="77"/>
  <c r="BB29" i="77" s="1"/>
  <c r="AU19" i="77"/>
  <c r="AW19" i="77"/>
  <c r="AX19" i="77"/>
  <c r="AV19" i="77"/>
  <c r="B42" i="77"/>
  <c r="B29" i="77"/>
  <c r="B17" i="77"/>
  <c r="BC34" i="77"/>
  <c r="AB35" i="77"/>
  <c r="AX35" i="77" s="1"/>
  <c r="BC35" i="77" s="1"/>
  <c r="AB36" i="77"/>
  <c r="AU36" i="77" s="1"/>
  <c r="AZ36" i="77" s="1"/>
  <c r="AB26" i="77"/>
  <c r="AX26" i="77" s="1"/>
  <c r="BC26" i="77" s="1"/>
  <c r="BA32" i="77"/>
  <c r="B15" i="77"/>
  <c r="AB27" i="77"/>
  <c r="AV27" i="77" s="1"/>
  <c r="BA27" i="77" s="1"/>
  <c r="BB21" i="77"/>
  <c r="B43" i="77"/>
  <c r="AZ43" i="77" s="1"/>
  <c r="AX18" i="77"/>
  <c r="AV18" i="77"/>
  <c r="AX15" i="77"/>
  <c r="AW15" i="77"/>
  <c r="AU15" i="77"/>
  <c r="AV15" i="77"/>
  <c r="AU25" i="77"/>
  <c r="AZ25" i="77" s="1"/>
  <c r="AW25" i="77"/>
  <c r="AV25" i="77"/>
  <c r="AX25" i="77"/>
  <c r="AX17" i="77"/>
  <c r="AV17" i="77"/>
  <c r="AW17" i="77"/>
  <c r="AU17" i="77"/>
  <c r="AX42" i="77"/>
  <c r="AV42" i="77"/>
  <c r="AW42" i="77"/>
  <c r="AU42" i="77"/>
  <c r="AW23" i="77"/>
  <c r="AU23" i="77"/>
  <c r="AV23" i="77"/>
  <c r="AX23" i="77"/>
  <c r="S5" i="77"/>
  <c r="C46" i="77"/>
  <c r="S46" i="77"/>
  <c r="C19" i="77"/>
  <c r="S19" i="77"/>
  <c r="C38" i="77"/>
  <c r="S38" i="77"/>
  <c r="C34" i="77"/>
  <c r="S34" i="77"/>
  <c r="C48" i="77"/>
  <c r="S48" i="77"/>
  <c r="AB41" i="77"/>
  <c r="AB30" i="77"/>
  <c r="AW30" i="77" s="1"/>
  <c r="BB30" i="77" s="1"/>
  <c r="C42" i="77"/>
  <c r="S42" i="77"/>
  <c r="AW32" i="77"/>
  <c r="BB32" i="77" s="1"/>
  <c r="C15" i="77"/>
  <c r="S15" i="77"/>
  <c r="S6" i="77"/>
  <c r="AX32" i="77"/>
  <c r="BC32" i="77" s="1"/>
  <c r="B23" i="77"/>
  <c r="BB23" i="77" s="1"/>
  <c r="C27" i="77"/>
  <c r="S27" i="77"/>
  <c r="C43" i="77"/>
  <c r="S43" i="77"/>
  <c r="C14" i="77"/>
  <c r="S14" i="77"/>
  <c r="AU32" i="77"/>
  <c r="AZ32" i="77" s="1"/>
  <c r="C20" i="77"/>
  <c r="S20" i="77"/>
  <c r="S11" i="77"/>
  <c r="S8" i="77"/>
  <c r="C33" i="77"/>
  <c r="S33" i="77"/>
  <c r="C10" i="77"/>
  <c r="S10" i="77"/>
  <c r="S7" i="77"/>
  <c r="C28" i="77"/>
  <c r="S28" i="77"/>
  <c r="C41" i="77"/>
  <c r="S41" i="77"/>
  <c r="C32" i="77"/>
  <c r="S32" i="77"/>
  <c r="C22" i="77"/>
  <c r="S22" i="77"/>
  <c r="B18" i="77"/>
  <c r="C23" i="77"/>
  <c r="S23" i="77"/>
  <c r="C17" i="77"/>
  <c r="S17" i="77"/>
  <c r="C16" i="77"/>
  <c r="S16" i="77"/>
  <c r="C24" i="77"/>
  <c r="S24" i="77"/>
  <c r="C21" i="77"/>
  <c r="S21" i="77"/>
  <c r="C26" i="77"/>
  <c r="S26" i="77"/>
  <c r="AB24" i="77"/>
  <c r="AX24" i="77" s="1"/>
  <c r="BC24" i="77" s="1"/>
  <c r="C39" i="77"/>
  <c r="S39" i="77"/>
  <c r="C35" i="77"/>
  <c r="S35" i="77"/>
  <c r="AB22" i="77"/>
  <c r="AV29" i="77"/>
  <c r="C29" i="77"/>
  <c r="S29" i="77"/>
  <c r="C36" i="77"/>
  <c r="S36" i="77"/>
  <c r="C18" i="77"/>
  <c r="S18" i="77"/>
  <c r="C25" i="77"/>
  <c r="S25" i="77"/>
  <c r="C30" i="77"/>
  <c r="S30" i="77"/>
  <c r="AX29" i="77"/>
  <c r="C13" i="77"/>
  <c r="S13" i="77"/>
  <c r="S9" i="77"/>
  <c r="C31" i="77"/>
  <c r="S31" i="77"/>
  <c r="C44" i="77"/>
  <c r="S44" i="77"/>
  <c r="AB39" i="77"/>
  <c r="B31" i="77"/>
  <c r="BA31" i="77" s="1"/>
  <c r="AV20" i="77"/>
  <c r="AV43" i="77"/>
  <c r="AV21" i="77"/>
  <c r="BA21" i="77" s="1"/>
  <c r="AX43" i="77"/>
  <c r="AU40" i="77"/>
  <c r="AZ40" i="77" s="1"/>
  <c r="AW40" i="77"/>
  <c r="BB40" i="77" s="1"/>
  <c r="AB28" i="77"/>
  <c r="AB33" i="77"/>
  <c r="AB38" i="77"/>
  <c r="B13" i="77"/>
  <c r="AB16" i="77"/>
  <c r="AV16" i="77" s="1"/>
  <c r="BA16" i="77" s="1"/>
  <c r="AV37" i="77"/>
  <c r="BA37" i="77" s="1"/>
  <c r="AB12" i="77"/>
  <c r="AB13" i="77"/>
  <c r="AU13" i="77" s="1"/>
  <c r="B28" i="77"/>
  <c r="B33" i="77"/>
  <c r="AU34" i="77"/>
  <c r="AW43" i="77"/>
  <c r="AB44" i="77"/>
  <c r="AX44" i="77" s="1"/>
  <c r="BC44" i="77" s="1"/>
  <c r="AV34" i="77"/>
  <c r="AW18" i="77"/>
  <c r="AW31" i="77"/>
  <c r="AU18" i="77"/>
  <c r="AW26" i="77"/>
  <c r="BB26" i="77" s="1"/>
  <c r="AV26" i="77"/>
  <c r="BA26" i="77" s="1"/>
  <c r="AW20" i="77"/>
  <c r="AU20" i="77"/>
  <c r="AU26" i="77"/>
  <c r="AZ26" i="77" s="1"/>
  <c r="AW34" i="77"/>
  <c r="BB34" i="77" s="1"/>
  <c r="AU31" i="77"/>
  <c r="AX40" i="77"/>
  <c r="BC40" i="77" s="1"/>
  <c r="AU37" i="77"/>
  <c r="AZ37" i="77" s="1"/>
  <c r="AW37" i="77"/>
  <c r="BB37" i="77" s="1"/>
  <c r="AX37" i="77"/>
  <c r="BC37" i="77" s="1"/>
  <c r="AX31" i="77"/>
  <c r="BA40" i="77"/>
  <c r="AN43" i="77"/>
  <c r="AN42" i="77" s="1"/>
  <c r="D29" i="63"/>
  <c r="D29" i="74"/>
  <c r="BA19" i="77" l="1"/>
  <c r="AZ34" i="77"/>
  <c r="BA29" i="77"/>
  <c r="AV36" i="77"/>
  <c r="BA36" i="77" s="1"/>
  <c r="AZ20" i="77"/>
  <c r="BB20" i="77"/>
  <c r="BA20" i="77"/>
  <c r="BC19" i="77"/>
  <c r="AX21" i="77"/>
  <c r="BC21" i="77" s="1"/>
  <c r="AX30" i="77"/>
  <c r="BC30" i="77" s="1"/>
  <c r="AU21" i="77"/>
  <c r="AZ21" i="77" s="1"/>
  <c r="AU30" i="77"/>
  <c r="AZ30" i="77" s="1"/>
  <c r="BC15" i="77"/>
  <c r="BC25" i="77"/>
  <c r="BA34" i="77"/>
  <c r="AZ17" i="77"/>
  <c r="BB19" i="77"/>
  <c r="BC29" i="77"/>
  <c r="BA25" i="77"/>
  <c r="BB43" i="77"/>
  <c r="BB18" i="77"/>
  <c r="BA42" i="77"/>
  <c r="BB25" i="77"/>
  <c r="AZ19" i="77"/>
  <c r="BC17" i="77"/>
  <c r="AW27" i="77"/>
  <c r="BB27" i="77" s="1"/>
  <c r="AU27" i="77"/>
  <c r="AZ27" i="77" s="1"/>
  <c r="AU35" i="77"/>
  <c r="AZ35" i="77" s="1"/>
  <c r="AX27" i="77"/>
  <c r="BC27" i="77" s="1"/>
  <c r="AZ29" i="77"/>
  <c r="BA23" i="77"/>
  <c r="BC43" i="77"/>
  <c r="AZ42" i="77"/>
  <c r="AW35" i="77"/>
  <c r="BB35" i="77" s="1"/>
  <c r="AZ23" i="77"/>
  <c r="BA17" i="77"/>
  <c r="BB15" i="77"/>
  <c r="AV35" i="77"/>
  <c r="BA35" i="77" s="1"/>
  <c r="C14" i="81"/>
  <c r="BA43" i="77"/>
  <c r="AV24" i="77"/>
  <c r="BA24" i="77" s="1"/>
  <c r="BA18" i="77"/>
  <c r="BB42" i="77"/>
  <c r="C12" i="81"/>
  <c r="AX36" i="77"/>
  <c r="BC36" i="77" s="1"/>
  <c r="BC42" i="77"/>
  <c r="AU24" i="77"/>
  <c r="AZ24" i="77" s="1"/>
  <c r="AW36" i="77"/>
  <c r="BB36" i="77" s="1"/>
  <c r="BC23" i="77"/>
  <c r="BA15" i="77"/>
  <c r="AZ18" i="77"/>
  <c r="BB17" i="77"/>
  <c r="AZ15" i="77"/>
  <c r="AW24" i="77"/>
  <c r="BB24" i="77" s="1"/>
  <c r="AV22" i="77"/>
  <c r="BA22" i="77" s="1"/>
  <c r="AX22" i="77"/>
  <c r="BC22" i="77" s="1"/>
  <c r="AW22" i="77"/>
  <c r="BB22" i="77" s="1"/>
  <c r="AU22" i="77"/>
  <c r="AZ22" i="77" s="1"/>
  <c r="AV30" i="77"/>
  <c r="BA30" i="77" s="1"/>
  <c r="AX41" i="77"/>
  <c r="BC41" i="77" s="1"/>
  <c r="AU41" i="77"/>
  <c r="AZ41" i="77" s="1"/>
  <c r="AV41" i="77"/>
  <c r="BA41" i="77" s="1"/>
  <c r="AW41" i="77"/>
  <c r="BB41" i="77" s="1"/>
  <c r="AU39" i="77"/>
  <c r="AZ39" i="77" s="1"/>
  <c r="AW39" i="77"/>
  <c r="BB39" i="77" s="1"/>
  <c r="AX39" i="77"/>
  <c r="BC39" i="77" s="1"/>
  <c r="AV39" i="77"/>
  <c r="BA39" i="77" s="1"/>
  <c r="BC18" i="77"/>
  <c r="AU44" i="77"/>
  <c r="AZ44" i="77" s="1"/>
  <c r="C13" i="81"/>
  <c r="BC31" i="77"/>
  <c r="AZ31" i="77"/>
  <c r="BB31" i="77"/>
  <c r="AW44" i="77"/>
  <c r="BB44" i="77" s="1"/>
  <c r="AU16" i="77"/>
  <c r="AZ16" i="77" s="1"/>
  <c r="AZ13" i="77"/>
  <c r="AV44" i="77"/>
  <c r="BA44" i="77" s="1"/>
  <c r="AV13" i="77"/>
  <c r="BA13" i="77" s="1"/>
  <c r="AW16" i="77"/>
  <c r="BB16" i="77" s="1"/>
  <c r="AU33" i="77"/>
  <c r="AZ33" i="77" s="1"/>
  <c r="AX33" i="77"/>
  <c r="BC33" i="77" s="1"/>
  <c r="AW33" i="77"/>
  <c r="BB33" i="77" s="1"/>
  <c r="AV33" i="77"/>
  <c r="BA33" i="77" s="1"/>
  <c r="AW13" i="77"/>
  <c r="BB13" i="77" s="1"/>
  <c r="AX13" i="77"/>
  <c r="BC13" i="77" s="1"/>
  <c r="AV38" i="77"/>
  <c r="BA38" i="77" s="1"/>
  <c r="AU38" i="77"/>
  <c r="AZ38" i="77" s="1"/>
  <c r="AW38" i="77"/>
  <c r="BB38" i="77" s="1"/>
  <c r="AX38" i="77"/>
  <c r="BC38" i="77" s="1"/>
  <c r="AT44" i="77"/>
  <c r="AY44" i="77" s="1"/>
  <c r="AX16" i="77"/>
  <c r="BC16" i="77" s="1"/>
  <c r="AW28" i="77"/>
  <c r="BB28" i="77" s="1"/>
  <c r="AU28" i="77"/>
  <c r="AZ28" i="77" s="1"/>
  <c r="AV28" i="77"/>
  <c r="BA28" i="77" s="1"/>
  <c r="AX28" i="77"/>
  <c r="BC28" i="77" s="1"/>
  <c r="AT43" i="77"/>
  <c r="AY43" i="77" s="1"/>
  <c r="AN41" i="77"/>
  <c r="AT42" i="77"/>
  <c r="AY42" i="77" l="1"/>
  <c r="AN40" i="77"/>
  <c r="AT41" i="77"/>
  <c r="AY41" i="77" l="1"/>
  <c r="AN39" i="77"/>
  <c r="AT40" i="77"/>
  <c r="AY40" i="77" l="1"/>
  <c r="AN38" i="77"/>
  <c r="AT39" i="77"/>
  <c r="G8" i="83"/>
  <c r="G7" i="83"/>
  <c r="F7" i="83"/>
  <c r="E7" i="83"/>
  <c r="D7" i="83"/>
  <c r="C7" i="83"/>
  <c r="AY39" i="77" l="1"/>
  <c r="AN37" i="77"/>
  <c r="AT38" i="77"/>
  <c r="C8" i="83"/>
  <c r="E8" i="83"/>
  <c r="D8" i="83"/>
  <c r="F8" i="83"/>
  <c r="AY38" i="77" l="1"/>
  <c r="AN36" i="77"/>
  <c r="AT37" i="77"/>
  <c r="AY37" i="77" l="1"/>
  <c r="AN35" i="77"/>
  <c r="AT36" i="77"/>
  <c r="C120" i="59"/>
  <c r="C122" i="59"/>
  <c r="AY36" i="77" l="1"/>
  <c r="AN34" i="77"/>
  <c r="AT35" i="77"/>
  <c r="E14" i="81"/>
  <c r="E13" i="81"/>
  <c r="E12" i="81"/>
  <c r="E11" i="81"/>
  <c r="E10" i="81"/>
  <c r="Q81" i="79"/>
  <c r="Q80" i="79"/>
  <c r="Q79" i="79"/>
  <c r="Q78" i="79"/>
  <c r="Q77" i="79"/>
  <c r="Q76" i="79"/>
  <c r="Q75" i="79"/>
  <c r="Q74" i="79"/>
  <c r="Q73" i="79"/>
  <c r="Q72" i="79"/>
  <c r="Q71" i="79"/>
  <c r="Q70" i="79"/>
  <c r="Q69" i="79"/>
  <c r="Q68" i="79"/>
  <c r="Q67" i="79"/>
  <c r="Q66" i="79"/>
  <c r="Q65" i="79"/>
  <c r="Q64" i="79"/>
  <c r="Q63" i="79"/>
  <c r="Q62" i="79"/>
  <c r="Q61" i="79"/>
  <c r="Q60" i="79"/>
  <c r="Q59" i="79"/>
  <c r="Q58" i="79"/>
  <c r="Q57" i="79"/>
  <c r="Q56" i="79"/>
  <c r="Q55" i="79"/>
  <c r="Q54" i="79"/>
  <c r="Q53" i="79"/>
  <c r="Q52" i="79"/>
  <c r="Q51" i="79"/>
  <c r="Q50" i="79"/>
  <c r="Q49" i="79"/>
  <c r="Q48" i="79"/>
  <c r="Q47" i="79"/>
  <c r="Q46" i="79"/>
  <c r="Q45" i="79"/>
  <c r="Q44" i="79"/>
  <c r="Q25" i="79"/>
  <c r="N25" i="79"/>
  <c r="M25" i="79"/>
  <c r="L25" i="79"/>
  <c r="K25" i="79"/>
  <c r="J25" i="79"/>
  <c r="I25" i="79"/>
  <c r="Q24" i="79"/>
  <c r="N24" i="79"/>
  <c r="M24" i="79"/>
  <c r="L24" i="79"/>
  <c r="K24" i="79"/>
  <c r="J24" i="79"/>
  <c r="I24" i="79"/>
  <c r="Q23" i="79"/>
  <c r="N23" i="79"/>
  <c r="M23" i="79"/>
  <c r="L23" i="79"/>
  <c r="K23" i="79"/>
  <c r="J23" i="79"/>
  <c r="I23" i="79"/>
  <c r="Q22" i="79"/>
  <c r="N22" i="79"/>
  <c r="M22" i="79"/>
  <c r="L22" i="79"/>
  <c r="K22" i="79"/>
  <c r="J22" i="79"/>
  <c r="I22" i="79"/>
  <c r="Q21" i="79"/>
  <c r="N21" i="79"/>
  <c r="M21" i="79"/>
  <c r="L21" i="79"/>
  <c r="K21" i="79"/>
  <c r="J21" i="79"/>
  <c r="I21" i="79"/>
  <c r="Q20" i="79"/>
  <c r="N20" i="79"/>
  <c r="M20" i="79"/>
  <c r="L20" i="79"/>
  <c r="K20" i="79"/>
  <c r="J20" i="79"/>
  <c r="I20" i="79"/>
  <c r="Q19" i="79"/>
  <c r="N19" i="79"/>
  <c r="M19" i="79"/>
  <c r="L19" i="79"/>
  <c r="K19" i="79"/>
  <c r="J19" i="79"/>
  <c r="I19" i="79"/>
  <c r="Q18" i="79"/>
  <c r="N18" i="79"/>
  <c r="M18" i="79"/>
  <c r="L18" i="79"/>
  <c r="K18" i="79"/>
  <c r="J18" i="79"/>
  <c r="I18" i="79"/>
  <c r="Q17" i="79"/>
  <c r="N17" i="79"/>
  <c r="M17" i="79"/>
  <c r="L17" i="79"/>
  <c r="K17" i="79"/>
  <c r="J17" i="79"/>
  <c r="I17" i="79"/>
  <c r="Q16" i="79"/>
  <c r="N16" i="79"/>
  <c r="M16" i="79"/>
  <c r="L16" i="79"/>
  <c r="K16" i="79"/>
  <c r="J16" i="79"/>
  <c r="I16" i="79"/>
  <c r="Q15" i="79"/>
  <c r="N15" i="79"/>
  <c r="M15" i="79"/>
  <c r="L15" i="79"/>
  <c r="K15" i="79"/>
  <c r="J15" i="79"/>
  <c r="I15" i="79"/>
  <c r="Q14" i="79"/>
  <c r="N14" i="79"/>
  <c r="M14" i="79"/>
  <c r="L14" i="79"/>
  <c r="K14" i="79"/>
  <c r="J14" i="79"/>
  <c r="I14" i="79"/>
  <c r="Q13" i="79"/>
  <c r="N13" i="79"/>
  <c r="M13" i="79"/>
  <c r="L13" i="79"/>
  <c r="K13" i="79"/>
  <c r="J13" i="79"/>
  <c r="I13" i="79"/>
  <c r="Q12" i="79"/>
  <c r="N12" i="79"/>
  <c r="M12" i="79"/>
  <c r="L12" i="79"/>
  <c r="K12" i="79"/>
  <c r="J12" i="79"/>
  <c r="I12" i="79"/>
  <c r="Q11" i="79"/>
  <c r="N11" i="79"/>
  <c r="M11" i="79"/>
  <c r="L11" i="79"/>
  <c r="K11" i="79"/>
  <c r="J11" i="79"/>
  <c r="I11" i="79"/>
  <c r="Q10" i="79"/>
  <c r="N10" i="79"/>
  <c r="M10" i="79"/>
  <c r="L10" i="79"/>
  <c r="K10" i="79"/>
  <c r="J10" i="79"/>
  <c r="I10" i="79"/>
  <c r="H10" i="75"/>
  <c r="H5" i="75"/>
  <c r="C9" i="70" l="1"/>
  <c r="C17" i="70"/>
  <c r="C18" i="70"/>
  <c r="C19" i="70"/>
  <c r="C20" i="70"/>
  <c r="C13" i="70"/>
  <c r="C22" i="70"/>
  <c r="C23" i="70"/>
  <c r="C10" i="70"/>
  <c r="C11" i="70"/>
  <c r="C12" i="70"/>
  <c r="C21" i="70"/>
  <c r="C5" i="70"/>
  <c r="C6" i="70"/>
  <c r="C14" i="70"/>
  <c r="C16" i="70"/>
  <c r="C7" i="70"/>
  <c r="C15" i="70"/>
  <c r="C4" i="70"/>
  <c r="C8" i="70"/>
  <c r="AY35" i="77"/>
  <c r="AN33" i="77"/>
  <c r="AT34" i="77"/>
  <c r="E9" i="81"/>
  <c r="E7" i="81"/>
  <c r="E6" i="81"/>
  <c r="E8" i="81"/>
  <c r="H12" i="79"/>
  <c r="H20" i="79"/>
  <c r="H14" i="79"/>
  <c r="H22" i="79"/>
  <c r="H13" i="79"/>
  <c r="H21" i="79"/>
  <c r="H11" i="79"/>
  <c r="H19" i="79"/>
  <c r="H10" i="79"/>
  <c r="H18" i="79"/>
  <c r="H17" i="79"/>
  <c r="H25" i="79"/>
  <c r="H16" i="79"/>
  <c r="H24" i="79"/>
  <c r="H15" i="79"/>
  <c r="H23" i="79"/>
  <c r="AY34" i="77" l="1"/>
  <c r="AN32" i="77"/>
  <c r="AT33" i="77"/>
  <c r="AE6" i="77"/>
  <c r="AE5" i="77"/>
  <c r="AY33" i="77" l="1"/>
  <c r="AQ5" i="77"/>
  <c r="AR5" i="77"/>
  <c r="AQ6" i="77"/>
  <c r="AR6" i="77"/>
  <c r="AN31" i="77"/>
  <c r="AT32" i="77"/>
  <c r="AF5" i="77"/>
  <c r="AL5" i="77"/>
  <c r="AF6" i="77"/>
  <c r="AL6" i="77"/>
  <c r="E17" i="83"/>
  <c r="J19" i="83"/>
  <c r="I19" i="83"/>
  <c r="F17" i="83"/>
  <c r="G17" i="83"/>
  <c r="D17" i="83"/>
  <c r="AY32" i="77" l="1"/>
  <c r="AN30" i="77"/>
  <c r="AT31" i="77"/>
  <c r="C17" i="83"/>
  <c r="AY31" i="77" l="1"/>
  <c r="AN29" i="77"/>
  <c r="AT30" i="77"/>
  <c r="AY30" i="77" l="1"/>
  <c r="AN28" i="77"/>
  <c r="AT29" i="77"/>
  <c r="AY29" i="77" l="1"/>
  <c r="AN27" i="77"/>
  <c r="AT28" i="77"/>
  <c r="AY28" i="77" l="1"/>
  <c r="AN26" i="77"/>
  <c r="AT27" i="77"/>
  <c r="AM9" i="55"/>
  <c r="AY27" i="77" l="1"/>
  <c r="AN25" i="77"/>
  <c r="AT26" i="77"/>
  <c r="AO9" i="55"/>
  <c r="AY26" i="77" l="1"/>
  <c r="AN24" i="77"/>
  <c r="AT25" i="77"/>
  <c r="AG52" i="55"/>
  <c r="AH52" i="55" s="1"/>
  <c r="AG53" i="55"/>
  <c r="AH53" i="55" s="1"/>
  <c r="AG54" i="55"/>
  <c r="AH54" i="55" s="1"/>
  <c r="AG55" i="55"/>
  <c r="AH55" i="55" s="1"/>
  <c r="AG56" i="55"/>
  <c r="AH56" i="55" s="1"/>
  <c r="AG57" i="55"/>
  <c r="AH57" i="55" s="1"/>
  <c r="AG58" i="55"/>
  <c r="AH58" i="55" s="1"/>
  <c r="AG59" i="55"/>
  <c r="AH59" i="55" s="1"/>
  <c r="AG60" i="55"/>
  <c r="AH60" i="55" s="1"/>
  <c r="AG61" i="55"/>
  <c r="AH61" i="55" s="1"/>
  <c r="AG62" i="55"/>
  <c r="AH62" i="55" s="1"/>
  <c r="AG63" i="55"/>
  <c r="AH63" i="55" s="1"/>
  <c r="AG64" i="55"/>
  <c r="AH64" i="55" s="1"/>
  <c r="AG65" i="55"/>
  <c r="AH65" i="55" s="1"/>
  <c r="AG66" i="55"/>
  <c r="AH66" i="55" s="1"/>
  <c r="AG67" i="55"/>
  <c r="AH67" i="55" s="1"/>
  <c r="AG68" i="55"/>
  <c r="AH68" i="55" s="1"/>
  <c r="AG69" i="55"/>
  <c r="AH69" i="55" s="1"/>
  <c r="AG70" i="55"/>
  <c r="AH70" i="55" s="1"/>
  <c r="AG71" i="55"/>
  <c r="AH71" i="55" s="1"/>
  <c r="AG72" i="55"/>
  <c r="AH72" i="55" s="1"/>
  <c r="AG73" i="55"/>
  <c r="AH73" i="55" s="1"/>
  <c r="AG74" i="55"/>
  <c r="AH74" i="55" s="1"/>
  <c r="AG75" i="55"/>
  <c r="AH75" i="55" s="1"/>
  <c r="AG76" i="55"/>
  <c r="AH76" i="55" s="1"/>
  <c r="AG77" i="55"/>
  <c r="AH77" i="55" s="1"/>
  <c r="AG78" i="55"/>
  <c r="AH78" i="55" s="1"/>
  <c r="AG79" i="55"/>
  <c r="AH79" i="55" s="1"/>
  <c r="AH80" i="55"/>
  <c r="AH81" i="55"/>
  <c r="AH82" i="55"/>
  <c r="AH83" i="55"/>
  <c r="AH84" i="55"/>
  <c r="AH85" i="55"/>
  <c r="AH86" i="55"/>
  <c r="AH87" i="55"/>
  <c r="AH88" i="55"/>
  <c r="AG101" i="55"/>
  <c r="AH101" i="55" s="1"/>
  <c r="AY25" i="77" l="1"/>
  <c r="AN23" i="77"/>
  <c r="AT24" i="77"/>
  <c r="AI88" i="55"/>
  <c r="AI80" i="55"/>
  <c r="AI72" i="55"/>
  <c r="AI56" i="55"/>
  <c r="AI70" i="55"/>
  <c r="AI66" i="55"/>
  <c r="AI62" i="55"/>
  <c r="AI58" i="55"/>
  <c r="AI54" i="55"/>
  <c r="AI83" i="55"/>
  <c r="AI67" i="55"/>
  <c r="AI87" i="55"/>
  <c r="AI79" i="55"/>
  <c r="AI68" i="55"/>
  <c r="AI63" i="55"/>
  <c r="AI52" i="55"/>
  <c r="AI84" i="55"/>
  <c r="AI76" i="55"/>
  <c r="AI71" i="55"/>
  <c r="AI60" i="55"/>
  <c r="AI55" i="55"/>
  <c r="AI75" i="55"/>
  <c r="AI64" i="55"/>
  <c r="AI59" i="55"/>
  <c r="AI69" i="55"/>
  <c r="AI65" i="55"/>
  <c r="AI74" i="55"/>
  <c r="AI78" i="55"/>
  <c r="AI82" i="55"/>
  <c r="AI86" i="55"/>
  <c r="AI73" i="55"/>
  <c r="AI77" i="55"/>
  <c r="AI81" i="55"/>
  <c r="AI85" i="55"/>
  <c r="AI101" i="55"/>
  <c r="AI53" i="55"/>
  <c r="AI57" i="55"/>
  <c r="AI61" i="55"/>
  <c r="AG47" i="54"/>
  <c r="AH47" i="54" s="1"/>
  <c r="AJ47" i="54" s="1"/>
  <c r="AH88" i="54"/>
  <c r="AJ88" i="54" s="1"/>
  <c r="AH87" i="54"/>
  <c r="AJ87" i="54" s="1"/>
  <c r="AH86" i="54"/>
  <c r="AH85" i="54"/>
  <c r="AH84" i="54"/>
  <c r="AJ84" i="54" s="1"/>
  <c r="AH83" i="54"/>
  <c r="AJ83" i="54" s="1"/>
  <c r="AH82" i="54"/>
  <c r="AH81" i="54"/>
  <c r="AH80" i="54"/>
  <c r="AJ80" i="54" s="1"/>
  <c r="AN101" i="54"/>
  <c r="AN97" i="54"/>
  <c r="AP97" i="54" s="1"/>
  <c r="AN96" i="54"/>
  <c r="AN95" i="54"/>
  <c r="AN94" i="54"/>
  <c r="AP94" i="54" s="1"/>
  <c r="AN93" i="54"/>
  <c r="AP93" i="54" s="1"/>
  <c r="AN92" i="54"/>
  <c r="AN91" i="54"/>
  <c r="AN90" i="54"/>
  <c r="AP90" i="54" s="1"/>
  <c r="AN88" i="54"/>
  <c r="AP88" i="54" s="1"/>
  <c r="AN87" i="54"/>
  <c r="AN86" i="54"/>
  <c r="AN85" i="54"/>
  <c r="AP85" i="54" s="1"/>
  <c r="AN84" i="54"/>
  <c r="AP84" i="54" s="1"/>
  <c r="AN83" i="54"/>
  <c r="AN82" i="54"/>
  <c r="AN81" i="54"/>
  <c r="AP81" i="54" s="1"/>
  <c r="AN80" i="54"/>
  <c r="AP80" i="54" s="1"/>
  <c r="AN79" i="54"/>
  <c r="AN78" i="54"/>
  <c r="AN77" i="54"/>
  <c r="AP77" i="54" s="1"/>
  <c r="AN76" i="54"/>
  <c r="AP76" i="54" s="1"/>
  <c r="AN75" i="54"/>
  <c r="AN74" i="54"/>
  <c r="AN73" i="54"/>
  <c r="AP73" i="54" s="1"/>
  <c r="AN72" i="54"/>
  <c r="AP72" i="54" s="1"/>
  <c r="AN71" i="54"/>
  <c r="AN70" i="54"/>
  <c r="AN69" i="54"/>
  <c r="AP69" i="54" s="1"/>
  <c r="AN68" i="54"/>
  <c r="AP68" i="54" s="1"/>
  <c r="AN67" i="54"/>
  <c r="AN66" i="54"/>
  <c r="AN65" i="54"/>
  <c r="AP65" i="54" s="1"/>
  <c r="AN64" i="54"/>
  <c r="AP64" i="54" s="1"/>
  <c r="AN63" i="54"/>
  <c r="AN62" i="54"/>
  <c r="AN61" i="54"/>
  <c r="AP61" i="54" s="1"/>
  <c r="AN60" i="54"/>
  <c r="AP60" i="54" s="1"/>
  <c r="AN59" i="54"/>
  <c r="AN58" i="54"/>
  <c r="AN57" i="54"/>
  <c r="AP57" i="54" s="1"/>
  <c r="AN56" i="54"/>
  <c r="AP56" i="54" s="1"/>
  <c r="AN55" i="54"/>
  <c r="AN54" i="54"/>
  <c r="AN53" i="54"/>
  <c r="AP53" i="54" s="1"/>
  <c r="AN52" i="54"/>
  <c r="AP52" i="54" s="1"/>
  <c r="AN51" i="54"/>
  <c r="AN50" i="54"/>
  <c r="AN49" i="54"/>
  <c r="AP49" i="54" s="1"/>
  <c r="AN48" i="54"/>
  <c r="AP48" i="54" s="1"/>
  <c r="AN47" i="54"/>
  <c r="AN46" i="54"/>
  <c r="AN45" i="54"/>
  <c r="AP45" i="54" s="1"/>
  <c r="AN43" i="54"/>
  <c r="AP42" i="54"/>
  <c r="AN41" i="54"/>
  <c r="AP40" i="54"/>
  <c r="AP39" i="54"/>
  <c r="AP38" i="54"/>
  <c r="AP37" i="54"/>
  <c r="AP36" i="54"/>
  <c r="AP35" i="54"/>
  <c r="AP34" i="54"/>
  <c r="AN33" i="54"/>
  <c r="AP33" i="54" s="1"/>
  <c r="AN32" i="54"/>
  <c r="AP32" i="54" s="1"/>
  <c r="AN30" i="54"/>
  <c r="AP29" i="54"/>
  <c r="AP28" i="54"/>
  <c r="AN27" i="54"/>
  <c r="AP27" i="54" s="1"/>
  <c r="AN26" i="54"/>
  <c r="AP26" i="54" s="1"/>
  <c r="AP25" i="54"/>
  <c r="AN24" i="54"/>
  <c r="AP24" i="54" s="1"/>
  <c r="AP23" i="54"/>
  <c r="AN22" i="54"/>
  <c r="AP21" i="54"/>
  <c r="AP20" i="54"/>
  <c r="AP19" i="54"/>
  <c r="AP18" i="54"/>
  <c r="AP17" i="54"/>
  <c r="AP16" i="54"/>
  <c r="AP15" i="54"/>
  <c r="AP14" i="54"/>
  <c r="AN13" i="54"/>
  <c r="AP13" i="54" s="1"/>
  <c r="AN12" i="54"/>
  <c r="AP12" i="54" s="1"/>
  <c r="AP11" i="54"/>
  <c r="AP10" i="54"/>
  <c r="AN9" i="54"/>
  <c r="AM98" i="55"/>
  <c r="AO98" i="55" s="1"/>
  <c r="AM97" i="55"/>
  <c r="AO97" i="55" s="1"/>
  <c r="AM96" i="55"/>
  <c r="AM95" i="55"/>
  <c r="AM94" i="55"/>
  <c r="AO94" i="55" s="1"/>
  <c r="AM93" i="55"/>
  <c r="AO93" i="55" s="1"/>
  <c r="AM92" i="55"/>
  <c r="AM91" i="55"/>
  <c r="AM90" i="55"/>
  <c r="AO90" i="55" s="1"/>
  <c r="AM51" i="55"/>
  <c r="AM50" i="55"/>
  <c r="AO50" i="55" s="1"/>
  <c r="AM49" i="55"/>
  <c r="AO49" i="55" s="1"/>
  <c r="AM48" i="55"/>
  <c r="AM47" i="55"/>
  <c r="AM46" i="55"/>
  <c r="AO46" i="55" s="1"/>
  <c r="AM45" i="55"/>
  <c r="AO45" i="55" s="1"/>
  <c r="AM43" i="55"/>
  <c r="AO42" i="55"/>
  <c r="AM41" i="55"/>
  <c r="AO41" i="55" s="1"/>
  <c r="AO40" i="55"/>
  <c r="AO39" i="55"/>
  <c r="AO38" i="55"/>
  <c r="AO37" i="55"/>
  <c r="AO36" i="55"/>
  <c r="AO35" i="55"/>
  <c r="AO34" i="55"/>
  <c r="AM33" i="55"/>
  <c r="AO33" i="55" s="1"/>
  <c r="AM32" i="55"/>
  <c r="AM30" i="55"/>
  <c r="AO30" i="55" s="1"/>
  <c r="AO29" i="55"/>
  <c r="AO28" i="55"/>
  <c r="AM27" i="55"/>
  <c r="AO27" i="55" s="1"/>
  <c r="AM26" i="55"/>
  <c r="AO25" i="55"/>
  <c r="AM24" i="55"/>
  <c r="AO23" i="55"/>
  <c r="AM22" i="55"/>
  <c r="AO21" i="55"/>
  <c r="AO20" i="55"/>
  <c r="AO19" i="55"/>
  <c r="AO18" i="55"/>
  <c r="AO17" i="55"/>
  <c r="AO16" i="55"/>
  <c r="AO15" i="55"/>
  <c r="AO14" i="55"/>
  <c r="AM13" i="55"/>
  <c r="AO13" i="55" s="1"/>
  <c r="AM12" i="55"/>
  <c r="AO11" i="55"/>
  <c r="AO10" i="55"/>
  <c r="AY24" i="77" l="1"/>
  <c r="AN22" i="77"/>
  <c r="AT23" i="77"/>
  <c r="AJ81" i="54"/>
  <c r="AJ85" i="54"/>
  <c r="AJ82" i="54"/>
  <c r="AJ86" i="54"/>
  <c r="AP22" i="54"/>
  <c r="AP30" i="54"/>
  <c r="AP50" i="54"/>
  <c r="AP66" i="54"/>
  <c r="AP82" i="54"/>
  <c r="AP41" i="54"/>
  <c r="AP54" i="54"/>
  <c r="AP70" i="54"/>
  <c r="AP86" i="54"/>
  <c r="AP58" i="54"/>
  <c r="AP74" i="54"/>
  <c r="AP91" i="54"/>
  <c r="AP46" i="54"/>
  <c r="AP62" i="54"/>
  <c r="AP78" i="54"/>
  <c r="AP95" i="54"/>
  <c r="AP47" i="54"/>
  <c r="AP51" i="54"/>
  <c r="AP55" i="54"/>
  <c r="AP59" i="54"/>
  <c r="AP63" i="54"/>
  <c r="AP67" i="54"/>
  <c r="AP71" i="54"/>
  <c r="AP75" i="54"/>
  <c r="AP79" i="54"/>
  <c r="AP83" i="54"/>
  <c r="AP87" i="54"/>
  <c r="AP92" i="54"/>
  <c r="AP96" i="54"/>
  <c r="AP101" i="54"/>
  <c r="AP9" i="54"/>
  <c r="AN102" i="54"/>
  <c r="AM104" i="55"/>
  <c r="AO47" i="55"/>
  <c r="AO48" i="55"/>
  <c r="AO95" i="55"/>
  <c r="AO24" i="55"/>
  <c r="AO91" i="55"/>
  <c r="AO96" i="55"/>
  <c r="AO32" i="55"/>
  <c r="AO12" i="55"/>
  <c r="AO26" i="55"/>
  <c r="AO22" i="55"/>
  <c r="AO51" i="55"/>
  <c r="AO92" i="55"/>
  <c r="AY23" i="77" l="1"/>
  <c r="AN21" i="77"/>
  <c r="AT22" i="77"/>
  <c r="AP102" i="54"/>
  <c r="AO104" i="55"/>
  <c r="AY22" i="77" l="1"/>
  <c r="AN20" i="77"/>
  <c r="AT21" i="77"/>
  <c r="C91" i="60"/>
  <c r="AQ97" i="55"/>
  <c r="AQ96" i="55"/>
  <c r="AQ95" i="55"/>
  <c r="AQ94" i="55"/>
  <c r="AQ93" i="55"/>
  <c r="AQ92" i="55"/>
  <c r="AQ91" i="55"/>
  <c r="AQ90" i="55"/>
  <c r="AR93" i="54"/>
  <c r="AR94" i="54"/>
  <c r="AR95" i="54"/>
  <c r="AR96" i="54"/>
  <c r="AR97" i="54"/>
  <c r="AR52" i="54"/>
  <c r="AR53" i="54"/>
  <c r="AR54" i="54"/>
  <c r="AR55" i="54"/>
  <c r="AR56" i="54"/>
  <c r="AR57" i="54"/>
  <c r="AR58" i="54"/>
  <c r="AR59" i="54"/>
  <c r="AR60" i="54"/>
  <c r="AR61" i="54"/>
  <c r="AR62" i="54"/>
  <c r="AR63" i="54"/>
  <c r="AR64" i="54"/>
  <c r="AR65" i="54"/>
  <c r="AR66" i="54"/>
  <c r="AR67" i="54"/>
  <c r="AR68" i="54"/>
  <c r="AR69" i="54"/>
  <c r="AR70" i="54"/>
  <c r="AR71" i="54"/>
  <c r="AR72" i="54"/>
  <c r="AR73" i="54"/>
  <c r="AR74" i="54"/>
  <c r="AR75" i="54"/>
  <c r="AR76" i="54"/>
  <c r="AR77" i="54"/>
  <c r="AR78" i="54"/>
  <c r="AR79" i="54"/>
  <c r="AR80" i="54"/>
  <c r="AR81" i="54"/>
  <c r="AR82" i="54"/>
  <c r="AR83" i="54"/>
  <c r="AR84" i="54"/>
  <c r="AR85" i="54"/>
  <c r="AR86" i="54"/>
  <c r="AR87" i="54"/>
  <c r="AR88" i="54"/>
  <c r="AR90" i="54"/>
  <c r="AR91" i="54"/>
  <c r="AR92" i="54"/>
  <c r="AY21" i="77" l="1"/>
  <c r="AN19" i="77"/>
  <c r="AT20" i="77"/>
  <c r="C54" i="1"/>
  <c r="O54" i="1"/>
  <c r="P54" i="1" s="1"/>
  <c r="O66" i="1"/>
  <c r="P66" i="1" s="1"/>
  <c r="O68" i="1"/>
  <c r="P68" i="1" s="1"/>
  <c r="O70" i="1"/>
  <c r="P70" i="1" s="1"/>
  <c r="O71" i="1"/>
  <c r="P71" i="1" s="1"/>
  <c r="O73" i="1"/>
  <c r="P73" i="1" s="1"/>
  <c r="O85" i="1"/>
  <c r="P85" i="1" s="1"/>
  <c r="O86" i="1"/>
  <c r="P86" i="1" s="1"/>
  <c r="K17" i="66"/>
  <c r="K16" i="66"/>
  <c r="K15" i="66"/>
  <c r="K14" i="66"/>
  <c r="K13" i="66"/>
  <c r="K12" i="66"/>
  <c r="K9" i="66"/>
  <c r="K8" i="66"/>
  <c r="K7" i="66"/>
  <c r="K6" i="66"/>
  <c r="K5" i="66"/>
  <c r="K3" i="66"/>
  <c r="K2" i="66"/>
  <c r="K4" i="66"/>
  <c r="H24" i="1"/>
  <c r="C31" i="60"/>
  <c r="H30" i="1"/>
  <c r="C42" i="60"/>
  <c r="C33" i="60"/>
  <c r="H32" i="1"/>
  <c r="C13" i="60"/>
  <c r="C45" i="60"/>
  <c r="C40" i="60"/>
  <c r="C28" i="60"/>
  <c r="O28" i="60" s="1"/>
  <c r="C21" i="60"/>
  <c r="C27" i="60"/>
  <c r="A3" i="66"/>
  <c r="A4" i="66"/>
  <c r="A6" i="66"/>
  <c r="A7" i="66"/>
  <c r="A8" i="66"/>
  <c r="A9" i="66"/>
  <c r="A16" i="66"/>
  <c r="A2" i="66"/>
  <c r="A5" i="66"/>
  <c r="A11" i="66"/>
  <c r="A13" i="66"/>
  <c r="A14" i="66"/>
  <c r="A15" i="66"/>
  <c r="A17" i="66"/>
  <c r="C48" i="60"/>
  <c r="C52" i="60"/>
  <c r="C12" i="60"/>
  <c r="C14" i="60"/>
  <c r="C15" i="60"/>
  <c r="C16" i="60"/>
  <c r="C17" i="60"/>
  <c r="C18" i="60"/>
  <c r="C19" i="60"/>
  <c r="C23" i="60"/>
  <c r="C26" i="60"/>
  <c r="C29" i="60"/>
  <c r="C32" i="60"/>
  <c r="C34" i="60"/>
  <c r="C35" i="60"/>
  <c r="C36" i="60"/>
  <c r="C37" i="60"/>
  <c r="C38" i="60"/>
  <c r="C39" i="60"/>
  <c r="C41" i="60"/>
  <c r="C43" i="60"/>
  <c r="F112" i="1"/>
  <c r="F113" i="1"/>
  <c r="F114" i="1"/>
  <c r="F126" i="1"/>
  <c r="L112" i="1"/>
  <c r="O112" i="1" s="1"/>
  <c r="L113" i="1"/>
  <c r="L114" i="1"/>
  <c r="O114" i="1" s="1"/>
  <c r="L126" i="1"/>
  <c r="L158" i="1"/>
  <c r="F47" i="1"/>
  <c r="N48" i="26"/>
  <c r="AQ45" i="55"/>
  <c r="AQ46" i="55"/>
  <c r="AQ49" i="55"/>
  <c r="AQ50" i="55"/>
  <c r="AQ51" i="55"/>
  <c r="B46" i="55"/>
  <c r="B19" i="55"/>
  <c r="B27" i="55"/>
  <c r="AD10" i="55"/>
  <c r="AD11" i="55"/>
  <c r="AD14" i="55"/>
  <c r="AD15" i="55"/>
  <c r="AD16" i="55"/>
  <c r="AD17" i="55"/>
  <c r="AD18" i="55"/>
  <c r="AD19" i="55"/>
  <c r="AD20" i="55"/>
  <c r="AD21" i="55"/>
  <c r="AD23" i="55"/>
  <c r="AD25" i="55"/>
  <c r="AD28" i="55"/>
  <c r="AD29" i="55"/>
  <c r="AD34" i="55"/>
  <c r="AD35" i="55"/>
  <c r="AD36" i="55"/>
  <c r="AD37" i="55"/>
  <c r="AD38" i="55"/>
  <c r="AD39" i="55"/>
  <c r="AD40" i="55"/>
  <c r="AD42" i="55"/>
  <c r="F42" i="60"/>
  <c r="E42" i="60"/>
  <c r="D9" i="56"/>
  <c r="E89" i="56"/>
  <c r="F89" i="56"/>
  <c r="G89" i="56"/>
  <c r="H89" i="56"/>
  <c r="I89" i="56"/>
  <c r="J89" i="56"/>
  <c r="D45" i="56"/>
  <c r="D46" i="56"/>
  <c r="D47" i="56"/>
  <c r="D48" i="56"/>
  <c r="D49" i="56"/>
  <c r="D50" i="56"/>
  <c r="D51" i="56"/>
  <c r="D10" i="56"/>
  <c r="C10" i="56" s="1"/>
  <c r="D11" i="56"/>
  <c r="D12" i="56"/>
  <c r="D13" i="56"/>
  <c r="D14" i="56"/>
  <c r="D15" i="56"/>
  <c r="D16" i="56"/>
  <c r="D17" i="56"/>
  <c r="D18" i="56"/>
  <c r="D19" i="56"/>
  <c r="D20" i="56"/>
  <c r="C20" i="56" s="1"/>
  <c r="D21" i="56"/>
  <c r="D22" i="56"/>
  <c r="D23" i="56"/>
  <c r="D24" i="56"/>
  <c r="D25" i="56"/>
  <c r="D26" i="56"/>
  <c r="C26" i="56" s="1"/>
  <c r="D27" i="56"/>
  <c r="D28" i="56"/>
  <c r="C28" i="56" s="1"/>
  <c r="D29" i="56"/>
  <c r="D30" i="56"/>
  <c r="D31" i="56"/>
  <c r="D32" i="56"/>
  <c r="D33" i="56"/>
  <c r="D34" i="56"/>
  <c r="D35" i="56"/>
  <c r="D36" i="56"/>
  <c r="D37" i="56"/>
  <c r="D38" i="56"/>
  <c r="D39" i="56"/>
  <c r="D40" i="56"/>
  <c r="D41" i="56"/>
  <c r="D42" i="56"/>
  <c r="D43" i="56"/>
  <c r="K90" i="56"/>
  <c r="K53" i="56"/>
  <c r="K54" i="56"/>
  <c r="K55" i="56"/>
  <c r="K56" i="56"/>
  <c r="K57" i="56"/>
  <c r="K58" i="56"/>
  <c r="K59" i="56"/>
  <c r="K60" i="56"/>
  <c r="K61" i="56"/>
  <c r="K62" i="56"/>
  <c r="K63" i="56"/>
  <c r="K64" i="56"/>
  <c r="K65" i="56"/>
  <c r="K66" i="56"/>
  <c r="K67" i="56"/>
  <c r="K68" i="56"/>
  <c r="K69" i="56"/>
  <c r="K70" i="56"/>
  <c r="K71" i="56"/>
  <c r="K72" i="56"/>
  <c r="K73" i="56"/>
  <c r="K74" i="56"/>
  <c r="K75" i="56"/>
  <c r="K76" i="56"/>
  <c r="K77" i="56"/>
  <c r="K78" i="56"/>
  <c r="K79" i="56"/>
  <c r="K80" i="56"/>
  <c r="K81" i="56"/>
  <c r="K82" i="56"/>
  <c r="K83" i="56"/>
  <c r="K84" i="56"/>
  <c r="K85" i="56"/>
  <c r="K86" i="56"/>
  <c r="K87" i="56"/>
  <c r="K88" i="56"/>
  <c r="K45" i="56"/>
  <c r="K46" i="56"/>
  <c r="K47" i="56"/>
  <c r="K48" i="56"/>
  <c r="K49" i="56"/>
  <c r="K50" i="56"/>
  <c r="K51" i="56"/>
  <c r="K9" i="56"/>
  <c r="K10" i="56"/>
  <c r="K11" i="56"/>
  <c r="K12" i="56"/>
  <c r="K13" i="56"/>
  <c r="K14" i="56"/>
  <c r="K15" i="56"/>
  <c r="K16" i="56"/>
  <c r="K17" i="56"/>
  <c r="K18" i="56"/>
  <c r="K19" i="56"/>
  <c r="K20" i="56"/>
  <c r="K21" i="56"/>
  <c r="K22" i="56"/>
  <c r="K23" i="56"/>
  <c r="K24" i="56"/>
  <c r="K25" i="56"/>
  <c r="K26" i="56"/>
  <c r="K27" i="56"/>
  <c r="K28" i="56"/>
  <c r="K29" i="56"/>
  <c r="K30" i="56"/>
  <c r="K31" i="56"/>
  <c r="K32" i="56"/>
  <c r="K33" i="56"/>
  <c r="K34" i="56"/>
  <c r="K35" i="56"/>
  <c r="K36" i="56"/>
  <c r="K37" i="56"/>
  <c r="K38" i="56"/>
  <c r="K39" i="56"/>
  <c r="K40" i="56"/>
  <c r="K41" i="56"/>
  <c r="K42" i="56"/>
  <c r="K43" i="56"/>
  <c r="I42" i="60"/>
  <c r="H42" i="60"/>
  <c r="D53" i="56"/>
  <c r="D54" i="56"/>
  <c r="D55" i="56"/>
  <c r="C55" i="56" s="1"/>
  <c r="D56" i="56"/>
  <c r="D57" i="56"/>
  <c r="D58" i="56"/>
  <c r="D59" i="56"/>
  <c r="C59" i="56" s="1"/>
  <c r="D60" i="56"/>
  <c r="C60" i="56" s="1"/>
  <c r="D61" i="56"/>
  <c r="D62" i="56"/>
  <c r="D63" i="56"/>
  <c r="C63" i="56" s="1"/>
  <c r="D64" i="56"/>
  <c r="D65" i="56"/>
  <c r="D66" i="56"/>
  <c r="D67" i="56"/>
  <c r="C67" i="56" s="1"/>
  <c r="D68" i="56"/>
  <c r="C68" i="56" s="1"/>
  <c r="D69" i="56"/>
  <c r="D70" i="56"/>
  <c r="D71" i="56"/>
  <c r="C71" i="56" s="1"/>
  <c r="D72" i="56"/>
  <c r="C72" i="56" s="1"/>
  <c r="D73" i="56"/>
  <c r="D74" i="56"/>
  <c r="D75" i="56"/>
  <c r="C75" i="56" s="1"/>
  <c r="D76" i="56"/>
  <c r="C76" i="56" s="1"/>
  <c r="D77" i="56"/>
  <c r="D78" i="56"/>
  <c r="D79" i="56"/>
  <c r="C79" i="56" s="1"/>
  <c r="D80" i="56"/>
  <c r="D81" i="56"/>
  <c r="D82" i="56"/>
  <c r="D83" i="56"/>
  <c r="C83" i="56" s="1"/>
  <c r="D84" i="56"/>
  <c r="C84" i="56" s="1"/>
  <c r="D85" i="56"/>
  <c r="D86" i="56"/>
  <c r="C86" i="56" s="1"/>
  <c r="D87" i="56"/>
  <c r="C87" i="56" s="1"/>
  <c r="D88" i="56"/>
  <c r="C57" i="56"/>
  <c r="C73" i="56"/>
  <c r="D90" i="56"/>
  <c r="E101" i="60"/>
  <c r="B102" i="60"/>
  <c r="D94" i="59"/>
  <c r="B95" i="59"/>
  <c r="B94" i="58"/>
  <c r="E44" i="56"/>
  <c r="F44" i="56"/>
  <c r="G44" i="56"/>
  <c r="H44" i="56"/>
  <c r="I44" i="56"/>
  <c r="J44" i="56"/>
  <c r="L44" i="56"/>
  <c r="M44" i="56"/>
  <c r="E52" i="56"/>
  <c r="F52" i="56"/>
  <c r="G52" i="56"/>
  <c r="H52" i="56"/>
  <c r="I52" i="56"/>
  <c r="J52" i="56"/>
  <c r="L52" i="56"/>
  <c r="M52" i="56"/>
  <c r="L89" i="56"/>
  <c r="M89" i="56"/>
  <c r="B102" i="57"/>
  <c r="E8" i="56"/>
  <c r="F8" i="56"/>
  <c r="G8" i="56"/>
  <c r="H8" i="56"/>
  <c r="I8" i="56"/>
  <c r="J8" i="56"/>
  <c r="L8" i="56"/>
  <c r="M8" i="56"/>
  <c r="A27" i="55"/>
  <c r="B50" i="55"/>
  <c r="AR45" i="54"/>
  <c r="AR46" i="54"/>
  <c r="AR49" i="54"/>
  <c r="AR50" i="54"/>
  <c r="AR51" i="54"/>
  <c r="AD10" i="54"/>
  <c r="AD11" i="54"/>
  <c r="AD14" i="54"/>
  <c r="AD15" i="54"/>
  <c r="AD16" i="54"/>
  <c r="AD17" i="54"/>
  <c r="AD18" i="54"/>
  <c r="AD19" i="54"/>
  <c r="AD20" i="54"/>
  <c r="AD21" i="54"/>
  <c r="AD23" i="54"/>
  <c r="AD25" i="54"/>
  <c r="AD28" i="54"/>
  <c r="AD29" i="54"/>
  <c r="AD34" i="54"/>
  <c r="AD35" i="54"/>
  <c r="AD36" i="54"/>
  <c r="AD37" i="54"/>
  <c r="AD38" i="54"/>
  <c r="AD39" i="54"/>
  <c r="AD40" i="54"/>
  <c r="AD42" i="54"/>
  <c r="R44" i="26"/>
  <c r="J90" i="1"/>
  <c r="K90" i="1"/>
  <c r="G45" i="1"/>
  <c r="J53" i="1"/>
  <c r="J45" i="1"/>
  <c r="J9" i="1"/>
  <c r="E12" i="3"/>
  <c r="E15" i="3"/>
  <c r="F28" i="1"/>
  <c r="O87" i="1"/>
  <c r="P87" i="1" s="1"/>
  <c r="O84" i="1"/>
  <c r="K45" i="1"/>
  <c r="K9" i="1"/>
  <c r="O63" i="1"/>
  <c r="P63" i="1" s="1"/>
  <c r="Q50" i="26" l="1"/>
  <c r="M50" i="26" s="1"/>
  <c r="F50" i="26" s="1"/>
  <c r="Q48" i="26"/>
  <c r="M48" i="26" s="1"/>
  <c r="F48" i="26" s="1"/>
  <c r="Q49" i="26"/>
  <c r="M49" i="26" s="1"/>
  <c r="F49" i="26" s="1"/>
  <c r="I45" i="26"/>
  <c r="I44" i="26" s="1"/>
  <c r="Q45" i="26"/>
  <c r="M45" i="26" s="1"/>
  <c r="F45" i="26" s="1"/>
  <c r="G45" i="26"/>
  <c r="N47" i="26"/>
  <c r="I89" i="26"/>
  <c r="C55" i="59"/>
  <c r="L26" i="26"/>
  <c r="L17" i="26"/>
  <c r="L35" i="26"/>
  <c r="L25" i="26"/>
  <c r="L43" i="26"/>
  <c r="L34" i="26"/>
  <c r="L24" i="26"/>
  <c r="L15" i="26"/>
  <c r="L41" i="26"/>
  <c r="L32" i="26"/>
  <c r="L21" i="26"/>
  <c r="L13" i="26"/>
  <c r="L40" i="26"/>
  <c r="L37" i="26"/>
  <c r="L42" i="26"/>
  <c r="L14" i="26"/>
  <c r="L39" i="26"/>
  <c r="L30" i="26"/>
  <c r="L20" i="26"/>
  <c r="L12" i="26"/>
  <c r="L16" i="26"/>
  <c r="L38" i="26"/>
  <c r="L28" i="26"/>
  <c r="L19" i="26"/>
  <c r="L10" i="26"/>
  <c r="L36" i="26"/>
  <c r="L27" i="26"/>
  <c r="AY20" i="77"/>
  <c r="AN18" i="77"/>
  <c r="AT19" i="77"/>
  <c r="C11" i="60"/>
  <c r="L213" i="1"/>
  <c r="L181" i="1"/>
  <c r="L165" i="1"/>
  <c r="L133" i="1"/>
  <c r="L117" i="1"/>
  <c r="L101" i="1"/>
  <c r="O32" i="1"/>
  <c r="O20" i="1"/>
  <c r="L156" i="1"/>
  <c r="O46" i="1"/>
  <c r="O38" i="1"/>
  <c r="F38" i="1"/>
  <c r="O29" i="1"/>
  <c r="O43" i="1"/>
  <c r="O14" i="1"/>
  <c r="L218" i="1"/>
  <c r="L210" i="1"/>
  <c r="L202" i="1"/>
  <c r="L194" i="1"/>
  <c r="L186" i="1"/>
  <c r="L178" i="1"/>
  <c r="L170" i="1"/>
  <c r="L162" i="1"/>
  <c r="L154" i="1"/>
  <c r="L146" i="1"/>
  <c r="L138" i="1"/>
  <c r="L130" i="1"/>
  <c r="L122" i="1"/>
  <c r="L98" i="1"/>
  <c r="C53" i="60"/>
  <c r="O78" i="1"/>
  <c r="P78" i="1" s="1"/>
  <c r="O59" i="1"/>
  <c r="P59" i="1" s="1"/>
  <c r="L128" i="1"/>
  <c r="L120" i="1"/>
  <c r="L104" i="1"/>
  <c r="L96" i="1"/>
  <c r="O56" i="1"/>
  <c r="L95" i="1"/>
  <c r="C47" i="60"/>
  <c r="O62" i="1"/>
  <c r="P62" i="1" s="1"/>
  <c r="O37" i="1"/>
  <c r="F37" i="1"/>
  <c r="L217" i="1"/>
  <c r="L193" i="1"/>
  <c r="L177" i="1"/>
  <c r="L161" i="1"/>
  <c r="L129" i="1"/>
  <c r="O36" i="1"/>
  <c r="F36" i="1"/>
  <c r="F13" i="1"/>
  <c r="O13" i="1"/>
  <c r="L216" i="1"/>
  <c r="L200" i="1"/>
  <c r="L192" i="1"/>
  <c r="L184" i="1"/>
  <c r="L176" i="1"/>
  <c r="L168" i="1"/>
  <c r="L160" i="1"/>
  <c r="L152" i="1"/>
  <c r="L144" i="1"/>
  <c r="L136" i="1"/>
  <c r="O52" i="1"/>
  <c r="F52" i="1"/>
  <c r="O35" i="1"/>
  <c r="F35" i="1"/>
  <c r="F17" i="1"/>
  <c r="O17" i="1"/>
  <c r="O12" i="1"/>
  <c r="F12" i="1"/>
  <c r="F157" i="1"/>
  <c r="L157" i="1"/>
  <c r="L215" i="1"/>
  <c r="L207" i="1"/>
  <c r="L199" i="1"/>
  <c r="L191" i="1"/>
  <c r="L183" i="1"/>
  <c r="L175" i="1"/>
  <c r="L167" i="1"/>
  <c r="L159" i="1"/>
  <c r="L151" i="1"/>
  <c r="L143" i="1"/>
  <c r="L135" i="1"/>
  <c r="L127" i="1"/>
  <c r="L119" i="1"/>
  <c r="L111" i="1"/>
  <c r="L103" i="1"/>
  <c r="O51" i="1"/>
  <c r="F51" i="1"/>
  <c r="F33" i="1"/>
  <c r="O33" i="1"/>
  <c r="O23" i="1"/>
  <c r="F23" i="1"/>
  <c r="O11" i="1"/>
  <c r="F11" i="1"/>
  <c r="L214" i="1"/>
  <c r="L206" i="1"/>
  <c r="L198" i="1"/>
  <c r="L190" i="1"/>
  <c r="L182" i="1"/>
  <c r="L174" i="1"/>
  <c r="L166" i="1"/>
  <c r="L150" i="1"/>
  <c r="L142" i="1"/>
  <c r="L134" i="1"/>
  <c r="L118" i="1"/>
  <c r="L110" i="1"/>
  <c r="L102" i="1"/>
  <c r="L93" i="1"/>
  <c r="C24" i="60"/>
  <c r="O67" i="1"/>
  <c r="O55" i="1"/>
  <c r="P55" i="1" s="1"/>
  <c r="L132" i="1"/>
  <c r="L124" i="1"/>
  <c r="L116" i="1"/>
  <c r="L108" i="1"/>
  <c r="L100" i="1"/>
  <c r="L92" i="1"/>
  <c r="O82" i="1"/>
  <c r="P82" i="1" s="1"/>
  <c r="O61" i="1"/>
  <c r="F30" i="1"/>
  <c r="O30" i="1"/>
  <c r="L201" i="1"/>
  <c r="L153" i="1"/>
  <c r="L137" i="1"/>
  <c r="L105" i="1"/>
  <c r="O44" i="1"/>
  <c r="F44" i="1"/>
  <c r="F24" i="1"/>
  <c r="O24" i="1"/>
  <c r="L205" i="1"/>
  <c r="L189" i="1"/>
  <c r="L141" i="1"/>
  <c r="L125" i="1"/>
  <c r="L109" i="1"/>
  <c r="F49" i="1"/>
  <c r="O42" i="1"/>
  <c r="F42" i="1"/>
  <c r="O22" i="1"/>
  <c r="F22" i="1"/>
  <c r="L212" i="1"/>
  <c r="L196" i="1"/>
  <c r="L180" i="1"/>
  <c r="L164" i="1"/>
  <c r="L148" i="1"/>
  <c r="O48" i="1"/>
  <c r="F48" i="1"/>
  <c r="F40" i="1"/>
  <c r="O40" i="1"/>
  <c r="O21" i="1"/>
  <c r="F21" i="1"/>
  <c r="F15" i="1"/>
  <c r="O15" i="1"/>
  <c r="L211" i="1"/>
  <c r="L203" i="1"/>
  <c r="L195" i="1"/>
  <c r="L187" i="1"/>
  <c r="L179" i="1"/>
  <c r="L171" i="1"/>
  <c r="L163" i="1"/>
  <c r="L155" i="1"/>
  <c r="L147" i="1"/>
  <c r="L139" i="1"/>
  <c r="L131" i="1"/>
  <c r="L123" i="1"/>
  <c r="L115" i="1"/>
  <c r="L107" i="1"/>
  <c r="L99" i="1"/>
  <c r="L91" i="1"/>
  <c r="C91" i="1"/>
  <c r="C39" i="56"/>
  <c r="C16" i="56"/>
  <c r="C50" i="56"/>
  <c r="H91" i="56"/>
  <c r="C43" i="56"/>
  <c r="C82" i="56"/>
  <c r="C81" i="56"/>
  <c r="C65" i="56"/>
  <c r="D44" i="56"/>
  <c r="C88" i="56"/>
  <c r="C80" i="56"/>
  <c r="C64" i="56"/>
  <c r="C56" i="56"/>
  <c r="C19" i="56"/>
  <c r="C85" i="56"/>
  <c r="C77" i="56"/>
  <c r="C69" i="56"/>
  <c r="C61" i="56"/>
  <c r="C53" i="56"/>
  <c r="M91" i="56"/>
  <c r="C31" i="56"/>
  <c r="C38" i="56"/>
  <c r="F91" i="56"/>
  <c r="C51" i="60"/>
  <c r="C47" i="56"/>
  <c r="D89" i="56"/>
  <c r="J91" i="56"/>
  <c r="C42" i="56"/>
  <c r="C34" i="56"/>
  <c r="C51" i="56"/>
  <c r="K89" i="56"/>
  <c r="I91" i="56"/>
  <c r="C15" i="56"/>
  <c r="E6" i="66"/>
  <c r="E8" i="66"/>
  <c r="E7" i="66"/>
  <c r="E2" i="66"/>
  <c r="E4" i="66"/>
  <c r="H9" i="1"/>
  <c r="H220" i="1" s="1"/>
  <c r="C35" i="56"/>
  <c r="C27" i="56"/>
  <c r="C23" i="56"/>
  <c r="K44" i="56"/>
  <c r="C78" i="56"/>
  <c r="C74" i="56"/>
  <c r="C70" i="56"/>
  <c r="C66" i="56"/>
  <c r="C62" i="56"/>
  <c r="C58" i="56"/>
  <c r="C54" i="56"/>
  <c r="C30" i="56"/>
  <c r="C49" i="56"/>
  <c r="C45" i="56"/>
  <c r="E9" i="66"/>
  <c r="J220" i="1"/>
  <c r="C90" i="56"/>
  <c r="C32" i="56"/>
  <c r="E91" i="56"/>
  <c r="L91" i="56"/>
  <c r="C37" i="56"/>
  <c r="D8" i="56"/>
  <c r="C25" i="56"/>
  <c r="C21" i="56"/>
  <c r="C13" i="56"/>
  <c r="C48" i="56"/>
  <c r="G91" i="56"/>
  <c r="G42" i="60"/>
  <c r="L106" i="1"/>
  <c r="L94" i="1"/>
  <c r="O77" i="1"/>
  <c r="P77" i="1" s="1"/>
  <c r="O25" i="1"/>
  <c r="O18" i="1"/>
  <c r="F18" i="1"/>
  <c r="F20" i="1"/>
  <c r="L209" i="1"/>
  <c r="L197" i="1"/>
  <c r="L185" i="1"/>
  <c r="L173" i="1"/>
  <c r="L169" i="1"/>
  <c r="L149" i="1"/>
  <c r="L145" i="1"/>
  <c r="L121" i="1"/>
  <c r="L97" i="1"/>
  <c r="C50" i="60"/>
  <c r="E3" i="66"/>
  <c r="F46" i="1"/>
  <c r="F29" i="1"/>
  <c r="F43" i="1"/>
  <c r="F14" i="1"/>
  <c r="L204" i="1"/>
  <c r="L188" i="1"/>
  <c r="L172" i="1"/>
  <c r="L140" i="1"/>
  <c r="O16" i="1"/>
  <c r="F16" i="1"/>
  <c r="O28" i="1"/>
  <c r="O113" i="1"/>
  <c r="E10" i="3"/>
  <c r="E5" i="66"/>
  <c r="F32" i="1"/>
  <c r="F50" i="1"/>
  <c r="D52" i="56"/>
  <c r="C41" i="56"/>
  <c r="C36" i="56"/>
  <c r="C24" i="56"/>
  <c r="C17" i="56"/>
  <c r="C12" i="56"/>
  <c r="C46" i="56"/>
  <c r="J42" i="60"/>
  <c r="C22" i="56"/>
  <c r="C18" i="56"/>
  <c r="C14" i="56"/>
  <c r="C9" i="56"/>
  <c r="C33" i="56"/>
  <c r="C29" i="56"/>
  <c r="K8" i="56"/>
  <c r="K91" i="56" s="1"/>
  <c r="C11" i="56"/>
  <c r="K52" i="56"/>
  <c r="C40" i="56"/>
  <c r="F65" i="1"/>
  <c r="G65" i="1" s="1"/>
  <c r="E32" i="3"/>
  <c r="E20" i="3"/>
  <c r="O50" i="1"/>
  <c r="E19" i="3"/>
  <c r="E16" i="3"/>
  <c r="E18" i="3"/>
  <c r="F63" i="1"/>
  <c r="G63" i="1" s="1"/>
  <c r="L45" i="1"/>
  <c r="E33" i="3"/>
  <c r="D39" i="3"/>
  <c r="O158" i="1"/>
  <c r="O126" i="1"/>
  <c r="R8" i="26"/>
  <c r="F158" i="1"/>
  <c r="E29" i="3"/>
  <c r="F68" i="1"/>
  <c r="G68" i="1" s="1"/>
  <c r="E30" i="3"/>
  <c r="F25" i="1"/>
  <c r="E24" i="3"/>
  <c r="E22" i="3"/>
  <c r="E9" i="3"/>
  <c r="E28" i="3"/>
  <c r="C45" i="1"/>
  <c r="E21" i="3"/>
  <c r="E17" i="3"/>
  <c r="C39" i="3"/>
  <c r="O47" i="1"/>
  <c r="E14" i="3"/>
  <c r="E27" i="3"/>
  <c r="E35" i="3"/>
  <c r="G30" i="1" s="1"/>
  <c r="P29" i="26" s="1"/>
  <c r="Q29" i="26" s="1"/>
  <c r="E11" i="3"/>
  <c r="E34" i="3"/>
  <c r="E25" i="3"/>
  <c r="E13" i="3"/>
  <c r="E23" i="3"/>
  <c r="E8" i="3"/>
  <c r="P44" i="26"/>
  <c r="B39" i="3"/>
  <c r="E26" i="3"/>
  <c r="E31" i="3"/>
  <c r="L33" i="26"/>
  <c r="F85" i="1"/>
  <c r="G85" i="1" s="1"/>
  <c r="C44" i="60"/>
  <c r="E37" i="3"/>
  <c r="G24" i="1" s="1"/>
  <c r="P23" i="26" s="1"/>
  <c r="Q23" i="26" s="1"/>
  <c r="C25" i="60"/>
  <c r="C20" i="60"/>
  <c r="F87" i="1"/>
  <c r="G87" i="1" s="1"/>
  <c r="P86" i="26" s="1"/>
  <c r="F73" i="1"/>
  <c r="G73" i="1" s="1"/>
  <c r="L18" i="26"/>
  <c r="F71" i="1"/>
  <c r="G71" i="1" s="1"/>
  <c r="F70" i="1"/>
  <c r="G70" i="1" s="1"/>
  <c r="F75" i="1"/>
  <c r="G75" i="1" s="1"/>
  <c r="E36" i="3"/>
  <c r="G32" i="1" s="1"/>
  <c r="F86" i="1"/>
  <c r="G86" i="1" s="1"/>
  <c r="O75" i="1"/>
  <c r="P75" i="1" s="1"/>
  <c r="O65" i="1"/>
  <c r="P65" i="1" s="1"/>
  <c r="F84" i="1"/>
  <c r="G84" i="1" s="1"/>
  <c r="P83" i="26" s="1"/>
  <c r="F80" i="1"/>
  <c r="G80" i="1" s="1"/>
  <c r="F66" i="1"/>
  <c r="G66" i="1" s="1"/>
  <c r="P65" i="26" s="1"/>
  <c r="F54" i="1"/>
  <c r="G54" i="1" s="1"/>
  <c r="Q47" i="26" l="1"/>
  <c r="M47" i="26" s="1"/>
  <c r="F47" i="26" s="1"/>
  <c r="Q51" i="26"/>
  <c r="M51" i="26" s="1"/>
  <c r="F51" i="26" s="1"/>
  <c r="G44" i="26"/>
  <c r="K44" i="26" s="1"/>
  <c r="K45" i="26"/>
  <c r="I29" i="26"/>
  <c r="G29" i="26" s="1"/>
  <c r="K29" i="26" s="1"/>
  <c r="I23" i="26"/>
  <c r="G23" i="26" s="1"/>
  <c r="K23" i="26" s="1"/>
  <c r="M29" i="26"/>
  <c r="M23" i="26"/>
  <c r="P31" i="26"/>
  <c r="Q31" i="26" s="1"/>
  <c r="I30" i="1"/>
  <c r="I24" i="1"/>
  <c r="C25" i="59"/>
  <c r="C24" i="59"/>
  <c r="S21" i="26"/>
  <c r="C30" i="59"/>
  <c r="S45" i="26"/>
  <c r="S26" i="26"/>
  <c r="AY19" i="77"/>
  <c r="AN17" i="77"/>
  <c r="AT18" i="77"/>
  <c r="C22" i="60"/>
  <c r="C10" i="60" s="1"/>
  <c r="J8" i="26"/>
  <c r="C51" i="59"/>
  <c r="C43" i="59"/>
  <c r="C19" i="59"/>
  <c r="C106" i="59" s="1"/>
  <c r="S17" i="26"/>
  <c r="S32" i="26"/>
  <c r="S16" i="26"/>
  <c r="D91" i="56"/>
  <c r="O213" i="1"/>
  <c r="O215" i="1"/>
  <c r="O94" i="1"/>
  <c r="O102" i="1"/>
  <c r="O106" i="1"/>
  <c r="O130" i="1"/>
  <c r="F67" i="1"/>
  <c r="G67" i="1" s="1"/>
  <c r="O134" i="1"/>
  <c r="O138" i="1"/>
  <c r="O142" i="1"/>
  <c r="O118" i="1"/>
  <c r="O122" i="1"/>
  <c r="O146" i="1"/>
  <c r="O150" i="1"/>
  <c r="O154" i="1"/>
  <c r="O198" i="1"/>
  <c r="O207" i="1"/>
  <c r="O211" i="1"/>
  <c r="F98" i="1"/>
  <c r="O186" i="1"/>
  <c r="O176" i="1"/>
  <c r="F192" i="1"/>
  <c r="F109" i="1"/>
  <c r="F129" i="1"/>
  <c r="F141" i="1"/>
  <c r="F149" i="1"/>
  <c r="F153" i="1"/>
  <c r="F165" i="1"/>
  <c r="F177" i="1"/>
  <c r="F58" i="1"/>
  <c r="G58" i="1" s="1"/>
  <c r="S13" i="26"/>
  <c r="F82" i="1"/>
  <c r="G82" i="1" s="1"/>
  <c r="O199" i="1"/>
  <c r="O92" i="1"/>
  <c r="O100" i="1"/>
  <c r="O104" i="1"/>
  <c r="F164" i="1"/>
  <c r="F218" i="1"/>
  <c r="F59" i="1"/>
  <c r="G59" i="1" s="1"/>
  <c r="F88" i="1"/>
  <c r="G88" i="1" s="1"/>
  <c r="O91" i="1"/>
  <c r="O95" i="1"/>
  <c r="F155" i="1"/>
  <c r="F179" i="1"/>
  <c r="F187" i="1"/>
  <c r="F191" i="1"/>
  <c r="F195" i="1"/>
  <c r="O141" i="1"/>
  <c r="S47" i="26"/>
  <c r="O197" i="1"/>
  <c r="O193" i="1"/>
  <c r="F10" i="1"/>
  <c r="O108" i="1"/>
  <c r="O144" i="1"/>
  <c r="F133" i="1"/>
  <c r="O210" i="1"/>
  <c r="F104" i="1"/>
  <c r="C39" i="59"/>
  <c r="O177" i="1"/>
  <c r="O135" i="1"/>
  <c r="F77" i="1"/>
  <c r="G77" i="1" s="1"/>
  <c r="O160" i="1"/>
  <c r="O168" i="1"/>
  <c r="O172" i="1"/>
  <c r="F188" i="1"/>
  <c r="O194" i="1"/>
  <c r="F95" i="1"/>
  <c r="F99" i="1"/>
  <c r="F111" i="1"/>
  <c r="O115" i="1"/>
  <c r="O119" i="1"/>
  <c r="F127" i="1"/>
  <c r="F131" i="1"/>
  <c r="O155" i="1"/>
  <c r="F156" i="1"/>
  <c r="F160" i="1"/>
  <c r="F172" i="1"/>
  <c r="F190" i="1"/>
  <c r="F194" i="1"/>
  <c r="F202" i="1"/>
  <c r="F206" i="1"/>
  <c r="F210" i="1"/>
  <c r="F214" i="1"/>
  <c r="F207" i="1"/>
  <c r="F211" i="1"/>
  <c r="F215" i="1"/>
  <c r="F137" i="1"/>
  <c r="F161" i="1"/>
  <c r="F173" i="1"/>
  <c r="F57" i="1"/>
  <c r="G57" i="1" s="1"/>
  <c r="F69" i="1"/>
  <c r="G69" i="1" s="1"/>
  <c r="S39" i="26"/>
  <c r="F143" i="1"/>
  <c r="F147" i="1"/>
  <c r="O157" i="1"/>
  <c r="O101" i="1"/>
  <c r="F115" i="1"/>
  <c r="F119" i="1"/>
  <c r="F123" i="1"/>
  <c r="F135" i="1"/>
  <c r="O195" i="1"/>
  <c r="F92" i="1"/>
  <c r="F96" i="1"/>
  <c r="F100" i="1"/>
  <c r="O116" i="1"/>
  <c r="F205" i="1"/>
  <c r="F209" i="1"/>
  <c r="F94" i="1"/>
  <c r="F102" i="1"/>
  <c r="F74" i="1"/>
  <c r="G74" i="1" s="1"/>
  <c r="F60" i="1"/>
  <c r="G60" i="1" s="1"/>
  <c r="O201" i="1"/>
  <c r="F93" i="1"/>
  <c r="O105" i="1"/>
  <c r="F121" i="1"/>
  <c r="F145" i="1"/>
  <c r="O161" i="1"/>
  <c r="F169" i="1"/>
  <c r="F181" i="1"/>
  <c r="F196" i="1"/>
  <c r="O107" i="1"/>
  <c r="O179" i="1"/>
  <c r="O187" i="1"/>
  <c r="O136" i="1"/>
  <c r="O140" i="1"/>
  <c r="F140" i="1"/>
  <c r="O212" i="1"/>
  <c r="O216" i="1"/>
  <c r="O93" i="1"/>
  <c r="O117" i="1"/>
  <c r="O129" i="1"/>
  <c r="O137" i="1"/>
  <c r="O145" i="1"/>
  <c r="O153" i="1"/>
  <c r="O165" i="1"/>
  <c r="O173" i="1"/>
  <c r="O181" i="1"/>
  <c r="F162" i="1"/>
  <c r="F166" i="1"/>
  <c r="F170" i="1"/>
  <c r="F174" i="1"/>
  <c r="F178" i="1"/>
  <c r="F182" i="1"/>
  <c r="F186" i="1"/>
  <c r="O121" i="1"/>
  <c r="O133" i="1"/>
  <c r="O169" i="1"/>
  <c r="O200" i="1"/>
  <c r="F203" i="1"/>
  <c r="O128" i="1"/>
  <c r="O97" i="1"/>
  <c r="O109" i="1"/>
  <c r="O125" i="1"/>
  <c r="O149" i="1"/>
  <c r="O204" i="1"/>
  <c r="O103" i="1"/>
  <c r="E90" i="1"/>
  <c r="O151" i="1"/>
  <c r="O159" i="1"/>
  <c r="F167" i="1"/>
  <c r="F171" i="1"/>
  <c r="F124" i="1"/>
  <c r="F128" i="1"/>
  <c r="F132" i="1"/>
  <c r="F136" i="1"/>
  <c r="O148" i="1"/>
  <c r="F184" i="1"/>
  <c r="F200" i="1"/>
  <c r="F204" i="1"/>
  <c r="F208" i="1"/>
  <c r="F212" i="1"/>
  <c r="F216" i="1"/>
  <c r="O205" i="1"/>
  <c r="O209" i="1"/>
  <c r="O217" i="1"/>
  <c r="O174" i="1"/>
  <c r="F55" i="1"/>
  <c r="F118" i="1"/>
  <c r="F122" i="1"/>
  <c r="C17" i="59"/>
  <c r="C104" i="59" s="1"/>
  <c r="O152" i="1"/>
  <c r="C34" i="59"/>
  <c r="C121" i="59" s="1"/>
  <c r="O156" i="1"/>
  <c r="O170" i="1"/>
  <c r="O190" i="1"/>
  <c r="N90" i="1"/>
  <c r="O163" i="1"/>
  <c r="S35" i="26"/>
  <c r="O120" i="1"/>
  <c r="O202" i="1"/>
  <c r="O147" i="1"/>
  <c r="F78" i="1"/>
  <c r="G78" i="1" s="1"/>
  <c r="O111" i="1"/>
  <c r="O127" i="1"/>
  <c r="O139" i="1"/>
  <c r="F163" i="1"/>
  <c r="O171" i="1"/>
  <c r="F175" i="1"/>
  <c r="O183" i="1"/>
  <c r="F183" i="1"/>
  <c r="F116" i="1"/>
  <c r="F148" i="1"/>
  <c r="F81" i="1"/>
  <c r="G81" i="1" s="1"/>
  <c r="O214" i="1"/>
  <c r="O124" i="1"/>
  <c r="C8" i="56"/>
  <c r="F101" i="1"/>
  <c r="O178" i="1"/>
  <c r="O110" i="1"/>
  <c r="O162" i="1"/>
  <c r="O167" i="1"/>
  <c r="F159" i="1"/>
  <c r="F108" i="1"/>
  <c r="F144" i="1"/>
  <c r="F176" i="1"/>
  <c r="O188" i="1"/>
  <c r="O192" i="1"/>
  <c r="O196" i="1"/>
  <c r="F97" i="1"/>
  <c r="F105" i="1"/>
  <c r="F117" i="1"/>
  <c r="F125" i="1"/>
  <c r="F193" i="1"/>
  <c r="O166" i="1"/>
  <c r="O182" i="1"/>
  <c r="O218" i="1"/>
  <c r="F62" i="1"/>
  <c r="G62" i="1" s="1"/>
  <c r="O96" i="1"/>
  <c r="F120" i="1"/>
  <c r="F152" i="1"/>
  <c r="O164" i="1"/>
  <c r="F61" i="1"/>
  <c r="F76" i="1"/>
  <c r="G76" i="1" s="1"/>
  <c r="F168" i="1"/>
  <c r="O180" i="1"/>
  <c r="F180" i="1"/>
  <c r="F110" i="1"/>
  <c r="F134" i="1"/>
  <c r="F138" i="1"/>
  <c r="F142" i="1"/>
  <c r="F146" i="1"/>
  <c r="F150" i="1"/>
  <c r="F154" i="1"/>
  <c r="F198" i="1"/>
  <c r="F31" i="1"/>
  <c r="F197" i="1"/>
  <c r="F213" i="1"/>
  <c r="F103" i="1"/>
  <c r="F201" i="1"/>
  <c r="F151" i="1"/>
  <c r="F199" i="1"/>
  <c r="O203" i="1"/>
  <c r="O132" i="1"/>
  <c r="O143" i="1"/>
  <c r="O191" i="1"/>
  <c r="F91" i="1"/>
  <c r="O99" i="1"/>
  <c r="F107" i="1"/>
  <c r="O131" i="1"/>
  <c r="F139" i="1"/>
  <c r="F106" i="1"/>
  <c r="F130" i="1"/>
  <c r="E45" i="1"/>
  <c r="O123" i="1"/>
  <c r="O98" i="1"/>
  <c r="S30" i="26"/>
  <c r="S20" i="26"/>
  <c r="C20" i="59"/>
  <c r="C107" i="59" s="1"/>
  <c r="S51" i="26"/>
  <c r="O206" i="1"/>
  <c r="N45" i="1"/>
  <c r="C31" i="59"/>
  <c r="S27" i="26"/>
  <c r="O175" i="1"/>
  <c r="C32" i="59"/>
  <c r="M45" i="1"/>
  <c r="O184" i="1"/>
  <c r="E9" i="1"/>
  <c r="C44" i="56"/>
  <c r="O49" i="1"/>
  <c r="O45" i="1" s="1"/>
  <c r="C91" i="56"/>
  <c r="F12" i="58" s="1"/>
  <c r="C21" i="59"/>
  <c r="C108" i="59" s="1"/>
  <c r="C52" i="56"/>
  <c r="C52" i="59"/>
  <c r="S48" i="26"/>
  <c r="S28" i="26"/>
  <c r="S15" i="26"/>
  <c r="M9" i="1"/>
  <c r="F45" i="1"/>
  <c r="F64" i="1"/>
  <c r="G64" i="1" s="1"/>
  <c r="P63" i="26" s="1"/>
  <c r="Q63" i="26" s="1"/>
  <c r="O64" i="1"/>
  <c r="P64" i="1" s="1"/>
  <c r="O31" i="1"/>
  <c r="N9" i="1"/>
  <c r="C18" i="59"/>
  <c r="C105" i="59" s="1"/>
  <c r="S14" i="26"/>
  <c r="O81" i="1"/>
  <c r="P81" i="1" s="1"/>
  <c r="C36" i="59"/>
  <c r="C123" i="59" s="1"/>
  <c r="D90" i="1"/>
  <c r="O57" i="1"/>
  <c r="P57" i="1" s="1"/>
  <c r="O74" i="1"/>
  <c r="P74" i="1" s="1"/>
  <c r="C41" i="59"/>
  <c r="S37" i="26"/>
  <c r="D9" i="1"/>
  <c r="C16" i="59"/>
  <c r="C103" i="59" s="1"/>
  <c r="S12" i="26"/>
  <c r="E53" i="1"/>
  <c r="C40" i="59"/>
  <c r="S36" i="26"/>
  <c r="G9" i="1"/>
  <c r="I32" i="1"/>
  <c r="O76" i="1"/>
  <c r="L208" i="1"/>
  <c r="M90" i="1"/>
  <c r="O88" i="1"/>
  <c r="P88" i="1" s="1"/>
  <c r="C14" i="59"/>
  <c r="S10" i="26"/>
  <c r="F72" i="1"/>
  <c r="G72" i="1" s="1"/>
  <c r="N8" i="26"/>
  <c r="O58" i="1"/>
  <c r="P58" i="1" s="1"/>
  <c r="N53" i="1"/>
  <c r="C50" i="59"/>
  <c r="S46" i="26"/>
  <c r="O69" i="1"/>
  <c r="O72" i="1"/>
  <c r="C47" i="59"/>
  <c r="S43" i="26"/>
  <c r="S25" i="26"/>
  <c r="C29" i="59"/>
  <c r="C116" i="59" s="1"/>
  <c r="C42" i="59"/>
  <c r="S38" i="26"/>
  <c r="S42" i="26"/>
  <c r="C46" i="59"/>
  <c r="C23" i="59"/>
  <c r="C110" i="59" s="1"/>
  <c r="S19" i="26"/>
  <c r="S41" i="26"/>
  <c r="C45" i="59"/>
  <c r="C28" i="59"/>
  <c r="S24" i="26"/>
  <c r="C22" i="59"/>
  <c r="C109" i="59" s="1"/>
  <c r="S18" i="26"/>
  <c r="S40" i="26"/>
  <c r="S50" i="26"/>
  <c r="C54" i="59"/>
  <c r="S33" i="26"/>
  <c r="C37" i="59"/>
  <c r="C124" i="59" s="1"/>
  <c r="C38" i="59"/>
  <c r="C125" i="59" s="1"/>
  <c r="S34" i="26"/>
  <c r="E39" i="3"/>
  <c r="I31" i="26" l="1"/>
  <c r="G89" i="26"/>
  <c r="I9" i="1"/>
  <c r="I220" i="1" s="1"/>
  <c r="G61" i="1"/>
  <c r="G55" i="1"/>
  <c r="C49" i="59"/>
  <c r="AY18" i="77"/>
  <c r="AN16" i="77"/>
  <c r="AT17" i="77"/>
  <c r="F27" i="58"/>
  <c r="F20" i="58"/>
  <c r="F25" i="58"/>
  <c r="F47" i="58"/>
  <c r="F44" i="58"/>
  <c r="N220" i="1"/>
  <c r="E220" i="1"/>
  <c r="F15" i="58"/>
  <c r="F39" i="58"/>
  <c r="F21" i="58"/>
  <c r="F17" i="58"/>
  <c r="H94" i="58"/>
  <c r="C89" i="56"/>
  <c r="F92" i="58" s="1"/>
  <c r="G30" i="58"/>
  <c r="F22" i="58"/>
  <c r="F41" i="58"/>
  <c r="G18" i="58"/>
  <c r="G23" i="58"/>
  <c r="G29" i="58"/>
  <c r="G37" i="58"/>
  <c r="G41" i="58"/>
  <c r="G46" i="58"/>
  <c r="H28" i="58"/>
  <c r="H33" i="58"/>
  <c r="H38" i="58"/>
  <c r="H42" i="58"/>
  <c r="F48" i="58"/>
  <c r="G49" i="58"/>
  <c r="F52" i="58"/>
  <c r="G53" i="58"/>
  <c r="F94" i="58"/>
  <c r="F18" i="58"/>
  <c r="F23" i="58"/>
  <c r="F30" i="58"/>
  <c r="F37" i="58"/>
  <c r="F42" i="58"/>
  <c r="G13" i="58"/>
  <c r="G19" i="58"/>
  <c r="G24" i="58"/>
  <c r="G31" i="58"/>
  <c r="G38" i="58"/>
  <c r="G42" i="58"/>
  <c r="H16" i="58"/>
  <c r="H20" i="58"/>
  <c r="H24" i="58"/>
  <c r="H29" i="58"/>
  <c r="H35" i="58"/>
  <c r="H39" i="58"/>
  <c r="H44" i="58"/>
  <c r="G48" i="58"/>
  <c r="H49" i="58"/>
  <c r="G52" i="58"/>
  <c r="H53" i="58"/>
  <c r="G92" i="58"/>
  <c r="F13" i="58"/>
  <c r="G33" i="58"/>
  <c r="H12" i="58"/>
  <c r="H17" i="58"/>
  <c r="H21" i="58"/>
  <c r="H25" i="58"/>
  <c r="H36" i="58"/>
  <c r="H40" i="58"/>
  <c r="H45" i="58"/>
  <c r="H48" i="58"/>
  <c r="H52" i="58"/>
  <c r="G22" i="58"/>
  <c r="H13" i="58"/>
  <c r="H37" i="58"/>
  <c r="H41" i="58"/>
  <c r="F45" i="58"/>
  <c r="G44" i="58"/>
  <c r="G45" i="58"/>
  <c r="F28" i="58"/>
  <c r="G47" i="58"/>
  <c r="G39" i="58"/>
  <c r="F19" i="58"/>
  <c r="H31" i="58"/>
  <c r="H15" i="58"/>
  <c r="G50" i="58"/>
  <c r="G21" i="58"/>
  <c r="G12" i="58"/>
  <c r="G36" i="58"/>
  <c r="H46" i="58"/>
  <c r="F40" i="58"/>
  <c r="F33" i="58"/>
  <c r="F24" i="58"/>
  <c r="F51" i="58"/>
  <c r="G35" i="58"/>
  <c r="G15" i="58"/>
  <c r="F46" i="58"/>
  <c r="H27" i="58"/>
  <c r="H54" i="58"/>
  <c r="G40" i="58"/>
  <c r="G51" i="58"/>
  <c r="H22" i="58"/>
  <c r="F38" i="58"/>
  <c r="G20" i="58"/>
  <c r="F53" i="58"/>
  <c r="F31" i="58"/>
  <c r="F54" i="58"/>
  <c r="H92" i="58"/>
  <c r="H23" i="58"/>
  <c r="H50" i="58"/>
  <c r="G28" i="58"/>
  <c r="H30" i="58"/>
  <c r="G25" i="58"/>
  <c r="G17" i="58"/>
  <c r="F29" i="58"/>
  <c r="H18" i="58"/>
  <c r="H47" i="58"/>
  <c r="G94" i="58"/>
  <c r="F16" i="58"/>
  <c r="H51" i="58"/>
  <c r="G27" i="58"/>
  <c r="F50" i="58"/>
  <c r="F35" i="58"/>
  <c r="H19" i="58"/>
  <c r="G54" i="58"/>
  <c r="G16" i="58"/>
  <c r="F49" i="58"/>
  <c r="F36" i="58"/>
  <c r="F217" i="1"/>
  <c r="F90" i="1" s="1"/>
  <c r="C90" i="1"/>
  <c r="L90" i="1"/>
  <c r="O208" i="1"/>
  <c r="O90" i="1" s="1"/>
  <c r="F56" i="1"/>
  <c r="G56" i="1" s="1"/>
  <c r="N44" i="26"/>
  <c r="I8" i="26" l="1"/>
  <c r="G31" i="26"/>
  <c r="K31" i="26" s="1"/>
  <c r="M31" i="26"/>
  <c r="U31" i="26" s="1"/>
  <c r="M7" i="66" s="1"/>
  <c r="U29" i="26"/>
  <c r="M3" i="66" s="1"/>
  <c r="U23" i="26"/>
  <c r="M4" i="66" s="1"/>
  <c r="L29" i="26"/>
  <c r="S29" i="26"/>
  <c r="AY17" i="77"/>
  <c r="AN15" i="77"/>
  <c r="AT16" i="77"/>
  <c r="F11" i="58"/>
  <c r="G11" i="58"/>
  <c r="H11" i="58"/>
  <c r="AY16" i="77" l="1"/>
  <c r="AN14" i="77"/>
  <c r="AT15" i="77"/>
  <c r="AY15" i="77" l="1"/>
  <c r="AN13" i="77"/>
  <c r="AT14" i="77"/>
  <c r="AG47" i="55"/>
  <c r="AH47" i="55" s="1"/>
  <c r="AB47" i="54"/>
  <c r="AY14" i="77" l="1"/>
  <c r="AT13" i="77"/>
  <c r="AB47" i="55"/>
  <c r="AR47" i="54"/>
  <c r="AD47" i="54"/>
  <c r="AY13" i="77" l="1"/>
  <c r="AQ47" i="55"/>
  <c r="AD47" i="55"/>
  <c r="AS47" i="55" s="1"/>
  <c r="AI47" i="55"/>
  <c r="AT47" i="54"/>
  <c r="O41" i="1" l="1"/>
  <c r="F41" i="1"/>
  <c r="O39" i="1"/>
  <c r="F39" i="1"/>
  <c r="O34" i="1"/>
  <c r="F34" i="1"/>
  <c r="O27" i="1"/>
  <c r="F27" i="1"/>
  <c r="O26" i="1"/>
  <c r="F26" i="1"/>
  <c r="F19" i="1"/>
  <c r="O19" i="1"/>
  <c r="P22" i="54" l="1"/>
  <c r="P27" i="54"/>
  <c r="P46" i="54"/>
  <c r="P51" i="54"/>
  <c r="P13" i="54"/>
  <c r="P50" i="54"/>
  <c r="P12" i="54"/>
  <c r="P33" i="54"/>
  <c r="P49" i="54"/>
  <c r="P40" i="54"/>
  <c r="P26" i="54"/>
  <c r="P41" i="54"/>
  <c r="P30" i="54"/>
  <c r="P43" i="54"/>
  <c r="P32" i="54"/>
  <c r="P9" i="54"/>
  <c r="C53" i="1"/>
  <c r="P45" i="54"/>
  <c r="F9" i="1"/>
  <c r="O10" i="1"/>
  <c r="O9" i="1" s="1"/>
  <c r="L9" i="1"/>
  <c r="C9" i="1"/>
  <c r="F53" i="1" l="1"/>
  <c r="F220" i="1" s="1"/>
  <c r="P96" i="55"/>
  <c r="P92" i="54"/>
  <c r="T89" i="55"/>
  <c r="P91" i="54"/>
  <c r="P94" i="55"/>
  <c r="P96" i="54"/>
  <c r="T89" i="54"/>
  <c r="P92" i="55"/>
  <c r="U89" i="54"/>
  <c r="P93" i="54"/>
  <c r="P95" i="55"/>
  <c r="V89" i="55"/>
  <c r="R89" i="55"/>
  <c r="P97" i="55"/>
  <c r="P94" i="54"/>
  <c r="U89" i="55"/>
  <c r="P93" i="55"/>
  <c r="P95" i="54"/>
  <c r="V89" i="54"/>
  <c r="R89" i="54"/>
  <c r="P97" i="54"/>
  <c r="S89" i="55"/>
  <c r="P91" i="55"/>
  <c r="S89" i="54"/>
  <c r="Q89" i="54"/>
  <c r="P90" i="54"/>
  <c r="Q89" i="55"/>
  <c r="P90" i="55"/>
  <c r="C220" i="1"/>
  <c r="P89" i="54" l="1"/>
  <c r="P89" i="55"/>
  <c r="D44" i="26" l="1"/>
  <c r="S49" i="26" l="1"/>
  <c r="S44" i="26"/>
  <c r="C53" i="59"/>
  <c r="C48" i="59" s="1"/>
  <c r="W36" i="54" l="1"/>
  <c r="L20" i="54" l="1"/>
  <c r="L36" i="54"/>
  <c r="L42" i="54"/>
  <c r="W28" i="54"/>
  <c r="L34" i="54"/>
  <c r="L21" i="54"/>
  <c r="L17" i="54"/>
  <c r="L31" i="54"/>
  <c r="L37" i="54"/>
  <c r="L28" i="54"/>
  <c r="W16" i="54"/>
  <c r="W14" i="54"/>
  <c r="P14" i="54"/>
  <c r="P16" i="54"/>
  <c r="P18" i="54"/>
  <c r="P20" i="54"/>
  <c r="P23" i="54"/>
  <c r="P28" i="54"/>
  <c r="P29" i="54"/>
  <c r="P31" i="54"/>
  <c r="P35" i="54"/>
  <c r="P38" i="54"/>
  <c r="P42" i="54"/>
  <c r="P11" i="54"/>
  <c r="P15" i="54"/>
  <c r="P19" i="54"/>
  <c r="P21" i="54"/>
  <c r="P25" i="54"/>
  <c r="P34" i="54"/>
  <c r="P37" i="54"/>
  <c r="P36" i="54"/>
  <c r="O36" i="54" s="1"/>
  <c r="P39" i="54"/>
  <c r="P17" i="54"/>
  <c r="P10" i="54"/>
  <c r="L16" i="54"/>
  <c r="L38" i="54"/>
  <c r="L19" i="54"/>
  <c r="L25" i="54"/>
  <c r="L39" i="54"/>
  <c r="L35" i="54"/>
  <c r="L23" i="54"/>
  <c r="L15" i="54"/>
  <c r="L18" i="54"/>
  <c r="L10" i="54"/>
  <c r="L29" i="54"/>
  <c r="L11" i="54"/>
  <c r="L14" i="54"/>
  <c r="E11" i="54"/>
  <c r="E14" i="54"/>
  <c r="E18" i="54"/>
  <c r="E23" i="54"/>
  <c r="E29" i="54"/>
  <c r="E35" i="54"/>
  <c r="E38" i="54"/>
  <c r="E10" i="54"/>
  <c r="E17" i="54"/>
  <c r="E21" i="54"/>
  <c r="E34" i="54"/>
  <c r="E37" i="54"/>
  <c r="E16" i="54"/>
  <c r="E20" i="54"/>
  <c r="D20" i="54" s="1"/>
  <c r="E28" i="54"/>
  <c r="D28" i="54" s="1"/>
  <c r="E31" i="54"/>
  <c r="E36" i="54"/>
  <c r="D36" i="54" s="1"/>
  <c r="E42" i="54"/>
  <c r="E15" i="54"/>
  <c r="E19" i="54"/>
  <c r="E25" i="54"/>
  <c r="E39" i="54"/>
  <c r="D37" i="54" l="1"/>
  <c r="D34" i="54"/>
  <c r="O28" i="54"/>
  <c r="D42" i="54"/>
  <c r="D31" i="54"/>
  <c r="D16" i="54"/>
  <c r="D21" i="54"/>
  <c r="D17" i="54"/>
  <c r="D38" i="54"/>
  <c r="D18" i="54"/>
  <c r="O16" i="54"/>
  <c r="O14" i="54"/>
  <c r="D39" i="54"/>
  <c r="D14" i="54"/>
  <c r="D11" i="54"/>
  <c r="D19" i="54"/>
  <c r="D29" i="54"/>
  <c r="D25" i="54"/>
  <c r="D35" i="54"/>
  <c r="D15" i="54"/>
  <c r="D23" i="54"/>
  <c r="D10" i="54"/>
  <c r="R52" i="26"/>
  <c r="R90" i="26" s="1"/>
  <c r="E11" i="26" l="1"/>
  <c r="E15" i="26"/>
  <c r="E16" i="26"/>
  <c r="E23" i="26"/>
  <c r="E20" i="26"/>
  <c r="E38" i="26"/>
  <c r="E18" i="26"/>
  <c r="E25" i="26"/>
  <c r="E28" i="26"/>
  <c r="E29" i="26"/>
  <c r="E21" i="26"/>
  <c r="E31" i="26"/>
  <c r="E10" i="26"/>
  <c r="E34" i="26"/>
  <c r="E35" i="26"/>
  <c r="E37" i="26"/>
  <c r="E17" i="26"/>
  <c r="E39" i="26"/>
  <c r="E42" i="26"/>
  <c r="E33" i="26"/>
  <c r="E27" i="26"/>
  <c r="L23" i="55" l="1"/>
  <c r="L37" i="55"/>
  <c r="L42" i="55"/>
  <c r="E40" i="26"/>
  <c r="T40" i="26" s="1"/>
  <c r="L35" i="55"/>
  <c r="L17" i="55"/>
  <c r="L20" i="55"/>
  <c r="L18" i="55"/>
  <c r="L15" i="55"/>
  <c r="L39" i="55"/>
  <c r="L11" i="55"/>
  <c r="L21" i="55"/>
  <c r="L14" i="55"/>
  <c r="L31" i="55"/>
  <c r="L25" i="55"/>
  <c r="L6" i="66" l="1"/>
  <c r="L16" i="55"/>
  <c r="E51" i="54"/>
  <c r="L38" i="55"/>
  <c r="L28" i="55"/>
  <c r="L34" i="55"/>
  <c r="L36" i="55"/>
  <c r="L10" i="55"/>
  <c r="L29" i="55"/>
  <c r="E41" i="54"/>
  <c r="E40" i="54"/>
  <c r="E27" i="54"/>
  <c r="E30" i="54"/>
  <c r="E50" i="54"/>
  <c r="E45" i="54"/>
  <c r="E9" i="54"/>
  <c r="E33" i="54"/>
  <c r="E32" i="54"/>
  <c r="E12" i="54"/>
  <c r="E43" i="54"/>
  <c r="E13" i="54"/>
  <c r="E92" i="55"/>
  <c r="E46" i="54"/>
  <c r="E49" i="54"/>
  <c r="E26" i="54"/>
  <c r="E22" i="54"/>
  <c r="H89" i="54"/>
  <c r="H89" i="55"/>
  <c r="P30" i="55" l="1"/>
  <c r="E94" i="54"/>
  <c r="E93" i="54"/>
  <c r="P50" i="55"/>
  <c r="P26" i="55"/>
  <c r="P12" i="55"/>
  <c r="P43" i="55"/>
  <c r="E94" i="55"/>
  <c r="P22" i="55"/>
  <c r="E96" i="55"/>
  <c r="P32" i="55"/>
  <c r="P41" i="55"/>
  <c r="P46" i="55"/>
  <c r="P27" i="55"/>
  <c r="P9" i="55"/>
  <c r="P51" i="55"/>
  <c r="P45" i="55"/>
  <c r="P49" i="55"/>
  <c r="P33" i="55"/>
  <c r="P40" i="55"/>
  <c r="P13" i="55"/>
  <c r="L19" i="55"/>
  <c r="K89" i="54"/>
  <c r="J89" i="55"/>
  <c r="E97" i="54"/>
  <c r="K89" i="55"/>
  <c r="E97" i="55"/>
  <c r="G89" i="54"/>
  <c r="E93" i="55"/>
  <c r="E90" i="55"/>
  <c r="F89" i="55"/>
  <c r="E95" i="54"/>
  <c r="I89" i="55"/>
  <c r="J89" i="54"/>
  <c r="G89" i="55"/>
  <c r="I89" i="54"/>
  <c r="E92" i="54"/>
  <c r="E90" i="54"/>
  <c r="F89" i="54"/>
  <c r="E96" i="54"/>
  <c r="E91" i="55"/>
  <c r="E91" i="54"/>
  <c r="E95" i="55"/>
  <c r="W28" i="55"/>
  <c r="W16" i="55"/>
  <c r="W36" i="55"/>
  <c r="E49" i="55" l="1"/>
  <c r="E22" i="55"/>
  <c r="W14" i="55"/>
  <c r="E30" i="55"/>
  <c r="E33" i="55"/>
  <c r="E26" i="55"/>
  <c r="E9" i="55"/>
  <c r="E46" i="55"/>
  <c r="E32" i="55"/>
  <c r="E41" i="55"/>
  <c r="E43" i="55"/>
  <c r="E13" i="55"/>
  <c r="E45" i="55"/>
  <c r="E40" i="55"/>
  <c r="E89" i="55"/>
  <c r="E89" i="54"/>
  <c r="E27" i="55"/>
  <c r="E12" i="55"/>
  <c r="E50" i="55"/>
  <c r="E51" i="55"/>
  <c r="P42" i="55" l="1"/>
  <c r="P37" i="55"/>
  <c r="P17" i="55"/>
  <c r="P14" i="55"/>
  <c r="O14" i="55" s="1"/>
  <c r="P15" i="55"/>
  <c r="P36" i="55"/>
  <c r="O36" i="55" s="1"/>
  <c r="P28" i="55"/>
  <c r="O28" i="55" s="1"/>
  <c r="P10" i="55"/>
  <c r="T8" i="55"/>
  <c r="P16" i="55"/>
  <c r="O16" i="55" s="1"/>
  <c r="P19" i="55"/>
  <c r="U8" i="55"/>
  <c r="P38" i="55"/>
  <c r="P11" i="55"/>
  <c r="P39" i="55"/>
  <c r="P25" i="55"/>
  <c r="V8" i="55"/>
  <c r="P29" i="55"/>
  <c r="P31" i="55"/>
  <c r="P34" i="55"/>
  <c r="P35" i="55"/>
  <c r="P18" i="55"/>
  <c r="P21" i="55"/>
  <c r="P20" i="55"/>
  <c r="P23" i="55"/>
  <c r="E39" i="55"/>
  <c r="D39" i="55" s="1"/>
  <c r="E18" i="55"/>
  <c r="D18" i="55" s="1"/>
  <c r="E36" i="55"/>
  <c r="E35" i="55"/>
  <c r="E25" i="55"/>
  <c r="E19" i="55"/>
  <c r="E17" i="55"/>
  <c r="E11" i="55"/>
  <c r="D11" i="55" s="1"/>
  <c r="E42" i="55"/>
  <c r="E16" i="55"/>
  <c r="E29" i="55"/>
  <c r="D29" i="55" s="1"/>
  <c r="E20" i="55"/>
  <c r="E38" i="55"/>
  <c r="E14" i="55"/>
  <c r="E31" i="55"/>
  <c r="D31" i="55" s="1"/>
  <c r="E21" i="55"/>
  <c r="E34" i="55"/>
  <c r="E15" i="55"/>
  <c r="E37" i="55"/>
  <c r="E28" i="55"/>
  <c r="E23" i="55"/>
  <c r="D23" i="55" s="1"/>
  <c r="E10" i="55"/>
  <c r="D19" i="55" l="1"/>
  <c r="D42" i="55"/>
  <c r="D25" i="55"/>
  <c r="D28" i="55"/>
  <c r="D16" i="55"/>
  <c r="D14" i="55"/>
  <c r="D37" i="55"/>
  <c r="D15" i="55"/>
  <c r="D20" i="55"/>
  <c r="D35" i="55"/>
  <c r="D38" i="55"/>
  <c r="D34" i="55"/>
  <c r="D10" i="55"/>
  <c r="D21" i="55"/>
  <c r="D17" i="55"/>
  <c r="D36" i="55"/>
  <c r="G53" i="1" l="1"/>
  <c r="G220" i="1" s="1"/>
  <c r="L60" i="1" l="1"/>
  <c r="O60" i="1" l="1"/>
  <c r="P60" i="1" s="1"/>
  <c r="W10" i="54" l="1"/>
  <c r="O10" i="54" s="1"/>
  <c r="W11" i="54"/>
  <c r="O11" i="54" s="1"/>
  <c r="W15" i="54"/>
  <c r="O15" i="54" s="1"/>
  <c r="W17" i="54"/>
  <c r="O17" i="54" s="1"/>
  <c r="W18" i="54"/>
  <c r="O18" i="54" s="1"/>
  <c r="W20" i="54"/>
  <c r="O20" i="54" s="1"/>
  <c r="W21" i="54"/>
  <c r="O21" i="54" s="1"/>
  <c r="W23" i="54"/>
  <c r="O23" i="54" s="1"/>
  <c r="W25" i="54"/>
  <c r="O25" i="54" s="1"/>
  <c r="W29" i="54"/>
  <c r="O29" i="54" s="1"/>
  <c r="W31" i="54"/>
  <c r="O31" i="54" s="1"/>
  <c r="W34" i="54"/>
  <c r="O34" i="54" s="1"/>
  <c r="W35" i="54"/>
  <c r="O35" i="54" s="1"/>
  <c r="W37" i="54"/>
  <c r="O37" i="54" s="1"/>
  <c r="W38" i="54"/>
  <c r="O38" i="54" s="1"/>
  <c r="W39" i="54"/>
  <c r="O39" i="54" s="1"/>
  <c r="W42" i="54"/>
  <c r="O42" i="54" s="1"/>
  <c r="E26" i="26" l="1"/>
  <c r="E43" i="26" l="1"/>
  <c r="E50" i="26"/>
  <c r="E48" i="26"/>
  <c r="E41" i="26"/>
  <c r="E13" i="26"/>
  <c r="E49" i="26"/>
  <c r="E19" i="26"/>
  <c r="E46" i="26"/>
  <c r="E12" i="26"/>
  <c r="E45" i="26"/>
  <c r="E32" i="26"/>
  <c r="E30" i="26"/>
  <c r="E51" i="26"/>
  <c r="E14" i="26"/>
  <c r="E24" i="26"/>
  <c r="L31" i="26" l="1"/>
  <c r="L23" i="26"/>
  <c r="W19" i="54"/>
  <c r="O19" i="54" s="1"/>
  <c r="P8" i="26"/>
  <c r="S31" i="26" l="1"/>
  <c r="S23" i="26"/>
  <c r="L11" i="26"/>
  <c r="W11" i="55"/>
  <c r="O11" i="55" s="1"/>
  <c r="W15" i="55"/>
  <c r="O15" i="55" s="1"/>
  <c r="W19" i="55"/>
  <c r="O19" i="55" s="1"/>
  <c r="W25" i="55"/>
  <c r="O25" i="55" s="1"/>
  <c r="W34" i="55"/>
  <c r="O34" i="55" s="1"/>
  <c r="W38" i="55"/>
  <c r="O38" i="55" s="1"/>
  <c r="W31" i="55"/>
  <c r="O31" i="55" s="1"/>
  <c r="W10" i="55"/>
  <c r="O10" i="55" s="1"/>
  <c r="W29" i="55"/>
  <c r="O29" i="55" s="1"/>
  <c r="W18" i="55"/>
  <c r="O18" i="55" s="1"/>
  <c r="W21" i="55"/>
  <c r="O21" i="55" s="1"/>
  <c r="W42" i="55"/>
  <c r="O42" i="55" s="1"/>
  <c r="W20" i="55"/>
  <c r="O20" i="55" s="1"/>
  <c r="W35" i="55"/>
  <c r="O35" i="55" s="1"/>
  <c r="W39" i="55"/>
  <c r="O39" i="55" s="1"/>
  <c r="W17" i="55"/>
  <c r="O17" i="55" s="1"/>
  <c r="W23" i="55"/>
  <c r="O23" i="55" s="1"/>
  <c r="W37" i="55"/>
  <c r="O37" i="55" s="1"/>
  <c r="S11" i="26" l="1"/>
  <c r="W43" i="54"/>
  <c r="O43" i="54" s="1"/>
  <c r="AG35" i="55" l="1"/>
  <c r="AG35" i="54"/>
  <c r="AG38" i="55"/>
  <c r="AG38" i="54"/>
  <c r="AB87" i="54"/>
  <c r="AB86" i="54"/>
  <c r="AB85" i="54"/>
  <c r="AB83" i="54"/>
  <c r="AB88" i="54"/>
  <c r="AB84" i="54"/>
  <c r="AB81" i="54"/>
  <c r="AB82" i="54"/>
  <c r="AB80" i="54"/>
  <c r="AG20" i="54" l="1"/>
  <c r="AG20" i="55"/>
  <c r="AG66" i="54"/>
  <c r="AH66" i="54" s="1"/>
  <c r="AB66" i="54"/>
  <c r="AB64" i="54"/>
  <c r="AG64" i="54"/>
  <c r="AH64" i="54" s="1"/>
  <c r="AG17" i="54"/>
  <c r="AG17" i="55"/>
  <c r="AG67" i="54"/>
  <c r="AH67" i="54" s="1"/>
  <c r="AB67" i="54"/>
  <c r="AD88" i="54"/>
  <c r="AG77" i="54"/>
  <c r="AH77" i="54" s="1"/>
  <c r="AB77" i="54"/>
  <c r="AG41" i="54"/>
  <c r="AH41" i="54" s="1"/>
  <c r="AB41" i="54"/>
  <c r="AB65" i="54"/>
  <c r="AG65" i="54"/>
  <c r="AH65" i="54" s="1"/>
  <c r="AG36" i="55"/>
  <c r="AG36" i="54"/>
  <c r="AD81" i="54"/>
  <c r="AB53" i="54"/>
  <c r="AG53" i="54"/>
  <c r="AH53" i="54" s="1"/>
  <c r="AG69" i="54"/>
  <c r="AH69" i="54" s="1"/>
  <c r="AB69" i="54"/>
  <c r="AB78" i="54"/>
  <c r="AG78" i="54"/>
  <c r="AH78" i="54" s="1"/>
  <c r="AG40" i="54"/>
  <c r="AG40" i="55"/>
  <c r="AG25" i="55"/>
  <c r="AG25" i="54"/>
  <c r="AG15" i="55"/>
  <c r="AG15" i="54"/>
  <c r="AG42" i="55"/>
  <c r="AG42" i="54"/>
  <c r="AB41" i="55"/>
  <c r="AG41" i="55"/>
  <c r="AH41" i="55" s="1"/>
  <c r="AB72" i="54"/>
  <c r="AG72" i="54"/>
  <c r="AH72" i="54" s="1"/>
  <c r="AB70" i="54"/>
  <c r="AG70" i="54"/>
  <c r="AH70" i="54" s="1"/>
  <c r="AG16" i="54"/>
  <c r="AG16" i="55"/>
  <c r="AG18" i="54"/>
  <c r="AG18" i="55"/>
  <c r="AB91" i="54"/>
  <c r="AG91" i="54"/>
  <c r="AH91" i="54" s="1"/>
  <c r="AG61" i="54"/>
  <c r="AH61" i="54" s="1"/>
  <c r="AB61" i="54"/>
  <c r="AG75" i="54"/>
  <c r="AH75" i="54" s="1"/>
  <c r="AB75" i="54"/>
  <c r="AB57" i="54"/>
  <c r="AG57" i="54"/>
  <c r="AH57" i="54" s="1"/>
  <c r="AD86" i="54"/>
  <c r="AG31" i="55"/>
  <c r="AG31" i="54"/>
  <c r="AG11" i="55"/>
  <c r="AG11" i="54"/>
  <c r="AG14" i="54"/>
  <c r="AG14" i="55"/>
  <c r="AB91" i="55"/>
  <c r="AG91" i="55"/>
  <c r="AH91" i="55" s="1"/>
  <c r="AI91" i="55" s="1"/>
  <c r="AD83" i="54"/>
  <c r="AG56" i="54"/>
  <c r="AH56" i="54" s="1"/>
  <c r="AB56" i="54"/>
  <c r="AD80" i="54"/>
  <c r="AG74" i="54"/>
  <c r="AH74" i="54" s="1"/>
  <c r="AB74" i="54"/>
  <c r="AG63" i="54"/>
  <c r="AH63" i="54" s="1"/>
  <c r="AB63" i="54"/>
  <c r="AG52" i="54"/>
  <c r="AH52" i="54" s="1"/>
  <c r="AB52" i="54"/>
  <c r="AB71" i="54"/>
  <c r="AG71" i="54"/>
  <c r="AH71" i="54" s="1"/>
  <c r="AG23" i="55"/>
  <c r="AG23" i="54"/>
  <c r="AG21" i="54"/>
  <c r="AG21" i="55"/>
  <c r="AG73" i="54"/>
  <c r="AH73" i="54" s="1"/>
  <c r="AB73" i="54"/>
  <c r="AB50" i="55"/>
  <c r="AG50" i="55"/>
  <c r="AH50" i="55" s="1"/>
  <c r="AD84" i="54"/>
  <c r="AB55" i="54"/>
  <c r="AG55" i="54"/>
  <c r="AH55" i="54" s="1"/>
  <c r="AB58" i="54"/>
  <c r="AG58" i="54"/>
  <c r="AH58" i="54" s="1"/>
  <c r="AD87" i="54"/>
  <c r="AG76" i="54"/>
  <c r="AH76" i="54" s="1"/>
  <c r="AB76" i="54"/>
  <c r="AG34" i="55"/>
  <c r="AG34" i="54"/>
  <c r="AG29" i="54"/>
  <c r="AG29" i="55"/>
  <c r="AB50" i="54"/>
  <c r="AG50" i="54"/>
  <c r="AH50" i="54" s="1"/>
  <c r="AB60" i="54"/>
  <c r="AG60" i="54"/>
  <c r="AH60" i="54" s="1"/>
  <c r="AG62" i="54"/>
  <c r="AH62" i="54" s="1"/>
  <c r="AB62" i="54"/>
  <c r="AG79" i="54"/>
  <c r="AH79" i="54" s="1"/>
  <c r="AB79" i="54"/>
  <c r="AG12" i="54"/>
  <c r="AH12" i="54" s="1"/>
  <c r="AB12" i="54"/>
  <c r="AD82" i="54"/>
  <c r="AG68" i="54"/>
  <c r="AH68" i="54" s="1"/>
  <c r="AB68" i="54"/>
  <c r="AB59" i="54"/>
  <c r="AG59" i="54"/>
  <c r="AH59" i="54" s="1"/>
  <c r="AB54" i="54"/>
  <c r="AG54" i="54"/>
  <c r="AH54" i="54" s="1"/>
  <c r="AD85" i="54"/>
  <c r="AG28" i="54"/>
  <c r="AG28" i="55"/>
  <c r="AG10" i="55"/>
  <c r="AG10" i="54"/>
  <c r="AG19" i="55"/>
  <c r="AG19" i="54"/>
  <c r="AG37" i="55"/>
  <c r="AG37" i="54"/>
  <c r="AG39" i="54"/>
  <c r="AG39" i="55"/>
  <c r="AB12" i="55"/>
  <c r="AG12" i="55"/>
  <c r="AH12" i="55" s="1"/>
  <c r="AJ59" i="54" l="1"/>
  <c r="AD79" i="54"/>
  <c r="AG51" i="55"/>
  <c r="AH51" i="55" s="1"/>
  <c r="AI51" i="55" s="1"/>
  <c r="AB51" i="55"/>
  <c r="AJ55" i="54"/>
  <c r="AG24" i="54"/>
  <c r="AH24" i="54" s="1"/>
  <c r="AB24" i="54"/>
  <c r="AG9" i="54"/>
  <c r="AH9" i="54" s="1"/>
  <c r="AB9" i="54"/>
  <c r="AD74" i="54"/>
  <c r="AD75" i="54"/>
  <c r="AJ91" i="54"/>
  <c r="AJ72" i="54"/>
  <c r="AB90" i="55"/>
  <c r="AG90" i="55"/>
  <c r="AH90" i="55" s="1"/>
  <c r="AI90" i="55" s="1"/>
  <c r="AG30" i="55"/>
  <c r="AH30" i="55" s="1"/>
  <c r="AB30" i="55"/>
  <c r="AB13" i="55"/>
  <c r="AG13" i="55"/>
  <c r="AH13" i="55" s="1"/>
  <c r="AB46" i="55"/>
  <c r="AG46" i="55"/>
  <c r="AH46" i="55" s="1"/>
  <c r="AD12" i="55"/>
  <c r="AD59" i="54"/>
  <c r="AJ79" i="54"/>
  <c r="AG51" i="54"/>
  <c r="AH51" i="54" s="1"/>
  <c r="AB51" i="54"/>
  <c r="AD55" i="54"/>
  <c r="AG24" i="55"/>
  <c r="AH24" i="55" s="1"/>
  <c r="AB24" i="55"/>
  <c r="M24" i="55" s="1"/>
  <c r="AB9" i="55"/>
  <c r="AG9" i="55"/>
  <c r="AH9" i="55" s="1"/>
  <c r="AJ74" i="54"/>
  <c r="AJ75" i="54"/>
  <c r="AD91" i="54"/>
  <c r="AD72" i="54"/>
  <c r="AB90" i="54"/>
  <c r="AG90" i="54"/>
  <c r="AH90" i="54" s="1"/>
  <c r="AB30" i="54"/>
  <c r="AG30" i="54"/>
  <c r="AH30" i="54" s="1"/>
  <c r="AG13" i="54"/>
  <c r="AH13" i="54" s="1"/>
  <c r="AB13" i="54"/>
  <c r="AG46" i="54"/>
  <c r="AH46" i="54" s="1"/>
  <c r="AB46" i="54"/>
  <c r="AD68" i="54"/>
  <c r="AB45" i="54"/>
  <c r="AG45" i="54"/>
  <c r="AH45" i="54" s="1"/>
  <c r="AJ60" i="54"/>
  <c r="AD76" i="54"/>
  <c r="AG94" i="55"/>
  <c r="AH94" i="55" s="1"/>
  <c r="AB94" i="55"/>
  <c r="AD73" i="54"/>
  <c r="AJ71" i="54"/>
  <c r="AG93" i="54"/>
  <c r="AH93" i="54" s="1"/>
  <c r="AB93" i="54"/>
  <c r="AB33" i="54"/>
  <c r="AG33" i="54"/>
  <c r="AH33" i="54" s="1"/>
  <c r="AD61" i="54"/>
  <c r="AJ53" i="54"/>
  <c r="AJ65" i="54"/>
  <c r="AD41" i="54"/>
  <c r="AG26" i="54"/>
  <c r="AH26" i="54" s="1"/>
  <c r="AB26" i="54"/>
  <c r="AG22" i="54"/>
  <c r="AH22" i="54" s="1"/>
  <c r="AB22" i="54"/>
  <c r="AD22" i="54" s="1"/>
  <c r="AJ64" i="54"/>
  <c r="AJ68" i="54"/>
  <c r="AB45" i="55"/>
  <c r="AG45" i="55"/>
  <c r="AH45" i="55" s="1"/>
  <c r="AD60" i="54"/>
  <c r="AJ76" i="54"/>
  <c r="AG94" i="54"/>
  <c r="AH94" i="54" s="1"/>
  <c r="AB94" i="54"/>
  <c r="AJ73" i="54"/>
  <c r="AD71" i="54"/>
  <c r="AB93" i="55"/>
  <c r="AG93" i="55"/>
  <c r="AH93" i="55" s="1"/>
  <c r="AI93" i="55" s="1"/>
  <c r="AD91" i="55"/>
  <c r="AG33" i="55"/>
  <c r="AH33" i="55" s="1"/>
  <c r="AB33" i="55"/>
  <c r="AJ61" i="54"/>
  <c r="AD41" i="55"/>
  <c r="AD53" i="54"/>
  <c r="AD65" i="54"/>
  <c r="AB26" i="55"/>
  <c r="AG26" i="55"/>
  <c r="AH26" i="55" s="1"/>
  <c r="AG22" i="55"/>
  <c r="AH22" i="55" s="1"/>
  <c r="AI22" i="55" s="1"/>
  <c r="AB22" i="55"/>
  <c r="M22" i="55" s="1"/>
  <c r="AD64" i="54"/>
  <c r="AD62" i="54"/>
  <c r="AD52" i="54"/>
  <c r="AB92" i="54"/>
  <c r="AG92" i="54"/>
  <c r="AH92" i="54" s="1"/>
  <c r="AJ78" i="54"/>
  <c r="AG97" i="54"/>
  <c r="AH97" i="54" s="1"/>
  <c r="AB97" i="54"/>
  <c r="AB43" i="55"/>
  <c r="AG43" i="55"/>
  <c r="AH43" i="55" s="1"/>
  <c r="AD77" i="54"/>
  <c r="AD67" i="54"/>
  <c r="AD66" i="54"/>
  <c r="AJ62" i="54"/>
  <c r="AD50" i="54"/>
  <c r="AJ52" i="54"/>
  <c r="AG92" i="55"/>
  <c r="AH92" i="55" s="1"/>
  <c r="AI92" i="55" s="1"/>
  <c r="AB92" i="55"/>
  <c r="AD78" i="54"/>
  <c r="AB97" i="55"/>
  <c r="AG97" i="55"/>
  <c r="AH97" i="55" s="1"/>
  <c r="AI97" i="55" s="1"/>
  <c r="AB43" i="54"/>
  <c r="AG43" i="54"/>
  <c r="AH43" i="54" s="1"/>
  <c r="AJ77" i="54"/>
  <c r="AJ67" i="54"/>
  <c r="AJ66" i="54"/>
  <c r="AJ54" i="54"/>
  <c r="AD12" i="54"/>
  <c r="AB49" i="55"/>
  <c r="AG49" i="55"/>
  <c r="AH49" i="55" s="1"/>
  <c r="AJ58" i="54"/>
  <c r="AD63" i="54"/>
  <c r="AD56" i="54"/>
  <c r="AJ57" i="54"/>
  <c r="AB32" i="54"/>
  <c r="AG32" i="54"/>
  <c r="AH32" i="54" s="1"/>
  <c r="AJ70" i="54"/>
  <c r="AD69" i="54"/>
  <c r="AG96" i="54"/>
  <c r="AH96" i="54" s="1"/>
  <c r="AB96" i="54"/>
  <c r="AG48" i="54"/>
  <c r="AH48" i="54" s="1"/>
  <c r="AB48" i="54"/>
  <c r="AG95" i="54"/>
  <c r="AH95" i="54" s="1"/>
  <c r="AB95" i="54"/>
  <c r="AG27" i="55"/>
  <c r="AH27" i="55" s="1"/>
  <c r="AI27" i="55" s="1"/>
  <c r="AB27" i="55"/>
  <c r="AD54" i="54"/>
  <c r="AG49" i="54"/>
  <c r="AH49" i="54" s="1"/>
  <c r="AB49" i="54"/>
  <c r="AD58" i="54"/>
  <c r="AD50" i="55"/>
  <c r="AJ63" i="54"/>
  <c r="AJ56" i="54"/>
  <c r="AD57" i="54"/>
  <c r="AG32" i="55"/>
  <c r="AH32" i="55" s="1"/>
  <c r="AB32" i="55"/>
  <c r="AD70" i="54"/>
  <c r="AJ69" i="54"/>
  <c r="AG96" i="55"/>
  <c r="AH96" i="55" s="1"/>
  <c r="AI96" i="55" s="1"/>
  <c r="AB96" i="55"/>
  <c r="AD96" i="55" s="1"/>
  <c r="AG48" i="55"/>
  <c r="AH48" i="55" s="1"/>
  <c r="AI48" i="55" s="1"/>
  <c r="AB48" i="55"/>
  <c r="AG95" i="55"/>
  <c r="AH95" i="55" s="1"/>
  <c r="AI95" i="55" s="1"/>
  <c r="AB95" i="55"/>
  <c r="AB27" i="54"/>
  <c r="AG27" i="54"/>
  <c r="AH27" i="54" s="1"/>
  <c r="AD45" i="55" l="1"/>
  <c r="AD27" i="54"/>
  <c r="AD48" i="54"/>
  <c r="AR48" i="54"/>
  <c r="AD92" i="54"/>
  <c r="AD22" i="55"/>
  <c r="AD33" i="54"/>
  <c r="AD94" i="55"/>
  <c r="AD24" i="55"/>
  <c r="AQ24" i="55"/>
  <c r="AD30" i="55"/>
  <c r="AD95" i="55"/>
  <c r="AJ48" i="54"/>
  <c r="AD32" i="54"/>
  <c r="AD97" i="55"/>
  <c r="AD96" i="54"/>
  <c r="AD93" i="55"/>
  <c r="AD93" i="54"/>
  <c r="AG98" i="54"/>
  <c r="AH98" i="54" s="1"/>
  <c r="AB98" i="54"/>
  <c r="AB102" i="54" s="1"/>
  <c r="AI32" i="54" s="1"/>
  <c r="AD30" i="54"/>
  <c r="AD51" i="55"/>
  <c r="AD95" i="54"/>
  <c r="AQ48" i="55"/>
  <c r="AD48" i="55"/>
  <c r="AD32" i="55"/>
  <c r="AJ96" i="54"/>
  <c r="AD49" i="55"/>
  <c r="AD97" i="54"/>
  <c r="AD26" i="55"/>
  <c r="AJ93" i="54"/>
  <c r="AG98" i="55"/>
  <c r="AH98" i="55" s="1"/>
  <c r="AI98" i="55" s="1"/>
  <c r="AB98" i="55"/>
  <c r="AJ90" i="54"/>
  <c r="AD90" i="55"/>
  <c r="AD24" i="54"/>
  <c r="AR24" i="54"/>
  <c r="AD27" i="55"/>
  <c r="AJ97" i="54"/>
  <c r="AJ22" i="54"/>
  <c r="AD90" i="54"/>
  <c r="AD51" i="54"/>
  <c r="AD9" i="54"/>
  <c r="AD92" i="55"/>
  <c r="AD33" i="55"/>
  <c r="AD26" i="54"/>
  <c r="AD46" i="54"/>
  <c r="AJ51" i="54"/>
  <c r="AD46" i="55"/>
  <c r="AJ27" i="54"/>
  <c r="AD49" i="54"/>
  <c r="AJ95" i="54"/>
  <c r="AJ92" i="54"/>
  <c r="AD94" i="54"/>
  <c r="AD45" i="54"/>
  <c r="AD13" i="54"/>
  <c r="AD9" i="55"/>
  <c r="AD13" i="55"/>
  <c r="AC26" i="54" l="1"/>
  <c r="AC43" i="54"/>
  <c r="AI27" i="54"/>
  <c r="AC45" i="54"/>
  <c r="AC9" i="54"/>
  <c r="AI22" i="54"/>
  <c r="AB104" i="55"/>
  <c r="AC98" i="55" s="1"/>
  <c r="AD98" i="55"/>
  <c r="AQ98" i="55"/>
  <c r="AQ99" i="55" s="1"/>
  <c r="AR24" i="55" s="1"/>
  <c r="AC97" i="54"/>
  <c r="AC95" i="54"/>
  <c r="AR101" i="54"/>
  <c r="AC98" i="54"/>
  <c r="AD98" i="54"/>
  <c r="AC27" i="54"/>
  <c r="AI104" i="55"/>
  <c r="AJ98" i="55" s="1"/>
  <c r="X98" i="55" s="1"/>
  <c r="AH102" i="54"/>
  <c r="AI102" i="54" s="1"/>
  <c r="AI98" i="54"/>
  <c r="AJ98" i="54"/>
  <c r="AI48" i="54"/>
  <c r="AC22" i="54"/>
  <c r="AO45" i="54"/>
  <c r="AC38" i="54"/>
  <c r="AC11" i="54"/>
  <c r="AO32" i="54"/>
  <c r="AO87" i="54"/>
  <c r="AI42" i="54"/>
  <c r="AO61" i="54"/>
  <c r="AO65" i="54"/>
  <c r="AO93" i="54"/>
  <c r="AC23" i="54"/>
  <c r="AO71" i="54"/>
  <c r="AC19" i="54"/>
  <c r="AO34" i="54"/>
  <c r="AO97" i="54"/>
  <c r="AI84" i="54"/>
  <c r="AI38" i="54"/>
  <c r="AC21" i="54"/>
  <c r="AO20" i="54"/>
  <c r="AU33" i="54"/>
  <c r="AO44" i="54"/>
  <c r="AO101" i="54"/>
  <c r="AI83" i="54"/>
  <c r="AI16" i="54"/>
  <c r="AU27" i="54"/>
  <c r="AC17" i="54"/>
  <c r="AO79" i="54"/>
  <c r="AO42" i="54"/>
  <c r="AI21" i="54"/>
  <c r="AI25" i="54"/>
  <c r="AO26" i="54"/>
  <c r="AO96" i="54"/>
  <c r="AO25" i="54"/>
  <c r="AO10" i="54"/>
  <c r="AU17" i="54"/>
  <c r="AI85" i="54"/>
  <c r="AO58" i="54"/>
  <c r="AO35" i="54"/>
  <c r="AO62" i="54"/>
  <c r="AO83" i="54"/>
  <c r="AO68" i="54"/>
  <c r="AO19" i="54"/>
  <c r="AO78" i="54"/>
  <c r="AI23" i="54"/>
  <c r="AO88" i="54"/>
  <c r="AO24" i="54"/>
  <c r="AO92" i="54"/>
  <c r="AC44" i="54"/>
  <c r="AO17" i="54"/>
  <c r="AO75" i="54"/>
  <c r="AU34" i="54"/>
  <c r="AC42" i="54"/>
  <c r="AO43" i="54"/>
  <c r="AO55" i="54"/>
  <c r="AO57" i="54"/>
  <c r="AO46" i="54"/>
  <c r="AU16" i="54"/>
  <c r="AU21" i="54"/>
  <c r="AC102" i="54"/>
  <c r="AI18" i="54"/>
  <c r="AU43" i="54"/>
  <c r="AU26" i="54"/>
  <c r="AU36" i="54"/>
  <c r="AO54" i="54"/>
  <c r="AO16" i="54"/>
  <c r="AU28" i="54"/>
  <c r="AO53" i="54"/>
  <c r="AO63" i="54"/>
  <c r="AO50" i="54"/>
  <c r="AU31" i="54"/>
  <c r="AO27" i="54"/>
  <c r="AO13" i="54"/>
  <c r="AO12" i="54"/>
  <c r="AO21" i="54"/>
  <c r="AO18" i="54"/>
  <c r="AO47" i="54"/>
  <c r="AU38" i="54"/>
  <c r="AI82" i="54"/>
  <c r="AC28" i="54"/>
  <c r="AI81" i="54"/>
  <c r="AC34" i="54"/>
  <c r="AC40" i="54"/>
  <c r="AO38" i="54"/>
  <c r="AO69" i="54"/>
  <c r="AU11" i="54"/>
  <c r="AI80" i="54"/>
  <c r="AI10" i="54"/>
  <c r="AO77" i="54"/>
  <c r="AO73" i="54"/>
  <c r="AI39" i="54"/>
  <c r="AU18" i="54"/>
  <c r="AO14" i="54"/>
  <c r="AI35" i="54"/>
  <c r="AO28" i="54"/>
  <c r="AO67" i="54"/>
  <c r="AO94" i="54"/>
  <c r="AU42" i="54"/>
  <c r="AI37" i="54"/>
  <c r="AO81" i="54"/>
  <c r="AU10" i="54"/>
  <c r="AO37" i="54"/>
  <c r="AO70" i="54"/>
  <c r="AI44" i="54"/>
  <c r="AC10" i="54"/>
  <c r="AC18" i="54"/>
  <c r="AO66" i="54"/>
  <c r="AO22" i="54"/>
  <c r="AI17" i="54"/>
  <c r="AI36" i="54"/>
  <c r="AO80" i="54"/>
  <c r="AO74" i="54"/>
  <c r="AO102" i="54"/>
  <c r="AC20" i="54"/>
  <c r="AU9" i="54"/>
  <c r="AI28" i="54"/>
  <c r="AI86" i="54"/>
  <c r="AU44" i="54"/>
  <c r="AO52" i="54"/>
  <c r="AI47" i="54"/>
  <c r="AI87" i="54"/>
  <c r="AU37" i="54"/>
  <c r="AC37" i="54"/>
  <c r="AC29" i="54"/>
  <c r="AO49" i="54"/>
  <c r="AC39" i="54"/>
  <c r="AO11" i="54"/>
  <c r="AO72" i="54"/>
  <c r="AC14" i="54"/>
  <c r="AO76" i="54"/>
  <c r="AO51" i="54"/>
  <c r="AU41" i="54"/>
  <c r="AI40" i="54"/>
  <c r="AU32" i="54"/>
  <c r="AC25" i="54"/>
  <c r="AO9" i="54"/>
  <c r="AI20" i="54"/>
  <c r="AU15" i="54"/>
  <c r="AU12" i="54"/>
  <c r="AU25" i="54"/>
  <c r="AU14" i="54"/>
  <c r="AU35" i="54"/>
  <c r="AO39" i="54"/>
  <c r="AC15" i="54"/>
  <c r="AI88" i="54"/>
  <c r="AO41" i="54"/>
  <c r="AU39" i="54"/>
  <c r="AO23" i="54"/>
  <c r="AC16" i="54"/>
  <c r="AI29" i="54"/>
  <c r="AI15" i="54"/>
  <c r="AO15" i="54"/>
  <c r="AO36" i="54"/>
  <c r="AO30" i="54"/>
  <c r="AU13" i="54"/>
  <c r="AI34" i="54"/>
  <c r="AU20" i="54"/>
  <c r="AO90" i="54"/>
  <c r="AO29" i="54"/>
  <c r="AI14" i="54"/>
  <c r="AO85" i="54"/>
  <c r="AO56" i="54"/>
  <c r="AU19" i="54"/>
  <c r="AC35" i="54"/>
  <c r="AO84" i="54"/>
  <c r="AO48" i="54"/>
  <c r="AO40" i="54"/>
  <c r="AO64" i="54"/>
  <c r="AO59" i="54"/>
  <c r="AU29" i="54"/>
  <c r="AI19" i="54"/>
  <c r="AO86" i="54"/>
  <c r="AO95" i="54"/>
  <c r="AC36" i="54"/>
  <c r="AO33" i="54"/>
  <c r="AU30" i="54"/>
  <c r="AU40" i="54"/>
  <c r="AU23" i="54"/>
  <c r="AI11" i="54"/>
  <c r="AO91" i="54"/>
  <c r="AC47" i="54"/>
  <c r="AO82" i="54"/>
  <c r="AO60" i="54"/>
  <c r="AC81" i="54"/>
  <c r="AC86" i="54"/>
  <c r="AC80" i="54"/>
  <c r="AC84" i="54"/>
  <c r="AC87" i="54"/>
  <c r="AC82" i="54"/>
  <c r="AC85" i="54"/>
  <c r="AC88" i="54"/>
  <c r="AC83" i="54"/>
  <c r="AC91" i="54"/>
  <c r="AC41" i="54"/>
  <c r="AI68" i="54"/>
  <c r="AC53" i="54"/>
  <c r="AC77" i="54"/>
  <c r="AI62" i="54"/>
  <c r="AI56" i="54"/>
  <c r="AI69" i="54"/>
  <c r="AI59" i="54"/>
  <c r="AC73" i="54"/>
  <c r="AC72" i="54"/>
  <c r="AC61" i="54"/>
  <c r="AI73" i="54"/>
  <c r="AC65" i="54"/>
  <c r="AI78" i="54"/>
  <c r="AC67" i="54"/>
  <c r="AC50" i="54"/>
  <c r="AC58" i="54"/>
  <c r="AC57" i="54"/>
  <c r="AI91" i="54"/>
  <c r="AI70" i="54"/>
  <c r="AC79" i="54"/>
  <c r="AI72" i="54"/>
  <c r="AI74" i="54"/>
  <c r="AI60" i="54"/>
  <c r="AI71" i="54"/>
  <c r="AI41" i="54"/>
  <c r="AC62" i="54"/>
  <c r="AI77" i="54"/>
  <c r="AC12" i="54"/>
  <c r="AC56" i="54"/>
  <c r="AC69" i="54"/>
  <c r="AC63" i="54"/>
  <c r="AI53" i="54"/>
  <c r="AC60" i="54"/>
  <c r="AC71" i="54"/>
  <c r="AI61" i="54"/>
  <c r="AI50" i="54"/>
  <c r="AC66" i="54"/>
  <c r="AC78" i="54"/>
  <c r="AC74" i="54"/>
  <c r="AC55" i="54"/>
  <c r="AC76" i="54"/>
  <c r="AI67" i="54"/>
  <c r="AI57" i="54"/>
  <c r="AC54" i="54"/>
  <c r="AI79" i="54"/>
  <c r="AI75" i="54"/>
  <c r="AI65" i="54"/>
  <c r="AI64" i="54"/>
  <c r="AI76" i="54"/>
  <c r="AC52" i="54"/>
  <c r="AI52" i="54"/>
  <c r="AI12" i="54"/>
  <c r="AI63" i="54"/>
  <c r="AC70" i="54"/>
  <c r="AC64" i="54"/>
  <c r="AI55" i="54"/>
  <c r="AC75" i="54"/>
  <c r="AC59" i="54"/>
  <c r="AC68" i="54"/>
  <c r="AI66" i="54"/>
  <c r="AI58" i="54"/>
  <c r="AI54" i="54"/>
  <c r="AC93" i="54"/>
  <c r="AI46" i="54"/>
  <c r="AC33" i="54"/>
  <c r="AC48" i="54"/>
  <c r="AI33" i="54"/>
  <c r="AI51" i="54"/>
  <c r="AC51" i="54"/>
  <c r="AI93" i="54"/>
  <c r="AI26" i="54"/>
  <c r="AI45" i="54"/>
  <c r="AC94" i="54"/>
  <c r="AI43" i="54"/>
  <c r="AS48" i="55"/>
  <c r="AC92" i="54"/>
  <c r="AT48" i="54"/>
  <c r="AI95" i="54"/>
  <c r="AC90" i="54"/>
  <c r="AI97" i="54"/>
  <c r="AC24" i="54"/>
  <c r="AC96" i="54"/>
  <c r="AS24" i="55"/>
  <c r="R24" i="55" s="1"/>
  <c r="AI49" i="54"/>
  <c r="AC13" i="54"/>
  <c r="AC46" i="54"/>
  <c r="AR102" i="54"/>
  <c r="AI90" i="54"/>
  <c r="AI96" i="54"/>
  <c r="AH104" i="55"/>
  <c r="AC30" i="54"/>
  <c r="AI94" i="54"/>
  <c r="AI24" i="54"/>
  <c r="AI92" i="54"/>
  <c r="AC49" i="54"/>
  <c r="AI9" i="54"/>
  <c r="AT24" i="54"/>
  <c r="AI30" i="54"/>
  <c r="AC32" i="54"/>
  <c r="AI13" i="54"/>
  <c r="N24" i="54" l="1"/>
  <c r="M24" i="54"/>
  <c r="N32" i="54"/>
  <c r="M32" i="54"/>
  <c r="N30" i="54"/>
  <c r="M30" i="54"/>
  <c r="N47" i="54"/>
  <c r="M47" i="54"/>
  <c r="N27" i="54"/>
  <c r="M27" i="54"/>
  <c r="N98" i="55"/>
  <c r="M98" i="55"/>
  <c r="N9" i="54"/>
  <c r="M9" i="54"/>
  <c r="N91" i="54"/>
  <c r="M91" i="54"/>
  <c r="N33" i="54"/>
  <c r="M33" i="54"/>
  <c r="N90" i="54"/>
  <c r="M90" i="54"/>
  <c r="N93" i="54"/>
  <c r="M93" i="54"/>
  <c r="N50" i="54"/>
  <c r="M50" i="54"/>
  <c r="N45" i="54"/>
  <c r="M45" i="54"/>
  <c r="N46" i="54"/>
  <c r="M46" i="54"/>
  <c r="N95" i="54"/>
  <c r="M95" i="54"/>
  <c r="N96" i="54"/>
  <c r="M96" i="54"/>
  <c r="N94" i="54"/>
  <c r="M94" i="54"/>
  <c r="N41" i="54"/>
  <c r="M41" i="54"/>
  <c r="N22" i="54"/>
  <c r="M22" i="54"/>
  <c r="N49" i="54"/>
  <c r="M49" i="54"/>
  <c r="N13" i="54"/>
  <c r="M13" i="54"/>
  <c r="N51" i="54"/>
  <c r="M51" i="54"/>
  <c r="N97" i="54"/>
  <c r="M97" i="54"/>
  <c r="N43" i="54"/>
  <c r="M43" i="54"/>
  <c r="N48" i="54"/>
  <c r="M48" i="54"/>
  <c r="N98" i="54"/>
  <c r="M98" i="54"/>
  <c r="N92" i="54"/>
  <c r="M92" i="54"/>
  <c r="N12" i="54"/>
  <c r="M12" i="54"/>
  <c r="K24" i="55"/>
  <c r="Q24" i="55"/>
  <c r="J24" i="55"/>
  <c r="I24" i="55"/>
  <c r="H24" i="55"/>
  <c r="G24" i="55"/>
  <c r="F24" i="55"/>
  <c r="N26" i="54"/>
  <c r="M26" i="54"/>
  <c r="AS94" i="54"/>
  <c r="AT94" i="54" s="1"/>
  <c r="AU94" i="54" s="1"/>
  <c r="AS50" i="54"/>
  <c r="AT50" i="54" s="1"/>
  <c r="AU50" i="54" s="1"/>
  <c r="AS11" i="54"/>
  <c r="AS28" i="54"/>
  <c r="AS77" i="54"/>
  <c r="AT77" i="54" s="1"/>
  <c r="AU77" i="54" s="1"/>
  <c r="AS71" i="54"/>
  <c r="AT71" i="54" s="1"/>
  <c r="AU71" i="54" s="1"/>
  <c r="AS47" i="54"/>
  <c r="AS16" i="54"/>
  <c r="AS53" i="54"/>
  <c r="AT53" i="54" s="1"/>
  <c r="AU53" i="54" s="1"/>
  <c r="AS14" i="54"/>
  <c r="AS85" i="54"/>
  <c r="AT85" i="54" s="1"/>
  <c r="AU85" i="54" s="1"/>
  <c r="AS74" i="54"/>
  <c r="AT74" i="54" s="1"/>
  <c r="AU74" i="54" s="1"/>
  <c r="AS80" i="54"/>
  <c r="AT80" i="54" s="1"/>
  <c r="AU80" i="54" s="1"/>
  <c r="AS70" i="54"/>
  <c r="AT70" i="54" s="1"/>
  <c r="AU70" i="54" s="1"/>
  <c r="AS57" i="54"/>
  <c r="AT57" i="54" s="1"/>
  <c r="AU57" i="54" s="1"/>
  <c r="AS78" i="54"/>
  <c r="AT78" i="54" s="1"/>
  <c r="AU78" i="54" s="1"/>
  <c r="AS40" i="54"/>
  <c r="AS19" i="54"/>
  <c r="AS83" i="54"/>
  <c r="AT83" i="54" s="1"/>
  <c r="AU83" i="54" s="1"/>
  <c r="AS15" i="54"/>
  <c r="AS58" i="54"/>
  <c r="AT58" i="54" s="1"/>
  <c r="AU58" i="54" s="1"/>
  <c r="AS45" i="54"/>
  <c r="AT45" i="54" s="1"/>
  <c r="AU45" i="54" s="1"/>
  <c r="AS22" i="54"/>
  <c r="AS87" i="54"/>
  <c r="AT87" i="54" s="1"/>
  <c r="AU87" i="54" s="1"/>
  <c r="AS84" i="54"/>
  <c r="AT84" i="54" s="1"/>
  <c r="AU84" i="54" s="1"/>
  <c r="AS102" i="54"/>
  <c r="AS66" i="54"/>
  <c r="AT66" i="54" s="1"/>
  <c r="AU66" i="54" s="1"/>
  <c r="AS64" i="54"/>
  <c r="AT64" i="54" s="1"/>
  <c r="AU64" i="54" s="1"/>
  <c r="AS33" i="54"/>
  <c r="AS9" i="54"/>
  <c r="AS49" i="54"/>
  <c r="AT49" i="54" s="1"/>
  <c r="AU49" i="54" s="1"/>
  <c r="AS59" i="54"/>
  <c r="AT59" i="54" s="1"/>
  <c r="AU59" i="54" s="1"/>
  <c r="AS10" i="54"/>
  <c r="AS55" i="54"/>
  <c r="AT55" i="54" s="1"/>
  <c r="AU55" i="54" s="1"/>
  <c r="AS32" i="54"/>
  <c r="AS68" i="54"/>
  <c r="AT68" i="54" s="1"/>
  <c r="AU68" i="54" s="1"/>
  <c r="AS12" i="54"/>
  <c r="AS34" i="54"/>
  <c r="AS30" i="54"/>
  <c r="AS38" i="54"/>
  <c r="AS31" i="54"/>
  <c r="AS42" i="54"/>
  <c r="AS52" i="54"/>
  <c r="AT52" i="54" s="1"/>
  <c r="AU52" i="54" s="1"/>
  <c r="AS91" i="54"/>
  <c r="AT91" i="54" s="1"/>
  <c r="AU91" i="54" s="1"/>
  <c r="AS18" i="54"/>
  <c r="AS75" i="54"/>
  <c r="AT75" i="54" s="1"/>
  <c r="AU75" i="54" s="1"/>
  <c r="AS79" i="54"/>
  <c r="AT79" i="54" s="1"/>
  <c r="AU79" i="54" s="1"/>
  <c r="AS95" i="54"/>
  <c r="AT95" i="54" s="1"/>
  <c r="AU95" i="54" s="1"/>
  <c r="AS25" i="54"/>
  <c r="AS82" i="54"/>
  <c r="AT82" i="54" s="1"/>
  <c r="AU82" i="54" s="1"/>
  <c r="AS27" i="54"/>
  <c r="AS69" i="54"/>
  <c r="AT69" i="54" s="1"/>
  <c r="AU69" i="54" s="1"/>
  <c r="AS36" i="54"/>
  <c r="AS86" i="54"/>
  <c r="AT86" i="54" s="1"/>
  <c r="AU86" i="54" s="1"/>
  <c r="AS17" i="54"/>
  <c r="AS44" i="54"/>
  <c r="AS88" i="54"/>
  <c r="AT88" i="54" s="1"/>
  <c r="AU88" i="54" s="1"/>
  <c r="AS96" i="54"/>
  <c r="AT96" i="54" s="1"/>
  <c r="AU96" i="54" s="1"/>
  <c r="AS35" i="54"/>
  <c r="AS43" i="54"/>
  <c r="AS76" i="54"/>
  <c r="AT76" i="54" s="1"/>
  <c r="AU76" i="54" s="1"/>
  <c r="AS92" i="54"/>
  <c r="AT92" i="54" s="1"/>
  <c r="AU92" i="54" s="1"/>
  <c r="AS54" i="54"/>
  <c r="AT54" i="54" s="1"/>
  <c r="AU54" i="54" s="1"/>
  <c r="AS65" i="54"/>
  <c r="AT65" i="54" s="1"/>
  <c r="AU65" i="54" s="1"/>
  <c r="AS51" i="54"/>
  <c r="AT51" i="54" s="1"/>
  <c r="AU51" i="54" s="1"/>
  <c r="AS81" i="54"/>
  <c r="AT81" i="54" s="1"/>
  <c r="AU81" i="54" s="1"/>
  <c r="AS26" i="54"/>
  <c r="AS39" i="54"/>
  <c r="AS20" i="54"/>
  <c r="AS23" i="54"/>
  <c r="AS61" i="54"/>
  <c r="AT61" i="54" s="1"/>
  <c r="AU61" i="54" s="1"/>
  <c r="AS41" i="54"/>
  <c r="AS29" i="54"/>
  <c r="AS93" i="54"/>
  <c r="AT93" i="54" s="1"/>
  <c r="AU93" i="54" s="1"/>
  <c r="AS67" i="54"/>
  <c r="AT67" i="54" s="1"/>
  <c r="AU67" i="54" s="1"/>
  <c r="AS63" i="54"/>
  <c r="AT63" i="54" s="1"/>
  <c r="AU63" i="54" s="1"/>
  <c r="AS90" i="54"/>
  <c r="AT90" i="54" s="1"/>
  <c r="AU90" i="54" s="1"/>
  <c r="AS56" i="54"/>
  <c r="AT56" i="54" s="1"/>
  <c r="AU56" i="54" s="1"/>
  <c r="AS37" i="54"/>
  <c r="AS72" i="54"/>
  <c r="AT72" i="54" s="1"/>
  <c r="AU72" i="54" s="1"/>
  <c r="AS21" i="54"/>
  <c r="AS13" i="54"/>
  <c r="AS62" i="54"/>
  <c r="AT62" i="54" s="1"/>
  <c r="AU62" i="54" s="1"/>
  <c r="AS73" i="54"/>
  <c r="AT73" i="54" s="1"/>
  <c r="AU73" i="54" s="1"/>
  <c r="AS97" i="54"/>
  <c r="AT97" i="54" s="1"/>
  <c r="AU97" i="54" s="1"/>
  <c r="AS60" i="54"/>
  <c r="AT60" i="54" s="1"/>
  <c r="AU60" i="54" s="1"/>
  <c r="AS46" i="54"/>
  <c r="AT46" i="54" s="1"/>
  <c r="AU46" i="54" s="1"/>
  <c r="AR98" i="55"/>
  <c r="AR97" i="55"/>
  <c r="AS97" i="55" s="1"/>
  <c r="AR47" i="55"/>
  <c r="AR90" i="55"/>
  <c r="AS90" i="55" s="1"/>
  <c r="AR79" i="55"/>
  <c r="AR50" i="55"/>
  <c r="AS50" i="55" s="1"/>
  <c r="AT50" i="55" s="1"/>
  <c r="AR56" i="55"/>
  <c r="AR14" i="55"/>
  <c r="AR96" i="55"/>
  <c r="AS96" i="55" s="1"/>
  <c r="AR58" i="55"/>
  <c r="AR17" i="55"/>
  <c r="AR83" i="55"/>
  <c r="AR39" i="55"/>
  <c r="AR59" i="55"/>
  <c r="AR46" i="55"/>
  <c r="AS46" i="55" s="1"/>
  <c r="AT46" i="55" s="1"/>
  <c r="AR57" i="55"/>
  <c r="AR21" i="55"/>
  <c r="AR87" i="55"/>
  <c r="AR63" i="55"/>
  <c r="AR13" i="55"/>
  <c r="AR25" i="55"/>
  <c r="AR78" i="55"/>
  <c r="AR15" i="55"/>
  <c r="AR43" i="55"/>
  <c r="AR26" i="55"/>
  <c r="AR74" i="55"/>
  <c r="AR20" i="55"/>
  <c r="AR18" i="55"/>
  <c r="AR29" i="55"/>
  <c r="AR65" i="55"/>
  <c r="AR40" i="55"/>
  <c r="AR55" i="55"/>
  <c r="AR44" i="55"/>
  <c r="AR69" i="55"/>
  <c r="AR37" i="55"/>
  <c r="AR72" i="55"/>
  <c r="AR42" i="55"/>
  <c r="AR23" i="55"/>
  <c r="AR86" i="55"/>
  <c r="AR22" i="55"/>
  <c r="AR93" i="55"/>
  <c r="AS93" i="55" s="1"/>
  <c r="AR84" i="55"/>
  <c r="AR41" i="55"/>
  <c r="AR51" i="55"/>
  <c r="AS51" i="55" s="1"/>
  <c r="AT51" i="55" s="1"/>
  <c r="AR34" i="55"/>
  <c r="AR49" i="55"/>
  <c r="AS49" i="55" s="1"/>
  <c r="AT49" i="55" s="1"/>
  <c r="AR95" i="55"/>
  <c r="AS95" i="55" s="1"/>
  <c r="AR80" i="55"/>
  <c r="AR10" i="55"/>
  <c r="AR62" i="55"/>
  <c r="AR53" i="55"/>
  <c r="AR45" i="55"/>
  <c r="AS45" i="55" s="1"/>
  <c r="AT45" i="55" s="1"/>
  <c r="AR11" i="55"/>
  <c r="AR66" i="55"/>
  <c r="AR27" i="55"/>
  <c r="AR73" i="55"/>
  <c r="AR70" i="55"/>
  <c r="AR67" i="55"/>
  <c r="AR33" i="55"/>
  <c r="AR35" i="55"/>
  <c r="AR36" i="55"/>
  <c r="AR76" i="55"/>
  <c r="AR31" i="55"/>
  <c r="AR82" i="55"/>
  <c r="AR94" i="55"/>
  <c r="AS94" i="55" s="1"/>
  <c r="AR68" i="55"/>
  <c r="AR16" i="55"/>
  <c r="AR85" i="55"/>
  <c r="AR32" i="55"/>
  <c r="AR38" i="55"/>
  <c r="AR12" i="55"/>
  <c r="AR30" i="55"/>
  <c r="AR81" i="55"/>
  <c r="AR60" i="55"/>
  <c r="AR28" i="55"/>
  <c r="AR9" i="55"/>
  <c r="AR52" i="55"/>
  <c r="AR19" i="55"/>
  <c r="AR91" i="55"/>
  <c r="AS91" i="55" s="1"/>
  <c r="AR71" i="55"/>
  <c r="AR64" i="55"/>
  <c r="AR92" i="55"/>
  <c r="AS92" i="55" s="1"/>
  <c r="AR77" i="55"/>
  <c r="AR61" i="55"/>
  <c r="AR75" i="55"/>
  <c r="AR54" i="55"/>
  <c r="AR99" i="55"/>
  <c r="AR88" i="55"/>
  <c r="AJ102" i="54"/>
  <c r="AK98" i="54" s="1"/>
  <c r="X98" i="54" s="1"/>
  <c r="AD102" i="54"/>
  <c r="AE98" i="54" s="1"/>
  <c r="Y98" i="54" s="1"/>
  <c r="AT101" i="54"/>
  <c r="AC96" i="55"/>
  <c r="AN36" i="55"/>
  <c r="AT58" i="55"/>
  <c r="AN11" i="55"/>
  <c r="AN55" i="55"/>
  <c r="AN60" i="55"/>
  <c r="AT86" i="55"/>
  <c r="AC40" i="55"/>
  <c r="AC70" i="55"/>
  <c r="AC38" i="55"/>
  <c r="AN77" i="55"/>
  <c r="AT38" i="55"/>
  <c r="AC83" i="55"/>
  <c r="AC19" i="55"/>
  <c r="AN15" i="55"/>
  <c r="AN18" i="55"/>
  <c r="AN63" i="55"/>
  <c r="AN14" i="55"/>
  <c r="AC86" i="55"/>
  <c r="AN72" i="55"/>
  <c r="AN45" i="55"/>
  <c r="AT60" i="55"/>
  <c r="AN57" i="55"/>
  <c r="AN91" i="55"/>
  <c r="AN75" i="55"/>
  <c r="AN41" i="55"/>
  <c r="AC64" i="55"/>
  <c r="AT71" i="55"/>
  <c r="AN50" i="55"/>
  <c r="AN47" i="55"/>
  <c r="AN40" i="55"/>
  <c r="AT69" i="55"/>
  <c r="AN56" i="55"/>
  <c r="AT52" i="55"/>
  <c r="AT16" i="55"/>
  <c r="AN37" i="55"/>
  <c r="AN96" i="55"/>
  <c r="AC17" i="55"/>
  <c r="AT14" i="55"/>
  <c r="AN42" i="55"/>
  <c r="AT59" i="55"/>
  <c r="AN22" i="55"/>
  <c r="AN12" i="55"/>
  <c r="AT39" i="55"/>
  <c r="AC78" i="55"/>
  <c r="AC68" i="55"/>
  <c r="AN70" i="55"/>
  <c r="AN92" i="55"/>
  <c r="AC60" i="55"/>
  <c r="AN104" i="55"/>
  <c r="AT70" i="55"/>
  <c r="AC79" i="55"/>
  <c r="AN87" i="55"/>
  <c r="AT76" i="55"/>
  <c r="AT80" i="55"/>
  <c r="AT65" i="55"/>
  <c r="AN90" i="55"/>
  <c r="AT82" i="55"/>
  <c r="AC18" i="55"/>
  <c r="AT40" i="55"/>
  <c r="AN30" i="55"/>
  <c r="AT26" i="55"/>
  <c r="AT43" i="55"/>
  <c r="AC67" i="55"/>
  <c r="AC14" i="55"/>
  <c r="AT18" i="55"/>
  <c r="AC55" i="55"/>
  <c r="AN79" i="55"/>
  <c r="AN61" i="55"/>
  <c r="AN51" i="55"/>
  <c r="AN84" i="55"/>
  <c r="AC16" i="55"/>
  <c r="AC23" i="55"/>
  <c r="AC61" i="55"/>
  <c r="AC11" i="55"/>
  <c r="AN23" i="55"/>
  <c r="AN48" i="55"/>
  <c r="AN17" i="55"/>
  <c r="AN34" i="55"/>
  <c r="AN19" i="55"/>
  <c r="AC29" i="55"/>
  <c r="AT11" i="55"/>
  <c r="AT64" i="55"/>
  <c r="AN76" i="55"/>
  <c r="AT21" i="55"/>
  <c r="AC37" i="55"/>
  <c r="AN21" i="55"/>
  <c r="AN9" i="55"/>
  <c r="AN29" i="55"/>
  <c r="AC54" i="55"/>
  <c r="AN64" i="55"/>
  <c r="AT85" i="55"/>
  <c r="AT28" i="55"/>
  <c r="AN59" i="55"/>
  <c r="AC42" i="55"/>
  <c r="AC10" i="55"/>
  <c r="AN71" i="55"/>
  <c r="AT10" i="55"/>
  <c r="AT53" i="55"/>
  <c r="AT66" i="55"/>
  <c r="AT41" i="55"/>
  <c r="AT57" i="55"/>
  <c r="AC39" i="55"/>
  <c r="AN28" i="55"/>
  <c r="AN98" i="55"/>
  <c r="AC36" i="55"/>
  <c r="AN78" i="55"/>
  <c r="AT19" i="55"/>
  <c r="AN58" i="55"/>
  <c r="AC85" i="55"/>
  <c r="AC56" i="55"/>
  <c r="AN10" i="55"/>
  <c r="AC88" i="55"/>
  <c r="AN44" i="55"/>
  <c r="AC81" i="55"/>
  <c r="AN54" i="55"/>
  <c r="AT62" i="55"/>
  <c r="AN27" i="55"/>
  <c r="AT83" i="55"/>
  <c r="AT13" i="55"/>
  <c r="AT73" i="55"/>
  <c r="AT35" i="55"/>
  <c r="AT79" i="55"/>
  <c r="AN85" i="55"/>
  <c r="AN26" i="55"/>
  <c r="AC77" i="55"/>
  <c r="AN46" i="55"/>
  <c r="AC73" i="55"/>
  <c r="AN69" i="55"/>
  <c r="AT37" i="55"/>
  <c r="AN68" i="55"/>
  <c r="AC52" i="55"/>
  <c r="AN39" i="55"/>
  <c r="AC57" i="55"/>
  <c r="AC69" i="55"/>
  <c r="AN65" i="55"/>
  <c r="AT42" i="55"/>
  <c r="AN95" i="55"/>
  <c r="AT17" i="55"/>
  <c r="AT87" i="55"/>
  <c r="AT15" i="55"/>
  <c r="AN81" i="55"/>
  <c r="AN66" i="55"/>
  <c r="AC21" i="55"/>
  <c r="AN32" i="55"/>
  <c r="AT78" i="55"/>
  <c r="AT75" i="55"/>
  <c r="AT36" i="55"/>
  <c r="AN93" i="55"/>
  <c r="AN82" i="55"/>
  <c r="AN80" i="55"/>
  <c r="AN62" i="55"/>
  <c r="AN73" i="55"/>
  <c r="AC72" i="55"/>
  <c r="AN24" i="55"/>
  <c r="AC34" i="55"/>
  <c r="AN52" i="55"/>
  <c r="AT63" i="55"/>
  <c r="AT55" i="55"/>
  <c r="AC63" i="55"/>
  <c r="AT81" i="55"/>
  <c r="AN74" i="55"/>
  <c r="AT72" i="55"/>
  <c r="AC80" i="55"/>
  <c r="AN49" i="55"/>
  <c r="AT30" i="55"/>
  <c r="AC58" i="55"/>
  <c r="AC47" i="55"/>
  <c r="AN88" i="55"/>
  <c r="AT20" i="55"/>
  <c r="AN20" i="55"/>
  <c r="AN16" i="55"/>
  <c r="AN38" i="55"/>
  <c r="AC44" i="55"/>
  <c r="AN83" i="55"/>
  <c r="AN33" i="55"/>
  <c r="AC35" i="55"/>
  <c r="AC104" i="55"/>
  <c r="AC53" i="55"/>
  <c r="AT29" i="55"/>
  <c r="AN67" i="55"/>
  <c r="AT68" i="55"/>
  <c r="AT32" i="55"/>
  <c r="AT84" i="55"/>
  <c r="AC62" i="55"/>
  <c r="AN35" i="55"/>
  <c r="AT33" i="55"/>
  <c r="AC82" i="55"/>
  <c r="AC20" i="55"/>
  <c r="AC84" i="55"/>
  <c r="AN94" i="55"/>
  <c r="AN25" i="55"/>
  <c r="AT67" i="55"/>
  <c r="AC15" i="55"/>
  <c r="AT12" i="55"/>
  <c r="AC75" i="55"/>
  <c r="AC71" i="55"/>
  <c r="AC66" i="55"/>
  <c r="AN13" i="55"/>
  <c r="AC87" i="55"/>
  <c r="AT31" i="55"/>
  <c r="AC76" i="55"/>
  <c r="AT54" i="55"/>
  <c r="AT88" i="55"/>
  <c r="AT23" i="55"/>
  <c r="AT34" i="55"/>
  <c r="AT77" i="55"/>
  <c r="AT25" i="55"/>
  <c r="AT27" i="55"/>
  <c r="AN43" i="55"/>
  <c r="AC59" i="55"/>
  <c r="AT9" i="55"/>
  <c r="AT44" i="55"/>
  <c r="AC28" i="55"/>
  <c r="AC74" i="55"/>
  <c r="AN86" i="55"/>
  <c r="AC25" i="55"/>
  <c r="AN97" i="55"/>
  <c r="AT61" i="55"/>
  <c r="AT74" i="55"/>
  <c r="AT56" i="55"/>
  <c r="AC65" i="55"/>
  <c r="AN53" i="55"/>
  <c r="AC91" i="55"/>
  <c r="AC50" i="55"/>
  <c r="AC12" i="55"/>
  <c r="AC41" i="55"/>
  <c r="AC93" i="55"/>
  <c r="AC92" i="55"/>
  <c r="AC26" i="55"/>
  <c r="AC45" i="55"/>
  <c r="AC33" i="55"/>
  <c r="AC9" i="55"/>
  <c r="AC24" i="55"/>
  <c r="N24" i="55" s="1"/>
  <c r="AC95" i="55"/>
  <c r="AC97" i="55"/>
  <c r="AC43" i="55"/>
  <c r="AC48" i="55"/>
  <c r="AC49" i="55"/>
  <c r="AC22" i="55"/>
  <c r="N22" i="55" s="1"/>
  <c r="AC51" i="55"/>
  <c r="AC90" i="55"/>
  <c r="AC32" i="55"/>
  <c r="AC27" i="55"/>
  <c r="AC46" i="55"/>
  <c r="AC13" i="55"/>
  <c r="AC94" i="55"/>
  <c r="AC30" i="55"/>
  <c r="R8" i="55"/>
  <c r="AS101" i="54"/>
  <c r="AR48" i="55"/>
  <c r="AS48" i="54"/>
  <c r="AS24" i="54"/>
  <c r="AJ92" i="55"/>
  <c r="X92" i="55" s="1"/>
  <c r="AJ71" i="55"/>
  <c r="X71" i="55" s="1"/>
  <c r="AJ73" i="55"/>
  <c r="X73" i="55" s="1"/>
  <c r="AJ59" i="55"/>
  <c r="X59" i="55" s="1"/>
  <c r="AJ81" i="55"/>
  <c r="X81" i="55" s="1"/>
  <c r="AJ65" i="55"/>
  <c r="X65" i="55" s="1"/>
  <c r="AJ25" i="55"/>
  <c r="AJ49" i="55"/>
  <c r="AJ17" i="55"/>
  <c r="AJ20" i="55"/>
  <c r="AJ39" i="55"/>
  <c r="AJ13" i="55"/>
  <c r="AJ45" i="55"/>
  <c r="AJ66" i="55"/>
  <c r="AJ54" i="55"/>
  <c r="X54" i="55" s="1"/>
  <c r="AJ69" i="55"/>
  <c r="X69" i="55" s="1"/>
  <c r="AJ60" i="55"/>
  <c r="X60" i="55" s="1"/>
  <c r="AJ67" i="55"/>
  <c r="X67" i="55" s="1"/>
  <c r="AJ58" i="55"/>
  <c r="X58" i="55" s="1"/>
  <c r="AJ101" i="55"/>
  <c r="AJ19" i="55"/>
  <c r="AJ61" i="55"/>
  <c r="X61" i="55" s="1"/>
  <c r="AJ62" i="55"/>
  <c r="X62" i="55" s="1"/>
  <c r="AJ78" i="55"/>
  <c r="X78" i="55" s="1"/>
  <c r="AJ56" i="55"/>
  <c r="X56" i="55" s="1"/>
  <c r="AJ24" i="55"/>
  <c r="AJ33" i="55"/>
  <c r="AJ46" i="55"/>
  <c r="AJ35" i="55"/>
  <c r="AJ16" i="55"/>
  <c r="AJ12" i="55"/>
  <c r="AJ57" i="55"/>
  <c r="X57" i="55" s="1"/>
  <c r="AJ55" i="55"/>
  <c r="X55" i="55" s="1"/>
  <c r="AJ94" i="55"/>
  <c r="X94" i="55" s="1"/>
  <c r="AJ10" i="55"/>
  <c r="AJ38" i="55"/>
  <c r="AJ80" i="55"/>
  <c r="X80" i="55" s="1"/>
  <c r="AJ37" i="55"/>
  <c r="AJ23" i="55"/>
  <c r="AJ11" i="55"/>
  <c r="AJ21" i="55"/>
  <c r="AJ74" i="55"/>
  <c r="X74" i="55" s="1"/>
  <c r="AJ88" i="55"/>
  <c r="X88" i="55" s="1"/>
  <c r="AJ40" i="55"/>
  <c r="X40" i="55" s="1"/>
  <c r="AJ70" i="55"/>
  <c r="X70" i="55" s="1"/>
  <c r="AJ41" i="55"/>
  <c r="AJ75" i="55"/>
  <c r="X75" i="55" s="1"/>
  <c r="AJ32" i="55"/>
  <c r="AJ82" i="55"/>
  <c r="AJ36" i="55"/>
  <c r="AJ14" i="55"/>
  <c r="AJ52" i="55"/>
  <c r="X52" i="55" s="1"/>
  <c r="AJ84" i="55"/>
  <c r="X84" i="55" s="1"/>
  <c r="AJ79" i="55"/>
  <c r="X79" i="55" s="1"/>
  <c r="AJ87" i="55"/>
  <c r="X87" i="55" s="1"/>
  <c r="AJ76" i="55"/>
  <c r="AJ77" i="55"/>
  <c r="X77" i="55" s="1"/>
  <c r="AJ42" i="55"/>
  <c r="AJ43" i="55"/>
  <c r="AJ18" i="55"/>
  <c r="AJ85" i="55"/>
  <c r="X85" i="55" s="1"/>
  <c r="AJ64" i="55"/>
  <c r="X64" i="55" s="1"/>
  <c r="AJ72" i="55"/>
  <c r="X72" i="55" s="1"/>
  <c r="AJ53" i="55"/>
  <c r="X53" i="55" s="1"/>
  <c r="AJ47" i="55"/>
  <c r="X47" i="55" s="1"/>
  <c r="AJ15" i="55"/>
  <c r="AJ29" i="55"/>
  <c r="AJ44" i="55"/>
  <c r="AJ30" i="55"/>
  <c r="AJ31" i="55"/>
  <c r="AJ63" i="55"/>
  <c r="X63" i="55" s="1"/>
  <c r="AJ83" i="55"/>
  <c r="X83" i="55" s="1"/>
  <c r="AJ28" i="55"/>
  <c r="AJ68" i="55"/>
  <c r="X68" i="55" s="1"/>
  <c r="AJ26" i="55"/>
  <c r="AJ50" i="55"/>
  <c r="AJ86" i="55"/>
  <c r="X86" i="55" s="1"/>
  <c r="AJ34" i="55"/>
  <c r="AJ91" i="55"/>
  <c r="X91" i="55" s="1"/>
  <c r="AJ27" i="55"/>
  <c r="X27" i="55" s="1"/>
  <c r="AJ96" i="55"/>
  <c r="X96" i="55" s="1"/>
  <c r="AJ90" i="55"/>
  <c r="X90" i="55" s="1"/>
  <c r="AJ48" i="55"/>
  <c r="X48" i="55" s="1"/>
  <c r="AJ22" i="55"/>
  <c r="X22" i="55" s="1"/>
  <c r="AJ93" i="55"/>
  <c r="AJ95" i="55"/>
  <c r="X95" i="55" s="1"/>
  <c r="AJ97" i="55"/>
  <c r="X97" i="55" s="1"/>
  <c r="AJ51" i="55"/>
  <c r="X51" i="55" s="1"/>
  <c r="AD104" i="55"/>
  <c r="AE98" i="55" s="1"/>
  <c r="Y98" i="55" s="1"/>
  <c r="AS98" i="55"/>
  <c r="K24" i="54" l="1"/>
  <c r="J24" i="54"/>
  <c r="I24" i="54"/>
  <c r="H24" i="54"/>
  <c r="G24" i="54"/>
  <c r="F24" i="54"/>
  <c r="N46" i="55"/>
  <c r="M46" i="55"/>
  <c r="N43" i="55"/>
  <c r="M43" i="55"/>
  <c r="N92" i="55"/>
  <c r="M92" i="55"/>
  <c r="I47" i="54"/>
  <c r="H47" i="54"/>
  <c r="G47" i="54"/>
  <c r="F47" i="54"/>
  <c r="K47" i="54"/>
  <c r="J47" i="54"/>
  <c r="K48" i="54"/>
  <c r="J48" i="54"/>
  <c r="I48" i="54"/>
  <c r="H48" i="54"/>
  <c r="G48" i="54"/>
  <c r="F48" i="54"/>
  <c r="N27" i="55"/>
  <c r="M27" i="55"/>
  <c r="N97" i="55"/>
  <c r="M97" i="55"/>
  <c r="N93" i="55"/>
  <c r="M93" i="55"/>
  <c r="N95" i="55"/>
  <c r="M95" i="55"/>
  <c r="K98" i="54"/>
  <c r="J98" i="54"/>
  <c r="I98" i="54"/>
  <c r="H98" i="54"/>
  <c r="G98" i="54"/>
  <c r="F98" i="54"/>
  <c r="N90" i="55"/>
  <c r="M90" i="55"/>
  <c r="N12" i="55"/>
  <c r="M12" i="55"/>
  <c r="T48" i="55"/>
  <c r="S48" i="55"/>
  <c r="R48" i="55"/>
  <c r="K48" i="55"/>
  <c r="Q48" i="55"/>
  <c r="J48" i="55"/>
  <c r="I48" i="55"/>
  <c r="H48" i="55"/>
  <c r="V48" i="55"/>
  <c r="G48" i="55"/>
  <c r="U48" i="55"/>
  <c r="F48" i="55"/>
  <c r="N41" i="55"/>
  <c r="M41" i="55"/>
  <c r="N51" i="55"/>
  <c r="M51" i="55"/>
  <c r="N9" i="55"/>
  <c r="M9" i="55"/>
  <c r="N50" i="55"/>
  <c r="M50" i="55"/>
  <c r="N96" i="55"/>
  <c r="M96" i="55"/>
  <c r="N30" i="55"/>
  <c r="M30" i="55"/>
  <c r="N33" i="55"/>
  <c r="M33" i="55"/>
  <c r="N91" i="55"/>
  <c r="M91" i="55"/>
  <c r="N47" i="55"/>
  <c r="M47" i="55"/>
  <c r="R47" i="55"/>
  <c r="K47" i="55"/>
  <c r="Q47" i="55"/>
  <c r="J47" i="55"/>
  <c r="I47" i="55"/>
  <c r="H47" i="55"/>
  <c r="V47" i="55"/>
  <c r="G47" i="55"/>
  <c r="U47" i="55"/>
  <c r="F47" i="55"/>
  <c r="T47" i="55"/>
  <c r="S47" i="55"/>
  <c r="N32" i="55"/>
  <c r="M32" i="55"/>
  <c r="N94" i="55"/>
  <c r="M94" i="55"/>
  <c r="N49" i="55"/>
  <c r="M49" i="55"/>
  <c r="N45" i="55"/>
  <c r="M45" i="55"/>
  <c r="N13" i="55"/>
  <c r="M13" i="55"/>
  <c r="N48" i="55"/>
  <c r="M48" i="55"/>
  <c r="N26" i="55"/>
  <c r="M26" i="55"/>
  <c r="T98" i="55"/>
  <c r="S98" i="55"/>
  <c r="R98" i="55"/>
  <c r="K98" i="55"/>
  <c r="Q98" i="55"/>
  <c r="J98" i="55"/>
  <c r="I98" i="55"/>
  <c r="H98" i="55"/>
  <c r="V98" i="55"/>
  <c r="G98" i="55"/>
  <c r="U98" i="55"/>
  <c r="F98" i="55"/>
  <c r="I8" i="54"/>
  <c r="G8" i="54"/>
  <c r="AT102" i="54"/>
  <c r="AU48" i="54" s="1"/>
  <c r="AJ104" i="55"/>
  <c r="J8" i="55"/>
  <c r="X89" i="55"/>
  <c r="Q8" i="55"/>
  <c r="AS99" i="55"/>
  <c r="AT98" i="55" s="1"/>
  <c r="AE29" i="55"/>
  <c r="AP83" i="55"/>
  <c r="AP72" i="55"/>
  <c r="AE81" i="55"/>
  <c r="AP13" i="55"/>
  <c r="AP52" i="55"/>
  <c r="AE59" i="55"/>
  <c r="AE80" i="55"/>
  <c r="AE88" i="55"/>
  <c r="AP61" i="55"/>
  <c r="AP64" i="55"/>
  <c r="AE71" i="55"/>
  <c r="AE55" i="55"/>
  <c r="AP33" i="55"/>
  <c r="AP27" i="55"/>
  <c r="AP77" i="55"/>
  <c r="AE11" i="55"/>
  <c r="AP57" i="55"/>
  <c r="AP56" i="55"/>
  <c r="AP34" i="55"/>
  <c r="AP48" i="55"/>
  <c r="AE47" i="55"/>
  <c r="Y47" i="55" s="1"/>
  <c r="AP53" i="55"/>
  <c r="AP62" i="55"/>
  <c r="AE39" i="55"/>
  <c r="AP44" i="55"/>
  <c r="AP55" i="55"/>
  <c r="AP30" i="55"/>
  <c r="AE53" i="55"/>
  <c r="AP43" i="55"/>
  <c r="AP26" i="55"/>
  <c r="AE28" i="55"/>
  <c r="AE36" i="55"/>
  <c r="AP95" i="55"/>
  <c r="AP94" i="55"/>
  <c r="AP60" i="55"/>
  <c r="AP35" i="55"/>
  <c r="AE82" i="55"/>
  <c r="AE83" i="55"/>
  <c r="AP51" i="55"/>
  <c r="AP69" i="55"/>
  <c r="AP47" i="55"/>
  <c r="AP45" i="55"/>
  <c r="AE17" i="55"/>
  <c r="AP71" i="55"/>
  <c r="AE76" i="55"/>
  <c r="AP58" i="55"/>
  <c r="AP19" i="55"/>
  <c r="AP9" i="55"/>
  <c r="AP25" i="55"/>
  <c r="AP32" i="55"/>
  <c r="AP42" i="55"/>
  <c r="AP36" i="55"/>
  <c r="AE75" i="55"/>
  <c r="AP82" i="55"/>
  <c r="AE72" i="55"/>
  <c r="AE40" i="55"/>
  <c r="AE25" i="55"/>
  <c r="AP88" i="55"/>
  <c r="AE14" i="55"/>
  <c r="AE65" i="55"/>
  <c r="AP14" i="55"/>
  <c r="AE73" i="55"/>
  <c r="AE16" i="55"/>
  <c r="AP63" i="55"/>
  <c r="AP66" i="55"/>
  <c r="AP84" i="55"/>
  <c r="AE70" i="55"/>
  <c r="AP17" i="55"/>
  <c r="AE10" i="55"/>
  <c r="AP78" i="55"/>
  <c r="AP81" i="55"/>
  <c r="AE63" i="55"/>
  <c r="AP65" i="55"/>
  <c r="AP93" i="55"/>
  <c r="AE77" i="55"/>
  <c r="AP39" i="55"/>
  <c r="AE79" i="55"/>
  <c r="AE42" i="55"/>
  <c r="AE21" i="55"/>
  <c r="AE74" i="55"/>
  <c r="AE19" i="55"/>
  <c r="AE20" i="55"/>
  <c r="AE69" i="55"/>
  <c r="AP22" i="55"/>
  <c r="AE68" i="55"/>
  <c r="AP54" i="55"/>
  <c r="AP29" i="55"/>
  <c r="AP37" i="55"/>
  <c r="AP96" i="55"/>
  <c r="AE61" i="55"/>
  <c r="AP79" i="55"/>
  <c r="AE62" i="55"/>
  <c r="AE86" i="55"/>
  <c r="AP80" i="55"/>
  <c r="AP28" i="55"/>
  <c r="AE37" i="55"/>
  <c r="AE58" i="55"/>
  <c r="AP46" i="55"/>
  <c r="AP74" i="55"/>
  <c r="AP67" i="55"/>
  <c r="AP97" i="55"/>
  <c r="AP98" i="55"/>
  <c r="AP20" i="55"/>
  <c r="AP75" i="55"/>
  <c r="AP41" i="55"/>
  <c r="AE60" i="55"/>
  <c r="AP85" i="55"/>
  <c r="AP91" i="55"/>
  <c r="AE38" i="55"/>
  <c r="AP50" i="55"/>
  <c r="AP68" i="55"/>
  <c r="AP24" i="55"/>
  <c r="AP21" i="55"/>
  <c r="AP90" i="55"/>
  <c r="AP86" i="55"/>
  <c r="AE57" i="55"/>
  <c r="AP59" i="55"/>
  <c r="AE52" i="55"/>
  <c r="AE56" i="55"/>
  <c r="AE66" i="55"/>
  <c r="AP23" i="55"/>
  <c r="AE85" i="55"/>
  <c r="AP92" i="55"/>
  <c r="AE84" i="55"/>
  <c r="AE43" i="55"/>
  <c r="AE64" i="55"/>
  <c r="AP12" i="55"/>
  <c r="AE23" i="55"/>
  <c r="AE35" i="55"/>
  <c r="AE18" i="55"/>
  <c r="AP70" i="55"/>
  <c r="AE44" i="55"/>
  <c r="AE34" i="55"/>
  <c r="AP73" i="55"/>
  <c r="AE15" i="55"/>
  <c r="AP76" i="55"/>
  <c r="AP15" i="55"/>
  <c r="AP87" i="55"/>
  <c r="AE54" i="55"/>
  <c r="AP38" i="55"/>
  <c r="AP11" i="55"/>
  <c r="AP16" i="55"/>
  <c r="AP18" i="55"/>
  <c r="AE87" i="55"/>
  <c r="AE78" i="55"/>
  <c r="AP10" i="55"/>
  <c r="AP49" i="55"/>
  <c r="AE67" i="55"/>
  <c r="AP40" i="55"/>
  <c r="AE91" i="55"/>
  <c r="Y91" i="55" s="1"/>
  <c r="AE96" i="55"/>
  <c r="Y96" i="55" s="1"/>
  <c r="AE12" i="55"/>
  <c r="Y12" i="55" s="1"/>
  <c r="AE50" i="55"/>
  <c r="Y50" i="55" s="1"/>
  <c r="AE41" i="55"/>
  <c r="Y41" i="55" s="1"/>
  <c r="AE30" i="55"/>
  <c r="Y30" i="55" s="1"/>
  <c r="AE27" i="55"/>
  <c r="Y27" i="55" s="1"/>
  <c r="AE26" i="55"/>
  <c r="Y26" i="55" s="1"/>
  <c r="AE94" i="55"/>
  <c r="Y94" i="55" s="1"/>
  <c r="AE32" i="55"/>
  <c r="Y32" i="55" s="1"/>
  <c r="AE45" i="55"/>
  <c r="Y45" i="55" s="1"/>
  <c r="AE22" i="55"/>
  <c r="Y22" i="55" s="1"/>
  <c r="AE49" i="55"/>
  <c r="Y49" i="55" s="1"/>
  <c r="AE92" i="55"/>
  <c r="Y92" i="55" s="1"/>
  <c r="AE13" i="55"/>
  <c r="Y13" i="55" s="1"/>
  <c r="AE90" i="55"/>
  <c r="Y90" i="55" s="1"/>
  <c r="AE48" i="55"/>
  <c r="Y48" i="55" s="1"/>
  <c r="AE9" i="55"/>
  <c r="Y9" i="55" s="1"/>
  <c r="AE97" i="55"/>
  <c r="Y97" i="55" s="1"/>
  <c r="AE46" i="55"/>
  <c r="Y46" i="55" s="1"/>
  <c r="AE51" i="55"/>
  <c r="Y51" i="55" s="1"/>
  <c r="AE95" i="55"/>
  <c r="Y95" i="55" s="1"/>
  <c r="AE24" i="55"/>
  <c r="Y24" i="55" s="1"/>
  <c r="AE93" i="55"/>
  <c r="Y93" i="55" s="1"/>
  <c r="AE33" i="55"/>
  <c r="Y33" i="55" s="1"/>
  <c r="X44" i="55"/>
  <c r="G8" i="55"/>
  <c r="E24" i="55"/>
  <c r="F8" i="55"/>
  <c r="I8" i="55"/>
  <c r="K8" i="55"/>
  <c r="AQ92" i="54"/>
  <c r="AQ73" i="54"/>
  <c r="AQ45" i="54"/>
  <c r="AE16" i="54"/>
  <c r="AQ35" i="54"/>
  <c r="AE11" i="54"/>
  <c r="AQ54" i="54"/>
  <c r="AE38" i="54"/>
  <c r="AQ20" i="54"/>
  <c r="AQ30" i="54"/>
  <c r="AE10" i="54"/>
  <c r="AQ95" i="54"/>
  <c r="AQ74" i="54"/>
  <c r="AE34" i="54"/>
  <c r="AQ68" i="54"/>
  <c r="AE23" i="54"/>
  <c r="AQ67" i="54"/>
  <c r="AQ21" i="54"/>
  <c r="AQ26" i="54"/>
  <c r="AQ65" i="54"/>
  <c r="AQ57" i="54"/>
  <c r="AE43" i="54"/>
  <c r="AQ84" i="54"/>
  <c r="AQ18" i="54"/>
  <c r="AQ94" i="54"/>
  <c r="AQ101" i="54"/>
  <c r="AQ16" i="54"/>
  <c r="AQ51" i="54"/>
  <c r="AQ80" i="54"/>
  <c r="AQ44" i="54"/>
  <c r="AQ40" i="54"/>
  <c r="AE40" i="54"/>
  <c r="AQ53" i="54"/>
  <c r="AQ13" i="54"/>
  <c r="AQ71" i="54"/>
  <c r="AQ15" i="54"/>
  <c r="AQ90" i="54"/>
  <c r="AQ55" i="54"/>
  <c r="AE36" i="54"/>
  <c r="AQ29" i="54"/>
  <c r="AQ59" i="54"/>
  <c r="AQ77" i="54"/>
  <c r="AQ81" i="54"/>
  <c r="AQ70" i="54"/>
  <c r="AQ23" i="54"/>
  <c r="AE47" i="54"/>
  <c r="Y47" i="54" s="1"/>
  <c r="AQ83" i="54"/>
  <c r="AE42" i="54"/>
  <c r="AE19" i="54"/>
  <c r="AE37" i="54"/>
  <c r="AQ38" i="54"/>
  <c r="AE39" i="54"/>
  <c r="AQ36" i="54"/>
  <c r="AQ69" i="54"/>
  <c r="AQ24" i="54"/>
  <c r="AQ12" i="54"/>
  <c r="AQ46" i="54"/>
  <c r="AQ19" i="54"/>
  <c r="AQ79" i="54"/>
  <c r="AE18" i="54"/>
  <c r="AQ85" i="54"/>
  <c r="AQ50" i="54"/>
  <c r="AQ47" i="54"/>
  <c r="AQ86" i="54"/>
  <c r="AQ9" i="54"/>
  <c r="AE17" i="54"/>
  <c r="AQ96" i="54"/>
  <c r="AE15" i="54"/>
  <c r="AQ62" i="54"/>
  <c r="AQ34" i="54"/>
  <c r="AQ58" i="54"/>
  <c r="AQ28" i="54"/>
  <c r="AE25" i="54"/>
  <c r="AQ27" i="54"/>
  <c r="AQ33" i="54"/>
  <c r="AQ60" i="54"/>
  <c r="AE14" i="54"/>
  <c r="AQ22" i="54"/>
  <c r="AQ66" i="54"/>
  <c r="AQ78" i="54"/>
  <c r="AQ76" i="54"/>
  <c r="AQ93" i="54"/>
  <c r="AQ64" i="54"/>
  <c r="AQ41" i="54"/>
  <c r="AE28" i="54"/>
  <c r="AQ82" i="54"/>
  <c r="AQ37" i="54"/>
  <c r="AQ91" i="54"/>
  <c r="AQ72" i="54"/>
  <c r="AQ49" i="54"/>
  <c r="AQ97" i="54"/>
  <c r="AQ25" i="54"/>
  <c r="AQ61" i="54"/>
  <c r="AQ32" i="54"/>
  <c r="AQ87" i="54"/>
  <c r="AQ88" i="54"/>
  <c r="AE20" i="54"/>
  <c r="AE35" i="54"/>
  <c r="AQ63" i="54"/>
  <c r="AQ42" i="54"/>
  <c r="AQ14" i="54"/>
  <c r="AQ56" i="54"/>
  <c r="AQ48" i="54"/>
  <c r="AE44" i="54"/>
  <c r="AQ10" i="54"/>
  <c r="AE29" i="54"/>
  <c r="AQ11" i="54"/>
  <c r="AQ52" i="54"/>
  <c r="AQ17" i="54"/>
  <c r="AQ75" i="54"/>
  <c r="AQ43" i="54"/>
  <c r="AQ39" i="54"/>
  <c r="AE21" i="54"/>
  <c r="AE86" i="54"/>
  <c r="AE88" i="54"/>
  <c r="AE87" i="54"/>
  <c r="AE83" i="54"/>
  <c r="AE84" i="54"/>
  <c r="AE85" i="54"/>
  <c r="AE81" i="54"/>
  <c r="AE82" i="54"/>
  <c r="AE80" i="54"/>
  <c r="AE57" i="54"/>
  <c r="AE58" i="54"/>
  <c r="AE66" i="54"/>
  <c r="AE65" i="54"/>
  <c r="AE67" i="54"/>
  <c r="AE77" i="54"/>
  <c r="AE91" i="54"/>
  <c r="Y91" i="54" s="1"/>
  <c r="AE50" i="54"/>
  <c r="Y50" i="54" s="1"/>
  <c r="AE59" i="54"/>
  <c r="AE62" i="54"/>
  <c r="AE79" i="54"/>
  <c r="AE64" i="54"/>
  <c r="AE61" i="54"/>
  <c r="AE75" i="54"/>
  <c r="AE22" i="54"/>
  <c r="Y22" i="54" s="1"/>
  <c r="AE55" i="54"/>
  <c r="AE41" i="54"/>
  <c r="Y41" i="54" s="1"/>
  <c r="AE69" i="54"/>
  <c r="AE71" i="54"/>
  <c r="AE56" i="54"/>
  <c r="AE63" i="54"/>
  <c r="AE72" i="54"/>
  <c r="AE52" i="54"/>
  <c r="AE76" i="54"/>
  <c r="AE60" i="54"/>
  <c r="AE12" i="54"/>
  <c r="Y12" i="54" s="1"/>
  <c r="AE73" i="54"/>
  <c r="AE74" i="54"/>
  <c r="AE53" i="54"/>
  <c r="AE68" i="54"/>
  <c r="AE70" i="54"/>
  <c r="AE54" i="54"/>
  <c r="AE78" i="54"/>
  <c r="AE32" i="54"/>
  <c r="AE51" i="54"/>
  <c r="Y51" i="54" s="1"/>
  <c r="AE13" i="54"/>
  <c r="Y13" i="54" s="1"/>
  <c r="AE33" i="54"/>
  <c r="Y33" i="54" s="1"/>
  <c r="AE30" i="54"/>
  <c r="Y30" i="54" s="1"/>
  <c r="AE49" i="54"/>
  <c r="Y49" i="54" s="1"/>
  <c r="AE45" i="54"/>
  <c r="Y45" i="54" s="1"/>
  <c r="AE97" i="54"/>
  <c r="Y97" i="54" s="1"/>
  <c r="AE26" i="54"/>
  <c r="Y26" i="54" s="1"/>
  <c r="AE95" i="54"/>
  <c r="Y95" i="54" s="1"/>
  <c r="AE27" i="54"/>
  <c r="Y27" i="54" s="1"/>
  <c r="AE48" i="54"/>
  <c r="Y48" i="54" s="1"/>
  <c r="AE46" i="54"/>
  <c r="Y46" i="54" s="1"/>
  <c r="AE9" i="54"/>
  <c r="Y9" i="54" s="1"/>
  <c r="AE94" i="54"/>
  <c r="Y94" i="54" s="1"/>
  <c r="AE90" i="54"/>
  <c r="Y90" i="54" s="1"/>
  <c r="AE96" i="54"/>
  <c r="Y96" i="54" s="1"/>
  <c r="AE24" i="54"/>
  <c r="Y24" i="54" s="1"/>
  <c r="AE93" i="54"/>
  <c r="Y93" i="54" s="1"/>
  <c r="AE92" i="54"/>
  <c r="Y92" i="54" s="1"/>
  <c r="M44" i="54"/>
  <c r="M111" i="54" s="1"/>
  <c r="X8" i="55"/>
  <c r="H8" i="55"/>
  <c r="M89" i="54"/>
  <c r="M8" i="54"/>
  <c r="AK96" i="54"/>
  <c r="X96" i="54" s="1"/>
  <c r="AK40" i="54"/>
  <c r="X40" i="54" s="1"/>
  <c r="AK44" i="54"/>
  <c r="AK85" i="54"/>
  <c r="AK83" i="54"/>
  <c r="AK36" i="54"/>
  <c r="AK47" i="54"/>
  <c r="X47" i="54" s="1"/>
  <c r="AK37" i="54"/>
  <c r="AK50" i="54"/>
  <c r="AK9" i="54"/>
  <c r="AK31" i="54"/>
  <c r="AK12" i="54"/>
  <c r="AK39" i="54"/>
  <c r="AK33" i="54"/>
  <c r="AK82" i="54"/>
  <c r="AK45" i="54"/>
  <c r="AK94" i="54"/>
  <c r="X94" i="54" s="1"/>
  <c r="AK88" i="54"/>
  <c r="AK35" i="54"/>
  <c r="AK13" i="54"/>
  <c r="AK26" i="54"/>
  <c r="AK86" i="54"/>
  <c r="AK11" i="54"/>
  <c r="AK23" i="54"/>
  <c r="AK19" i="54"/>
  <c r="AK21" i="54"/>
  <c r="AK30" i="54"/>
  <c r="AK28" i="54"/>
  <c r="AK80" i="54"/>
  <c r="AK81" i="54"/>
  <c r="AK17" i="54"/>
  <c r="AK15" i="54"/>
  <c r="AK24" i="54"/>
  <c r="AK42" i="54"/>
  <c r="AK41" i="54"/>
  <c r="AK14" i="54"/>
  <c r="AK16" i="54"/>
  <c r="AK38" i="54"/>
  <c r="AK32" i="54"/>
  <c r="AK18" i="54"/>
  <c r="AK46" i="54"/>
  <c r="AK84" i="54"/>
  <c r="AK43" i="54"/>
  <c r="AK20" i="54"/>
  <c r="AK34" i="54"/>
  <c r="AK25" i="54"/>
  <c r="AK87" i="54"/>
  <c r="AK29" i="54"/>
  <c r="AK10" i="54"/>
  <c r="AK49" i="54"/>
  <c r="AK69" i="54"/>
  <c r="AK62" i="54"/>
  <c r="AK63" i="54"/>
  <c r="AK78" i="54"/>
  <c r="AK53" i="54"/>
  <c r="AK56" i="54"/>
  <c r="AK58" i="54"/>
  <c r="AK76" i="54"/>
  <c r="AK59" i="54"/>
  <c r="AK68" i="54"/>
  <c r="AK66" i="54"/>
  <c r="AK64" i="54"/>
  <c r="AK75" i="54"/>
  <c r="AK57" i="54"/>
  <c r="AK74" i="54"/>
  <c r="AK55" i="54"/>
  <c r="AK52" i="54"/>
  <c r="AK65" i="54"/>
  <c r="AK61" i="54"/>
  <c r="AK70" i="54"/>
  <c r="AK73" i="54"/>
  <c r="AK79" i="54"/>
  <c r="AK67" i="54"/>
  <c r="AK54" i="54"/>
  <c r="AK77" i="54"/>
  <c r="AK71" i="54"/>
  <c r="AK60" i="54"/>
  <c r="AK72" i="54"/>
  <c r="AK91" i="54"/>
  <c r="X91" i="54" s="1"/>
  <c r="AK92" i="54"/>
  <c r="X92" i="54" s="1"/>
  <c r="AK93" i="54"/>
  <c r="AK95" i="54"/>
  <c r="X95" i="54" s="1"/>
  <c r="AK48" i="54"/>
  <c r="X48" i="54" s="1"/>
  <c r="AK27" i="54"/>
  <c r="X27" i="54" s="1"/>
  <c r="AK97" i="54"/>
  <c r="X97" i="54" s="1"/>
  <c r="AK22" i="54"/>
  <c r="X22" i="54" s="1"/>
  <c r="AK51" i="54"/>
  <c r="X51" i="54" s="1"/>
  <c r="AK90" i="54"/>
  <c r="X90" i="54" s="1"/>
  <c r="I44" i="54" l="1"/>
  <c r="Y32" i="54"/>
  <c r="X32" i="54"/>
  <c r="X8" i="54" s="1"/>
  <c r="R48" i="54"/>
  <c r="Q48" i="54"/>
  <c r="V48" i="54"/>
  <c r="U48" i="54"/>
  <c r="T48" i="54"/>
  <c r="S48" i="54"/>
  <c r="G44" i="54"/>
  <c r="G99" i="54" s="1"/>
  <c r="AT95" i="55"/>
  <c r="AT91" i="55"/>
  <c r="X99" i="55"/>
  <c r="J44" i="54"/>
  <c r="J99" i="54" s="1"/>
  <c r="AT96" i="55"/>
  <c r="AU101" i="54"/>
  <c r="AT93" i="55"/>
  <c r="AU22" i="54"/>
  <c r="AU47" i="54"/>
  <c r="I99" i="54"/>
  <c r="K44" i="54"/>
  <c r="K99" i="54" s="1"/>
  <c r="AU24" i="54"/>
  <c r="H44" i="54"/>
  <c r="H99" i="54" s="1"/>
  <c r="AT94" i="55"/>
  <c r="AT97" i="55"/>
  <c r="V44" i="55"/>
  <c r="V99" i="55" s="1"/>
  <c r="R44" i="55"/>
  <c r="R99" i="55" s="1"/>
  <c r="E48" i="54"/>
  <c r="M99" i="54"/>
  <c r="M112" i="54" s="1"/>
  <c r="X100" i="55"/>
  <c r="P48" i="55"/>
  <c r="F44" i="55"/>
  <c r="F100" i="55" s="1"/>
  <c r="E47" i="55"/>
  <c r="E24" i="54"/>
  <c r="F8" i="54"/>
  <c r="AK102" i="54"/>
  <c r="M44" i="55"/>
  <c r="U44" i="55"/>
  <c r="U99" i="55" s="1"/>
  <c r="E98" i="54"/>
  <c r="K8" i="54"/>
  <c r="K44" i="55"/>
  <c r="K100" i="55" s="1"/>
  <c r="I100" i="54"/>
  <c r="X89" i="54"/>
  <c r="AE102" i="54"/>
  <c r="AQ102" i="54"/>
  <c r="E98" i="55"/>
  <c r="E8" i="55"/>
  <c r="H44" i="55"/>
  <c r="H100" i="55" s="1"/>
  <c r="I44" i="55"/>
  <c r="I100" i="55" s="1"/>
  <c r="H8" i="54"/>
  <c r="X44" i="54"/>
  <c r="E48" i="55"/>
  <c r="G44" i="55"/>
  <c r="G100" i="55" s="1"/>
  <c r="T44" i="55"/>
  <c r="T99" i="55" s="1"/>
  <c r="M89" i="55"/>
  <c r="M100" i="54"/>
  <c r="E47" i="54"/>
  <c r="F44" i="54"/>
  <c r="F99" i="54" s="1"/>
  <c r="Q44" i="55"/>
  <c r="Q99" i="55" s="1"/>
  <c r="P47" i="55"/>
  <c r="J44" i="55"/>
  <c r="J100" i="55" s="1"/>
  <c r="AP104" i="55"/>
  <c r="AT92" i="55"/>
  <c r="AT47" i="55"/>
  <c r="AT22" i="55"/>
  <c r="AT48" i="55"/>
  <c r="AT24" i="55"/>
  <c r="S24" i="55" s="1"/>
  <c r="P98" i="55"/>
  <c r="S44" i="55"/>
  <c r="AE104" i="55"/>
  <c r="AT90" i="55"/>
  <c r="J8" i="54"/>
  <c r="R98" i="54" l="1"/>
  <c r="Q98" i="54"/>
  <c r="V98" i="54"/>
  <c r="U98" i="54"/>
  <c r="T98" i="54"/>
  <c r="S98" i="54"/>
  <c r="R24" i="54"/>
  <c r="R8" i="54" s="1"/>
  <c r="Q24" i="54"/>
  <c r="V24" i="54"/>
  <c r="U24" i="54"/>
  <c r="T24" i="54"/>
  <c r="T8" i="54" s="1"/>
  <c r="S24" i="54"/>
  <c r="G100" i="54"/>
  <c r="V47" i="54"/>
  <c r="V44" i="54" s="1"/>
  <c r="U47" i="54"/>
  <c r="U44" i="54" s="1"/>
  <c r="T47" i="54"/>
  <c r="T44" i="54" s="1"/>
  <c r="S47" i="54"/>
  <c r="R47" i="54"/>
  <c r="R44" i="54" s="1"/>
  <c r="Q47" i="54"/>
  <c r="Q44" i="54" s="1"/>
  <c r="U8" i="54"/>
  <c r="S8" i="54"/>
  <c r="S44" i="54"/>
  <c r="K100" i="54"/>
  <c r="H100" i="54"/>
  <c r="J100" i="54"/>
  <c r="AU102" i="54"/>
  <c r="P48" i="54"/>
  <c r="V8" i="54"/>
  <c r="R100" i="55"/>
  <c r="G103" i="55" s="1"/>
  <c r="X100" i="54"/>
  <c r="F100" i="54"/>
  <c r="V100" i="55"/>
  <c r="K103" i="55" s="1"/>
  <c r="T100" i="55"/>
  <c r="I103" i="55" s="1"/>
  <c r="X99" i="54"/>
  <c r="U100" i="55"/>
  <c r="J103" i="55" s="1"/>
  <c r="S8" i="55"/>
  <c r="S100" i="55" s="1"/>
  <c r="H103" i="55" s="1"/>
  <c r="S99" i="55"/>
  <c r="P24" i="55"/>
  <c r="I99" i="55"/>
  <c r="G99" i="55"/>
  <c r="AT99" i="55"/>
  <c r="H99" i="55"/>
  <c r="J99" i="55"/>
  <c r="Q100" i="55"/>
  <c r="F103" i="55" s="1"/>
  <c r="P44" i="55"/>
  <c r="K99" i="55"/>
  <c r="E44" i="55"/>
  <c r="E100" i="55" s="1"/>
  <c r="E44" i="54"/>
  <c r="E99" i="54" s="1"/>
  <c r="E8" i="54"/>
  <c r="F99" i="55"/>
  <c r="U99" i="54" l="1"/>
  <c r="P98" i="54"/>
  <c r="Q99" i="54"/>
  <c r="T100" i="54"/>
  <c r="V99" i="54"/>
  <c r="U100" i="54"/>
  <c r="S99" i="54"/>
  <c r="R100" i="54"/>
  <c r="S100" i="54"/>
  <c r="V100" i="54"/>
  <c r="R99" i="54"/>
  <c r="P47" i="54"/>
  <c r="Q8" i="54"/>
  <c r="Q100" i="54" s="1"/>
  <c r="P24" i="54"/>
  <c r="P8" i="54" s="1"/>
  <c r="T99" i="54"/>
  <c r="E100" i="54"/>
  <c r="E99" i="55"/>
  <c r="P8" i="55"/>
  <c r="P100" i="55" s="1"/>
  <c r="P99" i="55"/>
  <c r="P44" i="54"/>
  <c r="P100" i="54" l="1"/>
  <c r="E103" i="55"/>
  <c r="P99" i="54"/>
  <c r="D8" i="26" l="1"/>
  <c r="C8" i="26" l="1"/>
  <c r="C44" i="26"/>
  <c r="C52" i="26"/>
  <c r="E36" i="26"/>
  <c r="U51" i="26" l="1"/>
  <c r="U49" i="26"/>
  <c r="U50" i="26"/>
  <c r="U46" i="26"/>
  <c r="U48" i="26"/>
  <c r="L51" i="26"/>
  <c r="L49" i="26"/>
  <c r="L50" i="26"/>
  <c r="L46" i="26"/>
  <c r="L48" i="26"/>
  <c r="D52" i="26"/>
  <c r="C90" i="26"/>
  <c r="C49" i="60"/>
  <c r="C46" i="60" s="1"/>
  <c r="T42" i="26"/>
  <c r="L11" i="66" s="1"/>
  <c r="O44" i="26"/>
  <c r="Q44" i="26" s="1"/>
  <c r="O8" i="26"/>
  <c r="U45" i="26" l="1"/>
  <c r="L45" i="26"/>
  <c r="H5" i="66"/>
  <c r="H15" i="66"/>
  <c r="H3" i="66"/>
  <c r="H16" i="66"/>
  <c r="H12" i="66"/>
  <c r="D12" i="66"/>
  <c r="H14" i="66"/>
  <c r="T48" i="26"/>
  <c r="T36" i="26"/>
  <c r="T29" i="26"/>
  <c r="T16" i="26"/>
  <c r="T26" i="26"/>
  <c r="L15" i="66" s="1"/>
  <c r="T27" i="26"/>
  <c r="T24" i="26"/>
  <c r="T20" i="26"/>
  <c r="T38" i="26"/>
  <c r="T35" i="26"/>
  <c r="T11" i="26"/>
  <c r="T23" i="26"/>
  <c r="L4" i="66" s="1"/>
  <c r="T37" i="26"/>
  <c r="T46" i="26"/>
  <c r="T15" i="26"/>
  <c r="T43" i="26"/>
  <c r="T33" i="26"/>
  <c r="T21" i="26"/>
  <c r="T32" i="26"/>
  <c r="T28" i="26"/>
  <c r="T41" i="26"/>
  <c r="T19" i="26"/>
  <c r="L17" i="66" s="1"/>
  <c r="T14" i="26"/>
  <c r="T51" i="26"/>
  <c r="T50" i="26"/>
  <c r="T30" i="26"/>
  <c r="T25" i="26"/>
  <c r="L16" i="66" s="1"/>
  <c r="T31" i="26"/>
  <c r="L7" i="66" s="1"/>
  <c r="T13" i="26"/>
  <c r="T18" i="26"/>
  <c r="L14" i="66" s="1"/>
  <c r="T17" i="26"/>
  <c r="T39" i="26"/>
  <c r="T12" i="26"/>
  <c r="T10" i="26"/>
  <c r="T34" i="26"/>
  <c r="T49" i="26"/>
  <c r="D90" i="26"/>
  <c r="O90" i="26"/>
  <c r="H4" i="66" l="1"/>
  <c r="L3" i="66"/>
  <c r="H13" i="66"/>
  <c r="L13" i="66"/>
  <c r="H9" i="66"/>
  <c r="L9" i="66"/>
  <c r="H10" i="66"/>
  <c r="L10" i="66"/>
  <c r="H17" i="66"/>
  <c r="H8" i="66"/>
  <c r="D13" i="66"/>
  <c r="D14" i="66"/>
  <c r="D10" i="66"/>
  <c r="D8" i="66"/>
  <c r="D3" i="66"/>
  <c r="D17" i="66"/>
  <c r="D9" i="66"/>
  <c r="D4" i="66"/>
  <c r="D5" i="66"/>
  <c r="D15" i="66"/>
  <c r="D16" i="66"/>
  <c r="W31" i="26"/>
  <c r="W29" i="26"/>
  <c r="W11" i="26"/>
  <c r="W23" i="26"/>
  <c r="W40" i="26"/>
  <c r="T45" i="26"/>
  <c r="K89" i="26"/>
  <c r="G55" i="63"/>
  <c r="H55" i="63" s="1"/>
  <c r="G54" i="63"/>
  <c r="H54" i="63" s="1"/>
  <c r="G63" i="63"/>
  <c r="H63" i="63" s="1"/>
  <c r="G57" i="63"/>
  <c r="H57" i="63" s="1"/>
  <c r="G53" i="63"/>
  <c r="C100" i="60"/>
  <c r="C102" i="60" s="1"/>
  <c r="Q89" i="26" l="1"/>
  <c r="U47" i="26"/>
  <c r="L47" i="26"/>
  <c r="M44" i="26"/>
  <c r="C228" i="1" s="1"/>
  <c r="H53" i="63"/>
  <c r="F44" i="26"/>
  <c r="E47" i="26"/>
  <c r="U44" i="26" l="1"/>
  <c r="L44" i="26"/>
  <c r="T47" i="26"/>
  <c r="W44" i="26" s="1"/>
  <c r="E44" i="26"/>
  <c r="T44" i="26" l="1"/>
  <c r="L22" i="26" l="1"/>
  <c r="C26" i="59" l="1"/>
  <c r="S22" i="26"/>
  <c r="C113" i="59" l="1"/>
  <c r="E22" i="26" l="1"/>
  <c r="T22" i="26" l="1"/>
  <c r="W26" i="54"/>
  <c r="O26" i="54" s="1"/>
  <c r="W95" i="54"/>
  <c r="O95" i="54" s="1"/>
  <c r="W94" i="54"/>
  <c r="O94" i="54" s="1"/>
  <c r="W94" i="55"/>
  <c r="O94" i="55" s="1"/>
  <c r="W12" i="54"/>
  <c r="O12" i="54" s="1"/>
  <c r="W97" i="54"/>
  <c r="O97" i="54" s="1"/>
  <c r="W93" i="55"/>
  <c r="O93" i="55" s="1"/>
  <c r="W91" i="54"/>
  <c r="O91" i="54" s="1"/>
  <c r="W47" i="54"/>
  <c r="O47" i="54" s="1"/>
  <c r="W50" i="54"/>
  <c r="O50" i="54" s="1"/>
  <c r="W93" i="54"/>
  <c r="O93" i="54" s="1"/>
  <c r="W97" i="55"/>
  <c r="O97" i="55" s="1"/>
  <c r="W32" i="54"/>
  <c r="O32" i="54" s="1"/>
  <c r="W24" i="54"/>
  <c r="O24" i="54" s="1"/>
  <c r="W27" i="54"/>
  <c r="O27" i="54" s="1"/>
  <c r="W92" i="55"/>
  <c r="O92" i="55" s="1"/>
  <c r="W41" i="54"/>
  <c r="O41" i="54" s="1"/>
  <c r="W33" i="54"/>
  <c r="O33" i="54" s="1"/>
  <c r="W13" i="54"/>
  <c r="O13" i="54" s="1"/>
  <c r="W49" i="54"/>
  <c r="O49" i="54" s="1"/>
  <c r="W30" i="54"/>
  <c r="O30" i="54" s="1"/>
  <c r="W46" i="54"/>
  <c r="O46" i="54" s="1"/>
  <c r="W98" i="54"/>
  <c r="W95" i="55"/>
  <c r="O95" i="55" s="1"/>
  <c r="W51" i="54"/>
  <c r="O51" i="54" s="1"/>
  <c r="W48" i="54"/>
  <c r="O48" i="54" s="1"/>
  <c r="W91" i="55"/>
  <c r="O91" i="55" s="1"/>
  <c r="W22" i="54"/>
  <c r="O22" i="54" s="1"/>
  <c r="W96" i="54"/>
  <c r="O96" i="54" s="1"/>
  <c r="W96" i="55"/>
  <c r="O96" i="55" s="1"/>
  <c r="W92" i="54"/>
  <c r="O92" i="54" s="1"/>
  <c r="W43" i="55"/>
  <c r="O43" i="55" s="1"/>
  <c r="L47" i="54" l="1"/>
  <c r="D47" i="54" s="1"/>
  <c r="L96" i="54"/>
  <c r="D96" i="54" s="1"/>
  <c r="L97" i="54"/>
  <c r="D97" i="54" s="1"/>
  <c r="L30" i="54"/>
  <c r="D30" i="54" s="1"/>
  <c r="L13" i="54"/>
  <c r="D13" i="54" s="1"/>
  <c r="L41" i="54"/>
  <c r="D41" i="54" s="1"/>
  <c r="L94" i="54"/>
  <c r="D94" i="54" s="1"/>
  <c r="L51" i="54"/>
  <c r="D51" i="54" s="1"/>
  <c r="L26" i="54"/>
  <c r="D26" i="54" s="1"/>
  <c r="L50" i="54"/>
  <c r="D50" i="54" s="1"/>
  <c r="L95" i="54"/>
  <c r="D95" i="54" s="1"/>
  <c r="L22" i="54"/>
  <c r="D22" i="54" s="1"/>
  <c r="L33" i="54"/>
  <c r="D33" i="54" s="1"/>
  <c r="L49" i="54"/>
  <c r="D49" i="54" s="1"/>
  <c r="L91" i="54"/>
  <c r="D91" i="54" s="1"/>
  <c r="L93" i="54"/>
  <c r="D93" i="54" s="1"/>
  <c r="L43" i="54"/>
  <c r="D43" i="54" s="1"/>
  <c r="L12" i="54"/>
  <c r="D12" i="54" s="1"/>
  <c r="L32" i="54"/>
  <c r="D32" i="54" s="1"/>
  <c r="L27" i="54"/>
  <c r="D27" i="54" s="1"/>
  <c r="L46" i="54"/>
  <c r="D46" i="54" s="1"/>
  <c r="L24" i="54"/>
  <c r="D24" i="54" s="1"/>
  <c r="L48" i="54"/>
  <c r="D48" i="54" s="1"/>
  <c r="L92" i="54"/>
  <c r="D92" i="54" s="1"/>
  <c r="W90" i="55"/>
  <c r="Y89" i="55"/>
  <c r="Y44" i="54"/>
  <c r="W45" i="54"/>
  <c r="Y8" i="54"/>
  <c r="W9" i="54"/>
  <c r="O98" i="54"/>
  <c r="Y89" i="54"/>
  <c r="W90" i="54"/>
  <c r="Y99" i="54" l="1"/>
  <c r="Y100" i="54"/>
  <c r="N89" i="55"/>
  <c r="L90" i="55"/>
  <c r="O45" i="54"/>
  <c r="W44" i="54"/>
  <c r="L95" i="55"/>
  <c r="L97" i="55"/>
  <c r="O90" i="54"/>
  <c r="O89" i="54" s="1"/>
  <c r="W89" i="54"/>
  <c r="W89" i="55"/>
  <c r="O90" i="55"/>
  <c r="O89" i="55" s="1"/>
  <c r="L91" i="55"/>
  <c r="L9" i="54"/>
  <c r="N8" i="54"/>
  <c r="L92" i="55"/>
  <c r="N89" i="54"/>
  <c r="L90" i="54"/>
  <c r="L94" i="55"/>
  <c r="N44" i="54"/>
  <c r="L45" i="54"/>
  <c r="W46" i="55"/>
  <c r="O46" i="55" s="1"/>
  <c r="W24" i="55"/>
  <c r="O24" i="55" s="1"/>
  <c r="W41" i="55"/>
  <c r="O41" i="55" s="1"/>
  <c r="W26" i="55"/>
  <c r="O26" i="55" s="1"/>
  <c r="W49" i="55"/>
  <c r="O49" i="55" s="1"/>
  <c r="W50" i="55"/>
  <c r="O50" i="55" s="1"/>
  <c r="W33" i="55"/>
  <c r="O33" i="55" s="1"/>
  <c r="W48" i="55"/>
  <c r="O48" i="55" s="1"/>
  <c r="W12" i="55"/>
  <c r="O12" i="55" s="1"/>
  <c r="W32" i="55"/>
  <c r="O32" i="55" s="1"/>
  <c r="W30" i="55"/>
  <c r="O30" i="55" s="1"/>
  <c r="W27" i="55"/>
  <c r="O27" i="55" s="1"/>
  <c r="W47" i="55"/>
  <c r="O47" i="55" s="1"/>
  <c r="W13" i="55"/>
  <c r="O13" i="55" s="1"/>
  <c r="W22" i="55"/>
  <c r="O22" i="55" s="1"/>
  <c r="W51" i="55"/>
  <c r="O51" i="55" s="1"/>
  <c r="L93" i="55"/>
  <c r="L96" i="55"/>
  <c r="W8" i="54"/>
  <c r="O8" i="54" s="1"/>
  <c r="O9" i="54"/>
  <c r="L98" i="54"/>
  <c r="N99" i="54" l="1"/>
  <c r="W98" i="55"/>
  <c r="D92" i="55"/>
  <c r="L13" i="55"/>
  <c r="L24" i="55"/>
  <c r="D97" i="55"/>
  <c r="D45" i="54"/>
  <c r="L44" i="54"/>
  <c r="L43" i="55"/>
  <c r="L98" i="55"/>
  <c r="W45" i="55"/>
  <c r="Y44" i="55"/>
  <c r="Y99" i="55" s="1"/>
  <c r="L8" i="54"/>
  <c r="D8" i="54" s="1"/>
  <c r="D9" i="54"/>
  <c r="M8" i="55"/>
  <c r="M100" i="55" s="1"/>
  <c r="M107" i="55"/>
  <c r="M99" i="55"/>
  <c r="L22" i="55"/>
  <c r="L48" i="55"/>
  <c r="D95" i="55"/>
  <c r="D96" i="55"/>
  <c r="L30" i="55"/>
  <c r="L45" i="55"/>
  <c r="N44" i="55"/>
  <c r="L49" i="55"/>
  <c r="O44" i="54"/>
  <c r="O99" i="54" s="1"/>
  <c r="W99" i="54"/>
  <c r="W100" i="54"/>
  <c r="O100" i="54" s="1"/>
  <c r="W9" i="55"/>
  <c r="Y8" i="55"/>
  <c r="D94" i="55"/>
  <c r="D91" i="55"/>
  <c r="L26" i="55"/>
  <c r="L12" i="55"/>
  <c r="L33" i="55"/>
  <c r="D93" i="55"/>
  <c r="D90" i="54"/>
  <c r="L89" i="54"/>
  <c r="D89" i="54" s="1"/>
  <c r="L51" i="55"/>
  <c r="L27" i="55"/>
  <c r="L41" i="55"/>
  <c r="N100" i="54"/>
  <c r="L9" i="55"/>
  <c r="N8" i="55"/>
  <c r="L32" i="55"/>
  <c r="L50" i="55"/>
  <c r="L89" i="55"/>
  <c r="D89" i="55" s="1"/>
  <c r="D90" i="55"/>
  <c r="D98" i="54"/>
  <c r="L47" i="55"/>
  <c r="L46" i="55"/>
  <c r="L100" i="54" l="1"/>
  <c r="D100" i="54" s="1"/>
  <c r="N100" i="55"/>
  <c r="D47" i="55"/>
  <c r="D49" i="55"/>
  <c r="D32" i="55"/>
  <c r="D27" i="55"/>
  <c r="D33" i="55"/>
  <c r="M103" i="55"/>
  <c r="D98" i="55"/>
  <c r="D24" i="55"/>
  <c r="N99" i="55"/>
  <c r="D51" i="55"/>
  <c r="D12" i="55"/>
  <c r="O9" i="55"/>
  <c r="W8" i="55"/>
  <c r="O8" i="55" s="1"/>
  <c r="L44" i="55"/>
  <c r="D45" i="55"/>
  <c r="D43" i="55"/>
  <c r="D13" i="55"/>
  <c r="L8" i="55"/>
  <c r="D8" i="55" s="1"/>
  <c r="D9" i="55"/>
  <c r="D48" i="55"/>
  <c r="L99" i="54"/>
  <c r="D44" i="54"/>
  <c r="D99" i="54" s="1"/>
  <c r="D26" i="55"/>
  <c r="D30" i="55"/>
  <c r="O45" i="55"/>
  <c r="W44" i="55"/>
  <c r="D46" i="55"/>
  <c r="D22" i="55"/>
  <c r="Y100" i="55"/>
  <c r="D50" i="55"/>
  <c r="D41" i="55"/>
  <c r="M108" i="55"/>
  <c r="O98" i="55"/>
  <c r="N103" i="55" l="1"/>
  <c r="O44" i="55"/>
  <c r="O99" i="55" s="1"/>
  <c r="W99" i="55"/>
  <c r="W100" i="55"/>
  <c r="O100" i="55" s="1"/>
  <c r="D44" i="55"/>
  <c r="L99" i="55"/>
  <c r="L100" i="55"/>
  <c r="D99" i="55" l="1"/>
  <c r="D100" i="55"/>
  <c r="L103" i="55"/>
  <c r="E22" i="58" l="1"/>
  <c r="D17" i="58"/>
  <c r="D94" i="58"/>
  <c r="D51" i="58"/>
  <c r="D21" i="58"/>
  <c r="D27" i="58"/>
  <c r="E20" i="58"/>
  <c r="C37" i="58"/>
  <c r="E41" i="58"/>
  <c r="D16" i="58"/>
  <c r="D45" i="58"/>
  <c r="D12" i="58"/>
  <c r="C94" i="58"/>
  <c r="D47" i="58"/>
  <c r="C42" i="58"/>
  <c r="C40" i="58"/>
  <c r="D42" i="58"/>
  <c r="C31" i="58"/>
  <c r="C17" i="58"/>
  <c r="E18" i="58"/>
  <c r="C19" i="58"/>
  <c r="D33" i="58"/>
  <c r="E21" i="58"/>
  <c r="C13" i="58"/>
  <c r="D54" i="58"/>
  <c r="D25" i="58"/>
  <c r="D31" i="58"/>
  <c r="C20" i="58"/>
  <c r="E24" i="58"/>
  <c r="C22" i="58"/>
  <c r="C38" i="58"/>
  <c r="E37" i="58"/>
  <c r="D92" i="58"/>
  <c r="D15" i="58"/>
  <c r="D36" i="58"/>
  <c r="D24" i="58"/>
  <c r="D20" i="58"/>
  <c r="D13" i="58"/>
  <c r="E42" i="58"/>
  <c r="D103" i="55"/>
  <c r="C18" i="58"/>
  <c r="D41" i="58"/>
  <c r="D19" i="58"/>
  <c r="E23" i="58"/>
  <c r="C23" i="58"/>
  <c r="D44" i="58"/>
  <c r="C45" i="58"/>
  <c r="D48" i="58"/>
  <c r="C24" i="58"/>
  <c r="D37" i="58"/>
  <c r="D53" i="58"/>
  <c r="D30" i="58"/>
  <c r="D22" i="58"/>
  <c r="D18" i="58"/>
  <c r="E31" i="58"/>
  <c r="C41" i="58"/>
  <c r="E39" i="58"/>
  <c r="D40" i="58"/>
  <c r="E17" i="58"/>
  <c r="E19" i="58"/>
  <c r="C28" i="58"/>
  <c r="D49" i="58"/>
  <c r="E28" i="58"/>
  <c r="D35" i="58"/>
  <c r="C21" i="58"/>
  <c r="D52" i="58"/>
  <c r="D38" i="58"/>
  <c r="E45" i="58"/>
  <c r="E38" i="58"/>
  <c r="E40" i="58"/>
  <c r="D39" i="58"/>
  <c r="E13" i="58"/>
  <c r="C39" i="58"/>
  <c r="D50" i="58"/>
  <c r="D29" i="58"/>
  <c r="D46" i="58"/>
  <c r="D28" i="58"/>
  <c r="D23" i="58"/>
  <c r="E48" i="58"/>
  <c r="E50" i="58"/>
  <c r="E35" i="58"/>
  <c r="E27" i="58"/>
  <c r="E15" i="58"/>
  <c r="E49" i="58"/>
  <c r="E46" i="58"/>
  <c r="E12" i="58"/>
  <c r="E29" i="58"/>
  <c r="E53" i="58"/>
  <c r="E52" i="58"/>
  <c r="E30" i="58"/>
  <c r="E16" i="58"/>
  <c r="E51" i="58"/>
  <c r="E33" i="58"/>
  <c r="E44" i="58"/>
  <c r="E36" i="58"/>
  <c r="E92" i="58"/>
  <c r="E54" i="58"/>
  <c r="E25" i="58"/>
  <c r="E47" i="58"/>
  <c r="C52" i="58"/>
  <c r="C53" i="58"/>
  <c r="C15" i="58"/>
  <c r="C44" i="58"/>
  <c r="C25" i="58"/>
  <c r="C49" i="58"/>
  <c r="C35" i="58"/>
  <c r="C48" i="58"/>
  <c r="C29" i="58"/>
  <c r="C30" i="58"/>
  <c r="C46" i="58"/>
  <c r="C92" i="58"/>
  <c r="C54" i="58"/>
  <c r="C51" i="58"/>
  <c r="C27" i="58"/>
  <c r="C12" i="58"/>
  <c r="C33" i="58"/>
  <c r="C36" i="58"/>
  <c r="C16" i="58"/>
  <c r="C50" i="58"/>
  <c r="E94" i="58"/>
  <c r="C47" i="58"/>
  <c r="E11" i="58" l="1"/>
  <c r="D11" i="58"/>
  <c r="B12" i="77" l="1"/>
  <c r="AE8" i="77" l="1"/>
  <c r="AQ8" i="77" l="1"/>
  <c r="AR8" i="77"/>
  <c r="AF8" i="77"/>
  <c r="AL8" i="77"/>
  <c r="AE9" i="77"/>
  <c r="AR9" i="77" l="1"/>
  <c r="AQ9" i="77"/>
  <c r="AF9" i="77"/>
  <c r="AL9" i="77"/>
  <c r="AE10" i="77"/>
  <c r="AE11" i="77"/>
  <c r="AR11" i="77" l="1"/>
  <c r="AQ11" i="77"/>
  <c r="AQ10" i="77"/>
  <c r="AR10" i="77"/>
  <c r="AF10" i="77"/>
  <c r="AL10" i="77"/>
  <c r="AF11" i="77"/>
  <c r="AL11" i="77"/>
  <c r="AE12" i="77" l="1"/>
  <c r="AV12" i="77" l="1"/>
  <c r="BA12" i="77" s="1"/>
  <c r="AU12" i="77"/>
  <c r="AZ12" i="77" s="1"/>
  <c r="AQ12" i="77"/>
  <c r="AW12" i="77" s="1"/>
  <c r="BB12" i="77" s="1"/>
  <c r="AR12" i="77"/>
  <c r="AX12" i="77" s="1"/>
  <c r="BC12" i="77" s="1"/>
  <c r="AN12" i="77"/>
  <c r="AN11" i="77" s="1"/>
  <c r="AL12" i="77"/>
  <c r="AF12" i="77"/>
  <c r="BE12" i="77"/>
  <c r="BE52" i="77" s="1"/>
  <c r="AN10" i="77" l="1"/>
  <c r="AT12" i="77"/>
  <c r="AY12" i="77" l="1"/>
  <c r="AN9" i="77"/>
  <c r="AN8" i="77" l="1"/>
  <c r="AN7" i="77" l="1"/>
  <c r="AN6" i="77" l="1"/>
  <c r="AN5" i="77" l="1"/>
  <c r="B48" i="77" l="1"/>
  <c r="AB48" i="77"/>
  <c r="AN48" i="77" l="1"/>
  <c r="AP48" i="77" s="1"/>
  <c r="AO48" i="77"/>
  <c r="AQ48" i="77"/>
  <c r="AR48" i="77" s="1"/>
  <c r="B47" i="77" l="1"/>
  <c r="AB47" i="77"/>
  <c r="AN47" i="77" l="1"/>
  <c r="AP47" i="77" s="1"/>
  <c r="AO47" i="77" s="1"/>
  <c r="AQ47" i="77" l="1"/>
  <c r="AR47" i="77" s="1"/>
  <c r="G56" i="63"/>
  <c r="H56" i="63" s="1"/>
  <c r="G59" i="63" l="1"/>
  <c r="H59" i="63" s="1"/>
  <c r="G62" i="63" l="1"/>
  <c r="H62" i="63" s="1"/>
  <c r="G61" i="63" l="1"/>
  <c r="H61" i="63" s="1"/>
  <c r="M89" i="26" l="1"/>
  <c r="F89" i="26" l="1"/>
  <c r="U89" i="26" s="1"/>
  <c r="C231" i="1"/>
  <c r="L89" i="26"/>
  <c r="E89" i="26" l="1"/>
  <c r="T89" i="26" l="1"/>
  <c r="G60" i="63" l="1"/>
  <c r="H60" i="63" s="1"/>
  <c r="C93" i="59" l="1"/>
  <c r="S89" i="26"/>
  <c r="W8" i="26" l="1"/>
  <c r="L80" i="1" l="1"/>
  <c r="P80" i="1" l="1"/>
  <c r="P53" i="1" s="1"/>
  <c r="P220" i="1" s="1"/>
  <c r="L53" i="1"/>
  <c r="L220" i="1" s="1"/>
  <c r="C223" i="1" s="1"/>
  <c r="O80" i="1"/>
  <c r="O53" i="1" s="1"/>
  <c r="O220" i="1" s="1"/>
  <c r="M53" i="1"/>
  <c r="M220" i="1" s="1"/>
  <c r="N52" i="26" l="1"/>
  <c r="N90" i="26" l="1"/>
  <c r="AT6" i="77" l="1"/>
  <c r="AT5" i="77"/>
  <c r="AV5" i="77"/>
  <c r="AU5" i="77"/>
  <c r="AU6" i="77"/>
  <c r="AV6" i="77"/>
  <c r="AX6" i="77"/>
  <c r="AW6" i="77"/>
  <c r="AX5" i="77"/>
  <c r="AW5" i="77"/>
  <c r="B5" i="77" l="1"/>
  <c r="BA5" i="77" s="1"/>
  <c r="B6" i="77"/>
  <c r="BC6" i="77" s="1"/>
  <c r="AZ5" i="77" l="1"/>
  <c r="AY5" i="77"/>
  <c r="BB5" i="77"/>
  <c r="AY6" i="77"/>
  <c r="BC5" i="77"/>
  <c r="AZ6" i="77"/>
  <c r="BB6" i="77"/>
  <c r="BA6" i="77"/>
  <c r="T88" i="26" l="1"/>
  <c r="L2" i="66" s="1"/>
  <c r="H8" i="26" l="1"/>
  <c r="G8" i="26" l="1"/>
  <c r="M9" i="26"/>
  <c r="F9" i="26" s="1"/>
  <c r="C13" i="59"/>
  <c r="S9" i="26"/>
  <c r="S8" i="26" l="1"/>
  <c r="K8" i="26"/>
  <c r="C100" i="59"/>
  <c r="C127" i="59" s="1"/>
  <c r="C12" i="59"/>
  <c r="C95" i="59" s="1"/>
  <c r="E9" i="26"/>
  <c r="E8" i="26" s="1"/>
  <c r="F8" i="26" s="1"/>
  <c r="Q8" i="26"/>
  <c r="U9" i="26" l="1"/>
  <c r="M12" i="66" s="1"/>
  <c r="M8" i="26"/>
  <c r="C227" i="1" s="1"/>
  <c r="L9" i="26"/>
  <c r="T9" i="26" l="1"/>
  <c r="L12" i="66" s="1"/>
  <c r="L8" i="26"/>
  <c r="U8" i="26"/>
  <c r="H11" i="66"/>
  <c r="T8" i="26" l="1"/>
  <c r="T52" i="26"/>
  <c r="T82" i="26" s="1"/>
  <c r="E82" i="26" s="1"/>
  <c r="F82" i="26" s="1"/>
  <c r="D11" i="66"/>
  <c r="T71" i="26" l="1"/>
  <c r="L8" i="66" s="1"/>
  <c r="T83" i="26"/>
  <c r="E83" i="26" s="1"/>
  <c r="F83" i="26" s="1"/>
  <c r="T70" i="26"/>
  <c r="E70" i="26" s="1"/>
  <c r="F70" i="26" s="1"/>
  <c r="T72" i="26"/>
  <c r="E72" i="26" s="1"/>
  <c r="F72" i="26" s="1"/>
  <c r="T64" i="26"/>
  <c r="E64" i="26" s="1"/>
  <c r="F64" i="26" s="1"/>
  <c r="T60" i="26"/>
  <c r="E60" i="26" s="1"/>
  <c r="F60" i="26" s="1"/>
  <c r="T84" i="26"/>
  <c r="E84" i="26" s="1"/>
  <c r="F84" i="26" s="1"/>
  <c r="T77" i="26"/>
  <c r="E77" i="26" s="1"/>
  <c r="F77" i="26" s="1"/>
  <c r="T78" i="26"/>
  <c r="E78" i="26" s="1"/>
  <c r="F78" i="26" s="1"/>
  <c r="T56" i="26"/>
  <c r="E56" i="26" s="1"/>
  <c r="F56" i="26" s="1"/>
  <c r="T81" i="26"/>
  <c r="E81" i="26" s="1"/>
  <c r="F81" i="26" s="1"/>
  <c r="T86" i="26"/>
  <c r="E86" i="26" s="1"/>
  <c r="F86" i="26" s="1"/>
  <c r="T61" i="26"/>
  <c r="E61" i="26" s="1"/>
  <c r="F61" i="26" s="1"/>
  <c r="T67" i="26"/>
  <c r="E67" i="26" s="1"/>
  <c r="F67" i="26" s="1"/>
  <c r="T59" i="26"/>
  <c r="E59" i="26" s="1"/>
  <c r="F59" i="26" s="1"/>
  <c r="T79" i="26"/>
  <c r="E79" i="26" s="1"/>
  <c r="F79" i="26" s="1"/>
  <c r="T58" i="26"/>
  <c r="E58" i="26" s="1"/>
  <c r="F58" i="26" s="1"/>
  <c r="T65" i="26"/>
  <c r="E65" i="26" s="1"/>
  <c r="F65" i="26" s="1"/>
  <c r="T68" i="26"/>
  <c r="E68" i="26" s="1"/>
  <c r="F68" i="26" s="1"/>
  <c r="T57" i="26"/>
  <c r="E57" i="26" s="1"/>
  <c r="F57" i="26" s="1"/>
  <c r="T76" i="26"/>
  <c r="E76" i="26" s="1"/>
  <c r="F76" i="26" s="1"/>
  <c r="T74" i="26"/>
  <c r="E74" i="26" s="1"/>
  <c r="F74" i="26" s="1"/>
  <c r="T73" i="26"/>
  <c r="E73" i="26" s="1"/>
  <c r="F73" i="26" s="1"/>
  <c r="T66" i="26"/>
  <c r="E66" i="26" s="1"/>
  <c r="F66" i="26" s="1"/>
  <c r="T55" i="26"/>
  <c r="E55" i="26" s="1"/>
  <c r="F55" i="26" s="1"/>
  <c r="T75" i="26"/>
  <c r="E75" i="26" s="1"/>
  <c r="F75" i="26" s="1"/>
  <c r="T69" i="26"/>
  <c r="E69" i="26" s="1"/>
  <c r="F69" i="26" s="1"/>
  <c r="T63" i="26"/>
  <c r="E63" i="26" s="1"/>
  <c r="F63" i="26" s="1"/>
  <c r="T87" i="26"/>
  <c r="E87" i="26" s="1"/>
  <c r="F87" i="26" s="1"/>
  <c r="T62" i="26"/>
  <c r="E62" i="26" s="1"/>
  <c r="F62" i="26" s="1"/>
  <c r="T80" i="26"/>
  <c r="E80" i="26" s="1"/>
  <c r="F80" i="26" s="1"/>
  <c r="T54" i="26"/>
  <c r="E54" i="26" s="1"/>
  <c r="F54" i="26" s="1"/>
  <c r="T85" i="26"/>
  <c r="E85" i="26" s="1"/>
  <c r="F85" i="26" s="1"/>
  <c r="T53" i="26"/>
  <c r="D53" i="1" l="1"/>
  <c r="D220" i="1" s="1"/>
  <c r="D223" i="1" s="1"/>
  <c r="G223" i="1" l="1"/>
  <c r="J223" i="1" s="1"/>
  <c r="Q83" i="26" l="1"/>
  <c r="M83" i="26" s="1"/>
  <c r="G83" i="26" s="1"/>
  <c r="J83" i="26" s="1"/>
  <c r="K83" i="26" s="1"/>
  <c r="M63" i="26"/>
  <c r="Q65" i="26"/>
  <c r="M65" i="26" s="1"/>
  <c r="Q86" i="26"/>
  <c r="M86" i="26" s="1"/>
  <c r="G63" i="26" l="1"/>
  <c r="J63" i="26" s="1"/>
  <c r="K63" i="26" s="1"/>
  <c r="U63" i="26"/>
  <c r="W63" i="26" s="1"/>
  <c r="U83" i="26"/>
  <c r="W83" i="26" s="1"/>
  <c r="G65" i="26"/>
  <c r="J65" i="26" s="1"/>
  <c r="K65" i="26" s="1"/>
  <c r="U65" i="26"/>
  <c r="W65" i="26" s="1"/>
  <c r="G86" i="26"/>
  <c r="J86" i="26" s="1"/>
  <c r="K86" i="26" s="1"/>
  <c r="U86" i="26"/>
  <c r="W86" i="26" s="1"/>
  <c r="S86" i="26" l="1"/>
  <c r="S65" i="26"/>
  <c r="S83" i="26"/>
  <c r="S63" i="26"/>
  <c r="I52" i="26"/>
  <c r="I90" i="26" s="1"/>
  <c r="H2" i="66" l="1"/>
  <c r="H52" i="26" l="1"/>
  <c r="H90" i="26" s="1"/>
  <c r="E71" i="26" l="1"/>
  <c r="F71" i="26" l="1"/>
  <c r="H7" i="66" l="1"/>
  <c r="E53" i="26" l="1"/>
  <c r="F53" i="26" s="1"/>
  <c r="H6" i="66" l="1"/>
  <c r="AU11" i="77" l="1"/>
  <c r="AV7" i="77"/>
  <c r="AX11" i="77"/>
  <c r="AV9" i="77"/>
  <c r="AU9" i="77"/>
  <c r="AW11" i="77"/>
  <c r="AW7" i="77"/>
  <c r="AX8" i="77"/>
  <c r="AW9" i="77"/>
  <c r="AT8" i="77"/>
  <c r="AX9" i="77"/>
  <c r="AV8" i="77"/>
  <c r="AW8" i="77"/>
  <c r="AV11" i="77"/>
  <c r="AV10" i="77"/>
  <c r="AT7" i="77"/>
  <c r="AX10" i="77"/>
  <c r="AX7" i="77"/>
  <c r="AT10" i="77"/>
  <c r="AU10" i="77"/>
  <c r="AW10" i="77"/>
  <c r="AT11" i="77"/>
  <c r="AT9" i="77"/>
  <c r="AU8" i="77"/>
  <c r="AU7" i="77"/>
  <c r="B9" i="77" l="1"/>
  <c r="BA9" i="77" s="1"/>
  <c r="B10" i="77"/>
  <c r="BB10" i="77" s="1"/>
  <c r="B11" i="77"/>
  <c r="AY11" i="77" s="1"/>
  <c r="B7" i="77"/>
  <c r="AZ7" i="77" s="1"/>
  <c r="B8" i="77"/>
  <c r="BB8" i="77" s="1"/>
  <c r="AY10" i="77"/>
  <c r="AY9" i="77"/>
  <c r="BB9" i="77"/>
  <c r="AZ9" i="77"/>
  <c r="BC9" i="77" l="1"/>
  <c r="AZ8" i="77"/>
  <c r="BA8" i="77"/>
  <c r="BC8" i="77"/>
  <c r="BC11" i="77"/>
  <c r="BB11" i="77"/>
  <c r="BB7" i="77"/>
  <c r="AY7" i="77"/>
  <c r="BA7" i="77"/>
  <c r="BC7" i="77"/>
  <c r="BA11" i="77"/>
  <c r="C11" i="81"/>
  <c r="BA10" i="77"/>
  <c r="AZ11" i="77"/>
  <c r="AY8" i="77"/>
  <c r="AZ10" i="77"/>
  <c r="BC10" i="77"/>
  <c r="L5" i="66" l="1"/>
  <c r="K89" i="1" l="1"/>
  <c r="P88" i="26" s="1"/>
  <c r="M88" i="26" s="1"/>
  <c r="U88" i="26" s="1"/>
  <c r="K68" i="1"/>
  <c r="P67" i="26" s="1"/>
  <c r="K79" i="1"/>
  <c r="P78" i="26" s="1"/>
  <c r="K55" i="1"/>
  <c r="K58" i="1"/>
  <c r="P57" i="26" s="1"/>
  <c r="K74" i="1"/>
  <c r="P73" i="26" s="1"/>
  <c r="Q73" i="26" s="1"/>
  <c r="M73" i="26" s="1"/>
  <c r="G73" i="26" s="1"/>
  <c r="K80" i="1"/>
  <c r="P79" i="26" s="1"/>
  <c r="Q79" i="26" s="1"/>
  <c r="K73" i="1"/>
  <c r="P72" i="26" s="1"/>
  <c r="Q72" i="26" s="1"/>
  <c r="M72" i="26" s="1"/>
  <c r="K67" i="1"/>
  <c r="P66" i="26" s="1"/>
  <c r="K85" i="1"/>
  <c r="P84" i="26" s="1"/>
  <c r="Q84" i="26" s="1"/>
  <c r="K77" i="1"/>
  <c r="P76" i="26" s="1"/>
  <c r="Q76" i="26" s="1"/>
  <c r="K71" i="1"/>
  <c r="P70" i="26" s="1"/>
  <c r="Q70" i="26" s="1"/>
  <c r="K65" i="1"/>
  <c r="P64" i="26" s="1"/>
  <c r="K81" i="1"/>
  <c r="P80" i="26" s="1"/>
  <c r="Q80" i="26" s="1"/>
  <c r="M80" i="26" s="1"/>
  <c r="G80" i="26" s="1"/>
  <c r="J80" i="26" s="1"/>
  <c r="K80" i="26" s="1"/>
  <c r="K86" i="1"/>
  <c r="P85" i="26" s="1"/>
  <c r="Q85" i="26" s="1"/>
  <c r="K72" i="1"/>
  <c r="P71" i="26" s="1"/>
  <c r="K61" i="1"/>
  <c r="P60" i="26" s="1"/>
  <c r="Q60" i="26" s="1"/>
  <c r="K82" i="1"/>
  <c r="P81" i="26" s="1"/>
  <c r="K63" i="1"/>
  <c r="P62" i="26" s="1"/>
  <c r="K88" i="1"/>
  <c r="P87" i="26" s="1"/>
  <c r="K59" i="1"/>
  <c r="P58" i="26" s="1"/>
  <c r="K56" i="1"/>
  <c r="P55" i="26" s="1"/>
  <c r="Q55" i="26" s="1"/>
  <c r="K57" i="1"/>
  <c r="P56" i="26" s="1"/>
  <c r="Q56" i="26" s="1"/>
  <c r="K54" i="1"/>
  <c r="P53" i="26" s="1"/>
  <c r="K75" i="1"/>
  <c r="P74" i="26" s="1"/>
  <c r="K78" i="1"/>
  <c r="P77" i="26" s="1"/>
  <c r="K76" i="1"/>
  <c r="P75" i="26" s="1"/>
  <c r="Q75" i="26" s="1"/>
  <c r="K70" i="1"/>
  <c r="P69" i="26" s="1"/>
  <c r="K62" i="1"/>
  <c r="P61" i="26" s="1"/>
  <c r="Q61" i="26" s="1"/>
  <c r="K69" i="1"/>
  <c r="P68" i="26" s="1"/>
  <c r="K60" i="1"/>
  <c r="P59" i="26" s="1"/>
  <c r="K83" i="1"/>
  <c r="P82" i="26" s="1"/>
  <c r="Q82" i="26" s="1"/>
  <c r="Q68" i="26" l="1"/>
  <c r="M68" i="26" s="1"/>
  <c r="Q71" i="26"/>
  <c r="M71" i="26" s="1"/>
  <c r="Q62" i="26"/>
  <c r="M62" i="26" s="1"/>
  <c r="Q69" i="26"/>
  <c r="M69" i="26" s="1"/>
  <c r="Q66" i="26"/>
  <c r="M66" i="26" s="1"/>
  <c r="G72" i="26"/>
  <c r="S72" i="26" s="1"/>
  <c r="U72" i="26"/>
  <c r="W72" i="26" s="1"/>
  <c r="Q59" i="26"/>
  <c r="M59" i="26" s="1"/>
  <c r="Q78" i="26"/>
  <c r="M78" i="26" s="1"/>
  <c r="Q77" i="26"/>
  <c r="M77" i="26" s="1"/>
  <c r="K53" i="1"/>
  <c r="K220" i="1" s="1"/>
  <c r="K223" i="1" s="1"/>
  <c r="M84" i="26"/>
  <c r="G84" i="26" s="1"/>
  <c r="M56" i="26"/>
  <c r="U56" i="26" s="1"/>
  <c r="W56" i="26" s="1"/>
  <c r="P54" i="26"/>
  <c r="P52" i="26" s="1"/>
  <c r="P90" i="26" s="1"/>
  <c r="M76" i="26"/>
  <c r="G76" i="26" s="1"/>
  <c r="U73" i="26"/>
  <c r="W73" i="26" s="1"/>
  <c r="M2" i="66"/>
  <c r="W88" i="26"/>
  <c r="D2" i="66"/>
  <c r="G88" i="26"/>
  <c r="S88" i="26" s="1"/>
  <c r="Q87" i="26"/>
  <c r="M87" i="26" s="1"/>
  <c r="Q53" i="26"/>
  <c r="U80" i="26"/>
  <c r="W80" i="26" s="1"/>
  <c r="Q74" i="26"/>
  <c r="M74" i="26" s="1"/>
  <c r="J73" i="26"/>
  <c r="K73" i="26" s="1"/>
  <c r="S73" i="26"/>
  <c r="M70" i="26"/>
  <c r="M75" i="26"/>
  <c r="M55" i="26"/>
  <c r="Q81" i="26"/>
  <c r="M81" i="26" s="1"/>
  <c r="G81" i="26" s="1"/>
  <c r="J81" i="26" s="1"/>
  <c r="K81" i="26" s="1"/>
  <c r="Q58" i="26"/>
  <c r="M58" i="26" s="1"/>
  <c r="M85" i="26"/>
  <c r="M79" i="26"/>
  <c r="M61" i="26"/>
  <c r="Q64" i="26"/>
  <c r="M64" i="26" s="1"/>
  <c r="Q67" i="26"/>
  <c r="M67" i="26" s="1"/>
  <c r="M60" i="26"/>
  <c r="Q57" i="26"/>
  <c r="M57" i="26" s="1"/>
  <c r="G68" i="26" l="1"/>
  <c r="J68" i="26" s="1"/>
  <c r="K68" i="26" s="1"/>
  <c r="U68" i="26"/>
  <c r="W68" i="26" s="1"/>
  <c r="S84" i="26"/>
  <c r="U84" i="26"/>
  <c r="W84" i="26" s="1"/>
  <c r="G62" i="26"/>
  <c r="U62" i="26"/>
  <c r="W62" i="26" s="1"/>
  <c r="G71" i="26"/>
  <c r="J71" i="26" s="1"/>
  <c r="K71" i="26" s="1"/>
  <c r="U71" i="26"/>
  <c r="W71" i="26" s="1"/>
  <c r="G56" i="26"/>
  <c r="J84" i="26"/>
  <c r="K84" i="26" s="1"/>
  <c r="U76" i="26"/>
  <c r="W76" i="26" s="1"/>
  <c r="U59" i="26"/>
  <c r="W59" i="26" s="1"/>
  <c r="G59" i="26"/>
  <c r="J59" i="26" s="1"/>
  <c r="K59" i="26" s="1"/>
  <c r="U66" i="26"/>
  <c r="W66" i="26" s="1"/>
  <c r="G66" i="26"/>
  <c r="G77" i="26"/>
  <c r="U77" i="26"/>
  <c r="W77" i="26" s="1"/>
  <c r="G78" i="26"/>
  <c r="S78" i="26" s="1"/>
  <c r="U78" i="26"/>
  <c r="W78" i="26" s="1"/>
  <c r="Q54" i="26"/>
  <c r="M54" i="26" s="1"/>
  <c r="G69" i="26"/>
  <c r="U69" i="26"/>
  <c r="W69" i="26" s="1"/>
  <c r="J72" i="26"/>
  <c r="K72" i="26" s="1"/>
  <c r="J88" i="26"/>
  <c r="K88" i="26" s="1"/>
  <c r="G64" i="26"/>
  <c r="U64" i="26"/>
  <c r="W64" i="26" s="1"/>
  <c r="U79" i="26"/>
  <c r="W79" i="26" s="1"/>
  <c r="G79" i="26"/>
  <c r="G60" i="26"/>
  <c r="U60" i="26"/>
  <c r="W60" i="26" s="1"/>
  <c r="U55" i="26"/>
  <c r="W55" i="26" s="1"/>
  <c r="G55" i="26"/>
  <c r="G74" i="26"/>
  <c r="U74" i="26"/>
  <c r="W74" i="26" s="1"/>
  <c r="G85" i="26"/>
  <c r="U85" i="26"/>
  <c r="W85" i="26" s="1"/>
  <c r="G75" i="26"/>
  <c r="U75" i="26"/>
  <c r="W75" i="26" s="1"/>
  <c r="S80" i="26"/>
  <c r="U58" i="26"/>
  <c r="W58" i="26" s="1"/>
  <c r="G58" i="26"/>
  <c r="G67" i="26"/>
  <c r="U67" i="26"/>
  <c r="W67" i="26" s="1"/>
  <c r="U70" i="26"/>
  <c r="W70" i="26" s="1"/>
  <c r="G70" i="26"/>
  <c r="G57" i="26"/>
  <c r="U57" i="26"/>
  <c r="W57" i="26" s="1"/>
  <c r="U81" i="26"/>
  <c r="W81" i="26" s="1"/>
  <c r="U61" i="26"/>
  <c r="W61" i="26" s="1"/>
  <c r="G61" i="26"/>
  <c r="M53" i="26"/>
  <c r="U87" i="26"/>
  <c r="W87" i="26" s="1"/>
  <c r="G87" i="26"/>
  <c r="J76" i="26"/>
  <c r="K76" i="26" s="1"/>
  <c r="S76" i="26"/>
  <c r="S59" i="26" l="1"/>
  <c r="S71" i="26"/>
  <c r="S68" i="26"/>
  <c r="J56" i="26"/>
  <c r="K56" i="26" s="1"/>
  <c r="S66" i="26"/>
  <c r="M8" i="66"/>
  <c r="D7" i="66"/>
  <c r="S56" i="26"/>
  <c r="S62" i="26"/>
  <c r="J62" i="26"/>
  <c r="K62" i="26" s="1"/>
  <c r="U54" i="26"/>
  <c r="W54" i="26" s="1"/>
  <c r="G58" i="63" s="1"/>
  <c r="H58" i="63" s="1"/>
  <c r="G54" i="26"/>
  <c r="S69" i="26"/>
  <c r="J69" i="26"/>
  <c r="K69" i="26" s="1"/>
  <c r="J78" i="26"/>
  <c r="K78" i="26" s="1"/>
  <c r="S77" i="26"/>
  <c r="J77" i="26"/>
  <c r="K77" i="26" s="1"/>
  <c r="J66" i="26"/>
  <c r="K66" i="26" s="1"/>
  <c r="S58" i="26"/>
  <c r="J58" i="26"/>
  <c r="K58" i="26" s="1"/>
  <c r="S70" i="26"/>
  <c r="J70" i="26"/>
  <c r="K70" i="26" s="1"/>
  <c r="J87" i="26"/>
  <c r="K87" i="26" s="1"/>
  <c r="S87" i="26"/>
  <c r="S81" i="26"/>
  <c r="S55" i="26"/>
  <c r="J55" i="26"/>
  <c r="K55" i="26" s="1"/>
  <c r="J85" i="26"/>
  <c r="K85" i="26" s="1"/>
  <c r="S85" i="26"/>
  <c r="J67" i="26"/>
  <c r="K67" i="26" s="1"/>
  <c r="S67" i="26"/>
  <c r="J60" i="26"/>
  <c r="K60" i="26" s="1"/>
  <c r="S60" i="26"/>
  <c r="S79" i="26"/>
  <c r="J79" i="26"/>
  <c r="K79" i="26" s="1"/>
  <c r="U53" i="26"/>
  <c r="W53" i="26" s="1"/>
  <c r="G53" i="26"/>
  <c r="S61" i="26"/>
  <c r="J61" i="26"/>
  <c r="K61" i="26" s="1"/>
  <c r="S75" i="26"/>
  <c r="J75" i="26"/>
  <c r="K75" i="26" s="1"/>
  <c r="S57" i="26"/>
  <c r="J57" i="26"/>
  <c r="K57" i="26" s="1"/>
  <c r="J74" i="26"/>
  <c r="K74" i="26" s="1"/>
  <c r="S74" i="26"/>
  <c r="S64" i="26"/>
  <c r="J64" i="26"/>
  <c r="K64" i="26" s="1"/>
  <c r="S54" i="26" l="1"/>
  <c r="J54" i="26"/>
  <c r="K54" i="26" s="1"/>
  <c r="J53" i="26"/>
  <c r="S53" i="26"/>
  <c r="K53" i="26" l="1"/>
  <c r="Q52" i="26" l="1"/>
  <c r="Q90" i="26" s="1"/>
  <c r="C233" i="1" s="1"/>
  <c r="M82" i="26"/>
  <c r="G82" i="26" s="1"/>
  <c r="J82" i="26" l="1"/>
  <c r="S82" i="26"/>
  <c r="G52" i="26"/>
  <c r="M52" i="26"/>
  <c r="M90" i="26" s="1"/>
  <c r="N49" i="77" s="1"/>
  <c r="C230" i="1"/>
  <c r="C7" i="75" l="1" a="1"/>
  <c r="C10" i="83" a="1"/>
  <c r="S52" i="26"/>
  <c r="G90" i="26"/>
  <c r="K82" i="26"/>
  <c r="J52" i="26"/>
  <c r="J90" i="26" s="1"/>
  <c r="C229" i="1"/>
  <c r="C232" i="1" s="1"/>
  <c r="C234" i="1" s="1"/>
  <c r="L52" i="26"/>
  <c r="D234" i="1"/>
  <c r="E10" i="83" l="1"/>
  <c r="F10" i="83"/>
  <c r="C10" i="83"/>
  <c r="D10" i="83"/>
  <c r="E7" i="75"/>
  <c r="C7" i="75"/>
  <c r="F7" i="75"/>
  <c r="D7" i="75"/>
  <c r="K90" i="26"/>
  <c r="G49" i="77"/>
  <c r="F49" i="77"/>
  <c r="S90" i="26"/>
  <c r="E52" i="26"/>
  <c r="E90" i="26" s="1"/>
  <c r="L90" i="26"/>
  <c r="S49" i="77"/>
  <c r="G10" i="83"/>
  <c r="AB49" i="77"/>
  <c r="G7" i="75"/>
  <c r="D22" i="83" l="1"/>
  <c r="D16" i="83"/>
  <c r="H7" i="75"/>
  <c r="C16" i="83"/>
  <c r="C22" i="83"/>
  <c r="F22" i="83"/>
  <c r="F16" i="83"/>
  <c r="E16" i="83"/>
  <c r="E22" i="83"/>
  <c r="C6" i="75" a="1"/>
  <c r="D49" i="77"/>
  <c r="E15" i="81" s="1"/>
  <c r="H49" i="77"/>
  <c r="C49" i="77" s="1"/>
  <c r="K49" i="77"/>
  <c r="B49" i="77"/>
  <c r="C15" i="81" s="1"/>
  <c r="T90" i="26"/>
  <c r="F52" i="26"/>
  <c r="U82" i="26"/>
  <c r="G16" i="83"/>
  <c r="G22" i="83"/>
  <c r="D6" i="75" l="1"/>
  <c r="F6" i="75"/>
  <c r="G6" i="75"/>
  <c r="E6" i="75"/>
  <c r="C6" i="75"/>
  <c r="W82" i="26"/>
  <c r="W52" i="26" s="1"/>
  <c r="W90" i="26" s="1"/>
  <c r="D6" i="66"/>
  <c r="M5" i="66"/>
  <c r="F90" i="26"/>
  <c r="U90" i="26" s="1"/>
  <c r="U52" i="26"/>
  <c r="H6" i="75" l="1"/>
  <c r="I49" i="77"/>
  <c r="W92" i="26"/>
  <c r="W89" i="26" s="1"/>
  <c r="C8" i="75" l="1" a="1"/>
  <c r="C11" i="83" a="1"/>
  <c r="G11" i="83" s="1"/>
  <c r="G8" i="75"/>
  <c r="AN49" i="77"/>
  <c r="AP49" i="77" s="1"/>
  <c r="D90" i="57"/>
  <c r="P76" i="57"/>
  <c r="H80" i="57"/>
  <c r="K61" i="57"/>
  <c r="W53" i="57"/>
  <c r="D29" i="57"/>
  <c r="U50" i="57"/>
  <c r="J78" i="57"/>
  <c r="V51" i="57"/>
  <c r="N79" i="57"/>
  <c r="C82" i="57"/>
  <c r="N87" i="57"/>
  <c r="C58" i="57"/>
  <c r="O62" i="57"/>
  <c r="C84" i="57"/>
  <c r="N47" i="57"/>
  <c r="N50" i="57"/>
  <c r="C95" i="57"/>
  <c r="N24" i="57"/>
  <c r="N68" i="57"/>
  <c r="O78" i="57"/>
  <c r="O14" i="57"/>
  <c r="C83" i="57"/>
  <c r="C50" i="57"/>
  <c r="O17" i="57"/>
  <c r="C30" i="57"/>
  <c r="N40" i="57"/>
  <c r="C46" i="57"/>
  <c r="D48" i="59" s="1"/>
  <c r="D95" i="57"/>
  <c r="F95" i="60" s="1"/>
  <c r="L95" i="60" s="1"/>
  <c r="C59" i="57"/>
  <c r="S59" i="57"/>
  <c r="I11" i="57"/>
  <c r="O90" i="57"/>
  <c r="O72" i="57"/>
  <c r="N60" i="57"/>
  <c r="D84" i="57"/>
  <c r="N63" i="57"/>
  <c r="O60" i="57"/>
  <c r="N22" i="57"/>
  <c r="W54" i="57"/>
  <c r="R15" i="57"/>
  <c r="J101" i="57"/>
  <c r="E14" i="57"/>
  <c r="K29" i="57"/>
  <c r="G58" i="57"/>
  <c r="K47" i="57"/>
  <c r="H75" i="57"/>
  <c r="U73" i="57"/>
  <c r="E55" i="57"/>
  <c r="J66" i="57"/>
  <c r="H18" i="57"/>
  <c r="M50" i="57"/>
  <c r="I22" i="57"/>
  <c r="L95" i="57"/>
  <c r="D23" i="57"/>
  <c r="O49" i="57"/>
  <c r="I70" i="57"/>
  <c r="U60" i="57"/>
  <c r="E102" i="57"/>
  <c r="V76" i="57"/>
  <c r="H97" i="57"/>
  <c r="F21" i="57"/>
  <c r="T14" i="57"/>
  <c r="H95" i="57"/>
  <c r="E69" i="57"/>
  <c r="D51" i="57"/>
  <c r="C85" i="57"/>
  <c r="K18" i="57"/>
  <c r="I24" i="57"/>
  <c r="H70" i="57"/>
  <c r="U49" i="57"/>
  <c r="J32" i="57"/>
  <c r="F50" i="57"/>
  <c r="M89" i="57"/>
  <c r="G45" i="57"/>
  <c r="Q86" i="57"/>
  <c r="X102" i="57"/>
  <c r="J11" i="57"/>
  <c r="D76" i="57"/>
  <c r="U11" i="57"/>
  <c r="D88" i="57"/>
  <c r="C98" i="57"/>
  <c r="K24" i="57"/>
  <c r="Q56" i="57"/>
  <c r="P74" i="57"/>
  <c r="L38" i="57"/>
  <c r="X65" i="57"/>
  <c r="K62" i="57"/>
  <c r="X32" i="57"/>
  <c r="F94" i="57"/>
  <c r="W100" i="57"/>
  <c r="E85" i="57"/>
  <c r="Q85" i="57"/>
  <c r="N27" i="57"/>
  <c r="N84" i="57"/>
  <c r="C79" i="57"/>
  <c r="N53" i="57"/>
  <c r="N102" i="57"/>
  <c r="G95" i="59" s="1"/>
  <c r="F11" i="57"/>
  <c r="N19" i="57"/>
  <c r="N66" i="57"/>
  <c r="H92" i="57"/>
  <c r="D26" i="57"/>
  <c r="C102" i="57"/>
  <c r="D95" i="59" s="1"/>
  <c r="C43" i="57"/>
  <c r="N75" i="57"/>
  <c r="D27" i="57"/>
  <c r="N43" i="57"/>
  <c r="D97" i="57"/>
  <c r="F97" i="60" s="1"/>
  <c r="L97" i="60" s="1"/>
  <c r="D63" i="57"/>
  <c r="D78" i="57"/>
  <c r="C29" i="57"/>
  <c r="D39" i="57"/>
  <c r="J40" i="57"/>
  <c r="L74" i="57"/>
  <c r="O36" i="57"/>
  <c r="C15" i="57"/>
  <c r="D55" i="57"/>
  <c r="O75" i="57"/>
  <c r="C12" i="57"/>
  <c r="C40" i="57"/>
  <c r="D85" i="57"/>
  <c r="D11" i="57"/>
  <c r="G47" i="57"/>
  <c r="R39" i="57"/>
  <c r="T60" i="57"/>
  <c r="P79" i="57"/>
  <c r="H34" i="57"/>
  <c r="V35" i="57"/>
  <c r="F20" i="57"/>
  <c r="K97" i="57"/>
  <c r="W81" i="57"/>
  <c r="H17" i="57"/>
  <c r="I16" i="57"/>
  <c r="G49" i="57"/>
  <c r="J72" i="57"/>
  <c r="V55" i="57"/>
  <c r="M18" i="57"/>
  <c r="N11" i="57"/>
  <c r="O51" i="57"/>
  <c r="J37" i="57"/>
  <c r="Q50" i="57"/>
  <c r="L49" i="57"/>
  <c r="T36" i="57"/>
  <c r="X21" i="57"/>
  <c r="V52" i="57"/>
  <c r="W70" i="57"/>
  <c r="L80" i="57"/>
  <c r="P28" i="57"/>
  <c r="C22" i="57"/>
  <c r="D79" i="57"/>
  <c r="S50" i="57"/>
  <c r="M36" i="57"/>
  <c r="U46" i="57"/>
  <c r="K14" i="57"/>
  <c r="X79" i="57"/>
  <c r="W45" i="57"/>
  <c r="M37" i="57"/>
  <c r="H53" i="57"/>
  <c r="R73" i="57"/>
  <c r="W56" i="57"/>
  <c r="D22" i="57"/>
  <c r="C81" i="57"/>
  <c r="C63" i="57"/>
  <c r="D59" i="57"/>
  <c r="N78" i="57"/>
  <c r="F32" i="57"/>
  <c r="Q48" i="57"/>
  <c r="M46" i="57"/>
  <c r="W65" i="57"/>
  <c r="G97" i="57"/>
  <c r="F56" i="57"/>
  <c r="M32" i="57"/>
  <c r="I14" i="57"/>
  <c r="L16" i="57"/>
  <c r="J90" i="57"/>
  <c r="W20" i="57"/>
  <c r="T54" i="57"/>
  <c r="C73" i="57"/>
  <c r="C69" i="57"/>
  <c r="C66" i="57"/>
  <c r="C74" i="57"/>
  <c r="E11" i="57"/>
  <c r="C41" i="57"/>
  <c r="C61" i="57"/>
  <c r="N39" i="57"/>
  <c r="G11" i="57"/>
  <c r="C21" i="57"/>
  <c r="D53" i="57"/>
  <c r="C38" i="57"/>
  <c r="O84" i="57"/>
  <c r="O43" i="57"/>
  <c r="D32" i="57"/>
  <c r="D34" i="57"/>
  <c r="C20" i="57"/>
  <c r="O58" i="57"/>
  <c r="O32" i="57"/>
  <c r="C24" i="57"/>
  <c r="X48" i="57"/>
  <c r="T68" i="57"/>
  <c r="C64" i="57"/>
  <c r="D101" i="57"/>
  <c r="O80" i="57"/>
  <c r="D37" i="57"/>
  <c r="N29" i="57"/>
  <c r="O15" i="57"/>
  <c r="O88" i="57"/>
  <c r="C32" i="57"/>
  <c r="X51" i="57"/>
  <c r="G81" i="57"/>
  <c r="L89" i="57"/>
  <c r="G52" i="57"/>
  <c r="L35" i="57"/>
  <c r="J86" i="57"/>
  <c r="G101" i="57"/>
  <c r="G95" i="57"/>
  <c r="K85" i="57"/>
  <c r="I21" i="57"/>
  <c r="K16" i="57"/>
  <c r="I52" i="57"/>
  <c r="J100" i="57"/>
  <c r="T30" i="57"/>
  <c r="N41" i="57"/>
  <c r="C19" i="57"/>
  <c r="N74" i="57"/>
  <c r="L87" i="57"/>
  <c r="X35" i="57"/>
  <c r="I27" i="57"/>
  <c r="L44" i="57"/>
  <c r="H67" i="57"/>
  <c r="Q78" i="57"/>
  <c r="T24" i="57"/>
  <c r="G96" i="57"/>
  <c r="M41" i="57"/>
  <c r="D46" i="57"/>
  <c r="E48" i="59" s="1"/>
  <c r="C71" i="57"/>
  <c r="T45" i="57"/>
  <c r="U37" i="57"/>
  <c r="Q64" i="57"/>
  <c r="L98" i="57"/>
  <c r="X75" i="57"/>
  <c r="K20" i="57"/>
  <c r="L28" i="57"/>
  <c r="E12" i="57"/>
  <c r="P78" i="57"/>
  <c r="V67" i="57"/>
  <c r="D102" i="57"/>
  <c r="E95" i="59" s="1"/>
  <c r="O38" i="57"/>
  <c r="C49" i="57"/>
  <c r="C45" i="57"/>
  <c r="N48" i="57"/>
  <c r="H16" i="57"/>
  <c r="T59" i="57"/>
  <c r="U56" i="57"/>
  <c r="J57" i="57"/>
  <c r="W83" i="57"/>
  <c r="K30" i="57"/>
  <c r="M99" i="57"/>
  <c r="W21" i="57"/>
  <c r="S45" i="57"/>
  <c r="P27" i="57"/>
  <c r="K43" i="57"/>
  <c r="J18" i="57"/>
  <c r="V11" i="57"/>
  <c r="N70" i="57"/>
  <c r="N21" i="57"/>
  <c r="D65" i="57"/>
  <c r="N71" i="57"/>
  <c r="C26" i="57"/>
  <c r="D69" i="57"/>
  <c r="D58" i="57"/>
  <c r="N80" i="57"/>
  <c r="G92" i="57"/>
  <c r="E92" i="57"/>
  <c r="N38" i="57"/>
  <c r="N23" i="57"/>
  <c r="T84" i="57"/>
  <c r="V53" i="57"/>
  <c r="L56" i="57"/>
  <c r="W49" i="57"/>
  <c r="L36" i="57"/>
  <c r="M95" i="57"/>
  <c r="D12" i="57"/>
  <c r="N58" i="57"/>
  <c r="N57" i="57"/>
  <c r="O55" i="57"/>
  <c r="O100" i="57"/>
  <c r="N83" i="57"/>
  <c r="L11" i="57"/>
  <c r="O81" i="57"/>
  <c r="C88" i="57"/>
  <c r="D20" i="57"/>
  <c r="N26" i="57"/>
  <c r="C78" i="57"/>
  <c r="N59" i="57"/>
  <c r="D56" i="57"/>
  <c r="N55" i="57"/>
  <c r="O20" i="57"/>
  <c r="L15" i="57"/>
  <c r="L78" i="57"/>
  <c r="P17" i="57"/>
  <c r="V49" i="57"/>
  <c r="F57" i="57"/>
  <c r="J58" i="57"/>
  <c r="R18" i="57"/>
  <c r="C57" i="57"/>
  <c r="N82" i="57"/>
  <c r="C86" i="57"/>
  <c r="C76" i="57"/>
  <c r="D41" i="57"/>
  <c r="N100" i="57"/>
  <c r="D74" i="57"/>
  <c r="O70" i="57"/>
  <c r="N64" i="57"/>
  <c r="N52" i="57"/>
  <c r="C16" i="57"/>
  <c r="O47" i="57"/>
  <c r="N28" i="57"/>
  <c r="D14" i="57"/>
  <c r="K79" i="57"/>
  <c r="F80" i="57"/>
  <c r="F97" i="57"/>
  <c r="L92" i="57"/>
  <c r="U72" i="57"/>
  <c r="R21" i="57"/>
  <c r="W22" i="57"/>
  <c r="W44" i="57"/>
  <c r="N14" i="57"/>
  <c r="C89" i="57"/>
  <c r="I92" i="57"/>
  <c r="O86" i="57"/>
  <c r="D100" i="57"/>
  <c r="D24" i="57"/>
  <c r="D38" i="57"/>
  <c r="D45" i="57"/>
  <c r="D47" i="57"/>
  <c r="N12" i="57"/>
  <c r="D72" i="57"/>
  <c r="K11" i="57"/>
  <c r="M11" i="57"/>
  <c r="D48" i="57"/>
  <c r="K36" i="57"/>
  <c r="Q80" i="57"/>
  <c r="L50" i="57"/>
  <c r="E80" i="57"/>
  <c r="R67" i="57"/>
  <c r="U77" i="57"/>
  <c r="U14" i="57"/>
  <c r="J87" i="57"/>
  <c r="D87" i="57"/>
  <c r="N34" i="57"/>
  <c r="C87" i="57"/>
  <c r="T11" i="57"/>
  <c r="D54" i="57"/>
  <c r="N85" i="57"/>
  <c r="N15" i="57"/>
  <c r="C100" i="57"/>
  <c r="O69" i="57"/>
  <c r="C65" i="57"/>
  <c r="R11" i="57"/>
  <c r="D71" i="57"/>
  <c r="O57" i="57"/>
  <c r="O22" i="57"/>
  <c r="D75" i="57"/>
  <c r="D80" i="57"/>
  <c r="C34" i="57"/>
  <c r="C11" i="57"/>
  <c r="N32" i="57"/>
  <c r="O101" i="57"/>
  <c r="C72" i="57"/>
  <c r="W61" i="57"/>
  <c r="O48" i="57"/>
  <c r="D96" i="57"/>
  <c r="F96" i="60" s="1"/>
  <c r="L96" i="60" s="1"/>
  <c r="C80" i="57"/>
  <c r="D70" i="57"/>
  <c r="N65" i="57"/>
  <c r="O59" i="57"/>
  <c r="N45" i="57"/>
  <c r="C52" i="57"/>
  <c r="J43" i="57"/>
  <c r="U88" i="57"/>
  <c r="S47" i="57"/>
  <c r="T66" i="57"/>
  <c r="J84" i="57"/>
  <c r="V40" i="57"/>
  <c r="G18" i="57"/>
  <c r="F88" i="57"/>
  <c r="T100" i="57"/>
  <c r="W41" i="57"/>
  <c r="E88" i="57"/>
  <c r="L17" i="57"/>
  <c r="L18" i="57"/>
  <c r="S41" i="57"/>
  <c r="U45" i="57"/>
  <c r="O85" i="57"/>
  <c r="O73" i="57"/>
  <c r="J17" i="57"/>
  <c r="I102" i="57"/>
  <c r="J79" i="57"/>
  <c r="Q73" i="57"/>
  <c r="Q68" i="57"/>
  <c r="E34" i="57"/>
  <c r="S32" i="57"/>
  <c r="E40" i="57"/>
  <c r="F43" i="57"/>
  <c r="P11" i="57"/>
  <c r="D99" i="57"/>
  <c r="F99" i="60" s="1"/>
  <c r="L99" i="60" s="1"/>
  <c r="X69" i="57"/>
  <c r="V12" i="57"/>
  <c r="L51" i="57"/>
  <c r="V81" i="57"/>
  <c r="L29" i="57"/>
  <c r="K70" i="57"/>
  <c r="K73" i="57"/>
  <c r="I78" i="57"/>
  <c r="G63" i="57"/>
  <c r="M98" i="57"/>
  <c r="N88" i="57"/>
  <c r="O56" i="57"/>
  <c r="C67" i="57"/>
  <c r="O45" i="57"/>
  <c r="O24" i="57"/>
  <c r="D43" i="57"/>
  <c r="O65" i="57"/>
  <c r="N77" i="57"/>
  <c r="C75" i="57"/>
  <c r="T80" i="57"/>
  <c r="D83" i="57"/>
  <c r="C70" i="57"/>
  <c r="D57" i="57"/>
  <c r="C90" i="57"/>
  <c r="M86" i="57"/>
  <c r="G55" i="57"/>
  <c r="J24" i="57"/>
  <c r="P36" i="57"/>
  <c r="X86" i="57"/>
  <c r="T48" i="57"/>
  <c r="K21" i="57"/>
  <c r="N62" i="57"/>
  <c r="H102" i="57"/>
  <c r="T52" i="57"/>
  <c r="H36" i="57"/>
  <c r="T29" i="57"/>
  <c r="F75" i="57"/>
  <c r="Q11" i="57"/>
  <c r="X76" i="57"/>
  <c r="M12" i="57"/>
  <c r="K40" i="57"/>
  <c r="I82" i="57"/>
  <c r="I62" i="57"/>
  <c r="N54" i="57"/>
  <c r="W11" i="57"/>
  <c r="O74" i="57"/>
  <c r="F51" i="57"/>
  <c r="T63" i="57"/>
  <c r="U41" i="57"/>
  <c r="K57" i="57"/>
  <c r="S83" i="57"/>
  <c r="C44" i="57"/>
  <c r="V27" i="57"/>
  <c r="M83" i="57"/>
  <c r="P89" i="57"/>
  <c r="K74" i="57"/>
  <c r="J65" i="57"/>
  <c r="S39" i="57"/>
  <c r="I77" i="57"/>
  <c r="W51" i="57"/>
  <c r="E27" i="57"/>
  <c r="H60" i="57"/>
  <c r="G72" i="57"/>
  <c r="Q58" i="57"/>
  <c r="S72" i="57"/>
  <c r="J93" i="57"/>
  <c r="F49" i="57"/>
  <c r="M94" i="57"/>
  <c r="C53" i="57"/>
  <c r="T87" i="57"/>
  <c r="K67" i="57"/>
  <c r="E78" i="57"/>
  <c r="F89" i="57"/>
  <c r="R41" i="57"/>
  <c r="R76" i="57"/>
  <c r="F72" i="57"/>
  <c r="R70" i="57"/>
  <c r="J80" i="57"/>
  <c r="D73" i="57"/>
  <c r="F28" i="57"/>
  <c r="F27" i="57"/>
  <c r="J34" i="57"/>
  <c r="R64" i="57"/>
  <c r="P44" i="57"/>
  <c r="V68" i="57"/>
  <c r="F15" i="57"/>
  <c r="V43" i="57"/>
  <c r="O54" i="57"/>
  <c r="F71" i="57"/>
  <c r="V16" i="57"/>
  <c r="Q69" i="57"/>
  <c r="S65" i="57"/>
  <c r="I79" i="57"/>
  <c r="L46" i="57"/>
  <c r="I58" i="57"/>
  <c r="M58" i="57"/>
  <c r="D21" i="57"/>
  <c r="X60" i="57"/>
  <c r="L68" i="57"/>
  <c r="W69" i="57"/>
  <c r="M45" i="57"/>
  <c r="M44" i="57"/>
  <c r="I60" i="57"/>
  <c r="M54" i="57"/>
  <c r="F47" i="57"/>
  <c r="M24" i="57"/>
  <c r="Q55" i="57"/>
  <c r="T81" i="57"/>
  <c r="G67" i="57"/>
  <c r="E45" i="57"/>
  <c r="I38" i="57"/>
  <c r="P90" i="57"/>
  <c r="T83" i="57"/>
  <c r="R57" i="57"/>
  <c r="P62" i="57"/>
  <c r="J55" i="57"/>
  <c r="X27" i="57"/>
  <c r="E26" i="57"/>
  <c r="H29" i="57"/>
  <c r="E35" i="57"/>
  <c r="O46" i="57"/>
  <c r="H48" i="59" s="1"/>
  <c r="O63" i="57"/>
  <c r="D49" i="57"/>
  <c r="M21" i="57"/>
  <c r="O66" i="57"/>
  <c r="S11" i="57"/>
  <c r="O28" i="57"/>
  <c r="H30" i="59" s="1"/>
  <c r="D98" i="57"/>
  <c r="F98" i="60" s="1"/>
  <c r="L98" i="60" s="1"/>
  <c r="G82" i="57"/>
  <c r="M26" i="57"/>
  <c r="L69" i="57"/>
  <c r="P24" i="57"/>
  <c r="E50" i="57"/>
  <c r="K19" i="57"/>
  <c r="U86" i="57"/>
  <c r="D93" i="57"/>
  <c r="F93" i="60" s="1"/>
  <c r="L93" i="60" s="1"/>
  <c r="P61" i="57"/>
  <c r="W19" i="57"/>
  <c r="X47" i="57"/>
  <c r="M52" i="57"/>
  <c r="J63" i="57"/>
  <c r="S19" i="57"/>
  <c r="G68" i="57"/>
  <c r="P59" i="57"/>
  <c r="V34" i="57"/>
  <c r="R71" i="57"/>
  <c r="V62" i="57"/>
  <c r="D82" i="57"/>
  <c r="O77" i="57"/>
  <c r="H45" i="57"/>
  <c r="L85" i="57"/>
  <c r="E66" i="57"/>
  <c r="E71" i="57"/>
  <c r="W18" i="57"/>
  <c r="X14" i="57"/>
  <c r="O71" i="57"/>
  <c r="K102" i="57"/>
  <c r="L94" i="57"/>
  <c r="E53" i="57"/>
  <c r="G50" i="57"/>
  <c r="L27" i="57"/>
  <c r="J41" i="57"/>
  <c r="M87" i="57"/>
  <c r="E90" i="57"/>
  <c r="E95" i="57"/>
  <c r="G70" i="57"/>
  <c r="U78" i="57"/>
  <c r="I97" i="57"/>
  <c r="T72" i="57"/>
  <c r="F101" i="57"/>
  <c r="J36" i="57"/>
  <c r="V86" i="57"/>
  <c r="D19" i="57"/>
  <c r="S34" i="57"/>
  <c r="X80" i="57"/>
  <c r="X58" i="57"/>
  <c r="I99" i="57"/>
  <c r="U102" i="57"/>
  <c r="L32" i="57"/>
  <c r="W58" i="57"/>
  <c r="Q82" i="57"/>
  <c r="J21" i="57"/>
  <c r="P39" i="57"/>
  <c r="I87" i="57"/>
  <c r="S80" i="57"/>
  <c r="E18" i="57"/>
  <c r="H98" i="57"/>
  <c r="I44" i="57"/>
  <c r="Q22" i="57"/>
  <c r="K45" i="57"/>
  <c r="K68" i="57"/>
  <c r="C92" i="57"/>
  <c r="I41" i="57"/>
  <c r="L90" i="57"/>
  <c r="G84" i="57"/>
  <c r="I96" i="57"/>
  <c r="J68" i="57"/>
  <c r="V59" i="57"/>
  <c r="W102" i="57"/>
  <c r="H79" i="57"/>
  <c r="X62" i="57"/>
  <c r="L48" i="57"/>
  <c r="P67" i="57"/>
  <c r="J22" i="57"/>
  <c r="M96" i="57"/>
  <c r="U23" i="57"/>
  <c r="E84" i="57"/>
  <c r="T21" i="57"/>
  <c r="H99" i="57"/>
  <c r="F81" i="57"/>
  <c r="T64" i="57"/>
  <c r="Q40" i="57"/>
  <c r="D35" i="57"/>
  <c r="N46" i="57"/>
  <c r="G48" i="59" s="1"/>
  <c r="O64" i="57"/>
  <c r="D64" i="57"/>
  <c r="O76" i="57"/>
  <c r="O16" i="57"/>
  <c r="N16" i="57"/>
  <c r="C39" i="57"/>
  <c r="D61" i="57"/>
  <c r="X64" i="57"/>
  <c r="E57" i="57"/>
  <c r="F54" i="57"/>
  <c r="R79" i="57"/>
  <c r="S24" i="57"/>
  <c r="X88" i="57"/>
  <c r="U17" i="57"/>
  <c r="D62" i="57"/>
  <c r="F76" i="57"/>
  <c r="V79" i="57"/>
  <c r="R65" i="57"/>
  <c r="L86" i="57"/>
  <c r="U20" i="57"/>
  <c r="V50" i="57"/>
  <c r="H69" i="57"/>
  <c r="P77" i="57"/>
  <c r="M101" i="57"/>
  <c r="S71" i="57"/>
  <c r="I46" i="57"/>
  <c r="C99" i="57"/>
  <c r="O67" i="57"/>
  <c r="W57" i="57"/>
  <c r="K53" i="57"/>
  <c r="V19" i="57"/>
  <c r="X41" i="57"/>
  <c r="X54" i="57"/>
  <c r="F78" i="57"/>
  <c r="T67" i="57"/>
  <c r="J85" i="57"/>
  <c r="F22" i="57"/>
  <c r="U24" i="57"/>
  <c r="M80" i="57"/>
  <c r="U22" i="57"/>
  <c r="G89" i="57"/>
  <c r="M88" i="57"/>
  <c r="U39" i="57"/>
  <c r="I81" i="57"/>
  <c r="J67" i="57"/>
  <c r="Q45" i="57"/>
  <c r="I89" i="57"/>
  <c r="J15" i="57"/>
  <c r="K96" i="57"/>
  <c r="S36" i="57"/>
  <c r="R66" i="57"/>
  <c r="O21" i="57"/>
  <c r="H82" i="57"/>
  <c r="I43" i="57"/>
  <c r="H14" i="57"/>
  <c r="G12" i="57"/>
  <c r="X36" i="57"/>
  <c r="R20" i="57"/>
  <c r="I68" i="57"/>
  <c r="K75" i="57"/>
  <c r="S76" i="57"/>
  <c r="J52" i="57"/>
  <c r="J54" i="57"/>
  <c r="F77" i="57"/>
  <c r="E61" i="57"/>
  <c r="S27" i="57"/>
  <c r="Q26" i="57"/>
  <c r="K46" i="57"/>
  <c r="W40" i="57"/>
  <c r="M29" i="57"/>
  <c r="K23" i="57"/>
  <c r="R75" i="57"/>
  <c r="L67" i="57"/>
  <c r="J19" i="57"/>
  <c r="X78" i="57"/>
  <c r="L72" i="57"/>
  <c r="H77" i="57"/>
  <c r="E87" i="57"/>
  <c r="Q43" i="57"/>
  <c r="P80" i="57"/>
  <c r="F58" i="57"/>
  <c r="H49" i="57"/>
  <c r="M78" i="57"/>
  <c r="R90" i="57"/>
  <c r="W27" i="57"/>
  <c r="H50" i="57"/>
  <c r="E60" i="57"/>
  <c r="I83" i="57"/>
  <c r="I74" i="57"/>
  <c r="P30" i="57"/>
  <c r="Q100" i="57"/>
  <c r="N49" i="57"/>
  <c r="D30" i="57"/>
  <c r="N86" i="57"/>
  <c r="C56" i="57"/>
  <c r="N73" i="57"/>
  <c r="O68" i="57"/>
  <c r="F92" i="57"/>
  <c r="N69" i="57"/>
  <c r="D44" i="57"/>
  <c r="C62" i="57"/>
  <c r="O26" i="57"/>
  <c r="D89" i="57"/>
  <c r="D86" i="57"/>
  <c r="N44" i="57"/>
  <c r="N36" i="57"/>
  <c r="N76" i="57"/>
  <c r="C51" i="57"/>
  <c r="C27" i="57"/>
  <c r="Q16" i="57"/>
  <c r="I51" i="57"/>
  <c r="J94" i="57"/>
  <c r="S70" i="57"/>
  <c r="G73" i="57"/>
  <c r="H58" i="57"/>
  <c r="X38" i="57"/>
  <c r="N20" i="57"/>
  <c r="P20" i="57"/>
  <c r="Q30" i="57"/>
  <c r="K38" i="57"/>
  <c r="M69" i="57"/>
  <c r="D40" i="57"/>
  <c r="Q27" i="57"/>
  <c r="L73" i="57"/>
  <c r="P63" i="57"/>
  <c r="L23" i="57"/>
  <c r="M97" i="57"/>
  <c r="C54" i="57"/>
  <c r="D28" i="57"/>
  <c r="O29" i="57"/>
  <c r="S17" i="57"/>
  <c r="F36" i="57"/>
  <c r="S30" i="57"/>
  <c r="S12" i="57"/>
  <c r="L101" i="57"/>
  <c r="E54" i="57"/>
  <c r="V29" i="57"/>
  <c r="L88" i="57"/>
  <c r="E101" i="57"/>
  <c r="F61" i="57"/>
  <c r="T74" i="57"/>
  <c r="R27" i="57"/>
  <c r="L19" i="57"/>
  <c r="J69" i="57"/>
  <c r="L24" i="57"/>
  <c r="V37" i="57"/>
  <c r="U62" i="57"/>
  <c r="S64" i="57"/>
  <c r="V36" i="57"/>
  <c r="L77" i="57"/>
  <c r="J73" i="57"/>
  <c r="G24" i="57"/>
  <c r="V32" i="57"/>
  <c r="K92" i="57"/>
  <c r="M65" i="57"/>
  <c r="H68" i="57"/>
  <c r="I98" i="57"/>
  <c r="H43" i="57"/>
  <c r="V63" i="57"/>
  <c r="J47" i="57"/>
  <c r="T26" i="57"/>
  <c r="U69" i="57"/>
  <c r="L82" i="57"/>
  <c r="S29" i="57"/>
  <c r="W67" i="57"/>
  <c r="G38" i="57"/>
  <c r="T90" i="57"/>
  <c r="P68" i="57"/>
  <c r="W12" i="57"/>
  <c r="T22" i="57"/>
  <c r="I17" i="57"/>
  <c r="O83" i="57"/>
  <c r="M59" i="57"/>
  <c r="H41" i="57"/>
  <c r="T46" i="57"/>
  <c r="I71" i="57"/>
  <c r="F63" i="57"/>
  <c r="K72" i="57"/>
  <c r="X63" i="57"/>
  <c r="S69" i="57"/>
  <c r="I100" i="57"/>
  <c r="L99" i="57"/>
  <c r="L22" i="57"/>
  <c r="R51" i="57"/>
  <c r="K99" i="57"/>
  <c r="O102" i="57"/>
  <c r="H95" i="59" s="1"/>
  <c r="O52" i="57"/>
  <c r="O35" i="57"/>
  <c r="V100" i="57"/>
  <c r="D36" i="57"/>
  <c r="C48" i="57"/>
  <c r="M92" i="57"/>
  <c r="C60" i="57"/>
  <c r="P37" i="57"/>
  <c r="V78" i="57"/>
  <c r="Q39" i="57"/>
  <c r="G21" i="57"/>
  <c r="D81" i="57"/>
  <c r="C96" i="57"/>
  <c r="C37" i="57"/>
  <c r="K52" i="57"/>
  <c r="C77" i="57"/>
  <c r="O89" i="57"/>
  <c r="O23" i="57"/>
  <c r="O39" i="57"/>
  <c r="N101" i="57"/>
  <c r="O44" i="57"/>
  <c r="J83" i="57"/>
  <c r="I75" i="57"/>
  <c r="J45" i="57"/>
  <c r="S101" i="57"/>
  <c r="C36" i="57"/>
  <c r="P88" i="57"/>
  <c r="H65" i="57"/>
  <c r="N56" i="57"/>
  <c r="U84" i="57"/>
  <c r="M55" i="57"/>
  <c r="C23" i="57"/>
  <c r="O34" i="57"/>
  <c r="T56" i="57"/>
  <c r="F84" i="57"/>
  <c r="E39" i="57"/>
  <c r="U54" i="57"/>
  <c r="L52" i="57"/>
  <c r="K60" i="57"/>
  <c r="U52" i="57"/>
  <c r="G100" i="57"/>
  <c r="U28" i="57"/>
  <c r="M90" i="57"/>
  <c r="V47" i="57"/>
  <c r="D18" i="57"/>
  <c r="K59" i="57"/>
  <c r="W86" i="57"/>
  <c r="U40" i="57"/>
  <c r="E65" i="57"/>
  <c r="E23" i="57"/>
  <c r="T16" i="57"/>
  <c r="G74" i="57"/>
  <c r="P64" i="57"/>
  <c r="D17" i="57"/>
  <c r="E36" i="57"/>
  <c r="T20" i="57"/>
  <c r="L64" i="57"/>
  <c r="K34" i="57"/>
  <c r="G32" i="57"/>
  <c r="I72" i="57"/>
  <c r="K80" i="57"/>
  <c r="X57" i="57"/>
  <c r="M62" i="57"/>
  <c r="W64" i="57"/>
  <c r="K88" i="57"/>
  <c r="K35" i="57"/>
  <c r="Q83" i="57"/>
  <c r="H46" i="57"/>
  <c r="P38" i="57"/>
  <c r="J81" i="57"/>
  <c r="T71" i="57"/>
  <c r="E30" i="57"/>
  <c r="T35" i="57"/>
  <c r="X30" i="57"/>
  <c r="Q75" i="57"/>
  <c r="E29" i="57"/>
  <c r="N81" i="57"/>
  <c r="F69" i="57"/>
  <c r="G27" i="57"/>
  <c r="V84" i="57"/>
  <c r="M84" i="57"/>
  <c r="O50" i="57"/>
  <c r="F67" i="57"/>
  <c r="I39" i="57"/>
  <c r="N90" i="57"/>
  <c r="V64" i="57"/>
  <c r="X56" i="57"/>
  <c r="U51" i="57"/>
  <c r="W87" i="57"/>
  <c r="F79" i="57"/>
  <c r="W80" i="57"/>
  <c r="W28" i="57"/>
  <c r="M75" i="57"/>
  <c r="V17" i="57"/>
  <c r="E17" i="57"/>
  <c r="G60" i="57"/>
  <c r="G94" i="57"/>
  <c r="Q51" i="57"/>
  <c r="G14" i="57"/>
  <c r="E48" i="57"/>
  <c r="X43" i="57"/>
  <c r="V20" i="57"/>
  <c r="W66" i="57"/>
  <c r="W52" i="57"/>
  <c r="N35" i="57"/>
  <c r="U12" i="57"/>
  <c r="I30" i="57"/>
  <c r="U43" i="57"/>
  <c r="E58" i="57"/>
  <c r="E43" i="57"/>
  <c r="V22" i="57"/>
  <c r="T32" i="57"/>
  <c r="I76" i="57"/>
  <c r="J16" i="57"/>
  <c r="Q21" i="57"/>
  <c r="K69" i="57"/>
  <c r="E89" i="57"/>
  <c r="F82" i="57"/>
  <c r="R85" i="57"/>
  <c r="M76" i="57"/>
  <c r="S87" i="57"/>
  <c r="U36" i="57"/>
  <c r="X29" i="57"/>
  <c r="I36" i="57"/>
  <c r="U63" i="57"/>
  <c r="Q35" i="57"/>
  <c r="G19" i="57"/>
  <c r="M81" i="57"/>
  <c r="H90" i="57"/>
  <c r="S86" i="57"/>
  <c r="R22" i="57"/>
  <c r="I23" i="57"/>
  <c r="X49" i="57"/>
  <c r="V41" i="57"/>
  <c r="V28" i="57"/>
  <c r="P45" i="57"/>
  <c r="X39" i="57"/>
  <c r="U29" i="57"/>
  <c r="M72" i="57"/>
  <c r="H94" i="57"/>
  <c r="M67" i="57"/>
  <c r="H89" i="57"/>
  <c r="E72" i="57"/>
  <c r="W85" i="57"/>
  <c r="S90" i="57"/>
  <c r="S14" i="57"/>
  <c r="Q54" i="57"/>
  <c r="M68" i="57"/>
  <c r="R29" i="57"/>
  <c r="H28" i="57"/>
  <c r="L34" i="57"/>
  <c r="P43" i="57"/>
  <c r="M60" i="57"/>
  <c r="T82" i="57"/>
  <c r="Q23" i="57"/>
  <c r="T75" i="57"/>
  <c r="X26" i="57"/>
  <c r="O12" i="57"/>
  <c r="M79" i="57"/>
  <c r="F52" i="57"/>
  <c r="K12" i="57"/>
  <c r="N17" i="57"/>
  <c r="Q60" i="57"/>
  <c r="S37" i="57"/>
  <c r="C28" i="57"/>
  <c r="T38" i="57"/>
  <c r="P23" i="57"/>
  <c r="O37" i="57"/>
  <c r="O30" i="57"/>
  <c r="F59" i="57"/>
  <c r="G29" i="57"/>
  <c r="G22" i="57"/>
  <c r="S38" i="57"/>
  <c r="W74" i="57"/>
  <c r="E70" i="57"/>
  <c r="E73" i="57"/>
  <c r="U85" i="57"/>
  <c r="M70" i="57"/>
  <c r="E62" i="57"/>
  <c r="M73" i="57"/>
  <c r="P26" i="57"/>
  <c r="K94" i="57"/>
  <c r="V24" i="57"/>
  <c r="X70" i="57"/>
  <c r="R88" i="57"/>
  <c r="S46" i="57"/>
  <c r="U35" i="57"/>
  <c r="S43" i="57"/>
  <c r="R61" i="57"/>
  <c r="N51" i="57"/>
  <c r="L62" i="57"/>
  <c r="K37" i="57"/>
  <c r="L65" i="57"/>
  <c r="E77" i="57"/>
  <c r="Q72" i="57"/>
  <c r="E32" i="57"/>
  <c r="R87" i="57"/>
  <c r="W46" i="57"/>
  <c r="W78" i="57"/>
  <c r="G78" i="57"/>
  <c r="Q81" i="57"/>
  <c r="W23" i="57"/>
  <c r="G28" i="57"/>
  <c r="S56" i="57"/>
  <c r="V57" i="57"/>
  <c r="V71" i="57"/>
  <c r="P51" i="57"/>
  <c r="E19" i="57"/>
  <c r="S28" i="57"/>
  <c r="T27" i="57"/>
  <c r="E81" i="57"/>
  <c r="E15" i="57"/>
  <c r="I64" i="57"/>
  <c r="L61" i="57"/>
  <c r="R14" i="57"/>
  <c r="F62" i="57"/>
  <c r="J96" i="57"/>
  <c r="X84" i="57"/>
  <c r="Q41" i="57"/>
  <c r="U26" i="57"/>
  <c r="D16" i="57"/>
  <c r="I63" i="57"/>
  <c r="J102" i="57"/>
  <c r="R32" i="57"/>
  <c r="X20" i="57"/>
  <c r="F93" i="57"/>
  <c r="R54" i="57"/>
  <c r="S102" i="57"/>
  <c r="J70" i="57"/>
  <c r="R69" i="57"/>
  <c r="G66" i="57"/>
  <c r="F70" i="57"/>
  <c r="H24" i="57"/>
  <c r="U15" i="57"/>
  <c r="C55" i="57"/>
  <c r="K76" i="57"/>
  <c r="I57" i="57"/>
  <c r="D77" i="57"/>
  <c r="J98" i="57"/>
  <c r="S88" i="57"/>
  <c r="N18" i="57"/>
  <c r="T85" i="57"/>
  <c r="F64" i="57"/>
  <c r="E99" i="57"/>
  <c r="E49" i="57"/>
  <c r="V80" i="57"/>
  <c r="U27" i="57"/>
  <c r="R48" i="57"/>
  <c r="W101" i="57"/>
  <c r="U59" i="57"/>
  <c r="X37" i="57"/>
  <c r="R12" i="57"/>
  <c r="V44" i="57"/>
  <c r="M66" i="57"/>
  <c r="K15" i="57"/>
  <c r="Q36" i="57"/>
  <c r="Q89" i="57"/>
  <c r="I67" i="57"/>
  <c r="J97" i="57"/>
  <c r="E51" i="57"/>
  <c r="S100" i="57"/>
  <c r="O87" i="57"/>
  <c r="U79" i="57"/>
  <c r="Q57" i="57"/>
  <c r="O19" i="57"/>
  <c r="J46" i="57"/>
  <c r="S63" i="57"/>
  <c r="V101" i="57"/>
  <c r="O82" i="57"/>
  <c r="R36" i="57"/>
  <c r="L60" i="57"/>
  <c r="F68" i="57"/>
  <c r="J39" i="57"/>
  <c r="Q52" i="57"/>
  <c r="O11" i="57"/>
  <c r="F23" i="57"/>
  <c r="Q79" i="57"/>
  <c r="T19" i="57"/>
  <c r="G93" i="57"/>
  <c r="F19" i="57"/>
  <c r="U48" i="57"/>
  <c r="H81" i="57"/>
  <c r="J51" i="57"/>
  <c r="Q44" i="57"/>
  <c r="M100" i="57"/>
  <c r="R55" i="57"/>
  <c r="U16" i="57"/>
  <c r="F35" i="57"/>
  <c r="G62" i="57"/>
  <c r="T61" i="57"/>
  <c r="D67" i="57"/>
  <c r="W48" i="57"/>
  <c r="X44" i="57"/>
  <c r="H32" i="57"/>
  <c r="J92" i="57"/>
  <c r="I48" i="57"/>
  <c r="K17" i="57"/>
  <c r="H26" i="57"/>
  <c r="L21" i="57"/>
  <c r="Q18" i="57"/>
  <c r="N67" i="57"/>
  <c r="W24" i="57"/>
  <c r="I54" i="57"/>
  <c r="E83" i="57"/>
  <c r="M20" i="57"/>
  <c r="F102" i="57"/>
  <c r="J53" i="57"/>
  <c r="W35" i="57"/>
  <c r="X82" i="57"/>
  <c r="S55" i="57"/>
  <c r="K87" i="57"/>
  <c r="G87" i="57"/>
  <c r="W75" i="57"/>
  <c r="M74" i="57"/>
  <c r="L66" i="57"/>
  <c r="X77" i="57"/>
  <c r="G41" i="57"/>
  <c r="N61" i="57"/>
  <c r="I65" i="57"/>
  <c r="L70" i="57"/>
  <c r="R28" i="57"/>
  <c r="O18" i="57"/>
  <c r="U75" i="57"/>
  <c r="F30" i="57"/>
  <c r="S81" i="57"/>
  <c r="V14" i="57"/>
  <c r="L100" i="57"/>
  <c r="D68" i="57"/>
  <c r="L40" i="57"/>
  <c r="G26" i="57"/>
  <c r="T76" i="57"/>
  <c r="I88" i="57"/>
  <c r="J44" i="57"/>
  <c r="Q12" i="57"/>
  <c r="M14" i="57"/>
  <c r="X55" i="57"/>
  <c r="P54" i="57"/>
  <c r="U19" i="57"/>
  <c r="I55" i="57"/>
  <c r="F38" i="57"/>
  <c r="R30" i="57"/>
  <c r="P52" i="57"/>
  <c r="J61" i="57"/>
  <c r="R89" i="57"/>
  <c r="H11" i="57"/>
  <c r="G54" i="57"/>
  <c r="E47" i="57"/>
  <c r="X18" i="57"/>
  <c r="L57" i="57"/>
  <c r="Q74" i="57"/>
  <c r="S68" i="57"/>
  <c r="I95" i="57"/>
  <c r="X71" i="57"/>
  <c r="K83" i="57"/>
  <c r="Q49" i="57"/>
  <c r="X12" i="57"/>
  <c r="L12" i="57"/>
  <c r="G48" i="57"/>
  <c r="H96" i="57"/>
  <c r="J30" i="57"/>
  <c r="R35" i="57"/>
  <c r="R17" i="57"/>
  <c r="E64" i="57"/>
  <c r="F86" i="57"/>
  <c r="P69" i="57"/>
  <c r="M53" i="57"/>
  <c r="I93" i="57"/>
  <c r="M47" i="57"/>
  <c r="X45" i="57"/>
  <c r="M17" i="57"/>
  <c r="H40" i="57"/>
  <c r="T77" i="57"/>
  <c r="R38" i="57"/>
  <c r="P19" i="57"/>
  <c r="V46" i="57"/>
  <c r="W39" i="57"/>
  <c r="M38" i="57"/>
  <c r="K22" i="57"/>
  <c r="U81" i="57"/>
  <c r="S61" i="57"/>
  <c r="F18" i="57"/>
  <c r="H87" i="57"/>
  <c r="Q102" i="57"/>
  <c r="S20" i="57"/>
  <c r="I15" i="57"/>
  <c r="K44" i="57"/>
  <c r="H72" i="57"/>
  <c r="W26" i="57"/>
  <c r="H27" i="57"/>
  <c r="E96" i="57"/>
  <c r="G99" i="57"/>
  <c r="X72" i="57"/>
  <c r="F73" i="57"/>
  <c r="J27" i="57"/>
  <c r="S51" i="57"/>
  <c r="H38" i="57"/>
  <c r="T39" i="57"/>
  <c r="S78" i="57"/>
  <c r="K26" i="57"/>
  <c r="R19" i="57"/>
  <c r="G23" i="57"/>
  <c r="F41" i="57"/>
  <c r="F66" i="57"/>
  <c r="H73" i="57"/>
  <c r="R44" i="57"/>
  <c r="U38" i="57"/>
  <c r="K89" i="57"/>
  <c r="K32" i="57"/>
  <c r="X81" i="57"/>
  <c r="P85" i="57"/>
  <c r="S48" i="57"/>
  <c r="K66" i="57"/>
  <c r="C93" i="57"/>
  <c r="R52" i="57"/>
  <c r="M51" i="57"/>
  <c r="R53" i="57"/>
  <c r="K100" i="57"/>
  <c r="E59" i="57"/>
  <c r="V73" i="57"/>
  <c r="M39" i="57"/>
  <c r="G79" i="57"/>
  <c r="K28" i="57"/>
  <c r="U89" i="57"/>
  <c r="H52" i="57"/>
  <c r="C35" i="57"/>
  <c r="T69" i="57"/>
  <c r="I84" i="57"/>
  <c r="V88" i="57"/>
  <c r="R37" i="57"/>
  <c r="F34" i="57"/>
  <c r="G88" i="57"/>
  <c r="O41" i="57"/>
  <c r="Q70" i="57"/>
  <c r="J95" i="57"/>
  <c r="H48" i="57"/>
  <c r="Q28" i="57"/>
  <c r="R24" i="57"/>
  <c r="K48" i="57"/>
  <c r="E21" i="57"/>
  <c r="V60" i="57"/>
  <c r="W17" i="57"/>
  <c r="D52" i="57"/>
  <c r="J59" i="57"/>
  <c r="I101" i="57"/>
  <c r="E24" i="57"/>
  <c r="S16" i="57"/>
  <c r="F24" i="57"/>
  <c r="Q61" i="57"/>
  <c r="L96" i="57"/>
  <c r="S85" i="57"/>
  <c r="I66" i="57"/>
  <c r="L79" i="57"/>
  <c r="Q62" i="57"/>
  <c r="D66" i="57"/>
  <c r="S60" i="57"/>
  <c r="K56" i="57"/>
  <c r="U76" i="57"/>
  <c r="P71" i="57"/>
  <c r="O53" i="57"/>
  <c r="H19" i="57"/>
  <c r="M34" i="57"/>
  <c r="P29" i="57"/>
  <c r="V74" i="57"/>
  <c r="L53" i="57"/>
  <c r="P75" i="57"/>
  <c r="T49" i="57"/>
  <c r="H37" i="57"/>
  <c r="C68" i="57"/>
  <c r="H78" i="57"/>
  <c r="W79" i="57"/>
  <c r="X74" i="57"/>
  <c r="S77" i="57"/>
  <c r="J23" i="57"/>
  <c r="U83" i="57"/>
  <c r="T79" i="57"/>
  <c r="R16" i="57"/>
  <c r="G17" i="57"/>
  <c r="E44" i="57"/>
  <c r="G56" i="57"/>
  <c r="T17" i="57"/>
  <c r="V70" i="57"/>
  <c r="L76" i="57"/>
  <c r="H54" i="57"/>
  <c r="I56" i="57"/>
  <c r="P50" i="57"/>
  <c r="T41" i="57"/>
  <c r="S62" i="57"/>
  <c r="S73" i="57"/>
  <c r="V56" i="57"/>
  <c r="W16" i="57"/>
  <c r="L75" i="57"/>
  <c r="V15" i="57"/>
  <c r="T70" i="57"/>
  <c r="F74" i="57"/>
  <c r="V48" i="57"/>
  <c r="K77" i="57"/>
  <c r="M82" i="57"/>
  <c r="U30" i="57"/>
  <c r="H64" i="57"/>
  <c r="E20" i="57"/>
  <c r="Q53" i="57"/>
  <c r="R60" i="57"/>
  <c r="E97" i="57"/>
  <c r="H62" i="57"/>
  <c r="Q34" i="57"/>
  <c r="W50" i="57"/>
  <c r="J28" i="57"/>
  <c r="P82" i="57"/>
  <c r="S75" i="57"/>
  <c r="I37" i="57"/>
  <c r="K58" i="57"/>
  <c r="T57" i="57"/>
  <c r="J88" i="57"/>
  <c r="W30" i="57"/>
  <c r="H47" i="57"/>
  <c r="F17" i="57"/>
  <c r="C17" i="57"/>
  <c r="T78" i="57"/>
  <c r="M61" i="57"/>
  <c r="M30" i="57"/>
  <c r="P100" i="57"/>
  <c r="M85" i="57"/>
  <c r="D15" i="57"/>
  <c r="F53" i="57"/>
  <c r="S79" i="57"/>
  <c r="N89" i="57"/>
  <c r="N37" i="57"/>
  <c r="S89" i="57"/>
  <c r="Q71" i="57"/>
  <c r="R72" i="57"/>
  <c r="Q77" i="57"/>
  <c r="S40" i="57"/>
  <c r="E100" i="57"/>
  <c r="P41" i="57"/>
  <c r="P53" i="57"/>
  <c r="P18" i="57"/>
  <c r="X28" i="57"/>
  <c r="S84" i="57"/>
  <c r="R47" i="57"/>
  <c r="J50" i="57"/>
  <c r="C97" i="57"/>
  <c r="V61" i="57"/>
  <c r="G64" i="57"/>
  <c r="O27" i="57"/>
  <c r="S82" i="57"/>
  <c r="K98" i="57"/>
  <c r="D50" i="57"/>
  <c r="O79" i="57"/>
  <c r="G39" i="57"/>
  <c r="G35" i="57"/>
  <c r="T73" i="57"/>
  <c r="F90" i="57"/>
  <c r="H59" i="57"/>
  <c r="U68" i="57"/>
  <c r="J38" i="57"/>
  <c r="F95" i="57"/>
  <c r="K95" i="57"/>
  <c r="I90" i="57"/>
  <c r="W72" i="57"/>
  <c r="C18" i="57"/>
  <c r="E94" i="57"/>
  <c r="R56" i="57"/>
  <c r="H20" i="57"/>
  <c r="X16" i="57"/>
  <c r="H71" i="57"/>
  <c r="X19" i="57"/>
  <c r="M77" i="57"/>
  <c r="G43" i="57"/>
  <c r="R78" i="57"/>
  <c r="F99" i="57"/>
  <c r="D60" i="57"/>
  <c r="G85" i="57"/>
  <c r="G61" i="57"/>
  <c r="U57" i="57"/>
  <c r="S23" i="57"/>
  <c r="I69" i="57"/>
  <c r="T53" i="57"/>
  <c r="F14" i="57"/>
  <c r="G69" i="57"/>
  <c r="Q15" i="57"/>
  <c r="R40" i="57"/>
  <c r="E22" i="57"/>
  <c r="T102" i="57"/>
  <c r="R77" i="57"/>
  <c r="E38" i="57"/>
  <c r="I85" i="57"/>
  <c r="W15" i="57"/>
  <c r="R49" i="57"/>
  <c r="D94" i="57"/>
  <c r="F94" i="60" s="1"/>
  <c r="L94" i="60" s="1"/>
  <c r="V45" i="57"/>
  <c r="H30" i="57"/>
  <c r="G86" i="57"/>
  <c r="W47" i="57"/>
  <c r="V30" i="57"/>
  <c r="T47" i="57"/>
  <c r="U74" i="57"/>
  <c r="P81" i="57"/>
  <c r="T28" i="57"/>
  <c r="M16" i="57"/>
  <c r="H100" i="57"/>
  <c r="Q101" i="57"/>
  <c r="J64" i="57"/>
  <c r="I45" i="57"/>
  <c r="K54" i="57"/>
  <c r="G59" i="57"/>
  <c r="L45" i="57"/>
  <c r="C47" i="57"/>
  <c r="L55" i="57"/>
  <c r="E76" i="57"/>
  <c r="T12" i="57"/>
  <c r="L71" i="57"/>
  <c r="V65" i="57"/>
  <c r="F12" i="57"/>
  <c r="G76" i="57"/>
  <c r="X85" i="57"/>
  <c r="W73" i="57"/>
  <c r="W68" i="57"/>
  <c r="P101" i="57"/>
  <c r="H93" i="57"/>
  <c r="U80" i="57"/>
  <c r="V69" i="57"/>
  <c r="F29" i="57"/>
  <c r="G34" i="57"/>
  <c r="P84" i="57"/>
  <c r="P32" i="57"/>
  <c r="M56" i="57"/>
  <c r="P34" i="57"/>
  <c r="X90" i="57"/>
  <c r="S49" i="57"/>
  <c r="L83" i="57"/>
  <c r="J14" i="57"/>
  <c r="W34" i="57"/>
  <c r="K90" i="57"/>
  <c r="X24" i="57"/>
  <c r="H51" i="57"/>
  <c r="C14" i="57"/>
  <c r="E41" i="57"/>
  <c r="X66" i="57"/>
  <c r="X73" i="57"/>
  <c r="Q19" i="57"/>
  <c r="Q88" i="57"/>
  <c r="P16" i="57"/>
  <c r="Q59" i="57"/>
  <c r="S44" i="57"/>
  <c r="K84" i="57"/>
  <c r="P102" i="57"/>
  <c r="P55" i="57"/>
  <c r="Q76" i="57"/>
  <c r="R34" i="57"/>
  <c r="T65" i="57"/>
  <c r="U47" i="57"/>
  <c r="T18" i="57"/>
  <c r="R81" i="57"/>
  <c r="U70" i="57"/>
  <c r="U65" i="57"/>
  <c r="M43" i="57"/>
  <c r="M57" i="57"/>
  <c r="Q29" i="57"/>
  <c r="S58" i="57"/>
  <c r="T58" i="57"/>
  <c r="P14" i="57"/>
  <c r="X101" i="57"/>
  <c r="V21" i="57"/>
  <c r="G57" i="57"/>
  <c r="L30" i="57"/>
  <c r="J71" i="57"/>
  <c r="Q47" i="57"/>
  <c r="T89" i="57"/>
  <c r="R82" i="57"/>
  <c r="U61" i="57"/>
  <c r="L39" i="57"/>
  <c r="P57" i="57"/>
  <c r="J62" i="57"/>
  <c r="V66" i="57"/>
  <c r="F96" i="57"/>
  <c r="F26" i="57"/>
  <c r="H15" i="57"/>
  <c r="U18" i="57"/>
  <c r="K93" i="57"/>
  <c r="G98" i="57"/>
  <c r="M64" i="57"/>
  <c r="H86" i="57"/>
  <c r="L63" i="57"/>
  <c r="V38" i="57"/>
  <c r="Q65" i="57"/>
  <c r="M22" i="57"/>
  <c r="J74" i="57"/>
  <c r="E93" i="57"/>
  <c r="S26" i="57"/>
  <c r="H66" i="57"/>
  <c r="L26" i="57"/>
  <c r="J82" i="57"/>
  <c r="W62" i="57"/>
  <c r="F37" i="57"/>
  <c r="M23" i="57"/>
  <c r="V102" i="57"/>
  <c r="G15" i="57"/>
  <c r="F45" i="57"/>
  <c r="I73" i="57"/>
  <c r="E86" i="57"/>
  <c r="L43" i="57"/>
  <c r="Q14" i="57"/>
  <c r="P58" i="57"/>
  <c r="R68" i="57"/>
  <c r="M93" i="57"/>
  <c r="K49" i="57"/>
  <c r="P60" i="57"/>
  <c r="H74" i="57"/>
  <c r="J99" i="57"/>
  <c r="H35" i="57"/>
  <c r="H85" i="57"/>
  <c r="W29" i="57"/>
  <c r="H12" i="57"/>
  <c r="H22" i="57"/>
  <c r="M40" i="57"/>
  <c r="V77" i="57"/>
  <c r="K51" i="57"/>
  <c r="S66" i="57"/>
  <c r="J75" i="57"/>
  <c r="J89" i="57"/>
  <c r="U55" i="57"/>
  <c r="I49" i="57"/>
  <c r="T40" i="57"/>
  <c r="U90" i="57"/>
  <c r="S57" i="57"/>
  <c r="F55" i="57"/>
  <c r="L20" i="57"/>
  <c r="E68" i="57"/>
  <c r="J77" i="57"/>
  <c r="L93" i="57"/>
  <c r="S21" i="57"/>
  <c r="M49" i="57"/>
  <c r="Q46" i="57"/>
  <c r="H63" i="57"/>
  <c r="W88" i="57"/>
  <c r="G16" i="57"/>
  <c r="H39" i="57"/>
  <c r="T55" i="57"/>
  <c r="U82" i="57"/>
  <c r="U58" i="57"/>
  <c r="K78" i="57"/>
  <c r="G71" i="57"/>
  <c r="V83" i="57"/>
  <c r="R84" i="57"/>
  <c r="I35" i="57"/>
  <c r="P15" i="57"/>
  <c r="F83" i="57"/>
  <c r="G53" i="57"/>
  <c r="M71" i="57"/>
  <c r="K27" i="57"/>
  <c r="G77" i="57"/>
  <c r="J76" i="57"/>
  <c r="X34" i="57"/>
  <c r="I80" i="57"/>
  <c r="K64" i="57"/>
  <c r="X59" i="57"/>
  <c r="P70" i="57"/>
  <c r="W84" i="57"/>
  <c r="E63" i="57"/>
  <c r="I61" i="57"/>
  <c r="J49" i="57"/>
  <c r="R83" i="57"/>
  <c r="G44" i="57"/>
  <c r="G90" i="57"/>
  <c r="T51" i="57"/>
  <c r="G40" i="57"/>
  <c r="W43" i="57"/>
  <c r="W77" i="57"/>
  <c r="M35" i="57"/>
  <c r="U64" i="57"/>
  <c r="H84" i="57"/>
  <c r="I32" i="57"/>
  <c r="K82" i="57"/>
  <c r="V89" i="57"/>
  <c r="V90" i="57"/>
  <c r="U100" i="57"/>
  <c r="E67" i="57"/>
  <c r="V85" i="57"/>
  <c r="P12" i="57"/>
  <c r="W76" i="57"/>
  <c r="T34" i="57"/>
  <c r="P22" i="57"/>
  <c r="T44" i="57"/>
  <c r="L41" i="57"/>
  <c r="E98" i="57"/>
  <c r="F87" i="57"/>
  <c r="U44" i="57"/>
  <c r="T23" i="57"/>
  <c r="H21" i="57"/>
  <c r="X89" i="57"/>
  <c r="H76" i="57"/>
  <c r="X83" i="57"/>
  <c r="G65" i="57"/>
  <c r="V23" i="57"/>
  <c r="H61" i="57"/>
  <c r="K41" i="57"/>
  <c r="S54" i="57"/>
  <c r="M19" i="57"/>
  <c r="Q63" i="57"/>
  <c r="R50" i="57"/>
  <c r="T37" i="57"/>
  <c r="E16" i="57"/>
  <c r="L58" i="57"/>
  <c r="X68" i="57"/>
  <c r="I59" i="57"/>
  <c r="U53" i="57"/>
  <c r="K81" i="57"/>
  <c r="P73" i="57"/>
  <c r="N72" i="57"/>
  <c r="E82" i="57"/>
  <c r="M28" i="57"/>
  <c r="G75" i="57"/>
  <c r="P87" i="57"/>
  <c r="I26" i="57"/>
  <c r="X100" i="57"/>
  <c r="R101" i="57"/>
  <c r="M63" i="57"/>
  <c r="X87" i="57"/>
  <c r="E74" i="57"/>
  <c r="R45" i="57"/>
  <c r="K55" i="57"/>
  <c r="R26" i="57"/>
  <c r="P21" i="57"/>
  <c r="T86" i="57"/>
  <c r="W36" i="57"/>
  <c r="H83" i="57"/>
  <c r="W82" i="57"/>
  <c r="L47" i="57"/>
  <c r="M15" i="57"/>
  <c r="S35" i="57"/>
  <c r="U87" i="57"/>
  <c r="I29" i="57"/>
  <c r="P86" i="57"/>
  <c r="L54" i="57"/>
  <c r="X23" i="57"/>
  <c r="X40" i="57"/>
  <c r="J20" i="57"/>
  <c r="U71" i="57"/>
  <c r="P83" i="57"/>
  <c r="G20" i="57"/>
  <c r="J35" i="57"/>
  <c r="R74" i="57"/>
  <c r="K86" i="57"/>
  <c r="T101" i="57"/>
  <c r="Q32" i="57"/>
  <c r="R100" i="57"/>
  <c r="V58" i="57"/>
  <c r="V26" i="57"/>
  <c r="W32" i="57"/>
  <c r="Q20" i="57"/>
  <c r="J29" i="57"/>
  <c r="T50" i="57"/>
  <c r="X22" i="57"/>
  <c r="C94" i="57"/>
  <c r="P66" i="57"/>
  <c r="G36" i="57"/>
  <c r="K39" i="57"/>
  <c r="Q37" i="57"/>
  <c r="S22" i="57"/>
  <c r="S53" i="57"/>
  <c r="G46" i="57"/>
  <c r="W14" i="57"/>
  <c r="R86" i="57"/>
  <c r="E46" i="57"/>
  <c r="H56" i="57"/>
  <c r="R62" i="57"/>
  <c r="H57" i="57"/>
  <c r="S74" i="57"/>
  <c r="W59" i="57"/>
  <c r="Q38" i="57"/>
  <c r="U21" i="57"/>
  <c r="U67" i="57"/>
  <c r="P56" i="57"/>
  <c r="E52" i="57"/>
  <c r="W63" i="57"/>
  <c r="L81" i="57"/>
  <c r="H23" i="57"/>
  <c r="T62" i="57"/>
  <c r="P72" i="57"/>
  <c r="S52" i="57"/>
  <c r="R63" i="57"/>
  <c r="X46" i="57"/>
  <c r="U34" i="57"/>
  <c r="I50" i="57"/>
  <c r="X50" i="57"/>
  <c r="G51" i="57"/>
  <c r="M102" i="57"/>
  <c r="F40" i="57"/>
  <c r="P65" i="57"/>
  <c r="R43" i="57"/>
  <c r="I47" i="57"/>
  <c r="I94" i="57"/>
  <c r="I12" i="57"/>
  <c r="V82" i="57"/>
  <c r="Q66" i="57"/>
  <c r="R23" i="57"/>
  <c r="P47" i="57"/>
  <c r="X67" i="57"/>
  <c r="L14" i="57"/>
  <c r="F60" i="57"/>
  <c r="F44" i="57"/>
  <c r="Q90" i="57"/>
  <c r="P49" i="57"/>
  <c r="W60" i="57"/>
  <c r="P48" i="57"/>
  <c r="F48" i="57"/>
  <c r="K65" i="57"/>
  <c r="X17" i="57"/>
  <c r="K50" i="57"/>
  <c r="S67" i="57"/>
  <c r="R46" i="57"/>
  <c r="R102" i="57"/>
  <c r="F65" i="57"/>
  <c r="U66" i="57"/>
  <c r="L37" i="57"/>
  <c r="R58" i="57"/>
  <c r="Q87" i="57"/>
  <c r="V39" i="57"/>
  <c r="L59" i="57"/>
  <c r="X53" i="57"/>
  <c r="E75" i="57"/>
  <c r="P40" i="57"/>
  <c r="J48" i="57"/>
  <c r="H44" i="57"/>
  <c r="F100" i="57"/>
  <c r="W38" i="57"/>
  <c r="Q84" i="57"/>
  <c r="L102" i="57"/>
  <c r="X15" i="57"/>
  <c r="O40" i="57"/>
  <c r="M48" i="57"/>
  <c r="W37" i="57"/>
  <c r="I40" i="57"/>
  <c r="J56" i="57"/>
  <c r="Q17" i="57"/>
  <c r="G102" i="57"/>
  <c r="X52" i="57"/>
  <c r="E56" i="57"/>
  <c r="F16" i="57"/>
  <c r="P46" i="57"/>
  <c r="J12" i="57"/>
  <c r="F98" i="57"/>
  <c r="I18" i="57"/>
  <c r="V75" i="57"/>
  <c r="X11" i="57"/>
  <c r="F85" i="57"/>
  <c r="T88" i="57"/>
  <c r="H88" i="57"/>
  <c r="F46" i="57"/>
  <c r="L84" i="57"/>
  <c r="O61" i="57"/>
  <c r="E79" i="57"/>
  <c r="K71" i="57"/>
  <c r="R59" i="57"/>
  <c r="H55" i="57"/>
  <c r="E37" i="57"/>
  <c r="W71" i="57"/>
  <c r="J60" i="57"/>
  <c r="W55" i="57"/>
  <c r="P35" i="57"/>
  <c r="W89" i="57"/>
  <c r="I34" i="57"/>
  <c r="S18" i="57"/>
  <c r="K101" i="57"/>
  <c r="S15" i="57"/>
  <c r="L97" i="57"/>
  <c r="T15" i="57"/>
  <c r="Q24" i="57"/>
  <c r="G37" i="57"/>
  <c r="D92" i="57"/>
  <c r="I53" i="57"/>
  <c r="V72" i="57"/>
  <c r="Q67" i="57"/>
  <c r="M27" i="57"/>
  <c r="E28" i="57"/>
  <c r="V54" i="57"/>
  <c r="T43" i="57"/>
  <c r="I19" i="57"/>
  <c r="V18" i="57"/>
  <c r="G83" i="57"/>
  <c r="K63" i="57"/>
  <c r="H101" i="57"/>
  <c r="R80" i="57"/>
  <c r="N30" i="57"/>
  <c r="U32" i="57"/>
  <c r="V87" i="57"/>
  <c r="G80" i="57"/>
  <c r="I86" i="57"/>
  <c r="X61" i="57"/>
  <c r="G30" i="57"/>
  <c r="U101" i="57"/>
  <c r="W90" i="57"/>
  <c r="J26" i="57"/>
  <c r="I20" i="57"/>
  <c r="D11" i="83" l="1"/>
  <c r="C11" i="83"/>
  <c r="E11" i="83"/>
  <c r="F11" i="83"/>
  <c r="F8" i="75"/>
  <c r="F9" i="75" s="1"/>
  <c r="C8" i="75"/>
  <c r="C9" i="75" s="1"/>
  <c r="D8" i="75"/>
  <c r="D9" i="75" s="1"/>
  <c r="E8" i="75"/>
  <c r="E9" i="75" s="1"/>
  <c r="I48" i="59"/>
  <c r="M91" i="57"/>
  <c r="I87" i="60"/>
  <c r="H89" i="59"/>
  <c r="E79" i="59"/>
  <c r="F77" i="60"/>
  <c r="H51" i="60"/>
  <c r="G53" i="59"/>
  <c r="H14" i="59"/>
  <c r="I12" i="60"/>
  <c r="O12" i="60" s="1"/>
  <c r="F17" i="60"/>
  <c r="L17" i="60" s="1"/>
  <c r="E19" i="59"/>
  <c r="E37" i="60"/>
  <c r="D39" i="59"/>
  <c r="G27" i="63"/>
  <c r="H27" i="63" s="1"/>
  <c r="D56" i="59"/>
  <c r="E54" i="60"/>
  <c r="E88" i="59"/>
  <c r="F86" i="60"/>
  <c r="H73" i="60"/>
  <c r="G75" i="59"/>
  <c r="S10" i="57"/>
  <c r="H76" i="59"/>
  <c r="I74" i="60"/>
  <c r="Q10" i="57"/>
  <c r="D72" i="59"/>
  <c r="E70" i="60"/>
  <c r="H47" i="59"/>
  <c r="I45" i="60"/>
  <c r="O45" i="60" s="1"/>
  <c r="F80" i="60"/>
  <c r="E82" i="59"/>
  <c r="E100" i="60"/>
  <c r="D93" i="59"/>
  <c r="E50" i="59"/>
  <c r="F48" i="60"/>
  <c r="L48" i="60" s="1"/>
  <c r="E26" i="59"/>
  <c r="F24" i="60"/>
  <c r="L24" i="60" s="1"/>
  <c r="H49" i="59"/>
  <c r="I47" i="60"/>
  <c r="D78" i="59"/>
  <c r="E76" i="60"/>
  <c r="G28" i="59"/>
  <c r="H26" i="60"/>
  <c r="G59" i="59"/>
  <c r="H57" i="60"/>
  <c r="D28" i="59"/>
  <c r="G18" i="63"/>
  <c r="H18" i="63" s="1"/>
  <c r="E26" i="60"/>
  <c r="H29" i="60"/>
  <c r="G31" i="59"/>
  <c r="I32" i="60"/>
  <c r="O32" i="60" s="1"/>
  <c r="H34" i="59"/>
  <c r="F53" i="60"/>
  <c r="L53" i="60" s="1"/>
  <c r="E55" i="59"/>
  <c r="D68" i="59"/>
  <c r="E66" i="60"/>
  <c r="F59" i="60"/>
  <c r="E61" i="59"/>
  <c r="D17" i="59"/>
  <c r="E15" i="60"/>
  <c r="G8" i="63"/>
  <c r="H8" i="63" s="1"/>
  <c r="G68" i="59"/>
  <c r="H66" i="60"/>
  <c r="H63" i="60"/>
  <c r="G65" i="59"/>
  <c r="H80" i="59"/>
  <c r="I78" i="60"/>
  <c r="D60" i="59"/>
  <c r="E58" i="60"/>
  <c r="G10" i="63"/>
  <c r="H10" i="63" s="1"/>
  <c r="D19" i="59"/>
  <c r="E17" i="60"/>
  <c r="G20" i="63"/>
  <c r="H20" i="63" s="1"/>
  <c r="D30" i="59"/>
  <c r="E28" i="60"/>
  <c r="H90" i="60"/>
  <c r="G92" i="59"/>
  <c r="H81" i="60"/>
  <c r="G83" i="59"/>
  <c r="F18" i="60"/>
  <c r="L18" i="60" s="1"/>
  <c r="E20" i="59"/>
  <c r="G58" i="59"/>
  <c r="H56" i="60"/>
  <c r="I44" i="60"/>
  <c r="O44" i="60" s="1"/>
  <c r="H46" i="59"/>
  <c r="G45" i="63"/>
  <c r="H45" i="63" s="1"/>
  <c r="E96" i="60"/>
  <c r="G38" i="63"/>
  <c r="H38" i="63" s="1"/>
  <c r="D50" i="59"/>
  <c r="E48" i="60"/>
  <c r="F89" i="60"/>
  <c r="E91" i="59"/>
  <c r="E56" i="60"/>
  <c r="D58" i="59"/>
  <c r="F62" i="60"/>
  <c r="E64" i="59"/>
  <c r="E63" i="59"/>
  <c r="F61" i="60"/>
  <c r="E37" i="59"/>
  <c r="F35" i="60"/>
  <c r="L35" i="60" s="1"/>
  <c r="E21" i="59"/>
  <c r="F19" i="60"/>
  <c r="L19" i="60" s="1"/>
  <c r="I77" i="60"/>
  <c r="H79" i="59"/>
  <c r="I66" i="60"/>
  <c r="H68" i="59"/>
  <c r="D55" i="59"/>
  <c r="G48" i="63"/>
  <c r="H48" i="63" s="1"/>
  <c r="E53" i="60"/>
  <c r="W10" i="57"/>
  <c r="F83" i="60"/>
  <c r="E85" i="59"/>
  <c r="E67" i="60"/>
  <c r="D69" i="59"/>
  <c r="I73" i="60"/>
  <c r="H75" i="59"/>
  <c r="I48" i="60"/>
  <c r="O48" i="60" s="1"/>
  <c r="H50" i="59"/>
  <c r="F75" i="60"/>
  <c r="E77" i="59"/>
  <c r="G17" i="59"/>
  <c r="H15" i="60"/>
  <c r="M10" i="57"/>
  <c r="F100" i="60"/>
  <c r="E93" i="59"/>
  <c r="G9" i="63"/>
  <c r="H9" i="63" s="1"/>
  <c r="D18" i="59"/>
  <c r="E16" i="60"/>
  <c r="D88" i="59"/>
  <c r="E86" i="60"/>
  <c r="E22" i="59"/>
  <c r="F20" i="60"/>
  <c r="L20" i="60" s="1"/>
  <c r="H58" i="60"/>
  <c r="G60" i="59"/>
  <c r="G25" i="59"/>
  <c r="H23" i="60"/>
  <c r="H71" i="60"/>
  <c r="G73" i="59"/>
  <c r="D73" i="59"/>
  <c r="E71" i="60"/>
  <c r="F37" i="60"/>
  <c r="L37" i="60" s="1"/>
  <c r="E39" i="59"/>
  <c r="H60" i="59"/>
  <c r="I58" i="60"/>
  <c r="D23" i="59"/>
  <c r="E21" i="60"/>
  <c r="G14" i="63"/>
  <c r="H14" i="63" s="1"/>
  <c r="D71" i="59"/>
  <c r="E69" i="60"/>
  <c r="D65" i="59"/>
  <c r="E63" i="60"/>
  <c r="H53" i="59"/>
  <c r="I51" i="60"/>
  <c r="O51" i="60" s="1"/>
  <c r="I36" i="60"/>
  <c r="O36" i="60" s="1"/>
  <c r="H38" i="59"/>
  <c r="G45" i="59"/>
  <c r="H43" i="60"/>
  <c r="G21" i="59"/>
  <c r="H19" i="60"/>
  <c r="F84" i="60"/>
  <c r="E86" i="59"/>
  <c r="F48" i="59"/>
  <c r="H68" i="60"/>
  <c r="G70" i="59"/>
  <c r="G89" i="59"/>
  <c r="H87" i="60"/>
  <c r="J87" i="60" s="1"/>
  <c r="H73" i="59"/>
  <c r="I71" i="60"/>
  <c r="F82" i="60"/>
  <c r="E84" i="59"/>
  <c r="E44" i="60"/>
  <c r="G33" i="63"/>
  <c r="H33" i="63" s="1"/>
  <c r="D46" i="59"/>
  <c r="H54" i="60"/>
  <c r="G56" i="59"/>
  <c r="I56" i="60"/>
  <c r="H58" i="59"/>
  <c r="I85" i="60"/>
  <c r="H87" i="59"/>
  <c r="D54" i="59"/>
  <c r="G46" i="63"/>
  <c r="H46" i="63" s="1"/>
  <c r="E52" i="60"/>
  <c r="H24" i="59"/>
  <c r="I22" i="60"/>
  <c r="O22" i="60" s="1"/>
  <c r="G87" i="59"/>
  <c r="H85" i="60"/>
  <c r="J85" i="60" s="1"/>
  <c r="K10" i="57"/>
  <c r="I86" i="60"/>
  <c r="H88" i="59"/>
  <c r="L91" i="57"/>
  <c r="G54" i="59"/>
  <c r="H52" i="60"/>
  <c r="H82" i="60"/>
  <c r="G84" i="59"/>
  <c r="E88" i="60"/>
  <c r="D90" i="59"/>
  <c r="F12" i="60"/>
  <c r="L12" i="60" s="1"/>
  <c r="E14" i="59"/>
  <c r="G40" i="59"/>
  <c r="H38" i="60"/>
  <c r="E67" i="59"/>
  <c r="F65" i="60"/>
  <c r="G50" i="59"/>
  <c r="H48" i="60"/>
  <c r="I80" i="60"/>
  <c r="H82" i="59"/>
  <c r="G13" i="63"/>
  <c r="H13" i="63" s="1"/>
  <c r="E20" i="60"/>
  <c r="D22" i="59"/>
  <c r="G10" i="57"/>
  <c r="D75" i="59"/>
  <c r="E73" i="60"/>
  <c r="E81" i="60"/>
  <c r="D83" i="59"/>
  <c r="H11" i="60"/>
  <c r="N10" i="57"/>
  <c r="G12" i="59" s="1"/>
  <c r="G13" i="59"/>
  <c r="E13" i="59"/>
  <c r="F11" i="60"/>
  <c r="D10" i="57"/>
  <c r="E12" i="59" s="1"/>
  <c r="E29" i="59"/>
  <c r="F27" i="60"/>
  <c r="L27" i="60" s="1"/>
  <c r="F10" i="57"/>
  <c r="E85" i="60"/>
  <c r="D87" i="59"/>
  <c r="H60" i="60"/>
  <c r="G62" i="59"/>
  <c r="G42" i="59"/>
  <c r="H40" i="60"/>
  <c r="H24" i="60"/>
  <c r="G26" i="59"/>
  <c r="D84" i="59"/>
  <c r="E82" i="60"/>
  <c r="G91" i="59"/>
  <c r="H89" i="60"/>
  <c r="E68" i="59"/>
  <c r="F66" i="60"/>
  <c r="H67" i="60"/>
  <c r="G69" i="59"/>
  <c r="H84" i="59"/>
  <c r="I82" i="60"/>
  <c r="I79" i="60"/>
  <c r="H81" i="59"/>
  <c r="D70" i="59"/>
  <c r="E68" i="60"/>
  <c r="G94" i="59"/>
  <c r="H101" i="60"/>
  <c r="F81" i="60"/>
  <c r="E83" i="59"/>
  <c r="F36" i="60"/>
  <c r="L36" i="60" s="1"/>
  <c r="E38" i="59"/>
  <c r="H28" i="59"/>
  <c r="I26" i="60"/>
  <c r="O26" i="60" s="1"/>
  <c r="G88" i="59"/>
  <c r="H86" i="60"/>
  <c r="G29" i="63"/>
  <c r="H29" i="63" s="1"/>
  <c r="D41" i="59"/>
  <c r="E39" i="60"/>
  <c r="F60" i="60"/>
  <c r="E62" i="59"/>
  <c r="E52" i="59"/>
  <c r="F50" i="60"/>
  <c r="L50" i="60" s="1"/>
  <c r="E17" i="59"/>
  <c r="F15" i="60"/>
  <c r="L15" i="60" s="1"/>
  <c r="H55" i="59"/>
  <c r="I53" i="60"/>
  <c r="O53" i="60" s="1"/>
  <c r="E69" i="59"/>
  <c r="F67" i="60"/>
  <c r="I11" i="60"/>
  <c r="H13" i="59"/>
  <c r="O10" i="57"/>
  <c r="H12" i="59" s="1"/>
  <c r="D57" i="59"/>
  <c r="E55" i="60"/>
  <c r="I39" i="60"/>
  <c r="O39" i="60" s="1"/>
  <c r="H41" i="59"/>
  <c r="G22" i="59"/>
  <c r="H20" i="60"/>
  <c r="D29" i="59"/>
  <c r="E27" i="60"/>
  <c r="G19" i="63"/>
  <c r="H19" i="63" s="1"/>
  <c r="D64" i="59"/>
  <c r="E62" i="60"/>
  <c r="E32" i="59"/>
  <c r="F30" i="60"/>
  <c r="L30" i="60" s="1"/>
  <c r="H16" i="60"/>
  <c r="G18" i="59"/>
  <c r="E51" i="59"/>
  <c r="F49" i="60"/>
  <c r="L49" i="60" s="1"/>
  <c r="E75" i="60"/>
  <c r="D77" i="59"/>
  <c r="H88" i="60"/>
  <c r="G90" i="59"/>
  <c r="H45" i="60"/>
  <c r="G47" i="59"/>
  <c r="D74" i="59"/>
  <c r="E72" i="60"/>
  <c r="I57" i="60"/>
  <c r="H59" i="59"/>
  <c r="F54" i="60"/>
  <c r="E56" i="59"/>
  <c r="E74" i="59"/>
  <c r="F72" i="60"/>
  <c r="I91" i="57"/>
  <c r="G66" i="59"/>
  <c r="H64" i="60"/>
  <c r="D59" i="59"/>
  <c r="E57" i="60"/>
  <c r="H22" i="59"/>
  <c r="I20" i="60"/>
  <c r="O20" i="60" s="1"/>
  <c r="H83" i="59"/>
  <c r="I81" i="60"/>
  <c r="E91" i="57"/>
  <c r="G23" i="59"/>
  <c r="H21" i="60"/>
  <c r="D47" i="59"/>
  <c r="E45" i="60"/>
  <c r="G34" i="63"/>
  <c r="H34" i="63" s="1"/>
  <c r="F101" i="60"/>
  <c r="G101" i="60" s="1"/>
  <c r="E94" i="59"/>
  <c r="F94" i="59" s="1"/>
  <c r="E36" i="59"/>
  <c r="F34" i="60"/>
  <c r="L34" i="60" s="1"/>
  <c r="H39" i="60"/>
  <c r="G41" i="59"/>
  <c r="I41" i="59" s="1"/>
  <c r="F22" i="60"/>
  <c r="L22" i="60" s="1"/>
  <c r="E24" i="59"/>
  <c r="E87" i="59"/>
  <c r="F85" i="60"/>
  <c r="H75" i="60"/>
  <c r="G77" i="59"/>
  <c r="I95" i="59"/>
  <c r="G50" i="63"/>
  <c r="H50" i="63" s="1"/>
  <c r="E98" i="60"/>
  <c r="E53" i="59"/>
  <c r="F51" i="60"/>
  <c r="L51" i="60" s="1"/>
  <c r="I72" i="60"/>
  <c r="H74" i="59"/>
  <c r="E30" i="60"/>
  <c r="G22" i="63"/>
  <c r="H22" i="63" s="1"/>
  <c r="D32" i="59"/>
  <c r="G44" i="63"/>
  <c r="H44" i="63" s="1"/>
  <c r="E95" i="60"/>
  <c r="G81" i="59"/>
  <c r="H79" i="60"/>
  <c r="J79" i="60" s="1"/>
  <c r="H69" i="59"/>
  <c r="I67" i="60"/>
  <c r="I63" i="60"/>
  <c r="H65" i="59"/>
  <c r="G79" i="59"/>
  <c r="H77" i="60"/>
  <c r="I59" i="60"/>
  <c r="H61" i="59"/>
  <c r="H94" i="59"/>
  <c r="I101" i="60"/>
  <c r="F71" i="60"/>
  <c r="E73" i="59"/>
  <c r="T10" i="57"/>
  <c r="H12" i="60"/>
  <c r="G14" i="59"/>
  <c r="D91" i="59"/>
  <c r="E89" i="60"/>
  <c r="H72" i="59"/>
  <c r="I70" i="60"/>
  <c r="G57" i="59"/>
  <c r="H55" i="60"/>
  <c r="L10" i="57"/>
  <c r="G91" i="57"/>
  <c r="H70" i="60"/>
  <c r="G72" i="59"/>
  <c r="D51" i="59"/>
  <c r="G39" i="63"/>
  <c r="H39" i="63" s="1"/>
  <c r="E49" i="60"/>
  <c r="H74" i="60"/>
  <c r="G76" i="59"/>
  <c r="D66" i="59"/>
  <c r="E64" i="60"/>
  <c r="E34" i="59"/>
  <c r="F32" i="60"/>
  <c r="L32" i="60" s="1"/>
  <c r="D63" i="59"/>
  <c r="E61" i="60"/>
  <c r="G61" i="60" s="1"/>
  <c r="D42" i="59"/>
  <c r="E40" i="60"/>
  <c r="G30" i="63"/>
  <c r="H30" i="63" s="1"/>
  <c r="E41" i="59"/>
  <c r="F39" i="60"/>
  <c r="L39" i="60" s="1"/>
  <c r="E43" i="60"/>
  <c r="G32" i="63"/>
  <c r="H32" i="63" s="1"/>
  <c r="D45" i="59"/>
  <c r="H53" i="60"/>
  <c r="G55" i="59"/>
  <c r="F88" i="60"/>
  <c r="E90" i="59"/>
  <c r="I90" i="60"/>
  <c r="H92" i="59"/>
  <c r="I17" i="60"/>
  <c r="O17" i="60" s="1"/>
  <c r="H19" i="59"/>
  <c r="G52" i="59"/>
  <c r="H50" i="60"/>
  <c r="F90" i="60"/>
  <c r="E92" i="59"/>
  <c r="E97" i="60"/>
  <c r="G49" i="63"/>
  <c r="H49" i="63" s="1"/>
  <c r="D91" i="57"/>
  <c r="F92" i="60"/>
  <c r="I40" i="60"/>
  <c r="O40" i="60" s="1"/>
  <c r="H42" i="59"/>
  <c r="I18" i="60"/>
  <c r="O18" i="60" s="1"/>
  <c r="H20" i="59"/>
  <c r="G26" i="63"/>
  <c r="H26" i="63" s="1"/>
  <c r="D38" i="59"/>
  <c r="E36" i="60"/>
  <c r="I35" i="60"/>
  <c r="O35" i="60" s="1"/>
  <c r="H37" i="59"/>
  <c r="F44" i="60"/>
  <c r="L44" i="60" s="1"/>
  <c r="E46" i="59"/>
  <c r="H23" i="59"/>
  <c r="I21" i="60"/>
  <c r="O21" i="60" s="1"/>
  <c r="I16" i="60"/>
  <c r="O16" i="60" s="1"/>
  <c r="H18" i="59"/>
  <c r="H72" i="60"/>
  <c r="G74" i="59"/>
  <c r="E35" i="60"/>
  <c r="D37" i="59"/>
  <c r="F37" i="59" s="1"/>
  <c r="G25" i="63"/>
  <c r="H25" i="63" s="1"/>
  <c r="H10" i="57"/>
  <c r="I19" i="60"/>
  <c r="O19" i="60" s="1"/>
  <c r="H21" i="59"/>
  <c r="G20" i="59"/>
  <c r="H18" i="60"/>
  <c r="I30" i="60"/>
  <c r="O30" i="60" s="1"/>
  <c r="H32" i="59"/>
  <c r="H35" i="60"/>
  <c r="G37" i="59"/>
  <c r="H36" i="59"/>
  <c r="I34" i="60"/>
  <c r="O34" i="60" s="1"/>
  <c r="I89" i="60"/>
  <c r="H91" i="59"/>
  <c r="H54" i="59"/>
  <c r="I52" i="60"/>
  <c r="O52" i="60" s="1"/>
  <c r="H76" i="60"/>
  <c r="G78" i="59"/>
  <c r="H69" i="60"/>
  <c r="G71" i="59"/>
  <c r="G51" i="63"/>
  <c r="H51" i="63" s="1"/>
  <c r="E99" i="60"/>
  <c r="H78" i="59"/>
  <c r="I76" i="60"/>
  <c r="F21" i="60"/>
  <c r="L21" i="60" s="1"/>
  <c r="E23" i="59"/>
  <c r="I65" i="60"/>
  <c r="H67" i="59"/>
  <c r="G67" i="59"/>
  <c r="H65" i="60"/>
  <c r="H32" i="60"/>
  <c r="G34" i="59"/>
  <c r="R10" i="57"/>
  <c r="D89" i="59"/>
  <c r="E87" i="60"/>
  <c r="F47" i="60"/>
  <c r="E49" i="59"/>
  <c r="G16" i="59"/>
  <c r="H14" i="60"/>
  <c r="F74" i="60"/>
  <c r="E76" i="59"/>
  <c r="E58" i="59"/>
  <c r="F56" i="60"/>
  <c r="G85" i="59"/>
  <c r="H83" i="60"/>
  <c r="H80" i="60"/>
  <c r="G82" i="59"/>
  <c r="V10" i="57"/>
  <c r="H40" i="59"/>
  <c r="I38" i="60"/>
  <c r="O38" i="60" s="1"/>
  <c r="G12" i="63"/>
  <c r="H12" i="63" s="1"/>
  <c r="E19" i="60"/>
  <c r="D21" i="59"/>
  <c r="E32" i="60"/>
  <c r="D34" i="59"/>
  <c r="G23" i="63"/>
  <c r="H23" i="63" s="1"/>
  <c r="I43" i="60"/>
  <c r="O43" i="60" s="1"/>
  <c r="H45" i="59"/>
  <c r="G31" i="63"/>
  <c r="H31" i="63" s="1"/>
  <c r="E41" i="60"/>
  <c r="D43" i="59"/>
  <c r="G6" i="63"/>
  <c r="H6" i="63" s="1"/>
  <c r="D14" i="59"/>
  <c r="E12" i="60"/>
  <c r="D31" i="59"/>
  <c r="E29" i="60"/>
  <c r="G21" i="63"/>
  <c r="H21" i="63" s="1"/>
  <c r="F95" i="59"/>
  <c r="D81" i="59"/>
  <c r="E79" i="60"/>
  <c r="U10" i="57"/>
  <c r="I49" i="60"/>
  <c r="O49" i="60" s="1"/>
  <c r="H51" i="59"/>
  <c r="I10" i="57"/>
  <c r="G40" i="63"/>
  <c r="H40" i="63" s="1"/>
  <c r="D52" i="59"/>
  <c r="E50" i="60"/>
  <c r="G49" i="59"/>
  <c r="H47" i="60"/>
  <c r="AO49" i="77"/>
  <c r="AQ49" i="77"/>
  <c r="AR49" i="77" s="1"/>
  <c r="G42" i="63"/>
  <c r="H42" i="63" s="1"/>
  <c r="E94" i="60"/>
  <c r="G63" i="59"/>
  <c r="H61" i="60"/>
  <c r="E18" i="59"/>
  <c r="F16" i="60"/>
  <c r="L16" i="60" s="1"/>
  <c r="G7" i="63"/>
  <c r="H7" i="63" s="1"/>
  <c r="D16" i="59"/>
  <c r="E14" i="60"/>
  <c r="H17" i="60"/>
  <c r="G19" i="59"/>
  <c r="H85" i="59"/>
  <c r="I83" i="60"/>
  <c r="D53" i="59"/>
  <c r="F53" i="59" s="1"/>
  <c r="G43" i="63"/>
  <c r="H43" i="63" s="1"/>
  <c r="E51" i="60"/>
  <c r="G47" i="63"/>
  <c r="H47" i="63" s="1"/>
  <c r="H30" i="60"/>
  <c r="G32" i="59"/>
  <c r="E18" i="60"/>
  <c r="G11" i="63"/>
  <c r="H11" i="63" s="1"/>
  <c r="D20" i="59"/>
  <c r="I27" i="60"/>
  <c r="O27" i="60" s="1"/>
  <c r="H29" i="59"/>
  <c r="I41" i="60"/>
  <c r="O41" i="60" s="1"/>
  <c r="H43" i="59"/>
  <c r="E70" i="59"/>
  <c r="F68" i="60"/>
  <c r="H39" i="59"/>
  <c r="I37" i="60"/>
  <c r="O37" i="60" s="1"/>
  <c r="E23" i="60"/>
  <c r="D25" i="59"/>
  <c r="G16" i="63"/>
  <c r="H16" i="63" s="1"/>
  <c r="E77" i="60"/>
  <c r="D79" i="59"/>
  <c r="K91" i="57"/>
  <c r="I29" i="60"/>
  <c r="O29" i="60" s="1"/>
  <c r="H31" i="59"/>
  <c r="F40" i="60"/>
  <c r="L40" i="60" s="1"/>
  <c r="E42" i="59"/>
  <c r="G38" i="59"/>
  <c r="I38" i="59" s="1"/>
  <c r="H36" i="60"/>
  <c r="F91" i="57"/>
  <c r="E66" i="59"/>
  <c r="F64" i="60"/>
  <c r="C91" i="57"/>
  <c r="E92" i="60"/>
  <c r="G36" i="63"/>
  <c r="H36" i="63" s="1"/>
  <c r="H56" i="59"/>
  <c r="I54" i="60"/>
  <c r="G64" i="59"/>
  <c r="H62" i="60"/>
  <c r="D92" i="59"/>
  <c r="E90" i="60"/>
  <c r="F43" i="60"/>
  <c r="L43" i="60" s="1"/>
  <c r="E45" i="59"/>
  <c r="F70" i="60"/>
  <c r="E72" i="59"/>
  <c r="G5" i="63"/>
  <c r="D13" i="59"/>
  <c r="E11" i="60"/>
  <c r="C10" i="57"/>
  <c r="E65" i="60"/>
  <c r="G65" i="60" s="1"/>
  <c r="D67" i="59"/>
  <c r="G36" i="59"/>
  <c r="H34" i="60"/>
  <c r="E47" i="59"/>
  <c r="F45" i="60"/>
  <c r="L45" i="60" s="1"/>
  <c r="F14" i="60"/>
  <c r="L14" i="60" s="1"/>
  <c r="E16" i="59"/>
  <c r="G93" i="59"/>
  <c r="H100" i="60"/>
  <c r="G61" i="59"/>
  <c r="H59" i="60"/>
  <c r="I100" i="60"/>
  <c r="H93" i="59"/>
  <c r="F58" i="60"/>
  <c r="E60" i="59"/>
  <c r="G43" i="59"/>
  <c r="H41" i="60"/>
  <c r="I88" i="60"/>
  <c r="H90" i="59"/>
  <c r="I84" i="60"/>
  <c r="H86" i="59"/>
  <c r="E10" i="57"/>
  <c r="E81" i="59"/>
  <c r="F79" i="60"/>
  <c r="H77" i="59"/>
  <c r="I75" i="60"/>
  <c r="F78" i="60"/>
  <c r="E80" i="59"/>
  <c r="E28" i="59"/>
  <c r="F26" i="60"/>
  <c r="L26" i="60" s="1"/>
  <c r="H84" i="60"/>
  <c r="G86" i="59"/>
  <c r="E78" i="59"/>
  <c r="F76" i="60"/>
  <c r="F23" i="60"/>
  <c r="L23" i="60" s="1"/>
  <c r="E25" i="59"/>
  <c r="G24" i="59"/>
  <c r="H22" i="60"/>
  <c r="E83" i="60"/>
  <c r="D85" i="59"/>
  <c r="E84" i="60"/>
  <c r="D86" i="59"/>
  <c r="G23" i="83"/>
  <c r="G24" i="83" s="1"/>
  <c r="G18" i="83"/>
  <c r="G12" i="83"/>
  <c r="G41" i="63"/>
  <c r="H41" i="63" s="1"/>
  <c r="E93" i="60"/>
  <c r="F52" i="60"/>
  <c r="L52" i="60" s="1"/>
  <c r="E54" i="59"/>
  <c r="I50" i="60"/>
  <c r="O50" i="60" s="1"/>
  <c r="H52" i="59"/>
  <c r="H25" i="59"/>
  <c r="I23" i="60"/>
  <c r="O23" i="60" s="1"/>
  <c r="G51" i="59"/>
  <c r="H49" i="60"/>
  <c r="X10" i="57"/>
  <c r="I61" i="60"/>
  <c r="H63" i="59"/>
  <c r="E47" i="60"/>
  <c r="D49" i="59"/>
  <c r="G37" i="63"/>
  <c r="H37" i="63" s="1"/>
  <c r="G39" i="59"/>
  <c r="H37" i="60"/>
  <c r="J91" i="57"/>
  <c r="D62" i="59"/>
  <c r="E60" i="60"/>
  <c r="G60" i="60" s="1"/>
  <c r="E30" i="59"/>
  <c r="F28" i="60"/>
  <c r="L28" i="60" s="1"/>
  <c r="H44" i="60"/>
  <c r="G46" i="59"/>
  <c r="H70" i="59"/>
  <c r="I68" i="60"/>
  <c r="I64" i="60"/>
  <c r="H66" i="59"/>
  <c r="E75" i="59"/>
  <c r="F73" i="60"/>
  <c r="E59" i="59"/>
  <c r="F57" i="60"/>
  <c r="I24" i="60"/>
  <c r="O24" i="60" s="1"/>
  <c r="H26" i="59"/>
  <c r="P10" i="57"/>
  <c r="D82" i="59"/>
  <c r="E80" i="60"/>
  <c r="E34" i="60"/>
  <c r="G24" i="63"/>
  <c r="H24" i="63" s="1"/>
  <c r="D36" i="59"/>
  <c r="H71" i="59"/>
  <c r="I69" i="60"/>
  <c r="E89" i="59"/>
  <c r="F87" i="60"/>
  <c r="E40" i="59"/>
  <c r="F38" i="60"/>
  <c r="L38" i="60" s="1"/>
  <c r="G30" i="59"/>
  <c r="I30" i="59" s="1"/>
  <c r="H28" i="60"/>
  <c r="F41" i="60"/>
  <c r="L41" i="60" s="1"/>
  <c r="E43" i="59"/>
  <c r="E78" i="60"/>
  <c r="D80" i="59"/>
  <c r="I55" i="60"/>
  <c r="H57" i="59"/>
  <c r="E71" i="59"/>
  <c r="F69" i="60"/>
  <c r="I15" i="60"/>
  <c r="O15" i="60" s="1"/>
  <c r="H17" i="59"/>
  <c r="D26" i="59"/>
  <c r="E24" i="60"/>
  <c r="G17" i="63"/>
  <c r="H17" i="63" s="1"/>
  <c r="G28" i="63"/>
  <c r="H28" i="63" s="1"/>
  <c r="E38" i="60"/>
  <c r="D40" i="59"/>
  <c r="E74" i="60"/>
  <c r="D76" i="59"/>
  <c r="H78" i="60"/>
  <c r="G80" i="59"/>
  <c r="G15" i="63"/>
  <c r="H15" i="63" s="1"/>
  <c r="D24" i="59"/>
  <c r="E22" i="60"/>
  <c r="F55" i="60"/>
  <c r="E57" i="59"/>
  <c r="F63" i="60"/>
  <c r="E65" i="59"/>
  <c r="H91" i="57"/>
  <c r="G29" i="59"/>
  <c r="H27" i="60"/>
  <c r="J10" i="57"/>
  <c r="I60" i="60"/>
  <c r="H62" i="59"/>
  <c r="D61" i="59"/>
  <c r="F61" i="59" s="1"/>
  <c r="E59" i="60"/>
  <c r="I14" i="60"/>
  <c r="O14" i="60" s="1"/>
  <c r="H16" i="59"/>
  <c r="H64" i="59"/>
  <c r="I62" i="60"/>
  <c r="F29" i="60"/>
  <c r="L29" i="60" s="1"/>
  <c r="E31" i="59"/>
  <c r="G64" i="63"/>
  <c r="H64" i="63" s="1"/>
  <c r="H8" i="75"/>
  <c r="G9" i="75"/>
  <c r="F32" i="59" l="1"/>
  <c r="I80" i="59"/>
  <c r="I39" i="59"/>
  <c r="G82" i="60"/>
  <c r="F18" i="83"/>
  <c r="F23" i="83"/>
  <c r="F24" i="83" s="1"/>
  <c r="F12" i="83"/>
  <c r="E18" i="83"/>
  <c r="E23" i="83"/>
  <c r="E24" i="83" s="1"/>
  <c r="E12" i="83"/>
  <c r="C18" i="83"/>
  <c r="C23" i="83"/>
  <c r="C24" i="83" s="1"/>
  <c r="K24" i="83" s="1"/>
  <c r="C12" i="83"/>
  <c r="D18" i="83"/>
  <c r="D23" i="83"/>
  <c r="D24" i="83" s="1"/>
  <c r="D12" i="83"/>
  <c r="J78" i="60"/>
  <c r="I81" i="59"/>
  <c r="F26" i="59"/>
  <c r="F91" i="59"/>
  <c r="I34" i="59"/>
  <c r="I47" i="59"/>
  <c r="F88" i="59"/>
  <c r="F50" i="59"/>
  <c r="G89" i="60"/>
  <c r="F62" i="59"/>
  <c r="J76" i="60"/>
  <c r="F74" i="59"/>
  <c r="J86" i="60"/>
  <c r="F19" i="59"/>
  <c r="F38" i="59"/>
  <c r="F22" i="59"/>
  <c r="F16" i="59"/>
  <c r="F31" i="59"/>
  <c r="G64" i="60"/>
  <c r="I89" i="59"/>
  <c r="I37" i="59"/>
  <c r="F68" i="59"/>
  <c r="F82" i="59"/>
  <c r="I78" i="59"/>
  <c r="G80" i="60"/>
  <c r="G77" i="60"/>
  <c r="I19" i="59"/>
  <c r="G86" i="60"/>
  <c r="I87" i="59"/>
  <c r="I46" i="59"/>
  <c r="F79" i="59"/>
  <c r="F29" i="59"/>
  <c r="I88" i="59"/>
  <c r="I29" i="59"/>
  <c r="J59" i="60"/>
  <c r="G87" i="60"/>
  <c r="J69" i="60"/>
  <c r="F51" i="59"/>
  <c r="G75" i="60"/>
  <c r="F64" i="59"/>
  <c r="G67" i="60"/>
  <c r="F93" i="59"/>
  <c r="I54" i="59"/>
  <c r="J80" i="60"/>
  <c r="F81" i="59"/>
  <c r="F21" i="59"/>
  <c r="F24" i="59"/>
  <c r="F49" i="59"/>
  <c r="F52" i="59"/>
  <c r="G84" i="60"/>
  <c r="F85" i="59"/>
  <c r="I49" i="59"/>
  <c r="J74" i="60"/>
  <c r="G59" i="60"/>
  <c r="F67" i="59"/>
  <c r="I32" i="59"/>
  <c r="I63" i="59"/>
  <c r="I85" i="59"/>
  <c r="I71" i="59"/>
  <c r="F63" i="59"/>
  <c r="F77" i="59"/>
  <c r="G62" i="60"/>
  <c r="I91" i="59"/>
  <c r="F69" i="59"/>
  <c r="F86" i="59"/>
  <c r="G83" i="60"/>
  <c r="F20" i="59"/>
  <c r="I76" i="59"/>
  <c r="I79" i="59"/>
  <c r="I14" i="59"/>
  <c r="I24" i="59"/>
  <c r="F59" i="59"/>
  <c r="I84" i="59"/>
  <c r="G55" i="60"/>
  <c r="F23" i="59"/>
  <c r="J71" i="60"/>
  <c r="I69" i="59"/>
  <c r="I86" i="59"/>
  <c r="I93" i="59"/>
  <c r="F66" i="59"/>
  <c r="I94" i="59"/>
  <c r="F83" i="59"/>
  <c r="I60" i="59"/>
  <c r="F58" i="59"/>
  <c r="F34" i="59"/>
  <c r="F36" i="59"/>
  <c r="I74" i="59"/>
  <c r="J39" i="60"/>
  <c r="P39" i="60" s="1"/>
  <c r="N39" i="60"/>
  <c r="J21" i="60"/>
  <c r="P21" i="60" s="1"/>
  <c r="N21" i="60"/>
  <c r="K39" i="60"/>
  <c r="G29" i="74" s="1"/>
  <c r="H29" i="74" s="1"/>
  <c r="G39" i="60"/>
  <c r="M39" i="60" s="1"/>
  <c r="J60" i="60"/>
  <c r="K21" i="60"/>
  <c r="G14" i="74" s="1"/>
  <c r="G21" i="60"/>
  <c r="M21" i="60" s="1"/>
  <c r="I73" i="59"/>
  <c r="J15" i="60"/>
  <c r="P15" i="60" s="1"/>
  <c r="N15" i="60"/>
  <c r="K48" i="60"/>
  <c r="G38" i="74" s="1"/>
  <c r="G48" i="60"/>
  <c r="M48" i="60" s="1"/>
  <c r="I58" i="59"/>
  <c r="F30" i="59"/>
  <c r="I31" i="59"/>
  <c r="F72" i="59"/>
  <c r="G43" i="60"/>
  <c r="M43" i="60" s="1"/>
  <c r="K43" i="60"/>
  <c r="G32" i="74" s="1"/>
  <c r="I77" i="59"/>
  <c r="I23" i="59"/>
  <c r="J64" i="60"/>
  <c r="F41" i="59"/>
  <c r="F87" i="59"/>
  <c r="I13" i="59"/>
  <c r="J82" i="60"/>
  <c r="I17" i="59"/>
  <c r="I65" i="59"/>
  <c r="J29" i="60"/>
  <c r="P29" i="60" s="1"/>
  <c r="N29" i="60"/>
  <c r="G76" i="60"/>
  <c r="G54" i="60"/>
  <c r="O100" i="60"/>
  <c r="G19" i="60"/>
  <c r="M19" i="60" s="1"/>
  <c r="K19" i="60"/>
  <c r="G12" i="74" s="1"/>
  <c r="H12" i="74" s="1"/>
  <c r="N34" i="60"/>
  <c r="J34" i="60"/>
  <c r="P34" i="60" s="1"/>
  <c r="N30" i="60"/>
  <c r="J30" i="60"/>
  <c r="P30" i="60" s="1"/>
  <c r="G30" i="60"/>
  <c r="M30" i="60" s="1"/>
  <c r="K30" i="60"/>
  <c r="G22" i="74" s="1"/>
  <c r="H22" i="74" s="1"/>
  <c r="G24" i="60"/>
  <c r="M24" i="60" s="1"/>
  <c r="K24" i="60"/>
  <c r="G17" i="74" s="1"/>
  <c r="H17" i="74" s="1"/>
  <c r="F80" i="59"/>
  <c r="I61" i="59"/>
  <c r="I36" i="59"/>
  <c r="G14" i="60"/>
  <c r="M14" i="60" s="1"/>
  <c r="K14" i="60"/>
  <c r="G7" i="74" s="1"/>
  <c r="G29" i="60"/>
  <c r="M29" i="60" s="1"/>
  <c r="K29" i="60"/>
  <c r="G21" i="74" s="1"/>
  <c r="F89" i="59"/>
  <c r="K97" i="60"/>
  <c r="G49" i="74" s="1"/>
  <c r="H49" i="74" s="1"/>
  <c r="G97" i="60"/>
  <c r="M97" i="60" s="1"/>
  <c r="I72" i="59"/>
  <c r="J75" i="60"/>
  <c r="I66" i="59"/>
  <c r="G72" i="60"/>
  <c r="F57" i="59"/>
  <c r="F84" i="59"/>
  <c r="G85" i="60"/>
  <c r="I12" i="59"/>
  <c r="G20" i="60"/>
  <c r="M20" i="60" s="1"/>
  <c r="K20" i="60"/>
  <c r="G13" i="74" s="1"/>
  <c r="J38" i="60"/>
  <c r="P38" i="60" s="1"/>
  <c r="N38" i="60"/>
  <c r="N52" i="60"/>
  <c r="J52" i="60"/>
  <c r="P52" i="60" s="1"/>
  <c r="N23" i="60"/>
  <c r="J23" i="60"/>
  <c r="P23" i="60" s="1"/>
  <c r="G16" i="60"/>
  <c r="M16" i="60" s="1"/>
  <c r="K16" i="60"/>
  <c r="G9" i="74" s="1"/>
  <c r="H9" i="74" s="1"/>
  <c r="G17" i="60"/>
  <c r="M17" i="60" s="1"/>
  <c r="K17" i="60"/>
  <c r="G10" i="74" s="1"/>
  <c r="J63" i="60"/>
  <c r="G66" i="60"/>
  <c r="K26" i="60"/>
  <c r="G18" i="74" s="1"/>
  <c r="H18" i="74" s="1"/>
  <c r="G26" i="60"/>
  <c r="M26" i="60" s="1"/>
  <c r="F78" i="59"/>
  <c r="G100" i="60"/>
  <c r="M100" i="60" s="1"/>
  <c r="K100" i="60"/>
  <c r="F56" i="59"/>
  <c r="I53" i="59"/>
  <c r="K47" i="60"/>
  <c r="G37" i="74" s="1"/>
  <c r="G47" i="60"/>
  <c r="N41" i="60"/>
  <c r="J41" i="60"/>
  <c r="P41" i="60" s="1"/>
  <c r="J70" i="60"/>
  <c r="K27" i="60"/>
  <c r="G19" i="74" s="1"/>
  <c r="G27" i="60"/>
  <c r="M27" i="60" s="1"/>
  <c r="J101" i="60"/>
  <c r="I26" i="59"/>
  <c r="N11" i="60"/>
  <c r="J11" i="60"/>
  <c r="I40" i="59"/>
  <c r="I56" i="59"/>
  <c r="J19" i="60"/>
  <c r="P19" i="60" s="1"/>
  <c r="N19" i="60"/>
  <c r="G63" i="60"/>
  <c r="I25" i="59"/>
  <c r="F18" i="59"/>
  <c r="K96" i="60"/>
  <c r="G45" i="74" s="1"/>
  <c r="H45" i="74" s="1"/>
  <c r="G96" i="60"/>
  <c r="M96" i="60" s="1"/>
  <c r="I83" i="59"/>
  <c r="J66" i="60"/>
  <c r="O47" i="60"/>
  <c r="I46" i="60"/>
  <c r="J51" i="60"/>
  <c r="P51" i="60" s="1"/>
  <c r="N51" i="60"/>
  <c r="G52" i="60"/>
  <c r="M52" i="60" s="1"/>
  <c r="K52" i="60"/>
  <c r="G46" i="74" s="1"/>
  <c r="J81" i="60"/>
  <c r="I68" i="59"/>
  <c r="F28" i="59"/>
  <c r="F39" i="59"/>
  <c r="J27" i="60"/>
  <c r="P27" i="60" s="1"/>
  <c r="N27" i="60"/>
  <c r="G34" i="60"/>
  <c r="M34" i="60" s="1"/>
  <c r="K34" i="60"/>
  <c r="G24" i="74" s="1"/>
  <c r="H24" i="74" s="1"/>
  <c r="H5" i="63"/>
  <c r="G67" i="63"/>
  <c r="L47" i="60"/>
  <c r="F46" i="60"/>
  <c r="F25" i="59"/>
  <c r="G51" i="60"/>
  <c r="M51" i="60" s="1"/>
  <c r="K51" i="60"/>
  <c r="K92" i="60"/>
  <c r="G36" i="74" s="1"/>
  <c r="H36" i="74" s="1"/>
  <c r="G92" i="60"/>
  <c r="G23" i="60"/>
  <c r="M23" i="60" s="1"/>
  <c r="K23" i="60"/>
  <c r="G16" i="74" s="1"/>
  <c r="H16" i="74" s="1"/>
  <c r="J67" i="60"/>
  <c r="N24" i="60"/>
  <c r="J24" i="60"/>
  <c r="P24" i="60" s="1"/>
  <c r="J54" i="60"/>
  <c r="I21" i="59"/>
  <c r="F65" i="59"/>
  <c r="G74" i="60"/>
  <c r="J37" i="60"/>
  <c r="P37" i="60" s="1"/>
  <c r="N37" i="60"/>
  <c r="J49" i="60"/>
  <c r="P49" i="60" s="1"/>
  <c r="N49" i="60"/>
  <c r="K93" i="60"/>
  <c r="G41" i="74" s="1"/>
  <c r="H41" i="74" s="1"/>
  <c r="G93" i="60"/>
  <c r="M93" i="60" s="1"/>
  <c r="J84" i="60"/>
  <c r="D12" i="59"/>
  <c r="F12" i="59" s="1"/>
  <c r="C11" i="58"/>
  <c r="G90" i="60"/>
  <c r="N47" i="60"/>
  <c r="J47" i="60"/>
  <c r="F14" i="59"/>
  <c r="I82" i="59"/>
  <c r="N14" i="60"/>
  <c r="J14" i="60"/>
  <c r="P14" i="60" s="1"/>
  <c r="N32" i="60"/>
  <c r="J32" i="60"/>
  <c r="P32" i="60" s="1"/>
  <c r="K35" i="60"/>
  <c r="G25" i="74" s="1"/>
  <c r="H25" i="74" s="1"/>
  <c r="G35" i="60"/>
  <c r="M35" i="60" s="1"/>
  <c r="N50" i="60"/>
  <c r="J50" i="60"/>
  <c r="P50" i="60" s="1"/>
  <c r="I55" i="59"/>
  <c r="K40" i="60"/>
  <c r="G30" i="74" s="1"/>
  <c r="G40" i="60"/>
  <c r="M40" i="60" s="1"/>
  <c r="J12" i="60"/>
  <c r="P12" i="60" s="1"/>
  <c r="N12" i="60"/>
  <c r="J77" i="60"/>
  <c r="K95" i="60"/>
  <c r="G44" i="74" s="1"/>
  <c r="H44" i="74" s="1"/>
  <c r="G95" i="60"/>
  <c r="M95" i="60" s="1"/>
  <c r="N45" i="60"/>
  <c r="J45" i="60"/>
  <c r="P45" i="60" s="1"/>
  <c r="J16" i="60"/>
  <c r="P16" i="60" s="1"/>
  <c r="N16" i="60"/>
  <c r="N20" i="60"/>
  <c r="J20" i="60"/>
  <c r="P20" i="60" s="1"/>
  <c r="O11" i="60"/>
  <c r="I10" i="60"/>
  <c r="G68" i="60"/>
  <c r="N40" i="60"/>
  <c r="J40" i="60"/>
  <c r="P40" i="60" s="1"/>
  <c r="G81" i="60"/>
  <c r="F46" i="59"/>
  <c r="N43" i="60"/>
  <c r="J43" i="60"/>
  <c r="P43" i="60" s="1"/>
  <c r="G69" i="60"/>
  <c r="J58" i="60"/>
  <c r="G53" i="60"/>
  <c r="M53" i="60" s="1"/>
  <c r="K53" i="60"/>
  <c r="G48" i="74" s="1"/>
  <c r="G56" i="60"/>
  <c r="I92" i="59"/>
  <c r="G58" i="60"/>
  <c r="J57" i="60"/>
  <c r="I75" i="59"/>
  <c r="K37" i="60"/>
  <c r="G27" i="74" s="1"/>
  <c r="G37" i="60"/>
  <c r="M37" i="60" s="1"/>
  <c r="J24" i="83"/>
  <c r="I24" i="83"/>
  <c r="N36" i="60"/>
  <c r="J36" i="60"/>
  <c r="P36" i="60" s="1"/>
  <c r="J17" i="60"/>
  <c r="P17" i="60" s="1"/>
  <c r="N17" i="60"/>
  <c r="K94" i="60"/>
  <c r="G42" i="74" s="1"/>
  <c r="H42" i="74" s="1"/>
  <c r="G94" i="60"/>
  <c r="M94" i="60" s="1"/>
  <c r="G78" i="60"/>
  <c r="J100" i="60"/>
  <c r="P100" i="60" s="1"/>
  <c r="N100" i="60"/>
  <c r="N35" i="60"/>
  <c r="J35" i="60"/>
  <c r="P35" i="60" s="1"/>
  <c r="I43" i="59"/>
  <c r="F40" i="59"/>
  <c r="N28" i="60"/>
  <c r="J28" i="60"/>
  <c r="P28" i="60" s="1"/>
  <c r="I51" i="59"/>
  <c r="N22" i="60"/>
  <c r="J22" i="60"/>
  <c r="P22" i="60" s="1"/>
  <c r="G11" i="60"/>
  <c r="K11" i="60"/>
  <c r="G5" i="74" s="1"/>
  <c r="F92" i="59"/>
  <c r="G79" i="60"/>
  <c r="G32" i="60"/>
  <c r="M32" i="60" s="1"/>
  <c r="K32" i="60"/>
  <c r="G23" i="74" s="1"/>
  <c r="I16" i="59"/>
  <c r="J65" i="60"/>
  <c r="K99" i="60"/>
  <c r="G51" i="74" s="1"/>
  <c r="H51" i="74" s="1"/>
  <c r="G99" i="60"/>
  <c r="M99" i="60" s="1"/>
  <c r="N18" i="60"/>
  <c r="J18" i="60"/>
  <c r="P18" i="60" s="1"/>
  <c r="I52" i="59"/>
  <c r="J53" i="60"/>
  <c r="P53" i="60" s="1"/>
  <c r="N53" i="60"/>
  <c r="F42" i="59"/>
  <c r="J55" i="60"/>
  <c r="K98" i="60"/>
  <c r="G50" i="74" s="1"/>
  <c r="H50" i="74" s="1"/>
  <c r="G98" i="60"/>
  <c r="M98" i="60" s="1"/>
  <c r="K45" i="60"/>
  <c r="G34" i="74" s="1"/>
  <c r="G45" i="60"/>
  <c r="M45" i="60" s="1"/>
  <c r="I90" i="59"/>
  <c r="I22" i="59"/>
  <c r="F70" i="59"/>
  <c r="I42" i="59"/>
  <c r="G73" i="60"/>
  <c r="N48" i="60"/>
  <c r="J48" i="60"/>
  <c r="P48" i="60" s="1"/>
  <c r="F90" i="59"/>
  <c r="F54" i="59"/>
  <c r="I70" i="59"/>
  <c r="I45" i="59"/>
  <c r="F71" i="59"/>
  <c r="G71" i="60"/>
  <c r="L100" i="60"/>
  <c r="J90" i="60"/>
  <c r="F60" i="59"/>
  <c r="K15" i="60"/>
  <c r="G8" i="74" s="1"/>
  <c r="H8" i="74" s="1"/>
  <c r="G15" i="60"/>
  <c r="M15" i="60" s="1"/>
  <c r="I59" i="59"/>
  <c r="J73" i="60"/>
  <c r="I64" i="59"/>
  <c r="G41" i="60"/>
  <c r="M41" i="60" s="1"/>
  <c r="K41" i="60"/>
  <c r="G31" i="74" s="1"/>
  <c r="H31" i="74" s="1"/>
  <c r="G36" i="60"/>
  <c r="M36" i="60" s="1"/>
  <c r="K36" i="60"/>
  <c r="G26" i="74" s="1"/>
  <c r="H26" i="74" s="1"/>
  <c r="F76" i="59"/>
  <c r="K12" i="60"/>
  <c r="G6" i="74" s="1"/>
  <c r="H6" i="74" s="1"/>
  <c r="G12" i="60"/>
  <c r="M12" i="60" s="1"/>
  <c r="I18" i="59"/>
  <c r="G22" i="60"/>
  <c r="M22" i="60" s="1"/>
  <c r="K22" i="60"/>
  <c r="G15" i="74" s="1"/>
  <c r="K38" i="60"/>
  <c r="G28" i="74" s="1"/>
  <c r="H28" i="74" s="1"/>
  <c r="G38" i="60"/>
  <c r="M38" i="60" s="1"/>
  <c r="N44" i="60"/>
  <c r="J44" i="60"/>
  <c r="P44" i="60" s="1"/>
  <c r="J12" i="83"/>
  <c r="I12" i="83"/>
  <c r="F13" i="59"/>
  <c r="J62" i="60"/>
  <c r="G18" i="60"/>
  <c r="M18" i="60" s="1"/>
  <c r="K18" i="60"/>
  <c r="G11" i="74" s="1"/>
  <c r="H11" i="74" s="1"/>
  <c r="J61" i="60"/>
  <c r="G50" i="60"/>
  <c r="M50" i="60" s="1"/>
  <c r="K50" i="60"/>
  <c r="G40" i="74" s="1"/>
  <c r="H40" i="74" s="1"/>
  <c r="F43" i="59"/>
  <c r="J83" i="60"/>
  <c r="I67" i="59"/>
  <c r="I20" i="59"/>
  <c r="J72" i="60"/>
  <c r="L92" i="60"/>
  <c r="F91" i="60"/>
  <c r="F45" i="59"/>
  <c r="G49" i="60"/>
  <c r="M49" i="60" s="1"/>
  <c r="K49" i="60"/>
  <c r="G39" i="74" s="1"/>
  <c r="H39" i="74" s="1"/>
  <c r="I57" i="59"/>
  <c r="F47" i="59"/>
  <c r="G57" i="60"/>
  <c r="J88" i="60"/>
  <c r="J89" i="60"/>
  <c r="I62" i="59"/>
  <c r="L11" i="60"/>
  <c r="F10" i="60"/>
  <c r="F75" i="59"/>
  <c r="I50" i="59"/>
  <c r="G88" i="60"/>
  <c r="G44" i="60"/>
  <c r="M44" i="60" s="1"/>
  <c r="K44" i="60"/>
  <c r="G33" i="74" s="1"/>
  <c r="J68" i="60"/>
  <c r="F73" i="59"/>
  <c r="F55" i="59"/>
  <c r="J56" i="60"/>
  <c r="K28" i="60"/>
  <c r="G20" i="74" s="1"/>
  <c r="G28" i="60"/>
  <c r="M28" i="60" s="1"/>
  <c r="F17" i="59"/>
  <c r="J26" i="60"/>
  <c r="P26" i="60" s="1"/>
  <c r="N26" i="60"/>
  <c r="G70" i="60"/>
  <c r="J10" i="60" l="1"/>
  <c r="P10" i="60" s="1"/>
  <c r="P11" i="60"/>
  <c r="D5" i="70"/>
  <c r="H14" i="74"/>
  <c r="E5" i="70" s="1"/>
  <c r="G43" i="74"/>
  <c r="G47" i="74"/>
  <c r="H47" i="74" s="1"/>
  <c r="J46" i="60"/>
  <c r="P46" i="60" s="1"/>
  <c r="P47" i="60"/>
  <c r="M47" i="60"/>
  <c r="G46" i="60"/>
  <c r="M46" i="60" s="1"/>
  <c r="D9" i="70"/>
  <c r="H37" i="74"/>
  <c r="E9" i="70" s="1"/>
  <c r="D14" i="70"/>
  <c r="H15" i="74"/>
  <c r="E14" i="70" s="1"/>
  <c r="L46" i="60"/>
  <c r="O46" i="60"/>
  <c r="H38" i="74"/>
  <c r="E21" i="70" s="1"/>
  <c r="D21" i="70"/>
  <c r="L10" i="60"/>
  <c r="F102" i="60"/>
  <c r="L102" i="60" s="1"/>
  <c r="D22" i="70"/>
  <c r="H21" i="74"/>
  <c r="E22" i="70" s="1"/>
  <c r="D18" i="70"/>
  <c r="H32" i="74"/>
  <c r="E18" i="70" s="1"/>
  <c r="H20" i="74"/>
  <c r="E23" i="70" s="1"/>
  <c r="D23" i="70"/>
  <c r="H48" i="74"/>
  <c r="E13" i="70" s="1"/>
  <c r="D13" i="70"/>
  <c r="D7" i="70"/>
  <c r="H30" i="74"/>
  <c r="E7" i="70" s="1"/>
  <c r="D8" i="70"/>
  <c r="H19" i="74"/>
  <c r="E8" i="70" s="1"/>
  <c r="H10" i="74"/>
  <c r="E15" i="70" s="1"/>
  <c r="D15" i="70"/>
  <c r="I102" i="60"/>
  <c r="O102" i="60" s="1"/>
  <c r="D10" i="70"/>
  <c r="H34" i="74"/>
  <c r="E10" i="70" s="1"/>
  <c r="D12" i="70"/>
  <c r="H5" i="74"/>
  <c r="E12" i="70" s="1"/>
  <c r="H27" i="74"/>
  <c r="E16" i="70" s="1"/>
  <c r="D16" i="70"/>
  <c r="M92" i="60"/>
  <c r="G91" i="60"/>
  <c r="M91" i="60" s="1"/>
  <c r="D17" i="70"/>
  <c r="H7" i="74"/>
  <c r="E17" i="70" s="1"/>
  <c r="D11" i="70"/>
  <c r="H23" i="74"/>
  <c r="E11" i="70" s="1"/>
  <c r="H33" i="74"/>
  <c r="E4" i="70" s="1"/>
  <c r="D4" i="70"/>
  <c r="L91" i="60"/>
  <c r="M11" i="60"/>
  <c r="G10" i="60"/>
  <c r="M10" i="60" s="1"/>
  <c r="O10" i="60"/>
  <c r="H10" i="60"/>
  <c r="N10" i="60" s="1"/>
  <c r="D20" i="70"/>
  <c r="H46" i="74"/>
  <c r="E20" i="70" s="1"/>
  <c r="H13" i="74"/>
  <c r="E6" i="70" s="1"/>
  <c r="D6" i="70"/>
  <c r="E46" i="60" l="1"/>
  <c r="K46" i="60" s="1"/>
  <c r="E91" i="60"/>
  <c r="K91" i="60" s="1"/>
  <c r="E10" i="60"/>
  <c r="K10" i="60" s="1"/>
  <c r="H43" i="74"/>
  <c r="E19" i="70" s="1"/>
  <c r="D19" i="70"/>
  <c r="H46" i="60"/>
  <c r="E102" i="60" l="1"/>
  <c r="K102" i="60" s="1"/>
  <c r="N46" i="60"/>
  <c r="H102" i="60"/>
  <c r="G102" i="60" l="1"/>
  <c r="M102" i="60" s="1"/>
  <c r="N102" i="60"/>
  <c r="J102" i="60"/>
  <c r="P102" i="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tc={E359A151-CACA-E245-A8AA-E9ED6E39F7F9}</author>
    <author>tc={AB2007F2-A2EC-6C4D-B685-D7301BD6D181}</author>
  </authors>
  <commentList>
    <comment ref="AO205" authorId="0" shapeId="0" xr:uid="{E359A151-CACA-E245-A8AA-E9ED6E39F7F9}">
      <text>
        <r>
          <rPr>
            <sz val="12"/>
            <color theme="1"/>
            <rFont val="Garamond"/>
            <family val="2"/>
          </rPr>
          <t>[Threaded comment]
Your version of Excel allows you to read this threaded comment; however, any edits to it will get removed if the file is opened in a newer version of Excel. Learn more: https://go.microsoft.com/fwlink/?linkid=870924
Comment:
    Retrieved from ONS</t>
        </r>
      </text>
    </comment>
    <comment ref="AT206" authorId="1" shapeId="0" xr:uid="{AB2007F2-A2EC-6C4D-B685-D7301BD6D181}">
      <text>
        <r>
          <rPr>
            <sz val="12"/>
            <color theme="1"/>
            <rFont val="Garamond"/>
            <family val="2"/>
          </rPr>
          <t>[Threaded comment]
Your version of Excel allows you to read this threaded comment; however, any edits to it will get removed if the file is opened in a newer version of Excel. Learn more: https://go.microsoft.com/fwlink/?linkid=870924
Comment:
    Replace by more up to date US numbers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tc={6C6359BA-02A8-1241-AFAF-6F517F2E7AB4}</author>
    <author>tc={BF77F5A8-B0D5-7647-AF9E-305C93CEE323}</author>
  </authors>
  <commentList>
    <comment ref="T8" authorId="0" shapeId="0" xr:uid="{6C6359BA-02A8-1241-AFAF-6F517F2E7AB4}">
      <text>
        <r>
          <rPr>
            <sz val="12"/>
            <color theme="1"/>
            <rFont val="Garamond"/>
            <family val="2"/>
          </rPr>
          <t>[Threaded comment]
Your version of Excel allows you to read this threaded comment; however, any edits to it will get removed if the file is opened in a newer version of Excel. Learn more: https://go.microsoft.com/fwlink/?linkid=870924
Comment:
    Total non-farm employment, BLS, retrieved from Fred: https://fred.stlouisfed.org/series/SMS72000000000000001#0</t>
        </r>
      </text>
    </comment>
    <comment ref="U8" authorId="1" shapeId="0" xr:uid="{BF77F5A8-B0D5-7647-AF9E-305C93CEE323}">
      <text>
        <r>
          <rPr>
            <sz val="12"/>
            <color theme="1"/>
            <rFont val="Garamond"/>
            <family val="2"/>
          </rPr>
          <t>[Threaded comment]
Your version of Excel allows you to read this threaded comment; however, any edits to it will get removed if the file is opened in a newer version of Excel. Learn more: https://go.microsoft.com/fwlink/?linkid=870924
Comment:
    Average hourly earnings of all employees x 2080 hours/year, BLS, retrieved from Fred: https://fred.stlouisfed.org/series/SMU72000000500000003#0</t>
        </r>
      </text>
    </comment>
  </commentList>
</comments>
</file>

<file path=xl/sharedStrings.xml><?xml version="1.0" encoding="utf-8"?>
<sst xmlns="http://schemas.openxmlformats.org/spreadsheetml/2006/main" count="6262" uniqueCount="982">
  <si>
    <t>Corporate profits</t>
  </si>
  <si>
    <t>Profits shifted</t>
  </si>
  <si>
    <t>1.2 p.p.</t>
  </si>
  <si>
    <t>Tax loss</t>
  </si>
  <si>
    <t>1.0 p.p.</t>
  </si>
  <si>
    <t>Depreciation</t>
  </si>
  <si>
    <t>Profit share of income</t>
  </si>
  <si>
    <t>Multinational profits share</t>
  </si>
  <si>
    <t>World total</t>
  </si>
  <si>
    <t>Foreign profits</t>
  </si>
  <si>
    <t>Profits shifted (% of foreign profits)</t>
  </si>
  <si>
    <t>United States</t>
  </si>
  <si>
    <t>Local sector (2015)</t>
  </si>
  <si>
    <t>Local sector (2019)</t>
  </si>
  <si>
    <t>Excess pi</t>
  </si>
  <si>
    <t>Foreign-controlled sector (2015)</t>
  </si>
  <si>
    <t>Average among non-havens</t>
  </si>
  <si>
    <t>Foreign controlled sector (2019)</t>
  </si>
  <si>
    <t>Puerto Rico</t>
  </si>
  <si>
    <t>Luxembourg</t>
  </si>
  <si>
    <t>Ireland</t>
  </si>
  <si>
    <t>Switzerland</t>
  </si>
  <si>
    <t>Singapore</t>
  </si>
  <si>
    <t>Netherlands</t>
  </si>
  <si>
    <t>Hong Kong</t>
  </si>
  <si>
    <t>Belgium</t>
  </si>
  <si>
    <t>US</t>
  </si>
  <si>
    <t>Australia</t>
  </si>
  <si>
    <t>United Kingdom</t>
  </si>
  <si>
    <t>UK</t>
  </si>
  <si>
    <t>Spain</t>
  </si>
  <si>
    <t>Japan</t>
  </si>
  <si>
    <t>France</t>
  </si>
  <si>
    <t>Italy</t>
  </si>
  <si>
    <t>Germany</t>
  </si>
  <si>
    <t>Global average '19</t>
  </si>
  <si>
    <t>Global average '15</t>
  </si>
  <si>
    <t>Brazil</t>
  </si>
  <si>
    <t>Mexico</t>
  </si>
  <si>
    <t>South Africa</t>
  </si>
  <si>
    <t>Greece</t>
  </si>
  <si>
    <t>Denmark</t>
  </si>
  <si>
    <t>Portugal</t>
  </si>
  <si>
    <t>Canada</t>
  </si>
  <si>
    <t>Turkey</t>
  </si>
  <si>
    <t>India</t>
  </si>
  <si>
    <t>Russia</t>
  </si>
  <si>
    <t>China</t>
  </si>
  <si>
    <t>Korea</t>
  </si>
  <si>
    <t>[1]</t>
  </si>
  <si>
    <t>[2]</t>
  </si>
  <si>
    <t>[3]</t>
  </si>
  <si>
    <t>[4]</t>
  </si>
  <si>
    <t>[5]</t>
  </si>
  <si>
    <t>[6]</t>
  </si>
  <si>
    <t>[7]</t>
  </si>
  <si>
    <t>[8]</t>
  </si>
  <si>
    <t>[9]</t>
  </si>
  <si>
    <t>[10]</t>
  </si>
  <si>
    <t>[11]</t>
  </si>
  <si>
    <t>[12]</t>
  </si>
  <si>
    <t>[13]</t>
  </si>
  <si>
    <t>[14]</t>
  </si>
  <si>
    <t>[15]</t>
  </si>
  <si>
    <t>Excluding Puerto Rico</t>
  </si>
  <si>
    <t>Including Puerto Rico</t>
  </si>
  <si>
    <t>Memo: Puerto Rico profits ($bn)</t>
  </si>
  <si>
    <t>% of foreign pre-tax profits</t>
  </si>
  <si>
    <t>Total havens (excl. Puerto Rico)</t>
  </si>
  <si>
    <t>Netherlands + Luxembourg</t>
  </si>
  <si>
    <t>Bermuda and Carribbean havens</t>
  </si>
  <si>
    <t>Total havens (incl. Puerto Rico)</t>
  </si>
  <si>
    <t>Tax loss (% of corp. tax revenue)</t>
  </si>
  <si>
    <t>Share of profits in havens not shifted</t>
  </si>
  <si>
    <t>Residual in reg</t>
  </si>
  <si>
    <t xml:space="preserve">Profit measure is profit-type return in the BEA survey since 1994; and net income plus foreign income taxes paid minus income from equity investment minus capital gains before. </t>
  </si>
  <si>
    <t>OECD countries</t>
  </si>
  <si>
    <t>Main developing countries</t>
  </si>
  <si>
    <t>Argentina</t>
  </si>
  <si>
    <t>Egypt</t>
  </si>
  <si>
    <t>Indonesia</t>
  </si>
  <si>
    <t>Malaysia</t>
  </si>
  <si>
    <t>Nigeria</t>
  </si>
  <si>
    <t>Thailand</t>
  </si>
  <si>
    <t>Uruguay</t>
  </si>
  <si>
    <t>Venezuela</t>
  </si>
  <si>
    <t>Tax havens</t>
  </si>
  <si>
    <t>Malta</t>
  </si>
  <si>
    <t>Caribbean</t>
  </si>
  <si>
    <t>Bermuda</t>
  </si>
  <si>
    <t>Other</t>
  </si>
  <si>
    <t>Austria</t>
  </si>
  <si>
    <t>Czech Republic</t>
  </si>
  <si>
    <t>Estonia</t>
  </si>
  <si>
    <t>Finland</t>
  </si>
  <si>
    <t>Hungary</t>
  </si>
  <si>
    <t>Latvia</t>
  </si>
  <si>
    <t>Poland</t>
  </si>
  <si>
    <t>Slovakia</t>
  </si>
  <si>
    <t>Slovenia</t>
  </si>
  <si>
    <t>Sweden</t>
  </si>
  <si>
    <t>EU</t>
  </si>
  <si>
    <t>[16]</t>
  </si>
  <si>
    <t>[17]</t>
  </si>
  <si>
    <t>[18]</t>
  </si>
  <si>
    <t>[19]</t>
  </si>
  <si>
    <t>[20]</t>
  </si>
  <si>
    <t>[21]</t>
  </si>
  <si>
    <t>[22]</t>
  </si>
  <si>
    <t>GDP</t>
  </si>
  <si>
    <t>Local</t>
  </si>
  <si>
    <t>Foreign</t>
  </si>
  <si>
    <t>Chile</t>
  </si>
  <si>
    <t>Iceland</t>
  </si>
  <si>
    <t>Israel</t>
  </si>
  <si>
    <t>KOR</t>
  </si>
  <si>
    <t>New Zealand</t>
  </si>
  <si>
    <t>Norway</t>
  </si>
  <si>
    <t>SVK</t>
  </si>
  <si>
    <t>Slovak Republic</t>
  </si>
  <si>
    <t>CHN</t>
  </si>
  <si>
    <t>Colombia</t>
  </si>
  <si>
    <t>Costa Rica</t>
  </si>
  <si>
    <t>RUS</t>
  </si>
  <si>
    <t>Non-OECD tax havens</t>
  </si>
  <si>
    <t>AND</t>
  </si>
  <si>
    <t>BES</t>
  </si>
  <si>
    <t>CYM</t>
  </si>
  <si>
    <t>CUW</t>
  </si>
  <si>
    <t>JEY</t>
  </si>
  <si>
    <t>GGY</t>
  </si>
  <si>
    <t>GIB</t>
  </si>
  <si>
    <t>IMN</t>
  </si>
  <si>
    <t>LIE</t>
  </si>
  <si>
    <t>Marshall Islands</t>
  </si>
  <si>
    <t>MCO</t>
  </si>
  <si>
    <t>SXM</t>
  </si>
  <si>
    <t>KNA</t>
  </si>
  <si>
    <t>LCA</t>
  </si>
  <si>
    <t>VCT</t>
  </si>
  <si>
    <t>TCA</t>
  </si>
  <si>
    <t>PRI</t>
  </si>
  <si>
    <t>Rest of world</t>
  </si>
  <si>
    <t>Table F3: Multinational profits as share of global profits (decennial averages)</t>
  </si>
  <si>
    <t>MNE profits/Global profits - Including imputations</t>
  </si>
  <si>
    <t>US Corp profits in national income</t>
  </si>
  <si>
    <t>Global corp profits in national income</t>
  </si>
  <si>
    <t>1930-39</t>
  </si>
  <si>
    <t>1940-49</t>
  </si>
  <si>
    <t>1950-59</t>
  </si>
  <si>
    <t>1960-69</t>
  </si>
  <si>
    <t>1970-79</t>
  </si>
  <si>
    <t>1980-89</t>
  </si>
  <si>
    <t>1990-99</t>
  </si>
  <si>
    <t>2000-09</t>
  </si>
  <si>
    <t>2010-15</t>
  </si>
  <si>
    <t>2016-19</t>
  </si>
  <si>
    <t>Table B.10 (Updated to 2018 values): Corrections for direct investment income</t>
  </si>
  <si>
    <t xml:space="preserve"> Millions of current USD</t>
  </si>
  <si>
    <t>Reported income paid on inward direct investment</t>
  </si>
  <si>
    <t>Corrections for income paid</t>
  </si>
  <si>
    <t>Reported income received on outward direct investment</t>
  </si>
  <si>
    <t>Correction</t>
  </si>
  <si>
    <t>As reported by country (IMF numbers)</t>
  </si>
  <si>
    <t>As reported by OECD partners</t>
  </si>
  <si>
    <t>Gap (reported by country) – (reported by partners)</t>
  </si>
  <si>
    <t>Of which: paid to United States</t>
  </si>
  <si>
    <t>Of which: paid to other countries</t>
  </si>
  <si>
    <t>As reported by country (OECD numbers otherwise IMF)</t>
  </si>
  <si>
    <t>Difference</t>
  </si>
  <si>
    <t xml:space="preserve"> #1: Adding missing income reported by partners</t>
  </si>
  <si>
    <t>China, P.R.: Mainland</t>
  </si>
  <si>
    <t>Russian Federation</t>
  </si>
  <si>
    <t>Andorra</t>
  </si>
  <si>
    <t>Anguilla</t>
  </si>
  <si>
    <t>Antigua and Barbuda</t>
  </si>
  <si>
    <t>Aruba</t>
  </si>
  <si>
    <t>Bahamas, The</t>
  </si>
  <si>
    <t>Bahamas</t>
  </si>
  <si>
    <t>Bahrain, Kingdom of</t>
  </si>
  <si>
    <t>Bahrain</t>
  </si>
  <si>
    <t>Barbados</t>
  </si>
  <si>
    <t>Belize</t>
  </si>
  <si>
    <t>Bonaire</t>
  </si>
  <si>
    <t>British Virgin Islands</t>
  </si>
  <si>
    <t>Cayman Islands</t>
  </si>
  <si>
    <t>Curacao</t>
  </si>
  <si>
    <t>Cyprus</t>
  </si>
  <si>
    <t>Jersey</t>
  </si>
  <si>
    <t>Grenada</t>
  </si>
  <si>
    <t>Guernsey</t>
  </si>
  <si>
    <t>Gibraltar</t>
  </si>
  <si>
    <t>China, P.R.: Hong Kong</t>
  </si>
  <si>
    <t>Isle of man</t>
  </si>
  <si>
    <t>Lebanon</t>
  </si>
  <si>
    <t>Liechtenstein</t>
  </si>
  <si>
    <t>China, P.R.: Macao</t>
  </si>
  <si>
    <t>Macau</t>
  </si>
  <si>
    <t>Marshall Islands, Republic of</t>
  </si>
  <si>
    <t>Monaco</t>
  </si>
  <si>
    <t>Sint Maarten</t>
  </si>
  <si>
    <t>Mauritius</t>
  </si>
  <si>
    <t>Seychelles</t>
  </si>
  <si>
    <t>Saint Kitts and Nevis</t>
  </si>
  <si>
    <t>Saint Lucia</t>
  </si>
  <si>
    <t>Saint Vincent and the Grenadines</t>
  </si>
  <si>
    <t>Turks and Caicos</t>
  </si>
  <si>
    <t>Panama</t>
  </si>
  <si>
    <t>Afghanistan, Islamic Republic of</t>
  </si>
  <si>
    <t>Albania</t>
  </si>
  <si>
    <t>Algeria</t>
  </si>
  <si>
    <t>Angola</t>
  </si>
  <si>
    <t>Armenia</t>
  </si>
  <si>
    <t>Armenia, Republic of</t>
  </si>
  <si>
    <t>Azerbaijan</t>
  </si>
  <si>
    <t>Azerbaijan, Republic of</t>
  </si>
  <si>
    <t>Bangladesh</t>
  </si>
  <si>
    <t>Belarus</t>
  </si>
  <si>
    <t>Benin</t>
  </si>
  <si>
    <t>Bhutan</t>
  </si>
  <si>
    <t>Bolivia</t>
  </si>
  <si>
    <t>Bosnia and Herzegovina</t>
  </si>
  <si>
    <t>Botswana</t>
  </si>
  <si>
    <t>Brunei Darussalam</t>
  </si>
  <si>
    <t>Bulgaria</t>
  </si>
  <si>
    <t>Burkina Faso</t>
  </si>
  <si>
    <t>Burundi</t>
  </si>
  <si>
    <t>Cambodia</t>
  </si>
  <si>
    <t>Cameroon</t>
  </si>
  <si>
    <t>CPV</t>
  </si>
  <si>
    <t>Cape Verde</t>
  </si>
  <si>
    <t>Central African Republic</t>
  </si>
  <si>
    <t>CAF</t>
  </si>
  <si>
    <t>TCD</t>
  </si>
  <si>
    <t>Chad</t>
  </si>
  <si>
    <t>Comoros</t>
  </si>
  <si>
    <t>Congo, Democratic Republic of</t>
  </si>
  <si>
    <t>Congo, Republic of</t>
  </si>
  <si>
    <t>Côte d'Ivoire</t>
  </si>
  <si>
    <t>Cote d'Ivoire</t>
  </si>
  <si>
    <t>Croatia</t>
  </si>
  <si>
    <t>Djibouti</t>
  </si>
  <si>
    <t>Dominica</t>
  </si>
  <si>
    <t>Dominican Republic</t>
  </si>
  <si>
    <t>Ecuador</t>
  </si>
  <si>
    <t>El Salvador</t>
  </si>
  <si>
    <t>Equatorial Guinea</t>
  </si>
  <si>
    <t>GIN</t>
  </si>
  <si>
    <t>Eritrea</t>
  </si>
  <si>
    <t>Ethiopia</t>
  </si>
  <si>
    <t>Faroe Islands</t>
  </si>
  <si>
    <t>Fiji</t>
  </si>
  <si>
    <t>Gabon</t>
  </si>
  <si>
    <t>Gambia, The</t>
  </si>
  <si>
    <t>Georgia</t>
  </si>
  <si>
    <t>Ghana</t>
  </si>
  <si>
    <t>Guatemala</t>
  </si>
  <si>
    <t>Guinea</t>
  </si>
  <si>
    <t>Guinea-Bissau</t>
  </si>
  <si>
    <t>Guyana</t>
  </si>
  <si>
    <t>Haiti</t>
  </si>
  <si>
    <t>Honduras</t>
  </si>
  <si>
    <t>Iran</t>
  </si>
  <si>
    <t>Iraq</t>
  </si>
  <si>
    <t>Jamaica</t>
  </si>
  <si>
    <t>Jordan</t>
  </si>
  <si>
    <t>Kazakhstan</t>
  </si>
  <si>
    <t>Kenya</t>
  </si>
  <si>
    <t>Kiribati</t>
  </si>
  <si>
    <t>Kosovo, Republic of</t>
  </si>
  <si>
    <t>Kuwait</t>
  </si>
  <si>
    <t>Kyrgyzstan</t>
  </si>
  <si>
    <t>Laos</t>
  </si>
  <si>
    <t>Lesotho</t>
  </si>
  <si>
    <t>Liberia</t>
  </si>
  <si>
    <t>Libya</t>
  </si>
  <si>
    <t>Lithuania</t>
  </si>
  <si>
    <t>MKD</t>
  </si>
  <si>
    <t>Macedonia, FYR</t>
  </si>
  <si>
    <t>Madagascar</t>
  </si>
  <si>
    <t>Malawi</t>
  </si>
  <si>
    <t>Maldives</t>
  </si>
  <si>
    <t>Mali</t>
  </si>
  <si>
    <t>Mauritania</t>
  </si>
  <si>
    <t>Micronesia, Federated States of</t>
  </si>
  <si>
    <t>Micronesia</t>
  </si>
  <si>
    <t>Moldova</t>
  </si>
  <si>
    <t>Mongolia</t>
  </si>
  <si>
    <t>Montenegro</t>
  </si>
  <si>
    <t>Montserrat</t>
  </si>
  <si>
    <t>Morocco</t>
  </si>
  <si>
    <t>Mozambique</t>
  </si>
  <si>
    <t>Myanmar</t>
  </si>
  <si>
    <t>Namibia</t>
  </si>
  <si>
    <t>Nepal</t>
  </si>
  <si>
    <t>Nicaragua</t>
  </si>
  <si>
    <t>Niger</t>
  </si>
  <si>
    <t>Oman</t>
  </si>
  <si>
    <t>Pakistan</t>
  </si>
  <si>
    <t>Palau</t>
  </si>
  <si>
    <t>Papua New Guinea</t>
  </si>
  <si>
    <t>Paraguay</t>
  </si>
  <si>
    <t>Peru</t>
  </si>
  <si>
    <t>Philippines</t>
  </si>
  <si>
    <t>Qatar</t>
  </si>
  <si>
    <t>Romania</t>
  </si>
  <si>
    <t>Rwanda</t>
  </si>
  <si>
    <t>Samoa</t>
  </si>
  <si>
    <t>Sao Tome and Principe</t>
  </si>
  <si>
    <t>Saudi Arabia</t>
  </si>
  <si>
    <t>Senegal</t>
  </si>
  <si>
    <t>Serbia</t>
  </si>
  <si>
    <t>Sierra Leone</t>
  </si>
  <si>
    <t>Solomon Islands</t>
  </si>
  <si>
    <t>South Sudan</t>
  </si>
  <si>
    <t>Sudan</t>
  </si>
  <si>
    <t>Suriname</t>
  </si>
  <si>
    <t>Swaziland</t>
  </si>
  <si>
    <t>Syrian Arab Republic</t>
  </si>
  <si>
    <t>Tajikistan</t>
  </si>
  <si>
    <t>Tanzania</t>
  </si>
  <si>
    <t>Timor-Leste, Dem. Rep. of</t>
  </si>
  <si>
    <t>Timor-Leste</t>
  </si>
  <si>
    <t>Togo</t>
  </si>
  <si>
    <t>Tonga</t>
  </si>
  <si>
    <t>Trinidad and Tobago</t>
  </si>
  <si>
    <t>Tunisia</t>
  </si>
  <si>
    <t>Tuvalu</t>
  </si>
  <si>
    <t>Uganda</t>
  </si>
  <si>
    <t>Ukraine</t>
  </si>
  <si>
    <t>Vanuatu</t>
  </si>
  <si>
    <t>Vietnam</t>
  </si>
  <si>
    <t>West Bank and Gaza</t>
  </si>
  <si>
    <t>Yemen</t>
  </si>
  <si>
    <t>Zambia</t>
  </si>
  <si>
    <t>Zimbabwe</t>
  </si>
  <si>
    <t>Classified or undeclared</t>
  </si>
  <si>
    <t>Euro/USD</t>
  </si>
  <si>
    <t>Outward DI by investor less Inward DI by host</t>
  </si>
  <si>
    <t>USD/EUR</t>
  </si>
  <si>
    <t>Billions of current US$</t>
  </si>
  <si>
    <t>Host (line) /          Investor (col.)</t>
  </si>
  <si>
    <t>European Union (Non-SPEs)</t>
  </si>
  <si>
    <t xml:space="preserve">Total </t>
  </si>
  <si>
    <t>Total</t>
  </si>
  <si>
    <t>Notes: See TWZ2018 Appendix notes. Additional adjustments in this version: Inward discrepancies directly taken from stata output "totaldisc_DO_less_DI" (see Stata code)</t>
  </si>
  <si>
    <t>Table C.1: High-risk payments to tax havens</t>
  </si>
  <si>
    <t>FDI interest payments (million USD)</t>
  </si>
  <si>
    <t>Royalty, insurance, ICT, financial and "other" service payments (million USD)</t>
  </si>
  <si>
    <t>All havens</t>
  </si>
  <si>
    <t>EU havens</t>
  </si>
  <si>
    <t>Non-EU tax havens</t>
  </si>
  <si>
    <t>Rest</t>
  </si>
  <si>
    <t>Aux computations</t>
  </si>
  <si>
    <t>Rest non-EU havens</t>
  </si>
  <si>
    <t>Rest Switzerland</t>
  </si>
  <si>
    <t>Share of FDI interest non EU</t>
  </si>
  <si>
    <t>Share of rest of high risk payments non EU</t>
  </si>
  <si>
    <t>Share of EU rest FDI interest</t>
  </si>
  <si>
    <t>Share of EU rest service</t>
  </si>
  <si>
    <t>Germany (until 1990 former territory of the FRG)</t>
  </si>
  <si>
    <t>Korea, Republic of</t>
  </si>
  <si>
    <t>South Korea</t>
  </si>
  <si>
    <t>China (except Hong Kong)</t>
  </si>
  <si>
    <t>BVI</t>
  </si>
  <si>
    <t>Gribraltar</t>
  </si>
  <si>
    <t>Additional developing countries</t>
  </si>
  <si>
    <t>Rest of World</t>
  </si>
  <si>
    <t>Non-haven total</t>
  </si>
  <si>
    <t>Table C2: Excessive high risk payments to tax havens</t>
  </si>
  <si>
    <t>Excessive royalty, insurance, ICT, financial and "other" service payments (million USD)</t>
  </si>
  <si>
    <t>Share interest</t>
  </si>
  <si>
    <t>0.848</t>
  </si>
  <si>
    <t>Table C3: Who are the ultimate owners of the FDI stocks in tax havens?</t>
  </si>
  <si>
    <t xml:space="preserve"> FDI stocks in havens (million USD)</t>
  </si>
  <si>
    <t>Bonaire, Sint Eustatius and Saba</t>
  </si>
  <si>
    <t>Virgin Islands, British</t>
  </si>
  <si>
    <t>Turks and Caicos Islands</t>
  </si>
  <si>
    <t>Table C4: Allocating the profits shifted to tax havens</t>
  </si>
  <si>
    <t>Excessive high risk payments (million USD)</t>
  </si>
  <si>
    <t>Benchmark allocation: Excessive high risk payments</t>
  </si>
  <si>
    <t>Ultimate ownership (million USD)</t>
  </si>
  <si>
    <t>Table C4b: Allocating the profits shifted to tax havens</t>
  </si>
  <si>
    <t>Share of shifted profits</t>
  </si>
  <si>
    <t>Excessive high risk payments</t>
  </si>
  <si>
    <t>Ultimate ownership</t>
  </si>
  <si>
    <t>Table C4c: Profits shifted to tax havens – share of tax base</t>
  </si>
  <si>
    <t>Corporate profits (Bn. USD)</t>
  </si>
  <si>
    <t>Share of tax base</t>
  </si>
  <si>
    <t>Table C4d: Lost tax revenue due to profit shifting</t>
  </si>
  <si>
    <t>Corporate tax revenue (Bn. USD)</t>
  </si>
  <si>
    <t xml:space="preserve">Corporate tax rate </t>
  </si>
  <si>
    <t>Tax losses (billion $US)</t>
  </si>
  <si>
    <t>Tax losses (% of corp. tax revenue)</t>
  </si>
  <si>
    <t>Series Name</t>
  </si>
  <si>
    <t>Series Code</t>
  </si>
  <si>
    <t>Country Name</t>
  </si>
  <si>
    <t>Country Code</t>
  </si>
  <si>
    <t>1990 [YR1990]</t>
  </si>
  <si>
    <t>2000 [YR2000]</t>
  </si>
  <si>
    <t>2012 [YR2012]</t>
  </si>
  <si>
    <t>2013 [YR2013]</t>
  </si>
  <si>
    <t>2014 [YR2014]</t>
  </si>
  <si>
    <t>2015 [YR2015]</t>
  </si>
  <si>
    <t>2016 [YR2016]</t>
  </si>
  <si>
    <t>2017 [YR2017]</t>
  </si>
  <si>
    <t>2018 [YR2018]</t>
  </si>
  <si>
    <t>2019 [YR2019]</t>
  </si>
  <si>
    <t>2020 [YR2020]</t>
  </si>
  <si>
    <t>2021 [YR2021]</t>
  </si>
  <si>
    <t>Adjusted savings: consumption of fixed capital (% of GNI)</t>
  </si>
  <si>
    <t>NY.ADJ.DKAP.GN.ZS</t>
  </si>
  <si>
    <t>World</t>
  </si>
  <si>
    <t>WLD</t>
  </si>
  <si>
    <t>..</t>
  </si>
  <si>
    <t>Data from database: World Development Indicators</t>
  </si>
  <si>
    <t>Last Updated: 09/16/2022</t>
  </si>
  <si>
    <t>Code</t>
  </si>
  <si>
    <t>License Type</t>
  </si>
  <si>
    <t>Indicator Name</t>
  </si>
  <si>
    <t>Long definition</t>
  </si>
  <si>
    <t>Source</t>
  </si>
  <si>
    <t>Topic</t>
  </si>
  <si>
    <t>Periodicity</t>
  </si>
  <si>
    <t>Aggregation method</t>
  </si>
  <si>
    <t>License URL</t>
  </si>
  <si>
    <t>CC BY-4.0</t>
  </si>
  <si>
    <t>Consumption of fixed capital represents the replacement value of capital used up in the process of production.</t>
  </si>
  <si>
    <t>World Bank staff estimates using data from the United Nations Statistics Division's National Accounts Statistics.</t>
  </si>
  <si>
    <t>Economic Policy &amp; Debt: National accounts: Adjusted savings &amp; income</t>
  </si>
  <si>
    <t>Annual</t>
  </si>
  <si>
    <t>Weighted average</t>
  </si>
  <si>
    <t>https://datacatalog.worldbank.org/public-licenses#cc-by</t>
  </si>
  <si>
    <t>Profits shifted to tax havens</t>
  </si>
  <si>
    <t>(0.30%)</t>
  </si>
  <si>
    <t>(0.35%)</t>
  </si>
  <si>
    <t>(0.25%)</t>
  </si>
  <si>
    <t>US multinationals</t>
  </si>
  <si>
    <t xml:space="preserve">     as a % of foreign profits of US multinationals</t>
  </si>
  <si>
    <t xml:space="preserve">     as a % of foreign profits</t>
  </si>
  <si>
    <t>Non-US multinationals</t>
  </si>
  <si>
    <t xml:space="preserve">     as a % of foreign profits of non-US multinationals</t>
  </si>
  <si>
    <r>
      <t xml:space="preserve">Increase post BEPS </t>
    </r>
    <r>
      <rPr>
        <sz val="20"/>
        <color theme="1"/>
        <rFont val="Garamond"/>
        <family val="1"/>
      </rPr>
      <t>(pp per year)</t>
    </r>
  </si>
  <si>
    <r>
      <t xml:space="preserve">Increase post TCJA </t>
    </r>
    <r>
      <rPr>
        <sz val="20"/>
        <color theme="1"/>
        <rFont val="Garamond"/>
        <family val="1"/>
      </rPr>
      <t>(pp per year)</t>
    </r>
  </si>
  <si>
    <r>
      <t>Increase 1982-2015</t>
    </r>
    <r>
      <rPr>
        <sz val="20"/>
        <color theme="1"/>
        <rFont val="Garamond"/>
        <family val="1"/>
      </rPr>
      <t xml:space="preserve">    (pp per year)</t>
    </r>
  </si>
  <si>
    <t>This workbook contains the tables and figures from "Global Profit Shifting, 1975-2019", Wier &amp; Zucman 2023</t>
  </si>
  <si>
    <t>Last update: July 2023</t>
  </si>
  <si>
    <t>Profit shifting estimates: US vs. Non-US multinationals</t>
  </si>
  <si>
    <t>All multinationals</t>
  </si>
  <si>
    <t xml:space="preserve">     as a % of profits shifted by all multinationals</t>
  </si>
  <si>
    <t xml:space="preserve">     as a % of foreign profits of all multinationals</t>
  </si>
  <si>
    <t>2019 - 2015 change</t>
  </si>
  <si>
    <t>Tax loss (% of corporate tax collected)</t>
  </si>
  <si>
    <t>Global profits: Comparing 2015 and 2019 estimates</t>
  </si>
  <si>
    <t>Shifted profits (billions of current US$)</t>
  </si>
  <si>
    <t>Difference (2019-2015)</t>
  </si>
  <si>
    <t>Non-OECD countries</t>
  </si>
  <si>
    <t>Corporate tax revenue loss (% of corporate tax revenue collected)</t>
  </si>
  <si>
    <t>Note: For Latvia, corporate tax revenue collected in 2019 is set equal to its 2018 value.</t>
  </si>
  <si>
    <t>Main tables</t>
  </si>
  <si>
    <t>Table 1</t>
  </si>
  <si>
    <t>Main figures</t>
  </si>
  <si>
    <t>Profitability in Foreign vs. Local Firms in 2015</t>
  </si>
  <si>
    <t>Table U1</t>
  </si>
  <si>
    <t>Table B10</t>
  </si>
  <si>
    <t>Table B11</t>
  </si>
  <si>
    <t>Table B.11 Updated to 2018 values: Bilateral DI income discrepancies (both investor &amp; host bilateral report exists)</t>
  </si>
  <si>
    <t>Table C1</t>
  </si>
  <si>
    <t>High-risk payments to tax havens</t>
  </si>
  <si>
    <t>Table C2</t>
  </si>
  <si>
    <t>Excessive high risk payments to tax havens</t>
  </si>
  <si>
    <t>Table C3</t>
  </si>
  <si>
    <t>Who are the ultimate owners of the FDI stocks in tax havens?</t>
  </si>
  <si>
    <t>Table C4</t>
  </si>
  <si>
    <t>Allocating the profits shifted to tax havens</t>
  </si>
  <si>
    <t>Table C4b</t>
  </si>
  <si>
    <t>Table C4c</t>
  </si>
  <si>
    <t>Profits shifted to tax havens – share of tax base</t>
  </si>
  <si>
    <t>Table C4d</t>
  </si>
  <si>
    <t>Lost tax revenue due to profit shifting</t>
  </si>
  <si>
    <t>EU total</t>
  </si>
  <si>
    <t>Corporate tax revenue loss (% of collected)</t>
  </si>
  <si>
    <t>Appendix Table A1</t>
  </si>
  <si>
    <t>Appendix tables</t>
  </si>
  <si>
    <t>Figure 1A</t>
  </si>
  <si>
    <t>Figure 1B</t>
  </si>
  <si>
    <t>Profitability in Foreign vs. Local Firms in 2019</t>
  </si>
  <si>
    <t>Figure 2</t>
  </si>
  <si>
    <t>Corporate tax revenue loss, 2019 vs. 2015</t>
  </si>
  <si>
    <t>Foreign profits shifted to tax havens and corporate tax revenue loss, 1975-2019</t>
  </si>
  <si>
    <t>Figure 3</t>
  </si>
  <si>
    <t>Figure 4</t>
  </si>
  <si>
    <t xml:space="preserve">Global corporate profits and foreign profits, 1975-2019 </t>
  </si>
  <si>
    <t>Appendix Table A2</t>
  </si>
  <si>
    <t>Appendix Table A3</t>
  </si>
  <si>
    <t>TWZ updated figures: Artificially shifted profits (2019)</t>
  </si>
  <si>
    <t>Selected updated tables from Tørsløv, Wier, Zucman, "Missing Profits of Nations" (Restud 2023)</t>
  </si>
  <si>
    <t>Appendix figures</t>
  </si>
  <si>
    <t>Global income</t>
  </si>
  <si>
    <t>Global foreign pre-tax profits</t>
  </si>
  <si>
    <t>Corporate share of global income</t>
  </si>
  <si>
    <t>US foreign pre-tax profits</t>
  </si>
  <si>
    <t>ETR of US MOFA</t>
  </si>
  <si>
    <t>Share US in global pre-tax foreign profits</t>
  </si>
  <si>
    <t>Data extracted from IMF Data Warehouse 7/9/2023 5:57:37 PM</t>
  </si>
  <si>
    <t>(K) indicates the splice point between official BPM6-basis estimates and IMF converted BPM5-basis estimates</t>
  </si>
  <si>
    <t>(...) Indicates a lack of statistical data that can be reported or calculated from underlying observations</t>
  </si>
  <si>
    <t>(-) Indicates that a figure is zero</t>
  </si>
  <si>
    <t>This data report uses the BOP Standard Presentation format as defined in the 6th Edition of the Balance of Payments Manual (BPM6).</t>
  </si>
  <si>
    <t>...</t>
  </si>
  <si>
    <t>Yugoslavia</t>
  </si>
  <si>
    <t>Yemen, Rep. of</t>
  </si>
  <si>
    <t>Yemen, People's Dem. Rep. of</t>
  </si>
  <si>
    <t>Yemen Arab Rep.</t>
  </si>
  <si>
    <t>Venezuela, Rep. Bolivariana de</t>
  </si>
  <si>
    <t>Uzbekistan, Rep. of</t>
  </si>
  <si>
    <t>Turkmenistan</t>
  </si>
  <si>
    <t>Türkiye, Rep. of</t>
  </si>
  <si>
    <t>Tanzania, United Rep. of</t>
  </si>
  <si>
    <t>Tajikistan, Rep. of</t>
  </si>
  <si>
    <t>Taiwan Province of China</t>
  </si>
  <si>
    <t>Syrian Arab Rep.</t>
  </si>
  <si>
    <t>St. Vincent and the Grenadines</t>
  </si>
  <si>
    <t>St. Lucia</t>
  </si>
  <si>
    <t>St. Kitts and Nevis</t>
  </si>
  <si>
    <t>Sri Lanka</t>
  </si>
  <si>
    <t>South Sudan, Rep. of</t>
  </si>
  <si>
    <t>Somalia</t>
  </si>
  <si>
    <t>Slovenia, Rep. of</t>
  </si>
  <si>
    <t>Slovak Rep.</t>
  </si>
  <si>
    <t>Sint Maarten, Kingdom of the Netherlands</t>
  </si>
  <si>
    <t>Serbia, Rep. of</t>
  </si>
  <si>
    <t>São Tomé and Príncipe, Dem. Rep. of</t>
  </si>
  <si>
    <t>San Marino, Rep. of</t>
  </si>
  <si>
    <t>Poland, Rep. of</t>
  </si>
  <si>
    <t>Palau, Rep. of</t>
  </si>
  <si>
    <t>North Macedonia, Republic of</t>
  </si>
  <si>
    <t>New Caledonia</t>
  </si>
  <si>
    <t>Netherlands, The</t>
  </si>
  <si>
    <t>Netherlands Antilles</t>
  </si>
  <si>
    <t>Nauru, Rep. of</t>
  </si>
  <si>
    <t>Mozambique, Rep. of</t>
  </si>
  <si>
    <t>Moldova, Rep. of</t>
  </si>
  <si>
    <t>Mauritania, Islamic Rep. of</t>
  </si>
  <si>
    <t>Marshall Islands, Rep. of the</t>
  </si>
  <si>
    <t>Madagascar, Rep. of</t>
  </si>
  <si>
    <t>Lesotho, Kingdom of</t>
  </si>
  <si>
    <t>Lao People's Dem. Rep.</t>
  </si>
  <si>
    <t>Kyrgyz Rep.</t>
  </si>
  <si>
    <t>Kosovo, Rep. of</t>
  </si>
  <si>
    <t>Korea, Rep. of</t>
  </si>
  <si>
    <t>Kazakhstan, Rep. of</t>
  </si>
  <si>
    <t>Iran, Islamic Rep. of</t>
  </si>
  <si>
    <t>French Polynesia</t>
  </si>
  <si>
    <t>Fiji, Rep. of</t>
  </si>
  <si>
    <t>Euro Area</t>
  </si>
  <si>
    <t>Ethiopia, The Federal Dem. Rep. of</t>
  </si>
  <si>
    <t>Eswatini, Kingdom of</t>
  </si>
  <si>
    <t>Estonia, Rep. of</t>
  </si>
  <si>
    <t>Eritrea, The State of</t>
  </si>
  <si>
    <t>Equatorial Guinea, Rep. of</t>
  </si>
  <si>
    <t>Egypt, Arab Rep. of</t>
  </si>
  <si>
    <t>Eastern Caribbean Currency Union</t>
  </si>
  <si>
    <t>Dominican Rep.</t>
  </si>
  <si>
    <t>Czechoslovakia</t>
  </si>
  <si>
    <t>Czech Rep.</t>
  </si>
  <si>
    <t>Curaçao, Kingdom of the Netherlands</t>
  </si>
  <si>
    <t>Curaçao and Sint Maarten</t>
  </si>
  <si>
    <t>Croatia, Rep. of</t>
  </si>
  <si>
    <t>Congo, Rep. of</t>
  </si>
  <si>
    <t>Congo, Dem. Rep. of the</t>
  </si>
  <si>
    <t>Comoros, Union of the</t>
  </si>
  <si>
    <t>Central African Rep.</t>
  </si>
  <si>
    <t>Cabo Verde</t>
  </si>
  <si>
    <t>Belgium-Luxembourg</t>
  </si>
  <si>
    <t>Belarus, Rep. of</t>
  </si>
  <si>
    <t>Azerbaijan, Rep. of</t>
  </si>
  <si>
    <t>Aruba, Kingdom of the Netherlands</t>
  </si>
  <si>
    <t>Armenia, Rep. of</t>
  </si>
  <si>
    <t>Andorra, Principality of</t>
  </si>
  <si>
    <t>Afghanistan, Islamic Rep. of</t>
  </si>
  <si>
    <t>2022</t>
  </si>
  <si>
    <t>2021</t>
  </si>
  <si>
    <t>2020</t>
  </si>
  <si>
    <t>2019</t>
  </si>
  <si>
    <t>2018</t>
  </si>
  <si>
    <t>2017</t>
  </si>
  <si>
    <t>2016</t>
  </si>
  <si>
    <t>2015</t>
  </si>
  <si>
    <t>2014</t>
  </si>
  <si>
    <t>2013</t>
  </si>
  <si>
    <t>2012</t>
  </si>
  <si>
    <t>2011</t>
  </si>
  <si>
    <t>2010</t>
  </si>
  <si>
    <t>2009</t>
  </si>
  <si>
    <t>2008</t>
  </si>
  <si>
    <t>2007</t>
  </si>
  <si>
    <t>2006</t>
  </si>
  <si>
    <t>2005</t>
  </si>
  <si>
    <t>Click here for country specific metadata</t>
  </si>
  <si>
    <t>Millions of U.S. Dollars</t>
  </si>
  <si>
    <t>Balance of Payments Standard Presentation by Indicator: Current Account, Primary Income, Investment Income, Direct Investment, Income on Equity and Investment Fund Shares, Credit, US Dollars</t>
  </si>
  <si>
    <t xml:space="preserve">Puerto Rico profits are from SOI tabulations of form 8975 (CBCR) in 2016–2020; before that they are taken from Saez-Zucman 2019. </t>
  </si>
  <si>
    <r>
      <rPr>
        <u/>
        <sz val="12"/>
        <color theme="1"/>
        <rFont val="Arial"/>
        <family val="2"/>
      </rPr>
      <t>Notes</t>
    </r>
    <r>
      <rPr>
        <sz val="12"/>
        <color theme="1"/>
        <rFont val="Arial"/>
        <family val="2"/>
      </rPr>
      <t>: Tax havens include Bermuda, Bermuda and Caribbean tax havens, Ireland, Luxembourg, Netherlands, Singapore, and Switzerland. All sectors are included.</t>
    </r>
  </si>
  <si>
    <t>Computation of global foreign profits</t>
  </si>
  <si>
    <t>Memo: MOFA foreign pre-tax profits, excl. Puerto Rico ($bn)</t>
  </si>
  <si>
    <t>Memo: current-cost adjustment</t>
  </si>
  <si>
    <t>ITA Table 4.2 line 16</t>
  </si>
  <si>
    <t>DI based (not MOFA): Computed as DI equity income / (1 - ETR) + current cost adjustment</t>
  </si>
  <si>
    <t>DI equity income / (1 - ETR) + current cost adjustment [ = GJZ2022, data, col. AI.]</t>
  </si>
  <si>
    <t>ITA Table 4.2 line 12 minus 16 since 1982, Wright-Zucman Table A1 col. 1 before  [NB: Wright-Zucman Table A1 col. 1 is less up to date than ITA Table 4.2]</t>
  </si>
  <si>
    <t>US DI equity income (without CCAdj)</t>
  </si>
  <si>
    <t>Computation of US foreign profits</t>
  </si>
  <si>
    <t>Fraction of haven profits/wage which is above-normal</t>
  </si>
  <si>
    <t>Wright-Zucman</t>
  </si>
  <si>
    <t>Computations with links to the raw data can be found in file WrightZucman2018Appendix sheet T.A3c; last updated in July 2023 using the 2020 BEA survey.</t>
  </si>
  <si>
    <t>Corrected for Puerto Rico</t>
  </si>
  <si>
    <t>Profit/wage in Non-havens</t>
  </si>
  <si>
    <t>Increased haven share to reflect havens not included in Wright-Zucman list of havens but included in TWZ, the most important ones being: Cyprus, Hong Kong, Macao, Mauritius, Malta, Jersey, Guernsey, Isle of Man. Correction factor of 1.1 is computed in 2020 CBCR as ratio of TWZ havens' revenue by Wright-Zucman's havens' revenue. Assume constant correction over time, and assume same profit/wage ratio in these missing havens as in the Wright-Zucman havens.</t>
  </si>
  <si>
    <t>Share of foreign profits in havens, corrected to match TWZ list of havens</t>
  </si>
  <si>
    <t>Profits of U.S. multinationals abroad: country breakdown (Wright-Zucman, updated in July 2023)</t>
  </si>
  <si>
    <t>Share of US foreign profits shifted to havens</t>
  </si>
  <si>
    <t>Wage bill in PR is negligible according to CBCR: assume 0</t>
  </si>
  <si>
    <t>Profits/wage ratio in havens</t>
  </si>
  <si>
    <t>Dollar amount of profits shifted by US MNEs</t>
  </si>
  <si>
    <t>Accounting for havens in TWZ but not in Wright-Zucman + removing share explained by wages</t>
  </si>
  <si>
    <t>Computation of shifted profits of US multinationals</t>
  </si>
  <si>
    <t>Fraction of global foreign profits shifted to havens, and global tax loss: bounds</t>
  </si>
  <si>
    <t>Share of global foreign profits shifted to havens (main)</t>
  </si>
  <si>
    <t>Data for Fig 3 and Table 1</t>
  </si>
  <si>
    <t>Global shifted profits</t>
  </si>
  <si>
    <t>Assumes share of foreign profits of non-US MNEs shifted to havens follows share of foreign profits of US MNEs shifted to havens pre-2015</t>
  </si>
  <si>
    <t>Upper bound</t>
  </si>
  <si>
    <t>Lower bound</t>
  </si>
  <si>
    <t>Assumes no shifting by non-US multinationals before 2015</t>
  </si>
  <si>
    <t>High end</t>
  </si>
  <si>
    <t>Low end</t>
  </si>
  <si>
    <t>Share of non-US foreign profits shifted to havens (main)</t>
  </si>
  <si>
    <t>Different scenarios before 2015</t>
  </si>
  <si>
    <t>Share of foreign profits of non-US MNEs shifted to havens</t>
  </si>
  <si>
    <t>Assumes  share of foreign profits of non-US MNEs shifted to havens is equal to US share before 2015</t>
  </si>
  <si>
    <t>Assumes  share of foreign profits of non-US MNEs shifted to havens is equal to half US share before 2015</t>
  </si>
  <si>
    <t>Assumes  share of foreign profits of non-US MNEs shifted to havens is equal to global 2015 share of foreign profits shifted (36%) back to 1975</t>
  </si>
  <si>
    <t>Table B.10 (Updated to 2019 values): Corrections for direct investment income</t>
  </si>
  <si>
    <t>Total non-havens</t>
  </si>
  <si>
    <t>Total havens TWZ</t>
  </si>
  <si>
    <t>Total foreign (excl. Stateless)</t>
  </si>
  <si>
    <t>Other TWZ havens (except Belgium)</t>
  </si>
  <si>
    <t>Havens in Wright-Zucman (= identified in BEA survey tabulations)</t>
  </si>
  <si>
    <t>Share foreign profits</t>
  </si>
  <si>
    <t>ETR current</t>
  </si>
  <si>
    <t>ETR cash</t>
  </si>
  <si>
    <t>SOURCE: IRS, Statistics of Income Division, Country-by-Country Reports Study, April 2023.</t>
  </si>
  <si>
    <t>NOTE: Detail may not add to totals because of rounding.</t>
  </si>
  <si>
    <t>[2] Tax jurisdiction detail exceeds total because some multinational enterprise groups filed information for more than one tax jurisdiction.</t>
  </si>
  <si>
    <t>[1] Form(s) 8975 were required to be filed by certain U.S. persons that were ultimate parent entities of U.S. multinational enterprise groups with annual revenue of $850,000,000 or more.  The data in this table includes only Forms 8975 filed by U.S. corporations and partnerships; it excludes Forms 8975 filed by other entity types.  Additionally, this table is based on data from only one Form 8975 filed per parent entity; some parent entities may have filed more than one Form 8975.</t>
  </si>
  <si>
    <t>* Data should be used with caution because of the small number of forms on which they are based.</t>
  </si>
  <si>
    <t>Foreign controlled domestic corporations (not included above)</t>
  </si>
  <si>
    <t>Europe, other countries</t>
  </si>
  <si>
    <t>United Kingdom (England, Northern Ireland, Scotland, and Wales)</t>
  </si>
  <si>
    <t>Macedonia</t>
  </si>
  <si>
    <t>Isle of Man</t>
  </si>
  <si>
    <t>Bosnia</t>
  </si>
  <si>
    <t>Europe, total</t>
  </si>
  <si>
    <t>Asia &amp; Oceania, other countries</t>
  </si>
  <si>
    <t>United Arab Emirates</t>
  </si>
  <si>
    <t>Taiwan</t>
  </si>
  <si>
    <t>Korea, Republic of (South)</t>
  </si>
  <si>
    <t>Guam</t>
  </si>
  <si>
    <t>Burma</t>
  </si>
  <si>
    <t>Brunei</t>
  </si>
  <si>
    <t>Asia &amp; Oceania, total</t>
  </si>
  <si>
    <t>Americas, other countries</t>
  </si>
  <si>
    <t>Virgin Islands</t>
  </si>
  <si>
    <t>St. Lucia Island</t>
  </si>
  <si>
    <t>Americas, total</t>
  </si>
  <si>
    <t>Africa, other countries</t>
  </si>
  <si>
    <t>Cote d’Ivoire (Ivory Coast)</t>
  </si>
  <si>
    <t>Africa, total</t>
  </si>
  <si>
    <t>Stateless entities and other countries</t>
  </si>
  <si>
    <r>
      <t>All jurisdictions</t>
    </r>
    <r>
      <rPr>
        <b/>
        <vertAlign val="superscript"/>
        <sz val="8"/>
        <rFont val="Arial"/>
        <family val="2"/>
      </rPr>
      <t/>
    </r>
  </si>
  <si>
    <t>(11)</t>
  </si>
  <si>
    <t>(10)</t>
  </si>
  <si>
    <t>(9)</t>
  </si>
  <si>
    <t>(8)</t>
  </si>
  <si>
    <t>(7)</t>
  </si>
  <si>
    <t>(6)</t>
  </si>
  <si>
    <t>(5)</t>
  </si>
  <si>
    <t>(4)</t>
  </si>
  <si>
    <t>(3)</t>
  </si>
  <si>
    <t>(2)</t>
  </si>
  <si>
    <t>(1)</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</si>
  <si>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</si>
  <si>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</si>
  <si>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</si>
  <si>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</si>
  <si>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</si>
  <si>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</si>
  <si>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</si>
  <si>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</si>
  <si>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</si>
  <si>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</si>
  <si>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t>Number of reporting multinational enterprise groups [2]</t>
  </si>
  <si>
    <t>Geographic region and selected tax jurisdiction</t>
  </si>
  <si>
    <t>[All figures are estimates based on a sample--money amounts are in thousands of dollars]</t>
  </si>
  <si>
    <t>Table 1A. Country-by-Country Report (Form 8975): Tax Jurisdiction Information (Schedule A: Part I) by Major Geographic Region and Selected Tax Jurisdiction, Tax Year 2020[1]</t>
  </si>
  <si>
    <t>ETR of US MOFA, adjusted for capital gains</t>
  </si>
  <si>
    <t>ETR of US MOFA, adjusted for capital gains and  Puerto Rico</t>
  </si>
  <si>
    <t xml:space="preserve">Add PR profits. Negligible taxes paid in PR according to CBCR data, assume 0. </t>
  </si>
  <si>
    <t>This is foreign income taxes paid divided by profit-type return, for majority-owned affiliates of US multinatationals. Taken from Wright-Zucman Table A1 col. 11</t>
  </si>
  <si>
    <t>Add positive realized capital gains (which are not in profit-type return) at denominator (since taxes are typically paid on those)</t>
  </si>
  <si>
    <t>From TWZ Replication Guide Table C6 and updates (Table U1)</t>
  </si>
  <si>
    <t>Global pre-tax profits</t>
  </si>
  <si>
    <t>Global corporate tax payments</t>
  </si>
  <si>
    <t>Foreign share of global pre-tax corporate profits</t>
  </si>
  <si>
    <t>Global corporate income tax rate BFJZ</t>
  </si>
  <si>
    <t>Post-tax</t>
  </si>
  <si>
    <t>AUS</t>
  </si>
  <si>
    <t>AUT</t>
  </si>
  <si>
    <t>BEL</t>
  </si>
  <si>
    <t>CAN</t>
  </si>
  <si>
    <t>CHL</t>
  </si>
  <si>
    <t>CZE</t>
  </si>
  <si>
    <t>DNK</t>
  </si>
  <si>
    <t>EST</t>
  </si>
  <si>
    <t>FIN</t>
  </si>
  <si>
    <t>FRA</t>
  </si>
  <si>
    <t>DEU</t>
  </si>
  <si>
    <t>GRC</t>
  </si>
  <si>
    <t>HUN</t>
  </si>
  <si>
    <t>ISL</t>
  </si>
  <si>
    <t>IRL</t>
  </si>
  <si>
    <t>ISR</t>
  </si>
  <si>
    <t>ITA</t>
  </si>
  <si>
    <t>JPN</t>
  </si>
  <si>
    <t>LVA</t>
  </si>
  <si>
    <t>LUX</t>
  </si>
  <si>
    <t>MEX</t>
  </si>
  <si>
    <t>NLD</t>
  </si>
  <si>
    <t>NZL</t>
  </si>
  <si>
    <t>NOR</t>
  </si>
  <si>
    <t>POL</t>
  </si>
  <si>
    <t>PRT</t>
  </si>
  <si>
    <t>SVN</t>
  </si>
  <si>
    <t>ESP</t>
  </si>
  <si>
    <t>SWE</t>
  </si>
  <si>
    <t>CHE</t>
  </si>
  <si>
    <t>TUR</t>
  </si>
  <si>
    <t>GBR</t>
  </si>
  <si>
    <t>USA</t>
  </si>
  <si>
    <t>BRA</t>
  </si>
  <si>
    <t>COL</t>
  </si>
  <si>
    <t>CRI</t>
  </si>
  <si>
    <t>IND</t>
  </si>
  <si>
    <t>ZAF</t>
  </si>
  <si>
    <t>AIA</t>
  </si>
  <si>
    <t>ATG</t>
  </si>
  <si>
    <t>ABW</t>
  </si>
  <si>
    <t>BHS</t>
  </si>
  <si>
    <t>BRB</t>
  </si>
  <si>
    <t>BLZ</t>
  </si>
  <si>
    <t>BMU</t>
  </si>
  <si>
    <t>CYP</t>
  </si>
  <si>
    <t>GRD</t>
  </si>
  <si>
    <t>LBN</t>
  </si>
  <si>
    <t>MLT</t>
  </si>
  <si>
    <t>MUS</t>
  </si>
  <si>
    <t>SYC</t>
  </si>
  <si>
    <t>SGP</t>
  </si>
  <si>
    <t>PAN</t>
  </si>
  <si>
    <t>BHR</t>
  </si>
  <si>
    <t>HKG</t>
  </si>
  <si>
    <t>MAC</t>
  </si>
  <si>
    <t>MHL</t>
  </si>
  <si>
    <t>AFG</t>
  </si>
  <si>
    <t>ALB</t>
  </si>
  <si>
    <t>DZA</t>
  </si>
  <si>
    <t>AGO</t>
  </si>
  <si>
    <t>ARG</t>
  </si>
  <si>
    <t>ARM</t>
  </si>
  <si>
    <t>AZE</t>
  </si>
  <si>
    <t>BGD</t>
  </si>
  <si>
    <t>BLR</t>
  </si>
  <si>
    <t>BEN</t>
  </si>
  <si>
    <t>BTN</t>
  </si>
  <si>
    <t>BOL</t>
  </si>
  <si>
    <t>BIH</t>
  </si>
  <si>
    <t>BWA</t>
  </si>
  <si>
    <t>BRN</t>
  </si>
  <si>
    <t>BGR</t>
  </si>
  <si>
    <t>BFA</t>
  </si>
  <si>
    <t>BDI</t>
  </si>
  <si>
    <t>KHM</t>
  </si>
  <si>
    <t>CMR</t>
  </si>
  <si>
    <t>COM</t>
  </si>
  <si>
    <t>COD</t>
  </si>
  <si>
    <t>COG</t>
  </si>
  <si>
    <t>CIV</t>
  </si>
  <si>
    <t>HRV</t>
  </si>
  <si>
    <t>DJI</t>
  </si>
  <si>
    <t>DMA</t>
  </si>
  <si>
    <t>DOM</t>
  </si>
  <si>
    <t>ECU</t>
  </si>
  <si>
    <t>EGY</t>
  </si>
  <si>
    <t>SLV</t>
  </si>
  <si>
    <t>ERI</t>
  </si>
  <si>
    <t>ETH</t>
  </si>
  <si>
    <t>FRO</t>
  </si>
  <si>
    <t>FJI</t>
  </si>
  <si>
    <t>GAB</t>
  </si>
  <si>
    <t>GMB</t>
  </si>
  <si>
    <t>GEO</t>
  </si>
  <si>
    <t>GHA</t>
  </si>
  <si>
    <t>GTM</t>
  </si>
  <si>
    <t>GNB</t>
  </si>
  <si>
    <t>GUY</t>
  </si>
  <si>
    <t>HTI</t>
  </si>
  <si>
    <t>HND</t>
  </si>
  <si>
    <t>IDN</t>
  </si>
  <si>
    <t>IRN</t>
  </si>
  <si>
    <t>IRQ</t>
  </si>
  <si>
    <t>JAM</t>
  </si>
  <si>
    <t>JOR</t>
  </si>
  <si>
    <t>KAZ</t>
  </si>
  <si>
    <t>KEN</t>
  </si>
  <si>
    <t>KIR</t>
  </si>
  <si>
    <t>KWT</t>
  </si>
  <si>
    <t>KGZ</t>
  </si>
  <si>
    <t>LAO</t>
  </si>
  <si>
    <t>LSO</t>
  </si>
  <si>
    <t>LBR</t>
  </si>
  <si>
    <t>LBY</t>
  </si>
  <si>
    <t>LTU</t>
  </si>
  <si>
    <t>MDG</t>
  </si>
  <si>
    <t>MWI</t>
  </si>
  <si>
    <t>MYS</t>
  </si>
  <si>
    <t>MDV</t>
  </si>
  <si>
    <t>MLI</t>
  </si>
  <si>
    <t>MRT</t>
  </si>
  <si>
    <t>FSM</t>
  </si>
  <si>
    <t>MDA</t>
  </si>
  <si>
    <t>MNG</t>
  </si>
  <si>
    <t>MNE</t>
  </si>
  <si>
    <t>MSR</t>
  </si>
  <si>
    <t>MAR</t>
  </si>
  <si>
    <t>MOZ</t>
  </si>
  <si>
    <t>MMR</t>
  </si>
  <si>
    <t>NAM</t>
  </si>
  <si>
    <t>NPL</t>
  </si>
  <si>
    <t>NIC</t>
  </si>
  <si>
    <t>NER</t>
  </si>
  <si>
    <t>NGA</t>
  </si>
  <si>
    <t>OMN</t>
  </si>
  <si>
    <t>PAK</t>
  </si>
  <si>
    <t>PLW</t>
  </si>
  <si>
    <t>PNG</t>
  </si>
  <si>
    <t>PRY</t>
  </si>
  <si>
    <t>PER</t>
  </si>
  <si>
    <t>PHL</t>
  </si>
  <si>
    <t>QAT</t>
  </si>
  <si>
    <t>ROU</t>
  </si>
  <si>
    <t>RWA</t>
  </si>
  <si>
    <t>WSM</t>
  </si>
  <si>
    <t>STP</t>
  </si>
  <si>
    <t>SAU</t>
  </si>
  <si>
    <t>SEN</t>
  </si>
  <si>
    <t>SLE</t>
  </si>
  <si>
    <t>SLB</t>
  </si>
  <si>
    <t>SDN</t>
  </si>
  <si>
    <t>SUR</t>
  </si>
  <si>
    <t>SYR</t>
  </si>
  <si>
    <t>TJK</t>
  </si>
  <si>
    <t>TZA</t>
  </si>
  <si>
    <t>THA</t>
  </si>
  <si>
    <t>TLS</t>
  </si>
  <si>
    <t>TGO</t>
  </si>
  <si>
    <t>TON</t>
  </si>
  <si>
    <t>TTO</t>
  </si>
  <si>
    <t>TUN</t>
  </si>
  <si>
    <t>UGA</t>
  </si>
  <si>
    <t>UKR</t>
  </si>
  <si>
    <t>URY</t>
  </si>
  <si>
    <t>VUT</t>
  </si>
  <si>
    <t>VEN</t>
  </si>
  <si>
    <t>VNM</t>
  </si>
  <si>
    <t>YEM</t>
  </si>
  <si>
    <t>ZMB</t>
  </si>
  <si>
    <t>ZWE</t>
  </si>
  <si>
    <t>Average wage ($)</t>
  </si>
  <si>
    <t>Number of employeess</t>
  </si>
  <si>
    <t>Effective tax rate</t>
  </si>
  <si>
    <t>Supplementary Puerto Rico data from CBCR</t>
  </si>
  <si>
    <t>Cash tax paid  ($bn)</t>
  </si>
  <si>
    <t>Corporate tax paid</t>
  </si>
  <si>
    <t>Developing countries</t>
  </si>
  <si>
    <t>All corporations</t>
  </si>
  <si>
    <t>Employee compensation ($bn)</t>
  </si>
  <si>
    <t>Profit / compensation ratio</t>
  </si>
  <si>
    <t>Number of employees (thousands)</t>
  </si>
  <si>
    <t>Affiliates of US multinationals</t>
  </si>
  <si>
    <t>Recorded profits</t>
  </si>
  <si>
    <t>Profits of offshore mutual funds</t>
  </si>
  <si>
    <t>All profits</t>
  </si>
  <si>
    <t>Pre-tax corporate profits</t>
  </si>
  <si>
    <t>Profit correction</t>
  </si>
  <si>
    <t>Pre-tax foreign profits</t>
  </si>
  <si>
    <t>Pre-tax profits / compensation</t>
  </si>
  <si>
    <t>US affiliates</t>
  </si>
  <si>
    <t>Compensation of employees in coprorate sector</t>
  </si>
  <si>
    <t>Shifted profits</t>
  </si>
  <si>
    <t>Memo: Tax haven list</t>
  </si>
  <si>
    <t>Computation of shifted profits (2019)</t>
  </si>
  <si>
    <t>Table B.11 Updated to 2019 values: Bilateral DI income discrepancies (both investor &amp; host bilateral report exists)</t>
  </si>
  <si>
    <t>&gt;&gt;&gt; fix to move to pre-tax basis</t>
  </si>
  <si>
    <t>This must be equal to zero: it means the DI discrepancy is fully allocated</t>
  </si>
  <si>
    <t>DI income discrepancy</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</si>
  <si>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</si>
  <si>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</si>
  <si>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</si>
  <si>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</si>
  <si>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</si>
  <si>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</si>
  <si>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</si>
  <si>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</si>
  <si>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</si>
  <si>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</si>
  <si>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</si>
  <si>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</si>
  <si>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</si>
  <si>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</si>
  <si>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</si>
  <si>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</si>
  <si>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</si>
  <si>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</si>
  <si>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</si>
  <si>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</si>
  <si>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</si>
  <si>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</si>
  <si>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</si>
  <si>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</si>
  <si>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</si>
  <si>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</si>
  <si>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</si>
  <si>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</si>
  <si>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</si>
  <si>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</si>
  <si>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Implied ETR on global foreign profits</t>
  </si>
  <si>
    <t>After step 1</t>
  </si>
  <si>
    <t>After step 2</t>
  </si>
  <si>
    <t>After step 3</t>
  </si>
  <si>
    <t>Foreign share of global net-of-tax corporate profits</t>
  </si>
  <si>
    <t>Global net-of-tax profits</t>
  </si>
  <si>
    <t>Global foreign net-of-tax profits</t>
  </si>
  <si>
    <t>Global corporate income tax rate (our series)</t>
  </si>
  <si>
    <t>Share HK, NL, Lux)</t>
  </si>
  <si>
    <t>Main offshore holding centers (HK, NL, Lux)</t>
  </si>
  <si>
    <t>World (excl. SG)</t>
  </si>
  <si>
    <t>Excluding HK, NL, Lux</t>
  </si>
  <si>
    <t>Share US in global excl. HK, NL, Lux</t>
  </si>
  <si>
    <t>Global DI (after tax) equity income, excluding NL, HK, SG, Lux</t>
  </si>
  <si>
    <t>Step #1: Adding missing income reported by partners</t>
  </si>
  <si>
    <t>Step #2: Using stock data when no partner data</t>
  </si>
  <si>
    <t>Step #3: Allocating residual global DI income gap</t>
  </si>
  <si>
    <t>Pre-tax local profits</t>
  </si>
  <si>
    <t>Net-of-tax profit of operating units</t>
  </si>
  <si>
    <t>Profits of SPEs (net)</t>
  </si>
  <si>
    <t>Corporate tax paid on foreign profits</t>
  </si>
  <si>
    <t>Unrecorded net-of-tax foreign profits</t>
  </si>
  <si>
    <t>Share US in global DI (excl NL etc, adding PR) equity income</t>
  </si>
  <si>
    <t>2015: -Tørsløv et al. (Restud 2023, Table 1), updated.  1975-2014: foreign pre-tax profits of US multinationals + foreign pre-tax profits of non-US multinationals (estimating by grossing up their DI equity income by an assumed ETR, average of the ETR of US multinationals on their foreign profits and of the global average corporate ETR)</t>
  </si>
  <si>
    <t>average of the ETR of US multinationals on their foreign profits and of the global average corporate ETR</t>
  </si>
  <si>
    <t>Assumed ETR on non-US MNE's foreign profits</t>
  </si>
  <si>
    <t>Includes Puerto Rico</t>
  </si>
  <si>
    <t>Share US in global foreign net-of-tax profits</t>
  </si>
  <si>
    <t>Global after-tax profits</t>
  </si>
  <si>
    <t>Non-OECD havens excl SG (net DI)</t>
  </si>
  <si>
    <t>main dev (gross DI)</t>
  </si>
  <si>
    <t>OECD (ROU or gross DI)</t>
  </si>
  <si>
    <t>Tax</t>
  </si>
  <si>
    <t>Total pre-tax</t>
  </si>
  <si>
    <t>Row (gross DI)</t>
  </si>
  <si>
    <t>VGB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</si>
</sst>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 #,##0_ ;_ * \-#,##0_ ;_ * &quot;-&quot;??_ ;_ @_ "/>
    <numFmt numFmtId="165" formatCode="_ * #,##0.00_ ;_ * \-#,##0.00_ ;_ * &quot;-&quot;??_ ;_ @_ "/>
    <numFmt numFmtId="166" formatCode="#,##0.0"/>
    <numFmt numFmtId="167" formatCode="0.0"/>
    <numFmt numFmtId="168" formatCode="0.0%"/>
    <numFmt numFmtId="169" formatCode="0.00000000000"/>
    <numFmt numFmtId="170" formatCode="#,##0,\ ;[Black]\-#,##0,"/>
    <numFmt numFmtId="171" formatCode="#,##0,\ ;[Black]\-#,##0,\ "/>
    <numFmt numFmtId="172" formatCode="#,##0\ ;[Black]\-#,##0,"/>
    <numFmt numFmtId="173" formatCode="&quot;*&quot;\ #,##0,\ ;[Black]\-#,##0,"/>
    <numFmt numFmtId="174" formatCode="&quot;*&quot;\ #,##0\ ;[Black]\-#,##0,"/>
    <numFmt numFmtId="175" formatCode="#,##0,\ ;[Black]&quot;*&quot;\ \-#,##0,\ "/>
  </numFmts>
  <fonts count="89">
    <font>
      <sz val="12"/>
      <color theme="1"/>
      <name val="Garamond"/>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0"/>
      <name val="Arial"/>
      <family val="2"/>
    </font>
    <font>
      <b/>
      <sz val="16"/>
      <name val="Arial"/>
      <family val="2"/>
    </font>
    <font>
      <b/>
      <sz val="14"/>
      <name val="Arial"/>
      <family val="2"/>
    </font>
    <font>
      <sz val="12"/>
      <name val="Arial"/>
      <family val="2"/>
    </font>
    <font>
      <sz val="14"/>
      <name val="Arial"/>
      <family val="2"/>
    </font>
    <font>
      <b/>
      <sz val="12"/>
      <name val="Arial"/>
      <family val="2"/>
    </font>
    <font>
      <b/>
      <sz val="12"/>
      <name val="Arial Narrow"/>
      <family val="2"/>
    </font>
    <font>
      <i/>
      <sz val="12"/>
      <name val="Arial"/>
      <family val="2"/>
    </font>
    <font>
      <sz val="12"/>
      <color theme="1"/>
      <name val="Garamond"/>
      <family val="2"/>
    </font>
    <font>
      <b/>
      <sz val="12"/>
      <color theme="1"/>
      <name val="Arial"/>
      <family val="2"/>
    </font>
    <font>
      <sz val="12"/>
      <color theme="1"/>
      <name val="Arial"/>
      <family val="2"/>
      <charset val="204"/>
    </font>
    <font>
      <sz val="8"/>
      <name val="Arial"/>
      <family val="2"/>
    </font>
    <font>
      <sz val="10"/>
      <color rgb="FFFF0000"/>
      <name val="Arial"/>
      <family val="2"/>
    </font>
    <font>
      <sz val="14"/>
      <color rgb="FFFF0000"/>
      <name val="Arial"/>
      <family val="2"/>
    </font>
    <font>
      <sz val="12"/>
      <color rgb="FFFF0000"/>
      <name val="Arial"/>
      <family val="2"/>
    </font>
    <font>
      <sz val="12"/>
      <color theme="1"/>
      <name val="Arial"/>
      <family val="2"/>
    </font>
    <font>
      <b/>
      <sz val="10"/>
      <color theme="1"/>
      <name val="Arial"/>
      <family val="2"/>
    </font>
    <font>
      <sz val="10"/>
      <color theme="1"/>
      <name val="Arial"/>
      <family val="2"/>
    </font>
    <font>
      <sz val="12"/>
      <color rgb="FF000000"/>
      <name val="Arial"/>
      <family val="2"/>
    </font>
    <font>
      <sz val="12"/>
      <color theme="1"/>
      <name val="Arial Narrow"/>
      <family val="2"/>
    </font>
    <font>
      <b/>
      <sz val="16"/>
      <color theme="1"/>
      <name val="Arial"/>
      <family val="2"/>
    </font>
    <font>
      <sz val="12"/>
      <color theme="1"/>
      <name val="Garamond"/>
      <family val="1"/>
    </font>
    <font>
      <sz val="11"/>
      <name val="Arial"/>
      <family val="2"/>
    </font>
    <font>
      <b/>
      <sz val="10"/>
      <name val="Arial"/>
      <family val="2"/>
    </font>
    <font>
      <sz val="10"/>
      <name val="Arial"/>
      <family val="2"/>
    </font>
    <font>
      <u/>
      <sz val="11"/>
      <color theme="10"/>
      <name val="Calibri"/>
      <family val="2"/>
      <scheme val="minor"/>
    </font>
    <font>
      <sz val="11"/>
      <color indexed="8"/>
      <name val="Calibri"/>
      <family val="2"/>
      <scheme val="minor"/>
    </font>
    <font>
      <sz val="12"/>
      <name val="Arial"/>
      <family val="2"/>
      <charset val="204"/>
    </font>
    <font>
      <b/>
      <i/>
      <sz val="12"/>
      <name val="Arial"/>
      <family val="2"/>
    </font>
    <font>
      <sz val="9"/>
      <name val="Times New Roman"/>
      <family val="1"/>
    </font>
    <font>
      <sz val="16"/>
      <color theme="1"/>
      <name val="Arial"/>
      <family val="2"/>
    </font>
    <font>
      <sz val="26"/>
      <color theme="1"/>
      <name val="Garamond"/>
      <family val="1"/>
    </font>
    <font>
      <b/>
      <sz val="26"/>
      <color theme="1"/>
      <name val="Garamond"/>
      <family val="1"/>
    </font>
    <font>
      <i/>
      <sz val="26"/>
      <color theme="1"/>
      <name val="Garamond"/>
      <family val="1"/>
    </font>
    <font>
      <sz val="11"/>
      <color theme="1"/>
      <name val="Calibri"/>
      <family val="2"/>
    </font>
    <font>
      <sz val="22"/>
      <color theme="1"/>
      <name val="Garamond"/>
      <family val="2"/>
    </font>
    <font>
      <b/>
      <sz val="22"/>
      <color theme="1"/>
      <name val="Garamond"/>
      <family val="1"/>
    </font>
    <font>
      <i/>
      <sz val="12"/>
      <color theme="1"/>
      <name val="Garamond"/>
      <family val="1"/>
    </font>
    <font>
      <sz val="20"/>
      <color theme="1"/>
      <name val="Garamond"/>
      <family val="1"/>
    </font>
    <font>
      <sz val="15"/>
      <color theme="1"/>
      <name val="Garamond"/>
      <family val="1"/>
    </font>
    <font>
      <b/>
      <sz val="15"/>
      <color theme="1"/>
      <name val="Garamond"/>
      <family val="1"/>
    </font>
    <font>
      <u/>
      <sz val="12"/>
      <color theme="1"/>
      <name val="Garamond"/>
      <family val="2"/>
    </font>
    <font>
      <u/>
      <sz val="12"/>
      <color theme="1"/>
      <name val="Garamond"/>
      <family val="1"/>
    </font>
    <font>
      <u/>
      <sz val="12"/>
      <color theme="10"/>
      <name val="Garamond"/>
      <family val="2"/>
    </font>
    <font>
      <sz val="16"/>
      <color rgb="FF000000"/>
      <name val="Arial"/>
      <family val="2"/>
    </font>
    <font>
      <sz val="24"/>
      <color theme="1"/>
      <name val="Garamond"/>
      <family val="1"/>
    </font>
    <font>
      <b/>
      <sz val="24"/>
      <color theme="1"/>
      <name val="Garamond"/>
      <family val="1"/>
    </font>
    <font>
      <sz val="22"/>
      <color theme="1"/>
      <name val="Garamond"/>
      <family val="1"/>
    </font>
    <font>
      <u/>
      <sz val="12"/>
      <color theme="1"/>
      <name val="Arial"/>
      <family val="2"/>
    </font>
    <font>
      <i/>
      <sz val="18"/>
      <color theme="1"/>
      <name val="Garamond"/>
      <family val="1"/>
    </font>
    <font>
      <b/>
      <sz val="22"/>
      <color theme="1"/>
      <name val="Garamond"/>
      <family val="2"/>
    </font>
    <font>
      <b/>
      <sz val="26"/>
      <color theme="1"/>
      <name val="Calibri"/>
      <family val="2"/>
      <scheme val="minor"/>
    </font>
    <font>
      <b/>
      <sz val="24"/>
      <color theme="1"/>
      <name val="Calibri"/>
      <family val="2"/>
      <scheme val="minor"/>
    </font>
    <font>
      <sz val="11"/>
      <color rgb="FFFF0000"/>
      <name val="Calibri"/>
      <family val="2"/>
      <scheme val="minor"/>
    </font>
    <font>
      <b/>
      <sz val="11"/>
      <color theme="1"/>
      <name val="Calibri"/>
      <family val="2"/>
      <scheme val="minor"/>
    </font>
    <font>
      <b/>
      <sz val="8"/>
      <name val="Arial"/>
      <family val="2"/>
    </font>
    <font>
      <i/>
      <sz val="9"/>
      <name val="Arial"/>
      <family val="2"/>
    </font>
    <font>
      <b/>
      <i/>
      <sz val="10"/>
      <name val="Arial"/>
      <family val="2"/>
    </font>
    <font>
      <sz val="8"/>
      <color theme="1"/>
      <name val="Calibri"/>
      <family val="2"/>
      <scheme val="minor"/>
    </font>
    <font>
      <sz val="8"/>
      <color theme="1"/>
      <name val="Arial"/>
      <family val="2"/>
    </font>
    <font>
      <i/>
      <sz val="11"/>
      <color theme="1"/>
      <name val="Calibri"/>
      <family val="2"/>
      <scheme val="minor"/>
    </font>
    <font>
      <sz val="8"/>
      <color rgb="FFFF0000"/>
      <name val="Arial"/>
      <family val="2"/>
    </font>
    <font>
      <b/>
      <sz val="8"/>
      <color theme="1"/>
      <name val="Arial"/>
      <family val="2"/>
    </font>
    <font>
      <sz val="12"/>
      <color theme="1"/>
      <name val="Calibri"/>
      <family val="2"/>
    </font>
    <font>
      <sz val="8"/>
      <color theme="1"/>
      <name val="Calibri"/>
      <family val="2"/>
    </font>
    <font>
      <b/>
      <sz val="11"/>
      <color theme="1"/>
      <name val="Calibri"/>
      <family val="2"/>
    </font>
    <font>
      <b/>
      <sz val="12"/>
      <color rgb="FFFF0000"/>
      <name val="Arial"/>
      <family val="2"/>
    </font>
    <font>
      <i/>
      <sz val="12"/>
      <color theme="1"/>
      <name val="Calibri"/>
      <family val="2"/>
    </font>
    <font>
      <sz val="11"/>
      <name val="Calibri"/>
      <family val="2"/>
      <scheme val="minor"/>
    </font>
    <font>
      <sz val="6"/>
      <color theme="1"/>
      <name val="Arial"/>
      <family val="2"/>
    </font>
    <font>
      <sz val="6"/>
      <name val="Arial"/>
      <family val="2"/>
    </font>
    <font>
      <b/>
      <sz val="11"/>
      <name val="Calibri"/>
      <family val="2"/>
      <scheme val="minor"/>
    </font>
    <font>
      <b/>
      <vertAlign val="superscript"/>
      <sz val="8"/>
      <name val="Arial"/>
      <family val="2"/>
    </font>
    <font>
      <sz val="12"/>
      <name val="Arial Narrow"/>
      <family val="2"/>
    </font>
    <font>
      <sz val="12"/>
      <color theme="1"/>
      <name val="Helvetica"/>
      <family val="2"/>
    </font>
    <font>
      <b/>
      <sz val="21"/>
      <color theme="1"/>
      <name val="Helvetica"/>
      <family val="2"/>
    </font>
    <font>
      <b/>
      <sz val="10"/>
      <color rgb="FFFF0000"/>
      <name val="Arial"/>
      <family val="2"/>
    </font>
    <font>
      <b/>
      <sz val="8"/>
      <color theme="1"/>
      <name val="Calibri"/>
      <family val="2"/>
      <scheme val="minor"/>
    </font>
  </fonts>
  <fills count="7">
    <fill>
      <patternFill patternType="none"/>
    </fill>
    <fill>
      <patternFill patternType="gray125"/>
    </fill>
    <fill>
      <patternFill patternType="solid">
        <fgColor rgb="FFEEEEEE"/>
      </patternFill>
    </fill>
    <fill>
      <patternFill patternType="solid">
        <fgColor theme="0"/>
        <bgColor indexed="64"/>
      </patternFill>
    </fill>
    <fill>
      <patternFill patternType="solid">
        <fgColor rgb="FFE6E9F5"/>
      </patternFill>
    </fill>
    <fill>
      <patternFill patternType="solid">
        <fgColor rgb="FFFFFF00"/>
        <bgColor indexed="64"/>
      </patternFill>
    </fill>
    <fill>
      <patternFill patternType="solid">
        <fgColor theme="4" tint="0.39997558519241921"/>
        <bgColor indexed="64"/>
      </patternFill>
    </fill>
  </fills>
  <borders count="113">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diagonal/>
    </border>
    <border>
      <left/>
      <right/>
      <top style="medium">
        <color auto="1"/>
      </top>
      <bottom/>
      <diagonal/>
    </border>
    <border>
      <left style="medium">
        <color auto="1"/>
      </left>
      <right/>
      <top/>
      <bottom/>
      <diagonal/>
    </border>
    <border>
      <left style="thin">
        <color auto="1"/>
      </left>
      <right/>
      <top/>
      <bottom/>
      <diagonal/>
    </border>
    <border>
      <left style="medium">
        <color auto="1"/>
      </left>
      <right style="thin">
        <color auto="1"/>
      </right>
      <top/>
      <bottom/>
      <diagonal/>
    </border>
    <border>
      <left style="thick">
        <color auto="1"/>
      </left>
      <right/>
      <top/>
      <bottom style="thick">
        <color auto="1"/>
      </bottom>
      <diagonal/>
    </border>
    <border>
      <left style="medium">
        <color auto="1"/>
      </left>
      <right/>
      <top/>
      <bottom style="thick">
        <color auto="1"/>
      </bottom>
      <diagonal/>
    </border>
    <border>
      <left/>
      <right/>
      <top/>
      <bottom style="thick">
        <color auto="1"/>
      </bottom>
      <diagonal/>
    </border>
    <border>
      <left style="thin">
        <color auto="1"/>
      </left>
      <right/>
      <top/>
      <bottom style="thick">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right style="thick">
        <color auto="1"/>
      </right>
      <top/>
      <bottom style="thick">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thin">
        <color auto="1"/>
      </right>
      <top/>
      <bottom style="thick">
        <color auto="1"/>
      </bottom>
      <diagonal/>
    </border>
    <border>
      <left/>
      <right style="medium">
        <color auto="1"/>
      </right>
      <top/>
      <bottom style="thick">
        <color auto="1"/>
      </bottom>
      <diagonal/>
    </border>
    <border>
      <left/>
      <right style="medium">
        <color auto="1"/>
      </right>
      <top/>
      <bottom/>
      <diagonal/>
    </border>
    <border>
      <left style="medium">
        <color auto="1"/>
      </left>
      <right style="thin">
        <color auto="1"/>
      </right>
      <top/>
      <bottom style="thick">
        <color auto="1"/>
      </bottom>
      <diagonal/>
    </border>
    <border>
      <left style="medium">
        <color auto="1"/>
      </left>
      <right/>
      <top/>
      <bottom style="thin">
        <color indexed="64"/>
      </bottom>
      <diagonal/>
    </border>
    <border>
      <left/>
      <right/>
      <top/>
      <bottom style="thin">
        <color indexed="64"/>
      </bottom>
      <diagonal/>
    </border>
    <border>
      <left/>
      <right style="medium">
        <color auto="1"/>
      </right>
      <top style="thin">
        <color auto="1"/>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auto="1"/>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bottom style="thin">
        <color indexed="64"/>
      </bottom>
      <diagonal/>
    </border>
    <border>
      <left style="thick">
        <color auto="1"/>
      </left>
      <right/>
      <top/>
      <bottom style="thin">
        <color indexed="64"/>
      </bottom>
      <diagonal/>
    </border>
    <border>
      <left/>
      <right style="thin">
        <color auto="1"/>
      </right>
      <top/>
      <bottom style="thin">
        <color indexed="64"/>
      </bottom>
      <diagonal/>
    </border>
    <border>
      <left style="thin">
        <color indexed="64"/>
      </left>
      <right style="medium">
        <color indexed="64"/>
      </right>
      <top style="thin">
        <color indexed="64"/>
      </top>
      <bottom/>
      <diagonal/>
    </border>
    <border>
      <left style="medium">
        <color auto="1"/>
      </left>
      <right/>
      <top style="thin">
        <color indexed="64"/>
      </top>
      <bottom style="thin">
        <color auto="1"/>
      </bottom>
      <diagonal/>
    </border>
    <border>
      <left/>
      <right style="medium">
        <color auto="1"/>
      </right>
      <top style="thin">
        <color indexed="64"/>
      </top>
      <bottom style="thin">
        <color auto="1"/>
      </bottom>
      <diagonal/>
    </border>
    <border>
      <left style="thin">
        <color indexed="64"/>
      </left>
      <right style="medium">
        <color indexed="64"/>
      </right>
      <top/>
      <bottom style="thin">
        <color indexed="64"/>
      </bottom>
      <diagonal/>
    </border>
    <border>
      <left style="thin">
        <color indexed="64"/>
      </left>
      <right/>
      <top style="thin">
        <color auto="1"/>
      </top>
      <bottom/>
      <diagonal/>
    </border>
    <border>
      <left style="medium">
        <color auto="1"/>
      </left>
      <right style="medium">
        <color indexed="64"/>
      </right>
      <top style="thin">
        <color auto="1"/>
      </top>
      <bottom/>
      <diagonal/>
    </border>
    <border>
      <left style="thin">
        <color indexed="64"/>
      </left>
      <right/>
      <top/>
      <bottom style="thin">
        <color auto="1"/>
      </bottom>
      <diagonal/>
    </border>
    <border>
      <left style="thin">
        <color auto="1"/>
      </left>
      <right style="medium">
        <color indexed="64"/>
      </right>
      <top style="medium">
        <color auto="1"/>
      </top>
      <bottom style="thin">
        <color auto="1"/>
      </bottom>
      <diagonal/>
    </border>
    <border>
      <left style="thin">
        <color auto="1"/>
      </left>
      <right style="medium">
        <color indexed="64"/>
      </right>
      <top/>
      <bottom/>
      <diagonal/>
    </border>
    <border>
      <left style="thin">
        <color auto="1"/>
      </left>
      <right/>
      <top/>
      <bottom style="medium">
        <color indexed="64"/>
      </bottom>
      <diagonal/>
    </border>
    <border>
      <left style="thin">
        <color auto="1"/>
      </left>
      <right style="medium">
        <color indexed="64"/>
      </right>
      <top/>
      <bottom style="medium">
        <color indexed="64"/>
      </bottom>
      <diagonal/>
    </border>
    <border>
      <left/>
      <right style="thick">
        <color auto="1"/>
      </right>
      <top/>
      <bottom style="thin">
        <color auto="1"/>
      </bottom>
      <diagonal/>
    </border>
    <border>
      <left style="thick">
        <color auto="1"/>
      </left>
      <right/>
      <top style="thin">
        <color auto="1"/>
      </top>
      <bottom/>
      <diagonal/>
    </border>
    <border>
      <left/>
      <right style="thick">
        <color auto="1"/>
      </right>
      <top style="thin">
        <color auto="1"/>
      </top>
      <bottom/>
      <diagonal/>
    </border>
    <border>
      <left style="medium">
        <color auto="1"/>
      </left>
      <right/>
      <top style="thin">
        <color indexed="64"/>
      </top>
      <bottom/>
      <diagonal/>
    </border>
    <border>
      <left/>
      <right/>
      <top style="thin">
        <color indexed="64"/>
      </top>
      <bottom style="thin">
        <color indexed="64"/>
      </bottom>
      <diagonal/>
    </border>
    <border>
      <left/>
      <right/>
      <top style="thin">
        <color indexed="64"/>
      </top>
      <bottom/>
      <diagonal/>
    </border>
    <border>
      <left/>
      <right/>
      <top style="thin">
        <color rgb="FFFFFFFF"/>
      </top>
      <bottom style="thin">
        <color rgb="FFFFFFFF"/>
      </bottom>
      <diagonal/>
    </border>
    <border>
      <left/>
      <right/>
      <top/>
      <bottom style="double">
        <color indexed="64"/>
      </bottom>
      <diagonal/>
    </border>
    <border>
      <left/>
      <right/>
      <top style="double">
        <color indexed="64"/>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thick">
        <color auto="1"/>
      </left>
      <right/>
      <top/>
      <bottom style="dashed">
        <color auto="1"/>
      </bottom>
      <diagonal/>
    </border>
    <border>
      <left style="medium">
        <color auto="1"/>
      </left>
      <right/>
      <top/>
      <bottom style="dashed">
        <color auto="1"/>
      </bottom>
      <diagonal/>
    </border>
    <border>
      <left/>
      <right/>
      <top/>
      <bottom style="dashed">
        <color auto="1"/>
      </bottom>
      <diagonal/>
    </border>
    <border>
      <left/>
      <right style="thick">
        <color auto="1"/>
      </right>
      <top/>
      <bottom style="dashed">
        <color auto="1"/>
      </bottom>
      <diagonal/>
    </border>
    <border>
      <left style="thick">
        <color auto="1"/>
      </left>
      <right/>
      <top style="dashed">
        <color auto="1"/>
      </top>
      <bottom/>
      <diagonal/>
    </border>
    <border>
      <left style="medium">
        <color auto="1"/>
      </left>
      <right/>
      <top style="dashed">
        <color auto="1"/>
      </top>
      <bottom/>
      <diagonal/>
    </border>
    <border>
      <left/>
      <right/>
      <top style="dashed">
        <color auto="1"/>
      </top>
      <bottom/>
      <diagonal/>
    </border>
    <border>
      <left/>
      <right style="thick">
        <color auto="1"/>
      </right>
      <top style="dashed">
        <color auto="1"/>
      </top>
      <bottom/>
      <diagonal/>
    </border>
    <border>
      <left style="medium">
        <color auto="1"/>
      </left>
      <right/>
      <top style="thin">
        <color auto="1"/>
      </top>
      <bottom/>
      <diagonal/>
    </border>
    <border>
      <left style="thin">
        <color indexed="64"/>
      </left>
      <right/>
      <top style="thin">
        <color auto="1"/>
      </top>
      <bottom/>
      <diagonal/>
    </border>
    <border>
      <left/>
      <right/>
      <top style="thin">
        <color auto="1"/>
      </top>
      <bottom/>
      <diagonal/>
    </border>
    <border>
      <left/>
      <right style="medium">
        <color auto="1"/>
      </right>
      <top style="thin">
        <color auto="1"/>
      </top>
      <bottom/>
      <diagonal/>
    </border>
    <border>
      <left style="thin">
        <color indexed="64"/>
      </left>
      <right style="medium">
        <color indexed="64"/>
      </right>
      <top style="thin">
        <color indexed="64"/>
      </top>
      <bottom/>
      <diagonal/>
    </border>
    <border>
      <left style="medium">
        <color indexed="64"/>
      </left>
      <right/>
      <top style="thin">
        <color auto="1"/>
      </top>
      <bottom style="medium">
        <color indexed="64"/>
      </bottom>
      <diagonal/>
    </border>
    <border>
      <left style="thin">
        <color indexed="64"/>
      </left>
      <right/>
      <top style="thin">
        <color indexed="64"/>
      </top>
      <bottom style="medium">
        <color auto="1"/>
      </bottom>
      <diagonal/>
    </border>
    <border>
      <left/>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auto="1"/>
      </left>
      <right/>
      <top style="thin">
        <color indexed="64"/>
      </top>
      <bottom style="thin">
        <color auto="1"/>
      </bottom>
      <diagonal/>
    </border>
    <border>
      <left/>
      <right/>
      <top style="thin">
        <color indexed="64"/>
      </top>
      <bottom style="thin">
        <color indexed="64"/>
      </bottom>
      <diagonal/>
    </border>
    <border>
      <left/>
      <right style="medium">
        <color auto="1"/>
      </right>
      <top style="thin">
        <color indexed="64"/>
      </top>
      <bottom style="thin">
        <color auto="1"/>
      </bottom>
      <diagonal/>
    </border>
    <border>
      <left/>
      <right style="thick">
        <color auto="1"/>
      </right>
      <top style="thin">
        <color auto="1"/>
      </top>
      <bottom style="thin">
        <color auto="1"/>
      </bottom>
      <diagonal/>
    </border>
    <border>
      <left style="medium">
        <color indexed="64"/>
      </left>
      <right style="thin">
        <color indexed="64"/>
      </right>
      <top style="thin">
        <color indexed="64"/>
      </top>
      <bottom/>
      <diagonal/>
    </border>
    <border>
      <left style="thick">
        <color auto="1"/>
      </left>
      <right/>
      <top style="thin">
        <color auto="1"/>
      </top>
      <bottom/>
      <diagonal/>
    </border>
    <border>
      <left/>
      <right style="thick">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style="thin">
        <color auto="1"/>
      </top>
      <bottom style="thick">
        <color auto="1"/>
      </bottom>
      <diagonal/>
    </border>
    <border>
      <left/>
      <right style="thin">
        <color auto="1"/>
      </right>
      <top style="thin">
        <color auto="1"/>
      </top>
      <bottom/>
      <diagonal/>
    </border>
    <border>
      <left style="medium">
        <color auto="1"/>
      </left>
      <right style="medium">
        <color indexed="64"/>
      </right>
      <top style="thin">
        <color auto="1"/>
      </top>
      <bottom/>
      <diagonal/>
    </border>
    <border>
      <left/>
      <right style="thin">
        <color rgb="FFBBBBBB"/>
      </right>
      <top style="thin">
        <color rgb="FFFFFFFF"/>
      </top>
      <bottom/>
      <diagonal/>
    </border>
    <border>
      <left/>
      <right style="thin">
        <color rgb="FFBBBBBB"/>
      </right>
      <top style="thin">
        <color rgb="FFFFFFFF"/>
      </top>
      <bottom style="thin">
        <color rgb="FFFFFFFF"/>
      </bottom>
      <diagonal/>
    </border>
    <border>
      <left/>
      <right style="thin">
        <color rgb="FFBBBBBB"/>
      </right>
      <top style="thin">
        <color rgb="FFBBBBBB"/>
      </top>
      <bottom style="thin">
        <color rgb="FFFFFFFF"/>
      </bottom>
      <diagonal/>
    </border>
    <border>
      <left style="thin">
        <color rgb="FFFFFFFF"/>
      </left>
      <right/>
      <top/>
      <bottom style="thin">
        <color rgb="FFBBBBBB"/>
      </bottom>
      <diagonal/>
    </border>
    <border>
      <left style="thin">
        <color rgb="FFFFFFFF"/>
      </left>
      <right style="thin">
        <color rgb="FFFFFFFF"/>
      </right>
      <top/>
      <bottom style="thin">
        <color rgb="FFBBBBBB"/>
      </bottom>
      <diagonal/>
    </border>
    <border>
      <left style="thin">
        <color rgb="FFBBBBBB"/>
      </left>
      <right style="thin">
        <color rgb="FFFFFFFF"/>
      </right>
      <top/>
      <bottom style="thin">
        <color rgb="FFBBBBBB"/>
      </bottom>
      <diagonal/>
    </border>
    <border>
      <left/>
      <right style="thin">
        <color rgb="FFBBBBBB"/>
      </right>
      <top/>
      <bottom style="thin">
        <color rgb="FFBBBBBB"/>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top style="thin">
        <color indexed="64"/>
      </top>
      <bottom style="medium">
        <color auto="1"/>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medium">
        <color auto="1"/>
      </left>
      <right style="medium">
        <color indexed="64"/>
      </right>
      <top style="thin">
        <color auto="1"/>
      </top>
      <bottom style="thin">
        <color auto="1"/>
      </bottom>
      <diagonal/>
    </border>
    <border>
      <left/>
      <right style="thin">
        <color indexed="64"/>
      </right>
      <top/>
      <bottom style="medium">
        <color auto="1"/>
      </bottom>
      <diagonal/>
    </border>
    <border>
      <left style="thin">
        <color auto="1"/>
      </left>
      <right style="thin">
        <color auto="1"/>
      </right>
      <top/>
      <bottom style="medium">
        <color indexed="64"/>
      </bottom>
      <diagonal/>
    </border>
  </borders>
  <cellStyleXfs count="38">
    <xf numFmtId="0" fontId="0" fillId="0" borderId="0"/>
    <xf numFmtId="9" fontId="10" fillId="0" borderId="0" applyFont="0" applyFill="0" applyBorder="0" applyAlignment="0" applyProtection="0"/>
    <xf numFmtId="0" fontId="11" fillId="0" borderId="0"/>
    <xf numFmtId="0" fontId="11" fillId="0" borderId="0"/>
    <xf numFmtId="0" fontId="10" fillId="0" borderId="0"/>
    <xf numFmtId="165" fontId="9" fillId="0" borderId="0" applyFont="0" applyFill="0" applyBorder="0" applyAlignment="0" applyProtection="0"/>
    <xf numFmtId="0" fontId="21" fillId="0" borderId="0"/>
    <xf numFmtId="0" fontId="9" fillId="0" borderId="0"/>
    <xf numFmtId="9" fontId="19" fillId="0" borderId="0" applyFont="0" applyFill="0" applyBorder="0" applyAlignment="0" applyProtection="0"/>
    <xf numFmtId="165" fontId="19" fillId="0" borderId="0" applyFont="0" applyFill="0" applyBorder="0" applyAlignment="0" applyProtection="0"/>
    <xf numFmtId="0" fontId="33" fillId="0" borderId="0"/>
    <xf numFmtId="9" fontId="33" fillId="0" borderId="0" applyFont="0" applyFill="0" applyBorder="0" applyAlignment="0" applyProtection="0"/>
    <xf numFmtId="9" fontId="9" fillId="0" borderId="0" applyFont="0" applyFill="0" applyBorder="0" applyAlignment="0" applyProtection="0"/>
    <xf numFmtId="0" fontId="8" fillId="0" borderId="0"/>
    <xf numFmtId="0" fontId="7" fillId="0" borderId="0"/>
    <xf numFmtId="0" fontId="35" fillId="0" borderId="0"/>
    <xf numFmtId="0" fontId="6" fillId="0" borderId="0"/>
    <xf numFmtId="0" fontId="36" fillId="0" borderId="0" applyNumberFormat="0" applyFill="0" applyBorder="0" applyAlignment="0" applyProtection="0"/>
    <xf numFmtId="0" fontId="11" fillId="0" borderId="0"/>
    <xf numFmtId="43" fontId="11" fillId="0" borderId="0" applyFont="0" applyFill="0" applyBorder="0" applyAlignment="0" applyProtection="0"/>
    <xf numFmtId="165" fontId="6" fillId="0" borderId="0" applyFont="0" applyFill="0" applyBorder="0" applyAlignment="0" applyProtection="0"/>
    <xf numFmtId="0" fontId="37" fillId="0" borderId="0"/>
    <xf numFmtId="0" fontId="5" fillId="0" borderId="0"/>
    <xf numFmtId="0" fontId="19" fillId="0" borderId="0"/>
    <xf numFmtId="0" fontId="4" fillId="0" borderId="0"/>
    <xf numFmtId="0" fontId="4" fillId="0" borderId="0"/>
    <xf numFmtId="9" fontId="5" fillId="0" borderId="0" applyFont="0" applyFill="0" applyBorder="0" applyAlignment="0" applyProtection="0"/>
    <xf numFmtId="0" fontId="32" fillId="0" borderId="0"/>
    <xf numFmtId="0" fontId="3" fillId="0" borderId="0"/>
    <xf numFmtId="9" fontId="32" fillId="0" borderId="0" applyFont="0" applyFill="0" applyBorder="0" applyAlignment="0" applyProtection="0"/>
    <xf numFmtId="0" fontId="54" fillId="0" borderId="0" applyNumberFormat="0" applyFill="0" applyBorder="0" applyAlignment="0" applyProtection="0"/>
    <xf numFmtId="0" fontId="2" fillId="0" borderId="0"/>
    <xf numFmtId="9" fontId="2" fillId="0" borderId="0" applyFont="0" applyFill="0" applyBorder="0" applyAlignment="0" applyProtection="0"/>
    <xf numFmtId="0" fontId="19" fillId="0" borderId="0"/>
    <xf numFmtId="0" fontId="26" fillId="0" borderId="0"/>
    <xf numFmtId="9" fontId="26" fillId="0" borderId="0" applyFont="0" applyFill="0" applyBorder="0" applyAlignment="0" applyProtection="0"/>
    <xf numFmtId="0" fontId="22" fillId="0" borderId="0"/>
    <xf numFmtId="9" fontId="1" fillId="0" borderId="0" applyFont="0" applyFill="0" applyBorder="0" applyAlignment="0" applyProtection="0"/>
  </cellStyleXfs>
  <cellXfs count="941">
    <xf numFmtId="0" fontId="0" fillId="0" borderId="0" xfId="0"/>
    <xf numFmtId="0" fontId="11" fillId="0" borderId="0" xfId="2"/>
    <xf numFmtId="0" fontId="13" fillId="0" borderId="0" xfId="2" applyFont="1" applyAlignment="1">
      <alignment horizontal="center"/>
    </xf>
    <xf numFmtId="0" fontId="11" fillId="0" borderId="0" xfId="3" applyAlignment="1">
      <alignment horizontal="center"/>
    </xf>
    <xf numFmtId="0" fontId="11" fillId="0" borderId="0" xfId="2" applyAlignment="1">
      <alignment horizontal="center" vertical="center" wrapText="1"/>
    </xf>
    <xf numFmtId="3" fontId="14" fillId="0" borderId="10" xfId="2" applyNumberFormat="1" applyFont="1" applyBorder="1" applyAlignment="1">
      <alignment horizontal="center"/>
    </xf>
    <xf numFmtId="3" fontId="14" fillId="0" borderId="0" xfId="2" applyNumberFormat="1" applyFont="1" applyAlignment="1">
      <alignment horizontal="center"/>
    </xf>
    <xf numFmtId="3" fontId="14" fillId="0" borderId="11" xfId="2" applyNumberFormat="1" applyFont="1" applyBorder="1" applyAlignment="1">
      <alignment horizontal="center"/>
    </xf>
    <xf numFmtId="3" fontId="16" fillId="0" borderId="10" xfId="2" applyNumberFormat="1" applyFont="1" applyBorder="1" applyAlignment="1">
      <alignment horizontal="center" vertical="center"/>
    </xf>
    <xf numFmtId="3" fontId="16" fillId="0" borderId="0" xfId="2" applyNumberFormat="1" applyFont="1" applyAlignment="1">
      <alignment horizontal="center" vertical="center"/>
    </xf>
    <xf numFmtId="3" fontId="16" fillId="0" borderId="11" xfId="2" applyNumberFormat="1" applyFont="1" applyBorder="1" applyAlignment="1">
      <alignment horizontal="center" vertical="center"/>
    </xf>
    <xf numFmtId="164" fontId="11" fillId="0" borderId="0" xfId="2" applyNumberFormat="1"/>
    <xf numFmtId="0" fontId="23" fillId="0" borderId="0" xfId="2" applyFont="1"/>
    <xf numFmtId="3" fontId="23" fillId="0" borderId="0" xfId="2" applyNumberFormat="1" applyFont="1"/>
    <xf numFmtId="164" fontId="24" fillId="0" borderId="0" xfId="5" applyNumberFormat="1" applyFont="1" applyFill="1" applyBorder="1"/>
    <xf numFmtId="3" fontId="23" fillId="0" borderId="0" xfId="2" applyNumberFormat="1" applyFont="1" applyAlignment="1">
      <alignment horizontal="center"/>
    </xf>
    <xf numFmtId="164" fontId="23" fillId="0" borderId="0" xfId="2" applyNumberFormat="1" applyFont="1"/>
    <xf numFmtId="166" fontId="14" fillId="0" borderId="0" xfId="2" applyNumberFormat="1" applyFont="1" applyAlignment="1">
      <alignment horizontal="center" vertical="center"/>
    </xf>
    <xf numFmtId="166" fontId="14" fillId="0" borderId="11" xfId="2" applyNumberFormat="1" applyFont="1" applyBorder="1" applyAlignment="1">
      <alignment horizontal="center" vertical="center"/>
    </xf>
    <xf numFmtId="0" fontId="14" fillId="0" borderId="0" xfId="2" applyFont="1" applyAlignment="1">
      <alignment horizontal="center" vertical="center"/>
    </xf>
    <xf numFmtId="0" fontId="14" fillId="0" borderId="11" xfId="2" applyFont="1" applyBorder="1" applyAlignment="1">
      <alignment horizontal="center" vertical="center"/>
    </xf>
    <xf numFmtId="0" fontId="11" fillId="0" borderId="0" xfId="2" applyAlignment="1">
      <alignment vertical="center"/>
    </xf>
    <xf numFmtId="0" fontId="12" fillId="0" borderId="0" xfId="2" applyFont="1" applyAlignment="1">
      <alignment horizontal="center"/>
    </xf>
    <xf numFmtId="0" fontId="26" fillId="0" borderId="0" xfId="0" applyFont="1"/>
    <xf numFmtId="0" fontId="20" fillId="0" borderId="0" xfId="0" applyFont="1"/>
    <xf numFmtId="9" fontId="20" fillId="0" borderId="14" xfId="8" applyFont="1" applyBorder="1" applyAlignment="1">
      <alignment horizontal="center" vertical="center"/>
    </xf>
    <xf numFmtId="3" fontId="26" fillId="0" borderId="0" xfId="0" applyNumberFormat="1" applyFont="1"/>
    <xf numFmtId="9" fontId="26" fillId="0" borderId="0" xfId="8" applyFont="1" applyBorder="1" applyAlignment="1">
      <alignment horizontal="center"/>
    </xf>
    <xf numFmtId="9" fontId="20" fillId="0" borderId="10" xfId="8" applyFont="1" applyBorder="1" applyAlignment="1">
      <alignment horizontal="center"/>
    </xf>
    <xf numFmtId="9" fontId="26" fillId="0" borderId="0" xfId="8" applyFont="1" applyBorder="1" applyAlignment="1">
      <alignment horizontal="center" vertical="center"/>
    </xf>
    <xf numFmtId="0" fontId="21" fillId="0" borderId="0" xfId="0" applyFont="1"/>
    <xf numFmtId="9" fontId="20" fillId="0" borderId="0" xfId="8" applyFont="1" applyBorder="1" applyAlignment="1">
      <alignment horizontal="center" vertical="center"/>
    </xf>
    <xf numFmtId="9" fontId="20" fillId="0" borderId="10" xfId="8" applyFont="1" applyBorder="1" applyAlignment="1">
      <alignment horizontal="center" vertical="center"/>
    </xf>
    <xf numFmtId="0" fontId="31" fillId="0" borderId="0" xfId="0" applyFont="1" applyAlignment="1">
      <alignment horizontal="center" vertical="center"/>
    </xf>
    <xf numFmtId="0" fontId="32" fillId="0" borderId="0" xfId="0" applyFont="1"/>
    <xf numFmtId="9" fontId="20" fillId="0" borderId="0" xfId="8" applyFont="1" applyFill="1" applyBorder="1" applyAlignment="1">
      <alignment horizontal="center"/>
    </xf>
    <xf numFmtId="9" fontId="26" fillId="0" borderId="0" xfId="8" applyFont="1"/>
    <xf numFmtId="3" fontId="28" fillId="0" borderId="0" xfId="0" applyNumberFormat="1" applyFont="1" applyAlignment="1">
      <alignment horizontal="center"/>
    </xf>
    <xf numFmtId="3" fontId="16" fillId="0" borderId="10" xfId="0" applyNumberFormat="1" applyFont="1" applyBorder="1" applyAlignment="1">
      <alignment horizontal="center" vertical="center"/>
    </xf>
    <xf numFmtId="168" fontId="26" fillId="0" borderId="0" xfId="8" applyNumberFormat="1" applyFont="1"/>
    <xf numFmtId="9" fontId="20" fillId="0" borderId="0" xfId="8" applyFont="1" applyBorder="1" applyAlignment="1">
      <alignment horizontal="center" vertical="center" wrapText="1"/>
    </xf>
    <xf numFmtId="9" fontId="26" fillId="0" borderId="5" xfId="8" applyFont="1" applyBorder="1" applyAlignment="1">
      <alignment horizontal="center"/>
    </xf>
    <xf numFmtId="9" fontId="26" fillId="0" borderId="0" xfId="8" applyFont="1" applyBorder="1" applyAlignment="1">
      <alignment horizontal="center" vertical="center" wrapText="1"/>
    </xf>
    <xf numFmtId="9" fontId="20" fillId="0" borderId="0" xfId="8" applyFont="1" applyBorder="1" applyAlignment="1">
      <alignment horizontal="center"/>
    </xf>
    <xf numFmtId="0" fontId="25" fillId="0" borderId="0" xfId="0" applyFont="1"/>
    <xf numFmtId="9" fontId="20" fillId="0" borderId="15" xfId="8" applyFont="1" applyBorder="1" applyAlignment="1">
      <alignment horizontal="center" vertical="center" wrapText="1"/>
    </xf>
    <xf numFmtId="9" fontId="26" fillId="0" borderId="10" xfId="8" applyFont="1" applyBorder="1" applyAlignment="1">
      <alignment horizontal="center" vertical="center" wrapText="1"/>
    </xf>
    <xf numFmtId="9" fontId="26" fillId="0" borderId="10" xfId="8" applyFont="1" applyBorder="1" applyAlignment="1">
      <alignment horizontal="center"/>
    </xf>
    <xf numFmtId="9" fontId="20" fillId="0" borderId="10" xfId="8" applyFont="1" applyBorder="1" applyAlignment="1">
      <alignment horizontal="center" vertical="center" wrapText="1"/>
    </xf>
    <xf numFmtId="1" fontId="14" fillId="0" borderId="0" xfId="0" applyNumberFormat="1" applyFont="1" applyAlignment="1">
      <alignment horizontal="center" vertical="center" wrapText="1"/>
    </xf>
    <xf numFmtId="9" fontId="26" fillId="0" borderId="0" xfId="0" applyNumberFormat="1" applyFont="1"/>
    <xf numFmtId="1" fontId="16" fillId="0" borderId="0" xfId="0" applyNumberFormat="1" applyFont="1" applyAlignment="1">
      <alignment horizontal="center" vertical="center" wrapText="1"/>
    </xf>
    <xf numFmtId="0" fontId="34" fillId="0" borderId="0" xfId="2" applyFont="1"/>
    <xf numFmtId="167" fontId="26" fillId="0" borderId="0" xfId="0" applyNumberFormat="1" applyFont="1"/>
    <xf numFmtId="0" fontId="20" fillId="0" borderId="10" xfId="0" applyFont="1" applyBorder="1" applyAlignment="1">
      <alignment horizontal="center" vertical="center" wrapText="1"/>
    </xf>
    <xf numFmtId="0" fontId="16" fillId="0" borderId="10" xfId="0" applyFont="1" applyBorder="1" applyAlignment="1">
      <alignment horizontal="center" vertical="center" wrapText="1"/>
    </xf>
    <xf numFmtId="3" fontId="27" fillId="0" borderId="0" xfId="0" applyNumberFormat="1" applyFont="1" applyAlignment="1">
      <alignment horizontal="center"/>
    </xf>
    <xf numFmtId="0" fontId="14" fillId="0" borderId="0" xfId="0" applyFont="1"/>
    <xf numFmtId="0" fontId="11" fillId="0" borderId="0" xfId="0" applyFont="1" applyAlignment="1">
      <alignment horizontal="center"/>
    </xf>
    <xf numFmtId="3" fontId="11" fillId="0" borderId="0" xfId="0" applyNumberFormat="1" applyFont="1" applyAlignment="1">
      <alignment horizontal="center"/>
    </xf>
    <xf numFmtId="0" fontId="26" fillId="0" borderId="29" xfId="0" applyFont="1" applyBorder="1"/>
    <xf numFmtId="3" fontId="16" fillId="0" borderId="20" xfId="0" applyNumberFormat="1" applyFont="1" applyBorder="1" applyAlignment="1">
      <alignment horizontal="center" vertical="center" wrapText="1"/>
    </xf>
    <xf numFmtId="3" fontId="16" fillId="0" borderId="0" xfId="0" applyNumberFormat="1" applyFont="1" applyAlignment="1">
      <alignment horizontal="center" vertical="center" wrapText="1"/>
    </xf>
    <xf numFmtId="3" fontId="14" fillId="0" borderId="0" xfId="0" applyNumberFormat="1" applyFont="1" applyAlignment="1">
      <alignment horizontal="center" vertical="center"/>
    </xf>
    <xf numFmtId="3" fontId="14" fillId="0" borderId="0" xfId="0" applyNumberFormat="1" applyFont="1" applyAlignment="1">
      <alignment horizontal="center" vertical="center" wrapText="1"/>
    </xf>
    <xf numFmtId="0" fontId="31" fillId="0" borderId="10" xfId="0" applyFont="1" applyBorder="1" applyAlignment="1">
      <alignment horizontal="center" vertical="center"/>
    </xf>
    <xf numFmtId="0" fontId="28" fillId="0" borderId="0" xfId="0" applyFont="1"/>
    <xf numFmtId="0" fontId="11" fillId="0" borderId="0" xfId="0" applyFont="1"/>
    <xf numFmtId="0" fontId="14" fillId="0" borderId="10" xfId="0" applyFont="1" applyBorder="1"/>
    <xf numFmtId="0" fontId="14" fillId="0" borderId="31" xfId="0" applyFont="1" applyBorder="1"/>
    <xf numFmtId="3" fontId="16" fillId="0" borderId="0" xfId="8" applyNumberFormat="1" applyFont="1" applyFill="1" applyBorder="1" applyAlignment="1">
      <alignment horizontal="center" vertical="center"/>
    </xf>
    <xf numFmtId="3" fontId="14" fillId="0" borderId="0" xfId="8" applyNumberFormat="1" applyFont="1" applyFill="1" applyBorder="1" applyAlignment="1">
      <alignment horizontal="center" vertical="center"/>
    </xf>
    <xf numFmtId="3" fontId="14" fillId="0" borderId="0" xfId="0" quotePrefix="1" applyNumberFormat="1" applyFont="1" applyAlignment="1">
      <alignment horizontal="center" vertical="center"/>
    </xf>
    <xf numFmtId="9" fontId="14" fillId="0" borderId="0" xfId="1" applyFont="1" applyBorder="1" applyAlignment="1">
      <alignment horizontal="center" vertical="center" wrapText="1"/>
    </xf>
    <xf numFmtId="9" fontId="14" fillId="0" borderId="29" xfId="1" applyFont="1" applyBorder="1" applyAlignment="1">
      <alignment horizontal="center" vertical="center"/>
    </xf>
    <xf numFmtId="3" fontId="16" fillId="0" borderId="0" xfId="0" applyNumberFormat="1" applyFont="1" applyAlignment="1">
      <alignment horizontal="center" vertical="center"/>
    </xf>
    <xf numFmtId="3" fontId="16" fillId="0" borderId="36" xfId="0" applyNumberFormat="1" applyFont="1" applyBorder="1" applyAlignment="1">
      <alignment horizontal="center" vertical="center" wrapText="1"/>
    </xf>
    <xf numFmtId="0" fontId="34" fillId="0" borderId="0" xfId="2" applyFont="1" applyAlignment="1">
      <alignment vertical="center"/>
    </xf>
    <xf numFmtId="0" fontId="20" fillId="0" borderId="0" xfId="0" applyFont="1" applyAlignment="1">
      <alignment vertical="center"/>
    </xf>
    <xf numFmtId="3" fontId="16" fillId="0" borderId="32" xfId="0" applyNumberFormat="1" applyFont="1" applyBorder="1" applyAlignment="1">
      <alignment horizontal="center" vertical="center" wrapText="1"/>
    </xf>
    <xf numFmtId="0" fontId="12" fillId="0" borderId="10" xfId="0" applyFont="1" applyBorder="1" applyAlignment="1">
      <alignment horizontal="center" vertical="center"/>
    </xf>
    <xf numFmtId="0" fontId="11" fillId="0" borderId="29" xfId="0" applyFont="1" applyBorder="1" applyAlignment="1">
      <alignment horizontal="center"/>
    </xf>
    <xf numFmtId="3" fontId="16" fillId="0" borderId="49" xfId="0" applyNumberFormat="1" applyFont="1" applyBorder="1" applyAlignment="1">
      <alignment horizontal="center" vertical="center" wrapText="1"/>
    </xf>
    <xf numFmtId="0" fontId="14" fillId="0" borderId="29" xfId="0" applyFont="1" applyBorder="1"/>
    <xf numFmtId="3" fontId="16" fillId="0" borderId="10" xfId="0" applyNumberFormat="1" applyFont="1" applyBorder="1" applyAlignment="1">
      <alignment horizontal="center" vertical="center" wrapText="1"/>
    </xf>
    <xf numFmtId="9" fontId="16" fillId="0" borderId="0" xfId="1" applyFont="1" applyBorder="1" applyAlignment="1">
      <alignment horizontal="center" vertical="center"/>
    </xf>
    <xf numFmtId="3" fontId="16" fillId="0" borderId="0" xfId="0" quotePrefix="1" applyNumberFormat="1" applyFont="1" applyAlignment="1">
      <alignment horizontal="center" vertical="center"/>
    </xf>
    <xf numFmtId="9" fontId="16" fillId="0" borderId="0" xfId="1" applyFont="1" applyBorder="1" applyAlignment="1">
      <alignment horizontal="center" vertical="center" wrapText="1"/>
    </xf>
    <xf numFmtId="9" fontId="16" fillId="0" borderId="29" xfId="1" applyFont="1" applyBorder="1" applyAlignment="1">
      <alignment horizontal="center" vertical="center"/>
    </xf>
    <xf numFmtId="3" fontId="16" fillId="0" borderId="29" xfId="0" applyNumberFormat="1" applyFont="1" applyBorder="1" applyAlignment="1">
      <alignment horizontal="center" vertical="center" wrapText="1"/>
    </xf>
    <xf numFmtId="3" fontId="16" fillId="0" borderId="32" xfId="0" applyNumberFormat="1" applyFont="1" applyBorder="1" applyAlignment="1">
      <alignment horizontal="center" vertical="center"/>
    </xf>
    <xf numFmtId="9" fontId="14" fillId="0" borderId="32" xfId="1" applyFont="1" applyBorder="1" applyAlignment="1">
      <alignment horizontal="center" vertical="center" wrapText="1"/>
    </xf>
    <xf numFmtId="0" fontId="16" fillId="0" borderId="31" xfId="0" applyFont="1" applyBorder="1" applyAlignment="1">
      <alignment horizontal="center" vertical="center" wrapText="1"/>
    </xf>
    <xf numFmtId="3" fontId="16" fillId="0" borderId="37" xfId="8" applyNumberFormat="1" applyFont="1" applyFill="1" applyBorder="1" applyAlignment="1">
      <alignment horizontal="center" vertical="center"/>
    </xf>
    <xf numFmtId="9" fontId="16" fillId="0" borderId="32" xfId="1" applyFont="1" applyBorder="1" applyAlignment="1">
      <alignment horizontal="center" vertical="center"/>
    </xf>
    <xf numFmtId="9" fontId="16" fillId="0" borderId="32" xfId="1" applyFont="1" applyBorder="1" applyAlignment="1">
      <alignment horizontal="center" vertical="center" wrapText="1"/>
    </xf>
    <xf numFmtId="0" fontId="16" fillId="0" borderId="19" xfId="0" applyFont="1" applyBorder="1" applyAlignment="1">
      <alignment horizontal="center" vertical="center" wrapText="1"/>
    </xf>
    <xf numFmtId="3" fontId="16" fillId="0" borderId="34" xfId="0" applyNumberFormat="1" applyFont="1" applyBorder="1" applyAlignment="1">
      <alignment horizontal="center" vertical="center" wrapText="1"/>
    </xf>
    <xf numFmtId="3" fontId="16" fillId="0" borderId="21" xfId="0" applyNumberFormat="1" applyFont="1" applyBorder="1" applyAlignment="1">
      <alignment horizontal="center" vertical="center" wrapText="1"/>
    </xf>
    <xf numFmtId="9" fontId="16" fillId="0" borderId="20" xfId="1" applyFont="1" applyBorder="1" applyAlignment="1">
      <alignment horizontal="center" vertical="center" wrapText="1"/>
    </xf>
    <xf numFmtId="0" fontId="18" fillId="0" borderId="0" xfId="0" applyFont="1"/>
    <xf numFmtId="9" fontId="39" fillId="0" borderId="0" xfId="8" applyFont="1" applyFill="1" applyBorder="1" applyAlignment="1">
      <alignment horizontal="center"/>
    </xf>
    <xf numFmtId="0" fontId="38" fillId="0" borderId="0" xfId="0" applyFont="1"/>
    <xf numFmtId="0" fontId="16" fillId="0" borderId="0" xfId="0" applyFont="1"/>
    <xf numFmtId="9" fontId="14" fillId="0" borderId="0" xfId="1" applyFont="1"/>
    <xf numFmtId="1" fontId="14" fillId="0" borderId="0" xfId="1" applyNumberFormat="1" applyFont="1"/>
    <xf numFmtId="0" fontId="14" fillId="0" borderId="35" xfId="0" applyFont="1" applyBorder="1" applyAlignment="1">
      <alignment horizontal="center" vertical="center" wrapText="1"/>
    </xf>
    <xf numFmtId="0" fontId="13" fillId="0" borderId="10" xfId="2" applyFont="1" applyBorder="1" applyAlignment="1">
      <alignment horizontal="center"/>
    </xf>
    <xf numFmtId="0" fontId="13" fillId="0" borderId="29" xfId="2" applyFont="1" applyBorder="1" applyAlignment="1">
      <alignment horizontal="center"/>
    </xf>
    <xf numFmtId="0" fontId="11" fillId="0" borderId="32" xfId="3" applyBorder="1" applyAlignment="1">
      <alignment horizontal="center"/>
    </xf>
    <xf numFmtId="0" fontId="11" fillId="0" borderId="35" xfId="3" applyBorder="1" applyAlignment="1">
      <alignment horizontal="center"/>
    </xf>
    <xf numFmtId="0" fontId="15" fillId="0" borderId="10" xfId="2" applyFont="1" applyBorder="1"/>
    <xf numFmtId="0" fontId="17" fillId="0" borderId="51" xfId="2" applyFont="1" applyBorder="1" applyAlignment="1">
      <alignment horizontal="center" vertical="center" wrapText="1"/>
    </xf>
    <xf numFmtId="0" fontId="15" fillId="0" borderId="10" xfId="2" applyFont="1" applyBorder="1" applyAlignment="1">
      <alignment horizontal="center" vertical="center" wrapText="1"/>
    </xf>
    <xf numFmtId="0" fontId="16" fillId="0" borderId="49" xfId="2" applyFont="1" applyBorder="1" applyAlignment="1">
      <alignment horizontal="center" vertical="center" wrapText="1"/>
    </xf>
    <xf numFmtId="3" fontId="16" fillId="0" borderId="48" xfId="2" applyNumberFormat="1" applyFont="1" applyBorder="1" applyAlignment="1">
      <alignment horizontal="center" vertical="center" wrapText="1"/>
    </xf>
    <xf numFmtId="3" fontId="16" fillId="0" borderId="44" xfId="2" applyNumberFormat="1" applyFont="1" applyBorder="1" applyAlignment="1">
      <alignment horizontal="center" vertical="center" wrapText="1"/>
    </xf>
    <xf numFmtId="0" fontId="14" fillId="0" borderId="10" xfId="2" applyFont="1" applyBorder="1"/>
    <xf numFmtId="3" fontId="14" fillId="0" borderId="52" xfId="2" applyNumberFormat="1" applyFont="1" applyBorder="1" applyAlignment="1">
      <alignment horizontal="center"/>
    </xf>
    <xf numFmtId="0" fontId="16" fillId="0" borderId="10" xfId="2" applyFont="1" applyBorder="1" applyAlignment="1">
      <alignment vertical="center" wrapText="1"/>
    </xf>
    <xf numFmtId="3" fontId="16" fillId="0" borderId="29" xfId="2" applyNumberFormat="1" applyFont="1" applyBorder="1" applyAlignment="1">
      <alignment horizontal="center" vertical="center"/>
    </xf>
    <xf numFmtId="0" fontId="14" fillId="0" borderId="10" xfId="4" applyFont="1" applyBorder="1"/>
    <xf numFmtId="3" fontId="16" fillId="0" borderId="52" xfId="2" applyNumberFormat="1" applyFont="1" applyBorder="1" applyAlignment="1">
      <alignment horizontal="center" vertical="center"/>
    </xf>
    <xf numFmtId="0" fontId="21" fillId="0" borderId="10" xfId="4" applyFont="1" applyBorder="1"/>
    <xf numFmtId="0" fontId="16" fillId="0" borderId="10" xfId="2" applyFont="1" applyBorder="1" applyAlignment="1">
      <alignment horizontal="center" vertical="center"/>
    </xf>
    <xf numFmtId="0" fontId="14" fillId="0" borderId="31" xfId="2" applyFont="1" applyBorder="1"/>
    <xf numFmtId="3" fontId="14" fillId="0" borderId="31" xfId="2" applyNumberFormat="1" applyFont="1" applyBorder="1" applyAlignment="1">
      <alignment horizontal="center"/>
    </xf>
    <xf numFmtId="3" fontId="14" fillId="0" borderId="32" xfId="2" applyNumberFormat="1" applyFont="1" applyBorder="1" applyAlignment="1">
      <alignment horizontal="center"/>
    </xf>
    <xf numFmtId="3" fontId="14" fillId="0" borderId="50" xfId="2" applyNumberFormat="1" applyFont="1" applyBorder="1" applyAlignment="1">
      <alignment horizontal="center"/>
    </xf>
    <xf numFmtId="3" fontId="14" fillId="0" borderId="47" xfId="2" applyNumberFormat="1" applyFont="1" applyBorder="1" applyAlignment="1">
      <alignment horizontal="center"/>
    </xf>
    <xf numFmtId="0" fontId="16" fillId="0" borderId="19" xfId="2" applyFont="1" applyBorder="1" applyAlignment="1">
      <alignment horizontal="center" vertical="center"/>
    </xf>
    <xf numFmtId="3" fontId="16" fillId="0" borderId="19" xfId="2" applyNumberFormat="1" applyFont="1" applyBorder="1" applyAlignment="1">
      <alignment horizontal="center" vertical="center"/>
    </xf>
    <xf numFmtId="3" fontId="16" fillId="0" borderId="20" xfId="2" applyNumberFormat="1" applyFont="1" applyBorder="1" applyAlignment="1">
      <alignment horizontal="center" vertical="center"/>
    </xf>
    <xf numFmtId="3" fontId="16" fillId="0" borderId="53" xfId="2" applyNumberFormat="1" applyFont="1" applyBorder="1" applyAlignment="1">
      <alignment horizontal="center" vertical="center"/>
    </xf>
    <xf numFmtId="3" fontId="16" fillId="0" borderId="54" xfId="2" applyNumberFormat="1" applyFont="1" applyBorder="1" applyAlignment="1">
      <alignment horizontal="center" vertical="center"/>
    </xf>
    <xf numFmtId="0" fontId="12" fillId="0" borderId="29" xfId="2" applyFont="1" applyBorder="1" applyAlignment="1">
      <alignment horizontal="center"/>
    </xf>
    <xf numFmtId="0" fontId="11" fillId="0" borderId="29" xfId="3" applyBorder="1" applyAlignment="1">
      <alignment horizontal="center"/>
    </xf>
    <xf numFmtId="0" fontId="14" fillId="0" borderId="32" xfId="2" applyFont="1" applyBorder="1" applyAlignment="1">
      <alignment horizontal="center" vertical="center" wrapText="1"/>
    </xf>
    <xf numFmtId="0" fontId="16" fillId="0" borderId="52" xfId="2" applyFont="1" applyBorder="1" applyAlignment="1">
      <alignment horizontal="center" vertical="center" wrapText="1"/>
    </xf>
    <xf numFmtId="0" fontId="14" fillId="0" borderId="10" xfId="2" applyFont="1" applyBorder="1" applyAlignment="1">
      <alignment vertical="center"/>
    </xf>
    <xf numFmtId="166" fontId="16" fillId="0" borderId="52" xfId="2" applyNumberFormat="1" applyFont="1" applyBorder="1" applyAlignment="1">
      <alignment horizontal="center" vertical="center"/>
    </xf>
    <xf numFmtId="0" fontId="16" fillId="0" borderId="52" xfId="2" applyFont="1" applyBorder="1" applyAlignment="1">
      <alignment horizontal="center" vertical="center"/>
    </xf>
    <xf numFmtId="3" fontId="16" fillId="0" borderId="58" xfId="0" applyNumberFormat="1" applyFont="1" applyBorder="1" applyAlignment="1">
      <alignment horizontal="center" vertical="center"/>
    </xf>
    <xf numFmtId="3" fontId="16" fillId="0" borderId="60" xfId="0" applyNumberFormat="1" applyFont="1" applyBorder="1" applyAlignment="1">
      <alignment horizontal="center" vertical="center"/>
    </xf>
    <xf numFmtId="3" fontId="16" fillId="0" borderId="31" xfId="0" applyNumberFormat="1" applyFont="1" applyBorder="1" applyAlignment="1">
      <alignment horizontal="center" vertical="center"/>
    </xf>
    <xf numFmtId="3" fontId="16" fillId="0" borderId="59" xfId="8" applyNumberFormat="1" applyFont="1" applyFill="1" applyBorder="1" applyAlignment="1">
      <alignment horizontal="center" vertical="center"/>
    </xf>
    <xf numFmtId="0" fontId="26" fillId="0" borderId="0" xfId="23" applyFont="1"/>
    <xf numFmtId="1" fontId="26" fillId="0" borderId="0" xfId="23" applyNumberFormat="1" applyFont="1"/>
    <xf numFmtId="169" fontId="26" fillId="0" borderId="0" xfId="23" applyNumberFormat="1" applyFont="1"/>
    <xf numFmtId="167" fontId="26" fillId="0" borderId="0" xfId="23" applyNumberFormat="1" applyFont="1"/>
    <xf numFmtId="0" fontId="20" fillId="0" borderId="0" xfId="23" applyFont="1"/>
    <xf numFmtId="3" fontId="20" fillId="0" borderId="23" xfId="23" applyNumberFormat="1" applyFont="1" applyBorder="1" applyAlignment="1">
      <alignment horizontal="center" vertical="center" wrapText="1"/>
    </xf>
    <xf numFmtId="3" fontId="20" fillId="0" borderId="16" xfId="23" applyNumberFormat="1" applyFont="1" applyBorder="1" applyAlignment="1">
      <alignment horizontal="center" vertical="center" wrapText="1"/>
    </xf>
    <xf numFmtId="3" fontId="20" fillId="0" borderId="15" xfId="23" applyNumberFormat="1" applyFont="1" applyBorder="1" applyAlignment="1">
      <alignment horizontal="center" vertical="center" wrapText="1"/>
    </xf>
    <xf numFmtId="3" fontId="20" fillId="0" borderId="28" xfId="23" applyNumberFormat="1" applyFont="1" applyBorder="1" applyAlignment="1">
      <alignment horizontal="center" vertical="center" wrapText="1"/>
    </xf>
    <xf numFmtId="3" fontId="20" fillId="0" borderId="14" xfId="23" applyNumberFormat="1" applyFont="1" applyBorder="1" applyAlignment="1">
      <alignment horizontal="center" vertical="center" wrapText="1"/>
    </xf>
    <xf numFmtId="3" fontId="20" fillId="0" borderId="30" xfId="9" applyNumberFormat="1" applyFont="1" applyBorder="1" applyAlignment="1">
      <alignment horizontal="center" vertical="center"/>
    </xf>
    <xf numFmtId="0" fontId="20" fillId="0" borderId="13" xfId="23" applyFont="1" applyBorder="1" applyAlignment="1">
      <alignment horizontal="center" vertical="center"/>
    </xf>
    <xf numFmtId="9" fontId="26" fillId="0" borderId="0" xfId="23" applyNumberFormat="1" applyFont="1"/>
    <xf numFmtId="0" fontId="28" fillId="0" borderId="0" xfId="23" applyFont="1" applyAlignment="1">
      <alignment horizontal="center" vertical="center"/>
    </xf>
    <xf numFmtId="3" fontId="20" fillId="0" borderId="5" xfId="23" applyNumberFormat="1" applyFont="1" applyBorder="1" applyAlignment="1">
      <alignment horizontal="center" vertical="center"/>
    </xf>
    <xf numFmtId="3" fontId="20" fillId="0" borderId="0" xfId="23" applyNumberFormat="1" applyFont="1" applyAlignment="1">
      <alignment horizontal="center" vertical="center"/>
    </xf>
    <xf numFmtId="3" fontId="20" fillId="0" borderId="10" xfId="23" applyNumberFormat="1" applyFont="1" applyBorder="1" applyAlignment="1">
      <alignment horizontal="center" vertical="center"/>
    </xf>
    <xf numFmtId="3" fontId="20" fillId="0" borderId="12" xfId="9" applyNumberFormat="1" applyFont="1" applyBorder="1" applyAlignment="1">
      <alignment horizontal="center" vertical="center"/>
    </xf>
    <xf numFmtId="3" fontId="20" fillId="0" borderId="29" xfId="23" applyNumberFormat="1" applyFont="1" applyBorder="1" applyAlignment="1">
      <alignment horizontal="center" vertical="center"/>
    </xf>
    <xf numFmtId="3" fontId="20" fillId="0" borderId="11" xfId="23" applyNumberFormat="1" applyFont="1" applyBorder="1" applyAlignment="1">
      <alignment horizontal="center" vertical="center"/>
    </xf>
    <xf numFmtId="0" fontId="20" fillId="0" borderId="4" xfId="23" applyFont="1" applyBorder="1" applyAlignment="1">
      <alignment horizontal="center" vertical="center"/>
    </xf>
    <xf numFmtId="10" fontId="26" fillId="0" borderId="0" xfId="8" applyNumberFormat="1" applyFont="1"/>
    <xf numFmtId="3" fontId="20" fillId="0" borderId="55" xfId="23" applyNumberFormat="1" applyFont="1" applyBorder="1" applyAlignment="1">
      <alignment horizontal="center" vertical="center" wrapText="1"/>
    </xf>
    <xf numFmtId="3" fontId="20" fillId="0" borderId="50" xfId="23" applyNumberFormat="1" applyFont="1" applyBorder="1" applyAlignment="1">
      <alignment horizontal="center" vertical="center" wrapText="1"/>
    </xf>
    <xf numFmtId="3" fontId="20" fillId="0" borderId="31" xfId="23" applyNumberFormat="1" applyFont="1" applyBorder="1" applyAlignment="1">
      <alignment horizontal="center" vertical="center"/>
    </xf>
    <xf numFmtId="3" fontId="26" fillId="0" borderId="0" xfId="9" applyNumberFormat="1" applyFont="1" applyBorder="1" applyAlignment="1">
      <alignment horizontal="center" vertical="center"/>
    </xf>
    <xf numFmtId="3" fontId="20" fillId="0" borderId="41" xfId="23" applyNumberFormat="1" applyFont="1" applyBorder="1" applyAlignment="1">
      <alignment horizontal="center" vertical="center" wrapText="1"/>
    </xf>
    <xf numFmtId="3" fontId="20" fillId="0" borderId="37" xfId="9" applyNumberFormat="1" applyFont="1" applyBorder="1" applyAlignment="1">
      <alignment horizontal="center" vertical="center"/>
    </xf>
    <xf numFmtId="3" fontId="20" fillId="0" borderId="35" xfId="23" applyNumberFormat="1" applyFont="1" applyBorder="1" applyAlignment="1">
      <alignment horizontal="center" vertical="center" wrapText="1"/>
    </xf>
    <xf numFmtId="3" fontId="20" fillId="0" borderId="41" xfId="9" applyNumberFormat="1" applyFont="1" applyBorder="1" applyAlignment="1">
      <alignment horizontal="center" vertical="center"/>
    </xf>
    <xf numFmtId="0" fontId="20" fillId="0" borderId="42" xfId="23" applyFont="1" applyBorder="1" applyAlignment="1">
      <alignment horizontal="center" vertical="center"/>
    </xf>
    <xf numFmtId="3" fontId="26" fillId="0" borderId="5" xfId="23" applyNumberFormat="1" applyFont="1" applyBorder="1" applyAlignment="1">
      <alignment horizontal="center" vertical="center" wrapText="1"/>
    </xf>
    <xf numFmtId="3" fontId="26" fillId="0" borderId="0" xfId="23" applyNumberFormat="1" applyFont="1" applyAlignment="1">
      <alignment horizontal="center" vertical="center" wrapText="1"/>
    </xf>
    <xf numFmtId="3" fontId="20" fillId="0" borderId="12" xfId="23" applyNumberFormat="1" applyFont="1" applyBorder="1" applyAlignment="1">
      <alignment horizontal="center"/>
    </xf>
    <xf numFmtId="3" fontId="26" fillId="0" borderId="0" xfId="23" applyNumberFormat="1" applyFont="1" applyAlignment="1">
      <alignment horizontal="center"/>
    </xf>
    <xf numFmtId="3" fontId="20" fillId="0" borderId="12" xfId="23" applyNumberFormat="1" applyFont="1" applyBorder="1" applyAlignment="1">
      <alignment horizontal="center" vertical="center" wrapText="1"/>
    </xf>
    <xf numFmtId="3" fontId="26" fillId="0" borderId="10" xfId="23" applyNumberFormat="1" applyFont="1" applyBorder="1"/>
    <xf numFmtId="3" fontId="26" fillId="0" borderId="29" xfId="23" applyNumberFormat="1" applyFont="1" applyBorder="1" applyAlignment="1">
      <alignment horizontal="center" vertical="center" wrapText="1"/>
    </xf>
    <xf numFmtId="3" fontId="26" fillId="0" borderId="12" xfId="23" applyNumberFormat="1" applyFont="1" applyBorder="1" applyAlignment="1">
      <alignment horizontal="center"/>
    </xf>
    <xf numFmtId="0" fontId="26" fillId="0" borderId="4" xfId="23" applyFont="1" applyBorder="1"/>
    <xf numFmtId="3" fontId="25" fillId="0" borderId="5" xfId="23" applyNumberFormat="1" applyFont="1" applyBorder="1" applyAlignment="1">
      <alignment horizontal="center" vertical="center" wrapText="1"/>
    </xf>
    <xf numFmtId="3" fontId="25" fillId="0" borderId="29" xfId="23" applyNumberFormat="1" applyFont="1" applyBorder="1" applyAlignment="1">
      <alignment horizontal="center" vertical="center" wrapText="1"/>
    </xf>
    <xf numFmtId="3" fontId="29" fillId="0" borderId="10" xfId="23" applyNumberFormat="1" applyFont="1" applyBorder="1"/>
    <xf numFmtId="0" fontId="29" fillId="0" borderId="4" xfId="23" applyFont="1" applyBorder="1"/>
    <xf numFmtId="3" fontId="20" fillId="0" borderId="5" xfId="23" applyNumberFormat="1" applyFont="1" applyBorder="1" applyAlignment="1">
      <alignment horizontal="center" vertical="center" wrapText="1"/>
    </xf>
    <xf numFmtId="3" fontId="20" fillId="0" borderId="0" xfId="23" applyNumberFormat="1" applyFont="1" applyAlignment="1">
      <alignment horizontal="center" vertical="center" wrapText="1"/>
    </xf>
    <xf numFmtId="3" fontId="20" fillId="0" borderId="12" xfId="23" applyNumberFormat="1" applyFont="1" applyBorder="1" applyAlignment="1">
      <alignment horizontal="center" vertical="center"/>
    </xf>
    <xf numFmtId="3" fontId="20" fillId="0" borderId="10" xfId="23" applyNumberFormat="1" applyFont="1" applyBorder="1" applyAlignment="1">
      <alignment horizontal="center" vertical="center" wrapText="1"/>
    </xf>
    <xf numFmtId="3" fontId="20" fillId="0" borderId="29" xfId="23" applyNumberFormat="1" applyFont="1" applyBorder="1" applyAlignment="1">
      <alignment horizontal="center" vertical="center" wrapText="1"/>
    </xf>
    <xf numFmtId="0" fontId="20" fillId="0" borderId="4" xfId="23" applyFont="1" applyBorder="1" applyAlignment="1">
      <alignment horizontal="center" vertical="center" wrapText="1"/>
    </xf>
    <xf numFmtId="3" fontId="20" fillId="0" borderId="12" xfId="9" applyNumberFormat="1" applyFont="1" applyBorder="1" applyAlignment="1">
      <alignment horizontal="center"/>
    </xf>
    <xf numFmtId="0" fontId="4" fillId="0" borderId="0" xfId="24"/>
    <xf numFmtId="0" fontId="19" fillId="0" borderId="0" xfId="23"/>
    <xf numFmtId="0" fontId="14" fillId="0" borderId="4" xfId="23" applyFont="1" applyBorder="1"/>
    <xf numFmtId="3" fontId="20" fillId="0" borderId="12" xfId="9" applyNumberFormat="1" applyFont="1" applyFill="1" applyBorder="1" applyAlignment="1">
      <alignment horizontal="center"/>
    </xf>
    <xf numFmtId="3" fontId="26" fillId="0" borderId="0" xfId="9" applyNumberFormat="1" applyFont="1" applyFill="1" applyBorder="1" applyAlignment="1">
      <alignment horizontal="center" vertical="center"/>
    </xf>
    <xf numFmtId="168" fontId="26" fillId="0" borderId="0" xfId="8" applyNumberFormat="1" applyFont="1" applyFill="1"/>
    <xf numFmtId="0" fontId="4" fillId="0" borderId="0" xfId="25"/>
    <xf numFmtId="0" fontId="26" fillId="0" borderId="0" xfId="23" applyFont="1" applyAlignment="1">
      <alignment vertical="center" wrapText="1"/>
    </xf>
    <xf numFmtId="0" fontId="26" fillId="0" borderId="5" xfId="23" applyFont="1" applyBorder="1" applyAlignment="1">
      <alignment horizontal="center" vertical="center" wrapText="1"/>
    </xf>
    <xf numFmtId="0" fontId="26" fillId="0" borderId="0" xfId="23" applyFont="1" applyAlignment="1">
      <alignment horizontal="center" vertical="center" wrapText="1"/>
    </xf>
    <xf numFmtId="0" fontId="26" fillId="0" borderId="29" xfId="23" applyFont="1" applyBorder="1" applyAlignment="1">
      <alignment horizontal="center" vertical="center" wrapText="1"/>
    </xf>
    <xf numFmtId="0" fontId="30" fillId="0" borderId="0" xfId="23" applyFont="1" applyAlignment="1">
      <alignment horizontal="center" vertical="center" wrapText="1"/>
    </xf>
    <xf numFmtId="0" fontId="28" fillId="0" borderId="5" xfId="23" applyFont="1" applyBorder="1" applyAlignment="1">
      <alignment horizontal="center"/>
    </xf>
    <xf numFmtId="0" fontId="31" fillId="0" borderId="4" xfId="23" applyFont="1" applyBorder="1" applyAlignment="1">
      <alignment horizontal="center" vertical="center"/>
    </xf>
    <xf numFmtId="165" fontId="26" fillId="0" borderId="0" xfId="9" applyFont="1"/>
    <xf numFmtId="9" fontId="26" fillId="0" borderId="24" xfId="8" applyFont="1" applyBorder="1"/>
    <xf numFmtId="9" fontId="26" fillId="0" borderId="25" xfId="8" applyFont="1" applyBorder="1"/>
    <xf numFmtId="0" fontId="21" fillId="0" borderId="26" xfId="23" applyFont="1" applyBorder="1"/>
    <xf numFmtId="3" fontId="20" fillId="0" borderId="13" xfId="23" applyNumberFormat="1" applyFont="1" applyBorder="1" applyAlignment="1">
      <alignment vertical="center"/>
    </xf>
    <xf numFmtId="3" fontId="20" fillId="0" borderId="4" xfId="23" applyNumberFormat="1" applyFont="1" applyBorder="1" applyAlignment="1">
      <alignment horizontal="center" vertical="center"/>
    </xf>
    <xf numFmtId="3" fontId="20" fillId="0" borderId="42" xfId="23" applyNumberFormat="1" applyFont="1" applyBorder="1" applyAlignment="1">
      <alignment horizontal="center" vertical="center"/>
    </xf>
    <xf numFmtId="0" fontId="20" fillId="0" borderId="13" xfId="23" applyFont="1" applyBorder="1" applyAlignment="1">
      <alignment vertical="center"/>
    </xf>
    <xf numFmtId="0" fontId="40" fillId="2" borderId="61" xfId="23" applyFont="1" applyFill="1" applyBorder="1" applyAlignment="1" applyProtection="1">
      <alignment horizontal="left" vertical="center" wrapText="1"/>
      <protection locked="0"/>
    </xf>
    <xf numFmtId="3" fontId="14" fillId="0" borderId="5" xfId="23" applyNumberFormat="1" applyFont="1" applyBorder="1" applyAlignment="1">
      <alignment horizontal="center" vertical="center" wrapText="1"/>
    </xf>
    <xf numFmtId="164" fontId="26" fillId="0" borderId="0" xfId="9" applyNumberFormat="1" applyFont="1"/>
    <xf numFmtId="3" fontId="26" fillId="0" borderId="0" xfId="23" applyNumberFormat="1" applyFont="1"/>
    <xf numFmtId="9" fontId="20" fillId="0" borderId="23" xfId="8" applyFont="1" applyBorder="1" applyAlignment="1">
      <alignment horizontal="center" vertical="center" wrapText="1"/>
    </xf>
    <xf numFmtId="9" fontId="20" fillId="0" borderId="5" xfId="8" applyFont="1" applyBorder="1" applyAlignment="1">
      <alignment horizontal="center" vertical="center"/>
    </xf>
    <xf numFmtId="9" fontId="20" fillId="0" borderId="55" xfId="8" applyFont="1" applyBorder="1" applyAlignment="1">
      <alignment horizontal="center" vertical="center"/>
    </xf>
    <xf numFmtId="9" fontId="20" fillId="0" borderId="31" xfId="8" applyFont="1" applyBorder="1" applyAlignment="1">
      <alignment horizontal="center" vertical="center"/>
    </xf>
    <xf numFmtId="9" fontId="26" fillId="0" borderId="10" xfId="8" applyFont="1" applyBorder="1"/>
    <xf numFmtId="9" fontId="26" fillId="0" borderId="22" xfId="8" applyFont="1" applyBorder="1" applyAlignment="1">
      <alignment horizontal="center"/>
    </xf>
    <xf numFmtId="9" fontId="29" fillId="0" borderId="10" xfId="8" applyFont="1" applyBorder="1"/>
    <xf numFmtId="9" fontId="20" fillId="0" borderId="22" xfId="8" applyFont="1" applyBorder="1" applyAlignment="1">
      <alignment horizontal="center" vertical="center"/>
    </xf>
    <xf numFmtId="9" fontId="21" fillId="0" borderId="5" xfId="8" applyFont="1" applyBorder="1" applyAlignment="1">
      <alignment horizontal="center"/>
    </xf>
    <xf numFmtId="9" fontId="21" fillId="0" borderId="0" xfId="8" applyFont="1" applyBorder="1" applyAlignment="1">
      <alignment horizontal="center"/>
    </xf>
    <xf numFmtId="9" fontId="21" fillId="0" borderId="22" xfId="8" applyFont="1" applyBorder="1" applyAlignment="1">
      <alignment horizontal="center"/>
    </xf>
    <xf numFmtId="0" fontId="20" fillId="0" borderId="55" xfId="23" applyFont="1" applyBorder="1" applyAlignment="1">
      <alignment horizontal="center" vertical="center" wrapText="1"/>
    </xf>
    <xf numFmtId="0" fontId="20" fillId="0" borderId="43" xfId="23" applyFont="1" applyBorder="1" applyAlignment="1">
      <alignment horizontal="center" vertical="center" wrapText="1"/>
    </xf>
    <xf numFmtId="0" fontId="21" fillId="0" borderId="5" xfId="23" applyFont="1" applyBorder="1" applyAlignment="1">
      <alignment horizontal="center" vertical="center" wrapText="1"/>
    </xf>
    <xf numFmtId="0" fontId="21" fillId="0" borderId="22" xfId="23" applyFont="1" applyBorder="1" applyAlignment="1">
      <alignment horizontal="center" vertical="center" wrapText="1"/>
    </xf>
    <xf numFmtId="0" fontId="26" fillId="0" borderId="0" xfId="23" applyFont="1" applyAlignment="1">
      <alignment horizontal="center" vertical="center"/>
    </xf>
    <xf numFmtId="0" fontId="31" fillId="0" borderId="0" xfId="23" applyFont="1" applyAlignment="1">
      <alignment horizontal="center" vertical="center"/>
    </xf>
    <xf numFmtId="0" fontId="31" fillId="0" borderId="5" xfId="23" applyFont="1" applyBorder="1" applyAlignment="1">
      <alignment horizontal="center" vertical="center"/>
    </xf>
    <xf numFmtId="9" fontId="20" fillId="0" borderId="21" xfId="8" applyFont="1" applyBorder="1" applyAlignment="1">
      <alignment horizontal="center" vertical="center" wrapText="1"/>
    </xf>
    <xf numFmtId="9" fontId="20" fillId="0" borderId="20" xfId="8" applyFont="1" applyBorder="1" applyAlignment="1">
      <alignment horizontal="center" vertical="center" wrapText="1"/>
    </xf>
    <xf numFmtId="9" fontId="20" fillId="0" borderId="19" xfId="8" applyFont="1" applyBorder="1" applyAlignment="1">
      <alignment horizontal="center" vertical="center"/>
    </xf>
    <xf numFmtId="3" fontId="20" fillId="0" borderId="19" xfId="23" applyNumberFormat="1" applyFont="1" applyBorder="1" applyAlignment="1">
      <alignment horizontal="center" vertical="center"/>
    </xf>
    <xf numFmtId="0" fontId="20" fillId="0" borderId="19" xfId="23" applyFont="1" applyBorder="1" applyAlignment="1">
      <alignment horizontal="center" vertical="center"/>
    </xf>
    <xf numFmtId="9" fontId="20" fillId="0" borderId="29" xfId="8" applyFont="1" applyBorder="1" applyAlignment="1">
      <alignment horizontal="center" vertical="center"/>
    </xf>
    <xf numFmtId="0" fontId="20" fillId="0" borderId="10" xfId="23" applyFont="1" applyBorder="1" applyAlignment="1">
      <alignment horizontal="center" vertical="center"/>
    </xf>
    <xf numFmtId="9" fontId="20" fillId="0" borderId="35" xfId="8" applyFont="1" applyBorder="1" applyAlignment="1">
      <alignment horizontal="center" vertical="center"/>
    </xf>
    <xf numFmtId="3" fontId="16" fillId="0" borderId="37" xfId="23" applyNumberFormat="1" applyFont="1" applyBorder="1" applyAlignment="1">
      <alignment horizontal="center" vertical="center"/>
    </xf>
    <xf numFmtId="0" fontId="20" fillId="0" borderId="31" xfId="23" applyFont="1" applyBorder="1" applyAlignment="1">
      <alignment horizontal="center" vertical="center"/>
    </xf>
    <xf numFmtId="9" fontId="21" fillId="0" borderId="29" xfId="8" applyFont="1" applyBorder="1" applyAlignment="1">
      <alignment horizontal="center"/>
    </xf>
    <xf numFmtId="9" fontId="21" fillId="0" borderId="0" xfId="8" applyFont="1" applyBorder="1" applyAlignment="1">
      <alignment horizontal="center" vertical="center" wrapText="1"/>
    </xf>
    <xf numFmtId="3" fontId="26" fillId="0" borderId="10" xfId="23" applyNumberFormat="1" applyFont="1" applyBorder="1" applyAlignment="1">
      <alignment horizontal="center"/>
    </xf>
    <xf numFmtId="0" fontId="26" fillId="0" borderId="10" xfId="23" applyFont="1" applyBorder="1"/>
    <xf numFmtId="3" fontId="29" fillId="0" borderId="10" xfId="23" applyNumberFormat="1" applyFont="1" applyBorder="1" applyAlignment="1">
      <alignment horizontal="center"/>
    </xf>
    <xf numFmtId="0" fontId="29" fillId="0" borderId="10" xfId="23" applyFont="1" applyBorder="1"/>
    <xf numFmtId="9" fontId="21" fillId="0" borderId="29" xfId="8" applyFont="1" applyBorder="1" applyAlignment="1">
      <alignment horizontal="center" vertical="center"/>
    </xf>
    <xf numFmtId="9" fontId="21" fillId="0" borderId="22" xfId="8" applyFont="1" applyBorder="1" applyAlignment="1">
      <alignment horizontal="center" vertical="center"/>
    </xf>
    <xf numFmtId="0" fontId="20" fillId="0" borderId="10" xfId="23" applyFont="1" applyBorder="1" applyAlignment="1">
      <alignment horizontal="center" vertical="center" wrapText="1"/>
    </xf>
    <xf numFmtId="3" fontId="14" fillId="0" borderId="10" xfId="23" applyNumberFormat="1" applyFont="1" applyBorder="1" applyAlignment="1">
      <alignment horizontal="center"/>
    </xf>
    <xf numFmtId="0" fontId="14" fillId="0" borderId="10" xfId="23" applyFont="1" applyBorder="1"/>
    <xf numFmtId="3" fontId="20" fillId="0" borderId="12" xfId="8" applyNumberFormat="1" applyFont="1" applyBorder="1" applyAlignment="1">
      <alignment horizontal="center" vertical="center"/>
    </xf>
    <xf numFmtId="0" fontId="21" fillId="0" borderId="43" xfId="23" applyFont="1" applyBorder="1" applyAlignment="1">
      <alignment horizontal="center" vertical="center" wrapText="1"/>
    </xf>
    <xf numFmtId="0" fontId="31" fillId="0" borderId="10" xfId="23" applyFont="1" applyBorder="1" applyAlignment="1">
      <alignment horizontal="center" vertical="center"/>
    </xf>
    <xf numFmtId="0" fontId="28" fillId="0" borderId="29" xfId="23" applyFont="1" applyBorder="1" applyAlignment="1">
      <alignment horizontal="center"/>
    </xf>
    <xf numFmtId="0" fontId="31" fillId="0" borderId="29" xfId="23" applyFont="1" applyBorder="1" applyAlignment="1">
      <alignment horizontal="center" vertical="center"/>
    </xf>
    <xf numFmtId="9" fontId="26" fillId="0" borderId="23" xfId="8" applyFont="1" applyBorder="1" applyAlignment="1">
      <alignment horizontal="center" vertical="center" wrapText="1"/>
    </xf>
    <xf numFmtId="9" fontId="26" fillId="0" borderId="27" xfId="8" applyFont="1" applyBorder="1" applyAlignment="1">
      <alignment horizontal="center" vertical="center" wrapText="1"/>
    </xf>
    <xf numFmtId="9" fontId="26" fillId="0" borderId="14" xfId="8" applyFont="1" applyBorder="1" applyAlignment="1">
      <alignment horizontal="center" vertical="center"/>
    </xf>
    <xf numFmtId="9" fontId="26" fillId="0" borderId="15" xfId="8" applyFont="1" applyBorder="1" applyAlignment="1">
      <alignment horizontal="center" vertical="center" wrapText="1"/>
    </xf>
    <xf numFmtId="167" fontId="26" fillId="0" borderId="15" xfId="8" applyNumberFormat="1" applyFont="1" applyBorder="1" applyAlignment="1">
      <alignment horizontal="center" vertical="center" wrapText="1"/>
    </xf>
    <xf numFmtId="167" fontId="20" fillId="0" borderId="14" xfId="8" applyNumberFormat="1" applyFont="1" applyBorder="1" applyAlignment="1">
      <alignment horizontal="center" vertical="center"/>
    </xf>
    <xf numFmtId="1" fontId="20" fillId="0" borderId="28" xfId="23" applyNumberFormat="1" applyFont="1" applyBorder="1" applyAlignment="1">
      <alignment horizontal="center" vertical="center"/>
    </xf>
    <xf numFmtId="3" fontId="20" fillId="0" borderId="14" xfId="23" applyNumberFormat="1" applyFont="1" applyBorder="1" applyAlignment="1">
      <alignment horizontal="center" vertical="center"/>
    </xf>
    <xf numFmtId="9" fontId="26" fillId="0" borderId="5" xfId="8" applyFont="1" applyBorder="1" applyAlignment="1">
      <alignment horizontal="center" vertical="center"/>
    </xf>
    <xf numFmtId="9" fontId="26" fillId="0" borderId="22" xfId="8" applyFont="1" applyBorder="1" applyAlignment="1">
      <alignment horizontal="center" vertical="center"/>
    </xf>
    <xf numFmtId="9" fontId="26" fillId="0" borderId="10" xfId="8" applyFont="1" applyBorder="1" applyAlignment="1">
      <alignment horizontal="center" vertical="center"/>
    </xf>
    <xf numFmtId="0" fontId="20" fillId="0" borderId="29" xfId="23" applyFont="1" applyBorder="1" applyAlignment="1">
      <alignment horizontal="center" vertical="center"/>
    </xf>
    <xf numFmtId="9" fontId="26" fillId="0" borderId="22" xfId="8" applyFont="1" applyBorder="1" applyAlignment="1">
      <alignment horizontal="center" vertical="center" wrapText="1"/>
    </xf>
    <xf numFmtId="167" fontId="26" fillId="0" borderId="29" xfId="8" applyNumberFormat="1" applyFont="1" applyBorder="1" applyAlignment="1">
      <alignment horizontal="center"/>
    </xf>
    <xf numFmtId="167" fontId="26" fillId="0" borderId="0" xfId="8" applyNumberFormat="1" applyFont="1" applyBorder="1" applyAlignment="1">
      <alignment horizontal="center"/>
    </xf>
    <xf numFmtId="167" fontId="26" fillId="0" borderId="10" xfId="8" applyNumberFormat="1" applyFont="1" applyBorder="1" applyAlignment="1">
      <alignment horizontal="center"/>
    </xf>
    <xf numFmtId="167" fontId="26" fillId="0" borderId="22" xfId="8" applyNumberFormat="1" applyFont="1" applyBorder="1" applyAlignment="1">
      <alignment horizontal="center"/>
    </xf>
    <xf numFmtId="0" fontId="26" fillId="0" borderId="29" xfId="23" applyFont="1" applyBorder="1" applyAlignment="1">
      <alignment horizontal="center"/>
    </xf>
    <xf numFmtId="9" fontId="14" fillId="0" borderId="29" xfId="8" applyFont="1" applyBorder="1" applyAlignment="1">
      <alignment horizontal="center"/>
    </xf>
    <xf numFmtId="167" fontId="20" fillId="0" borderId="22" xfId="8" applyNumberFormat="1" applyFont="1" applyBorder="1" applyAlignment="1">
      <alignment horizontal="center" vertical="center"/>
    </xf>
    <xf numFmtId="167" fontId="20" fillId="0" borderId="0" xfId="8" applyNumberFormat="1" applyFont="1" applyBorder="1" applyAlignment="1">
      <alignment horizontal="center" vertical="center"/>
    </xf>
    <xf numFmtId="167" fontId="20" fillId="0" borderId="10" xfId="8" applyNumberFormat="1" applyFont="1" applyBorder="1" applyAlignment="1">
      <alignment horizontal="center" vertical="center"/>
    </xf>
    <xf numFmtId="1" fontId="20" fillId="0" borderId="29" xfId="8" applyNumberFormat="1" applyFont="1" applyBorder="1" applyAlignment="1">
      <alignment horizontal="center" vertical="center"/>
    </xf>
    <xf numFmtId="3" fontId="20" fillId="0" borderId="10" xfId="8" applyNumberFormat="1" applyFont="1" applyBorder="1" applyAlignment="1">
      <alignment horizontal="center" vertical="center"/>
    </xf>
    <xf numFmtId="0" fontId="14" fillId="0" borderId="29" xfId="23" applyFont="1" applyBorder="1" applyAlignment="1">
      <alignment horizontal="center"/>
    </xf>
    <xf numFmtId="2" fontId="26" fillId="0" borderId="0" xfId="23" applyNumberFormat="1" applyFont="1"/>
    <xf numFmtId="2" fontId="26" fillId="0" borderId="0" xfId="26" applyNumberFormat="1" applyFont="1"/>
    <xf numFmtId="0" fontId="20" fillId="0" borderId="35" xfId="23" applyFont="1" applyBorder="1" applyAlignment="1">
      <alignment horizontal="center" vertical="center" wrapText="1"/>
    </xf>
    <xf numFmtId="167" fontId="45" fillId="0" borderId="0" xfId="0" applyNumberFormat="1" applyFont="1" applyAlignment="1">
      <alignment vertical="center"/>
    </xf>
    <xf numFmtId="0" fontId="32" fillId="0" borderId="0" xfId="27" applyAlignment="1">
      <alignment wrapText="1"/>
    </xf>
    <xf numFmtId="0" fontId="32" fillId="0" borderId="0" xfId="27" applyAlignment="1">
      <alignment horizontal="center" vertical="center" wrapText="1"/>
    </xf>
    <xf numFmtId="0" fontId="3" fillId="0" borderId="0" xfId="28"/>
    <xf numFmtId="9" fontId="0" fillId="0" borderId="0" xfId="29" applyFont="1"/>
    <xf numFmtId="9" fontId="32" fillId="0" borderId="0" xfId="27" applyNumberFormat="1"/>
    <xf numFmtId="9" fontId="0" fillId="0" borderId="0" xfId="29" applyFont="1" applyBorder="1"/>
    <xf numFmtId="0" fontId="32" fillId="0" borderId="0" xfId="27"/>
    <xf numFmtId="0" fontId="32" fillId="0" borderId="0" xfId="27" applyAlignment="1">
      <alignment vertical="center" wrapText="1"/>
    </xf>
    <xf numFmtId="9" fontId="32" fillId="0" borderId="0" xfId="1" applyFont="1" applyAlignment="1">
      <alignment wrapText="1"/>
    </xf>
    <xf numFmtId="9" fontId="32" fillId="0" borderId="0" xfId="27" applyNumberFormat="1" applyAlignment="1">
      <alignment wrapText="1"/>
    </xf>
    <xf numFmtId="0" fontId="0" fillId="3" borderId="0" xfId="0" applyFill="1"/>
    <xf numFmtId="0" fontId="32" fillId="3" borderId="62" xfId="22" applyFont="1" applyFill="1" applyBorder="1"/>
    <xf numFmtId="0" fontId="32" fillId="3" borderId="0" xfId="22" applyFont="1" applyFill="1"/>
    <xf numFmtId="0" fontId="42" fillId="3" borderId="0" xfId="22" applyFont="1" applyFill="1" applyAlignment="1">
      <alignment horizontal="center" vertical="center" wrapText="1"/>
    </xf>
    <xf numFmtId="0" fontId="32" fillId="3" borderId="0" xfId="22" applyFont="1" applyFill="1" applyAlignment="1">
      <alignment horizontal="center" vertical="center" wrapText="1"/>
    </xf>
    <xf numFmtId="0" fontId="42" fillId="3" borderId="0" xfId="22" applyFont="1" applyFill="1"/>
    <xf numFmtId="3" fontId="44" fillId="3" borderId="0" xfId="22" applyNumberFormat="1" applyFont="1" applyFill="1" applyAlignment="1">
      <alignment horizontal="center"/>
    </xf>
    <xf numFmtId="9" fontId="42" fillId="3" borderId="0" xfId="1" applyFont="1" applyFill="1" applyBorder="1" applyAlignment="1">
      <alignment horizontal="center"/>
    </xf>
    <xf numFmtId="0" fontId="42" fillId="3" borderId="62" xfId="22" applyFont="1" applyFill="1" applyBorder="1"/>
    <xf numFmtId="0" fontId="43" fillId="3" borderId="0" xfId="22" applyFont="1" applyFill="1" applyAlignment="1">
      <alignment vertical="center"/>
    </xf>
    <xf numFmtId="0" fontId="49" fillId="3" borderId="0" xfId="22" applyFont="1" applyFill="1"/>
    <xf numFmtId="0" fontId="50" fillId="0" borderId="0" xfId="22" applyFont="1"/>
    <xf numFmtId="9" fontId="50" fillId="0" borderId="0" xfId="1" applyFont="1" applyFill="1"/>
    <xf numFmtId="0" fontId="50" fillId="0" borderId="0" xfId="22" applyFont="1" applyAlignment="1">
      <alignment horizontal="center" vertical="center" wrapText="1"/>
    </xf>
    <xf numFmtId="9" fontId="50" fillId="0" borderId="0" xfId="22" applyNumberFormat="1" applyFont="1"/>
    <xf numFmtId="9" fontId="26" fillId="0" borderId="0" xfId="1" applyFont="1"/>
    <xf numFmtId="9" fontId="11" fillId="0" borderId="0" xfId="1" applyFont="1" applyBorder="1" applyAlignment="1">
      <alignment horizontal="center"/>
    </xf>
    <xf numFmtId="9" fontId="28" fillId="0" borderId="0" xfId="1" applyFont="1" applyBorder="1" applyAlignment="1">
      <alignment horizontal="center"/>
    </xf>
    <xf numFmtId="0" fontId="48" fillId="3" borderId="0" xfId="0" applyFont="1" applyFill="1"/>
    <xf numFmtId="0" fontId="53" fillId="3" borderId="0" xfId="0" applyFont="1" applyFill="1"/>
    <xf numFmtId="0" fontId="54" fillId="3" borderId="0" xfId="30" applyFill="1"/>
    <xf numFmtId="0" fontId="52" fillId="3" borderId="0" xfId="0" applyFont="1" applyFill="1"/>
    <xf numFmtId="2" fontId="20" fillId="0" borderId="0" xfId="8" applyNumberFormat="1" applyFont="1" applyBorder="1" applyAlignment="1">
      <alignment horizontal="center"/>
    </xf>
    <xf numFmtId="2" fontId="20" fillId="0" borderId="0" xfId="8" applyNumberFormat="1" applyFont="1" applyBorder="1" applyAlignment="1">
      <alignment horizontal="center" vertical="center"/>
    </xf>
    <xf numFmtId="3" fontId="16" fillId="0" borderId="31" xfId="23" applyNumberFormat="1" applyFont="1" applyBorder="1" applyAlignment="1">
      <alignment horizontal="center" vertical="center"/>
    </xf>
    <xf numFmtId="9" fontId="16" fillId="0" borderId="35" xfId="8" applyFont="1" applyBorder="1" applyAlignment="1">
      <alignment horizontal="center" vertical="center"/>
    </xf>
    <xf numFmtId="2" fontId="20" fillId="0" borderId="31" xfId="8" applyNumberFormat="1" applyFont="1" applyBorder="1" applyAlignment="1">
      <alignment horizontal="center" vertical="center"/>
    </xf>
    <xf numFmtId="2" fontId="20" fillId="0" borderId="35" xfId="8" applyNumberFormat="1" applyFont="1" applyBorder="1" applyAlignment="1">
      <alignment horizontal="center" vertical="center"/>
    </xf>
    <xf numFmtId="9" fontId="20" fillId="0" borderId="43" xfId="8" applyFont="1" applyBorder="1" applyAlignment="1">
      <alignment horizontal="center" vertical="center" wrapText="1"/>
    </xf>
    <xf numFmtId="0" fontId="42" fillId="3" borderId="32" xfId="22" applyFont="1" applyFill="1" applyBorder="1"/>
    <xf numFmtId="166" fontId="42" fillId="3" borderId="32" xfId="22" applyNumberFormat="1" applyFont="1" applyFill="1" applyBorder="1" applyAlignment="1">
      <alignment horizontal="center"/>
    </xf>
    <xf numFmtId="9" fontId="42" fillId="3" borderId="32" xfId="1" applyFont="1" applyFill="1" applyBorder="1" applyAlignment="1">
      <alignment horizontal="center"/>
    </xf>
    <xf numFmtId="9" fontId="42" fillId="3" borderId="32" xfId="0" applyNumberFormat="1" applyFont="1" applyFill="1" applyBorder="1" applyAlignment="1">
      <alignment horizontal="center"/>
    </xf>
    <xf numFmtId="0" fontId="42" fillId="3" borderId="0" xfId="22" applyFont="1" applyFill="1" applyAlignment="1">
      <alignment vertical="center"/>
    </xf>
    <xf numFmtId="166" fontId="42" fillId="3" borderId="0" xfId="22" applyNumberFormat="1" applyFont="1" applyFill="1" applyAlignment="1">
      <alignment horizontal="center"/>
    </xf>
    <xf numFmtId="0" fontId="55" fillId="0" borderId="0" xfId="0" applyFont="1"/>
    <xf numFmtId="0" fontId="2" fillId="0" borderId="0" xfId="31"/>
    <xf numFmtId="49" fontId="2" fillId="0" borderId="0" xfId="31" applyNumberFormat="1"/>
    <xf numFmtId="166" fontId="44" fillId="3" borderId="0" xfId="22" applyNumberFormat="1" applyFont="1" applyFill="1" applyAlignment="1">
      <alignment horizontal="center"/>
    </xf>
    <xf numFmtId="166" fontId="44" fillId="3" borderId="32" xfId="22" applyNumberFormat="1" applyFont="1" applyFill="1" applyBorder="1" applyAlignment="1">
      <alignment horizontal="center"/>
    </xf>
    <xf numFmtId="166" fontId="32" fillId="3" borderId="0" xfId="22" applyNumberFormat="1" applyFont="1" applyFill="1"/>
    <xf numFmtId="166" fontId="43" fillId="3" borderId="0" xfId="22" applyNumberFormat="1" applyFont="1" applyFill="1" applyAlignment="1">
      <alignment vertical="center"/>
    </xf>
    <xf numFmtId="166" fontId="42" fillId="3" borderId="62" xfId="22" applyNumberFormat="1" applyFont="1" applyFill="1" applyBorder="1" applyAlignment="1">
      <alignment horizontal="center"/>
    </xf>
    <xf numFmtId="0" fontId="2" fillId="3" borderId="62" xfId="31" applyFill="1" applyBorder="1"/>
    <xf numFmtId="0" fontId="2" fillId="3" borderId="0" xfId="31" applyFill="1"/>
    <xf numFmtId="0" fontId="56" fillId="3" borderId="32" xfId="31" applyFont="1" applyFill="1" applyBorder="1" applyAlignment="1">
      <alignment horizontal="left" vertical="center"/>
    </xf>
    <xf numFmtId="0" fontId="56" fillId="3" borderId="32" xfId="31" applyFont="1" applyFill="1" applyBorder="1" applyAlignment="1">
      <alignment horizontal="center" vertical="center"/>
    </xf>
    <xf numFmtId="0" fontId="56" fillId="3" borderId="43" xfId="31" applyFont="1" applyFill="1" applyBorder="1" applyAlignment="1">
      <alignment horizontal="center" vertical="center"/>
    </xf>
    <xf numFmtId="0" fontId="57" fillId="3" borderId="32" xfId="31" applyFont="1" applyFill="1" applyBorder="1" applyAlignment="1">
      <alignment horizontal="center" vertical="center" wrapText="1"/>
    </xf>
    <xf numFmtId="0" fontId="46" fillId="3" borderId="0" xfId="31" applyFont="1" applyFill="1" applyAlignment="1">
      <alignment horizontal="left" vertical="center"/>
    </xf>
    <xf numFmtId="3" fontId="46" fillId="3" borderId="0" xfId="31" applyNumberFormat="1" applyFont="1" applyFill="1" applyAlignment="1">
      <alignment horizontal="center" vertical="center"/>
    </xf>
    <xf numFmtId="3" fontId="46" fillId="3" borderId="22" xfId="31" applyNumberFormat="1" applyFont="1" applyFill="1" applyBorder="1" applyAlignment="1">
      <alignment horizontal="center" vertical="center"/>
    </xf>
    <xf numFmtId="9" fontId="47" fillId="3" borderId="48" xfId="32" applyFont="1" applyFill="1" applyBorder="1" applyAlignment="1">
      <alignment horizontal="center" vertical="center" wrapText="1"/>
    </xf>
    <xf numFmtId="9" fontId="47" fillId="3" borderId="0" xfId="32" applyFont="1" applyFill="1" applyBorder="1" applyAlignment="1">
      <alignment horizontal="center" vertical="center" wrapText="1"/>
    </xf>
    <xf numFmtId="0" fontId="58" fillId="3" borderId="0" xfId="31" quotePrefix="1" applyFont="1" applyFill="1" applyAlignment="1">
      <alignment horizontal="left" vertical="center"/>
    </xf>
    <xf numFmtId="3" fontId="58" fillId="3" borderId="0" xfId="31" applyNumberFormat="1" applyFont="1" applyFill="1" applyAlignment="1">
      <alignment horizontal="center" vertical="center"/>
    </xf>
    <xf numFmtId="3" fontId="58" fillId="3" borderId="22" xfId="31" applyNumberFormat="1" applyFont="1" applyFill="1" applyBorder="1" applyAlignment="1">
      <alignment horizontal="center" vertical="center"/>
    </xf>
    <xf numFmtId="1" fontId="46" fillId="3" borderId="22" xfId="31" applyNumberFormat="1" applyFont="1" applyFill="1" applyBorder="1" applyAlignment="1">
      <alignment horizontal="center" vertical="center"/>
    </xf>
    <xf numFmtId="168" fontId="46" fillId="3" borderId="22" xfId="32" applyNumberFormat="1" applyFont="1" applyFill="1" applyBorder="1" applyAlignment="1">
      <alignment horizontal="center" vertical="center"/>
    </xf>
    <xf numFmtId="1" fontId="46" fillId="3" borderId="0" xfId="31" applyNumberFormat="1" applyFont="1" applyFill="1" applyAlignment="1">
      <alignment horizontal="center" vertical="center"/>
    </xf>
    <xf numFmtId="9" fontId="47" fillId="3" borderId="11" xfId="32" applyFont="1" applyFill="1" applyBorder="1" applyAlignment="1">
      <alignment horizontal="center" vertical="center" wrapText="1"/>
    </xf>
    <xf numFmtId="0" fontId="46" fillId="3" borderId="62" xfId="31" applyFont="1" applyFill="1" applyBorder="1" applyAlignment="1">
      <alignment horizontal="left" vertical="center"/>
    </xf>
    <xf numFmtId="0" fontId="26" fillId="0" borderId="0" xfId="33" applyFont="1"/>
    <xf numFmtId="0" fontId="31" fillId="0" borderId="4" xfId="33" applyFont="1" applyBorder="1" applyAlignment="1">
      <alignment horizontal="center" vertical="center"/>
    </xf>
    <xf numFmtId="0" fontId="31" fillId="0" borderId="0" xfId="33" applyFont="1" applyAlignment="1">
      <alignment horizontal="center" vertical="center"/>
    </xf>
    <xf numFmtId="0" fontId="26" fillId="0" borderId="5" xfId="33" applyFont="1" applyBorder="1"/>
    <xf numFmtId="0" fontId="26" fillId="0" borderId="4" xfId="33" applyFont="1" applyBorder="1"/>
    <xf numFmtId="0" fontId="28" fillId="0" borderId="0" xfId="34" applyFont="1" applyAlignment="1">
      <alignment horizontal="center"/>
    </xf>
    <xf numFmtId="0" fontId="28" fillId="0" borderId="0" xfId="33" applyFont="1" applyAlignment="1">
      <alignment horizontal="center"/>
    </xf>
    <xf numFmtId="0" fontId="28" fillId="0" borderId="5" xfId="33" applyFont="1" applyBorder="1" applyAlignment="1">
      <alignment horizontal="center"/>
    </xf>
    <xf numFmtId="0" fontId="26" fillId="0" borderId="0" xfId="34" applyAlignment="1">
      <alignment horizontal="center" vertical="center" wrapText="1"/>
    </xf>
    <xf numFmtId="0" fontId="30" fillId="0" borderId="0" xfId="34" applyFont="1" applyAlignment="1">
      <alignment horizontal="center" vertical="center" wrapText="1"/>
    </xf>
    <xf numFmtId="0" fontId="0" fillId="0" borderId="60" xfId="33" applyFont="1" applyBorder="1" applyAlignment="1">
      <alignment horizontal="center" vertical="center" wrapText="1"/>
    </xf>
    <xf numFmtId="0" fontId="20" fillId="0" borderId="32" xfId="33" applyFont="1" applyBorder="1" applyAlignment="1">
      <alignment horizontal="center" vertical="center" wrapText="1"/>
    </xf>
    <xf numFmtId="0" fontId="26" fillId="0" borderId="32" xfId="33" applyFont="1" applyBorder="1" applyAlignment="1">
      <alignment vertical="center" wrapText="1"/>
    </xf>
    <xf numFmtId="0" fontId="26" fillId="0" borderId="32" xfId="33" applyFont="1" applyBorder="1" applyAlignment="1">
      <alignment horizontal="center" vertical="center" wrapText="1"/>
    </xf>
    <xf numFmtId="0" fontId="26" fillId="0" borderId="56" xfId="33" applyFont="1" applyBorder="1" applyAlignment="1">
      <alignment horizontal="center"/>
    </xf>
    <xf numFmtId="9" fontId="16" fillId="0" borderId="58" xfId="35" applyFont="1" applyBorder="1" applyAlignment="1">
      <alignment horizontal="center" vertical="center" wrapText="1"/>
    </xf>
    <xf numFmtId="9" fontId="14" fillId="0" borderId="60" xfId="35" applyFont="1" applyBorder="1" applyAlignment="1">
      <alignment horizontal="center" vertical="center" wrapText="1"/>
    </xf>
    <xf numFmtId="9" fontId="26" fillId="0" borderId="60" xfId="35" applyFont="1" applyBorder="1" applyAlignment="1">
      <alignment horizontal="center" vertical="center"/>
    </xf>
    <xf numFmtId="3" fontId="26" fillId="0" borderId="58" xfId="35" applyNumberFormat="1" applyFont="1" applyBorder="1" applyAlignment="1">
      <alignment horizontal="center" vertical="center"/>
    </xf>
    <xf numFmtId="3" fontId="26" fillId="0" borderId="57" xfId="35" applyNumberFormat="1" applyFont="1" applyBorder="1" applyAlignment="1">
      <alignment horizontal="center" vertical="center"/>
    </xf>
    <xf numFmtId="168" fontId="28" fillId="0" borderId="0" xfId="33" applyNumberFormat="1" applyFont="1"/>
    <xf numFmtId="9" fontId="26" fillId="0" borderId="0" xfId="33" applyNumberFormat="1" applyFont="1" applyAlignment="1">
      <alignment horizontal="center" vertical="center" wrapText="1"/>
    </xf>
    <xf numFmtId="0" fontId="26" fillId="0" borderId="4" xfId="33" applyFont="1" applyBorder="1" applyAlignment="1">
      <alignment horizontal="center"/>
    </xf>
    <xf numFmtId="9" fontId="16" fillId="0" borderId="10" xfId="35" applyFont="1" applyBorder="1" applyAlignment="1">
      <alignment horizontal="center" vertical="center" wrapText="1"/>
    </xf>
    <xf numFmtId="9" fontId="14" fillId="0" borderId="0" xfId="35" applyFont="1" applyBorder="1" applyAlignment="1">
      <alignment horizontal="center" vertical="center" wrapText="1"/>
    </xf>
    <xf numFmtId="9" fontId="26" fillId="0" borderId="0" xfId="35" applyFont="1" applyBorder="1" applyAlignment="1">
      <alignment horizontal="center" vertical="center"/>
    </xf>
    <xf numFmtId="3" fontId="26" fillId="0" borderId="10" xfId="35" applyNumberFormat="1" applyFont="1" applyBorder="1" applyAlignment="1">
      <alignment horizontal="center" vertical="center"/>
    </xf>
    <xf numFmtId="3" fontId="26" fillId="0" borderId="5" xfId="35" applyNumberFormat="1" applyFont="1" applyBorder="1" applyAlignment="1">
      <alignment horizontal="center" vertical="center"/>
    </xf>
    <xf numFmtId="0" fontId="26" fillId="0" borderId="66" xfId="33" applyFont="1" applyBorder="1" applyAlignment="1">
      <alignment horizontal="center"/>
    </xf>
    <xf numFmtId="9" fontId="16" fillId="0" borderId="67" xfId="35" applyFont="1" applyBorder="1" applyAlignment="1">
      <alignment horizontal="center" vertical="center" wrapText="1"/>
    </xf>
    <xf numFmtId="9" fontId="14" fillId="0" borderId="68" xfId="35" applyFont="1" applyBorder="1" applyAlignment="1">
      <alignment horizontal="center" vertical="center" wrapText="1"/>
    </xf>
    <xf numFmtId="9" fontId="26" fillId="0" borderId="68" xfId="35" applyFont="1" applyBorder="1" applyAlignment="1">
      <alignment horizontal="center" vertical="center"/>
    </xf>
    <xf numFmtId="3" fontId="26" fillId="0" borderId="67" xfId="35" applyNumberFormat="1" applyFont="1" applyBorder="1" applyAlignment="1">
      <alignment horizontal="center" vertical="center"/>
    </xf>
    <xf numFmtId="3" fontId="26" fillId="0" borderId="69" xfId="35" applyNumberFormat="1" applyFont="1" applyBorder="1" applyAlignment="1">
      <alignment horizontal="center" vertical="center"/>
    </xf>
    <xf numFmtId="0" fontId="26" fillId="0" borderId="70" xfId="33" applyFont="1" applyBorder="1" applyAlignment="1">
      <alignment horizontal="center"/>
    </xf>
    <xf numFmtId="9" fontId="16" fillId="0" borderId="71" xfId="35" applyFont="1" applyBorder="1" applyAlignment="1">
      <alignment horizontal="center" vertical="center" wrapText="1"/>
    </xf>
    <xf numFmtId="9" fontId="14" fillId="0" borderId="72" xfId="35" applyFont="1" applyBorder="1" applyAlignment="1">
      <alignment horizontal="center" vertical="center" wrapText="1"/>
    </xf>
    <xf numFmtId="9" fontId="26" fillId="0" borderId="72" xfId="35" applyFont="1" applyBorder="1" applyAlignment="1">
      <alignment horizontal="center" vertical="center"/>
    </xf>
    <xf numFmtId="3" fontId="26" fillId="0" borderId="71" xfId="35" applyNumberFormat="1" applyFont="1" applyBorder="1" applyAlignment="1">
      <alignment horizontal="center" vertical="center"/>
    </xf>
    <xf numFmtId="3" fontId="26" fillId="0" borderId="73" xfId="35" applyNumberFormat="1" applyFont="1" applyBorder="1" applyAlignment="1">
      <alignment horizontal="center" vertical="center"/>
    </xf>
    <xf numFmtId="9" fontId="26" fillId="0" borderId="0" xfId="32" applyFont="1"/>
    <xf numFmtId="9" fontId="26" fillId="0" borderId="0" xfId="35" applyFont="1" applyBorder="1" applyAlignment="1">
      <alignment horizontal="center"/>
    </xf>
    <xf numFmtId="9" fontId="26" fillId="0" borderId="68" xfId="35" applyFont="1" applyBorder="1" applyAlignment="1">
      <alignment horizontal="center"/>
    </xf>
    <xf numFmtId="0" fontId="26" fillId="0" borderId="13" xfId="33" applyFont="1" applyBorder="1" applyAlignment="1">
      <alignment horizontal="center" vertical="center"/>
    </xf>
    <xf numFmtId="9" fontId="20" fillId="0" borderId="14" xfId="33" applyNumberFormat="1" applyFont="1" applyBorder="1" applyAlignment="1">
      <alignment horizontal="center"/>
    </xf>
    <xf numFmtId="9" fontId="20" fillId="0" borderId="14" xfId="35" applyFont="1" applyBorder="1" applyAlignment="1">
      <alignment horizontal="center" vertical="center" wrapText="1"/>
    </xf>
    <xf numFmtId="9" fontId="26" fillId="0" borderId="15" xfId="35" applyFont="1" applyBorder="1" applyAlignment="1">
      <alignment horizontal="center"/>
    </xf>
    <xf numFmtId="0" fontId="0" fillId="0" borderId="0" xfId="33" applyFont="1"/>
    <xf numFmtId="0" fontId="20" fillId="0" borderId="0" xfId="33" applyFont="1"/>
    <xf numFmtId="0" fontId="26" fillId="0" borderId="10" xfId="33" applyFont="1" applyBorder="1"/>
    <xf numFmtId="0" fontId="20" fillId="0" borderId="29" xfId="33" applyFont="1" applyBorder="1"/>
    <xf numFmtId="0" fontId="26" fillId="0" borderId="19" xfId="33" applyFont="1" applyBorder="1"/>
    <xf numFmtId="0" fontId="26" fillId="0" borderId="20" xfId="33" applyFont="1" applyBorder="1"/>
    <xf numFmtId="0" fontId="20" fillId="0" borderId="20" xfId="33" applyFont="1" applyBorder="1"/>
    <xf numFmtId="0" fontId="20" fillId="0" borderId="21" xfId="33" applyFont="1" applyBorder="1"/>
    <xf numFmtId="0" fontId="26" fillId="0" borderId="0" xfId="34"/>
    <xf numFmtId="9" fontId="26" fillId="0" borderId="0" xfId="34" applyNumberFormat="1"/>
    <xf numFmtId="0" fontId="60" fillId="3" borderId="0" xfId="0" applyFont="1" applyFill="1"/>
    <xf numFmtId="3" fontId="2" fillId="3" borderId="0" xfId="31" applyNumberFormat="1" applyFill="1"/>
    <xf numFmtId="167" fontId="32" fillId="3" borderId="0" xfId="22" applyNumberFormat="1" applyFont="1" applyFill="1"/>
    <xf numFmtId="0" fontId="25" fillId="0" borderId="0" xfId="33" applyFont="1"/>
    <xf numFmtId="1" fontId="2" fillId="3" borderId="0" xfId="31" applyNumberFormat="1" applyFill="1"/>
    <xf numFmtId="1" fontId="46" fillId="3" borderId="22" xfId="32" applyNumberFormat="1" applyFont="1" applyFill="1" applyBorder="1" applyAlignment="1">
      <alignment horizontal="center" vertical="center"/>
    </xf>
    <xf numFmtId="9" fontId="46" fillId="3" borderId="22" xfId="1" applyFont="1" applyFill="1" applyBorder="1" applyAlignment="1">
      <alignment horizontal="center" vertical="center"/>
    </xf>
    <xf numFmtId="9" fontId="46" fillId="3" borderId="0" xfId="1" applyFont="1" applyFill="1" applyBorder="1" applyAlignment="1">
      <alignment horizontal="center" vertical="center"/>
    </xf>
    <xf numFmtId="168" fontId="46" fillId="3" borderId="0" xfId="1" applyNumberFormat="1" applyFont="1" applyFill="1" applyBorder="1" applyAlignment="1">
      <alignment horizontal="center" vertical="center" wrapText="1"/>
    </xf>
    <xf numFmtId="168" fontId="46" fillId="3" borderId="0" xfId="1" quotePrefix="1" applyNumberFormat="1" applyFont="1" applyFill="1" applyBorder="1" applyAlignment="1">
      <alignment horizontal="center" vertical="center" wrapText="1"/>
    </xf>
    <xf numFmtId="0" fontId="14" fillId="0" borderId="0" xfId="2" applyFont="1" applyAlignment="1">
      <alignment horizontal="center" vertical="center" wrapText="1"/>
    </xf>
    <xf numFmtId="0" fontId="14" fillId="0" borderId="10" xfId="2" applyFont="1" applyBorder="1" applyAlignment="1">
      <alignment horizontal="center" vertical="center" wrapText="1"/>
    </xf>
    <xf numFmtId="0" fontId="14" fillId="0" borderId="11" xfId="2" applyFont="1" applyBorder="1" applyAlignment="1">
      <alignment horizontal="center" vertical="center" wrapText="1"/>
    </xf>
    <xf numFmtId="9" fontId="26" fillId="0" borderId="0" xfId="8" applyFont="1" applyAlignment="1">
      <alignment horizontal="center" vertical="center" wrapText="1"/>
    </xf>
    <xf numFmtId="0" fontId="26" fillId="0" borderId="0" xfId="23" applyFont="1" applyAlignment="1">
      <alignment horizontal="center"/>
    </xf>
    <xf numFmtId="0" fontId="21" fillId="0" borderId="29" xfId="23" applyFont="1" applyBorder="1" applyAlignment="1">
      <alignment horizontal="center" vertical="center" wrapText="1"/>
    </xf>
    <xf numFmtId="0" fontId="21" fillId="0" borderId="35" xfId="23" applyFont="1" applyBorder="1" applyAlignment="1">
      <alignment horizontal="center" vertical="center" wrapText="1"/>
    </xf>
    <xf numFmtId="9" fontId="47" fillId="3" borderId="0" xfId="1" quotePrefix="1" applyFont="1" applyFill="1" applyBorder="1" applyAlignment="1">
      <alignment horizontal="center" vertical="center" wrapText="1"/>
    </xf>
    <xf numFmtId="9" fontId="46" fillId="3" borderId="0" xfId="1" applyFont="1" applyFill="1" applyBorder="1" applyAlignment="1">
      <alignment horizontal="left" vertical="center"/>
    </xf>
    <xf numFmtId="168" fontId="46" fillId="3" borderId="0" xfId="1" applyNumberFormat="1" applyFont="1" applyFill="1" applyBorder="1" applyAlignment="1">
      <alignment horizontal="center" vertical="center"/>
    </xf>
    <xf numFmtId="0" fontId="1" fillId="3" borderId="0" xfId="31" applyFont="1" applyFill="1" applyAlignment="1">
      <alignment horizontal="center"/>
    </xf>
    <xf numFmtId="168" fontId="2" fillId="3" borderId="0" xfId="31" applyNumberFormat="1" applyFill="1" applyAlignment="1">
      <alignment horizontal="center"/>
    </xf>
    <xf numFmtId="0" fontId="2" fillId="3" borderId="0" xfId="31" applyFill="1" applyAlignment="1">
      <alignment horizontal="center"/>
    </xf>
    <xf numFmtId="168" fontId="47" fillId="3" borderId="0" xfId="1" quotePrefix="1" applyNumberFormat="1" applyFont="1" applyFill="1" applyBorder="1" applyAlignment="1">
      <alignment horizontal="center" vertical="center" wrapText="1"/>
    </xf>
    <xf numFmtId="168" fontId="47" fillId="3" borderId="0" xfId="1" applyNumberFormat="1" applyFont="1" applyFill="1" applyBorder="1" applyAlignment="1">
      <alignment horizontal="center" vertical="center" wrapText="1"/>
    </xf>
    <xf numFmtId="168" fontId="47" fillId="3" borderId="22" xfId="32" applyNumberFormat="1" applyFont="1" applyFill="1" applyBorder="1" applyAlignment="1">
      <alignment horizontal="center" vertical="center"/>
    </xf>
    <xf numFmtId="0" fontId="47" fillId="3" borderId="0" xfId="31" applyFont="1" applyFill="1" applyAlignment="1">
      <alignment horizontal="left" vertical="center"/>
    </xf>
    <xf numFmtId="168" fontId="47" fillId="3" borderId="0" xfId="1" applyNumberFormat="1" applyFont="1" applyFill="1" applyBorder="1" applyAlignment="1">
      <alignment horizontal="center" vertical="center"/>
    </xf>
    <xf numFmtId="168" fontId="46" fillId="3" borderId="0" xfId="32" applyNumberFormat="1" applyFont="1" applyFill="1" applyBorder="1" applyAlignment="1">
      <alignment horizontal="center" vertical="center"/>
    </xf>
    <xf numFmtId="1" fontId="46" fillId="3" borderId="0" xfId="32" applyNumberFormat="1" applyFont="1" applyFill="1" applyBorder="1" applyAlignment="1">
      <alignment horizontal="center" vertical="center"/>
    </xf>
    <xf numFmtId="9" fontId="61" fillId="3" borderId="0" xfId="1" applyFont="1" applyFill="1" applyBorder="1" applyAlignment="1">
      <alignment horizontal="center" vertical="center" wrapText="1"/>
    </xf>
    <xf numFmtId="0" fontId="47" fillId="3" borderId="0" xfId="31" quotePrefix="1" applyFont="1" applyFill="1" applyAlignment="1">
      <alignment horizontal="left" vertical="center"/>
    </xf>
    <xf numFmtId="3" fontId="58" fillId="3" borderId="0" xfId="31" quotePrefix="1" applyNumberFormat="1" applyFont="1" applyFill="1" applyAlignment="1">
      <alignment horizontal="center" vertical="center"/>
    </xf>
    <xf numFmtId="168" fontId="46" fillId="3" borderId="0" xfId="1" quotePrefix="1" applyNumberFormat="1" applyFont="1" applyFill="1" applyBorder="1" applyAlignment="1">
      <alignment horizontal="center" vertical="center"/>
    </xf>
    <xf numFmtId="0" fontId="46" fillId="3" borderId="0" xfId="31" quotePrefix="1" applyFont="1" applyFill="1" applyAlignment="1">
      <alignment horizontal="left" vertical="center"/>
    </xf>
    <xf numFmtId="0" fontId="2" fillId="3" borderId="64" xfId="31" applyFill="1" applyBorder="1"/>
    <xf numFmtId="168" fontId="2" fillId="3" borderId="62" xfId="31" applyNumberFormat="1" applyFill="1" applyBorder="1"/>
    <xf numFmtId="3" fontId="58" fillId="3" borderId="62" xfId="31" quotePrefix="1" applyNumberFormat="1" applyFont="1" applyFill="1" applyBorder="1" applyAlignment="1">
      <alignment horizontal="center" vertical="center"/>
    </xf>
    <xf numFmtId="0" fontId="1" fillId="3" borderId="0" xfId="31" applyFont="1" applyFill="1"/>
    <xf numFmtId="9" fontId="1" fillId="3" borderId="0" xfId="1" applyFont="1" applyFill="1"/>
    <xf numFmtId="168" fontId="1" fillId="3" borderId="0" xfId="1" applyNumberFormat="1" applyFont="1" applyFill="1" applyAlignment="1">
      <alignment horizontal="center"/>
    </xf>
    <xf numFmtId="168" fontId="1" fillId="3" borderId="62" xfId="31" applyNumberFormat="1" applyFont="1" applyFill="1" applyBorder="1"/>
    <xf numFmtId="9" fontId="1" fillId="0" borderId="0" xfId="29" applyFont="1"/>
    <xf numFmtId="9" fontId="1" fillId="0" borderId="0" xfId="29" applyFont="1" applyBorder="1"/>
    <xf numFmtId="0" fontId="16" fillId="0" borderId="58" xfId="0" applyFont="1" applyBorder="1" applyAlignment="1">
      <alignment horizontal="center" vertical="center"/>
    </xf>
    <xf numFmtId="3" fontId="16" fillId="0" borderId="60" xfId="0" applyNumberFormat="1" applyFont="1" applyBorder="1" applyAlignment="1">
      <alignment horizontal="center" vertical="center" wrapText="1"/>
    </xf>
    <xf numFmtId="0" fontId="18" fillId="0" borderId="60" xfId="2" applyFont="1" applyBorder="1" applyAlignment="1">
      <alignment horizontal="center" vertical="center" wrapText="1"/>
    </xf>
    <xf numFmtId="3" fontId="16" fillId="0" borderId="58" xfId="2" applyNumberFormat="1" applyFont="1" applyBorder="1" applyAlignment="1">
      <alignment horizontal="center" vertical="center" wrapText="1"/>
    </xf>
    <xf numFmtId="3" fontId="16" fillId="0" borderId="60" xfId="2" applyNumberFormat="1" applyFont="1" applyBorder="1" applyAlignment="1">
      <alignment horizontal="center" vertical="center" wrapText="1"/>
    </xf>
    <xf numFmtId="0" fontId="14" fillId="0" borderId="74" xfId="2" applyFont="1" applyBorder="1"/>
    <xf numFmtId="0" fontId="14" fillId="0" borderId="74" xfId="2" applyFont="1" applyBorder="1" applyAlignment="1">
      <alignment vertical="center"/>
    </xf>
    <xf numFmtId="166" fontId="14" fillId="0" borderId="75" xfId="2" applyNumberFormat="1" applyFont="1" applyBorder="1" applyAlignment="1">
      <alignment horizontal="center" vertical="center"/>
    </xf>
    <xf numFmtId="166" fontId="14" fillId="0" borderId="76" xfId="2" applyNumberFormat="1" applyFont="1" applyBorder="1" applyAlignment="1">
      <alignment horizontal="center" vertical="center"/>
    </xf>
    <xf numFmtId="166" fontId="16" fillId="0" borderId="78" xfId="2" applyNumberFormat="1" applyFont="1" applyBorder="1" applyAlignment="1">
      <alignment horizontal="center" vertical="center"/>
    </xf>
    <xf numFmtId="166" fontId="16" fillId="0" borderId="79" xfId="2" applyNumberFormat="1" applyFont="1" applyBorder="1" applyAlignment="1">
      <alignment vertical="center"/>
    </xf>
    <xf numFmtId="166" fontId="16" fillId="0" borderId="80" xfId="2" applyNumberFormat="1" applyFont="1" applyBorder="1" applyAlignment="1">
      <alignment horizontal="center" vertical="center"/>
    </xf>
    <xf numFmtId="166" fontId="16" fillId="0" borderId="81" xfId="2" applyNumberFormat="1" applyFont="1" applyBorder="1" applyAlignment="1">
      <alignment horizontal="center" vertical="center"/>
    </xf>
    <xf numFmtId="166" fontId="16" fillId="0" borderId="82" xfId="2" applyNumberFormat="1" applyFont="1" applyBorder="1" applyAlignment="1">
      <alignment horizontal="center" vertical="center"/>
    </xf>
    <xf numFmtId="0" fontId="20" fillId="0" borderId="88" xfId="23" applyFont="1" applyBorder="1" applyAlignment="1">
      <alignment horizontal="center" vertical="center"/>
    </xf>
    <xf numFmtId="3" fontId="20" fillId="0" borderId="87" xfId="23" applyNumberFormat="1" applyFont="1" applyBorder="1" applyAlignment="1">
      <alignment horizontal="center" vertical="center" wrapText="1"/>
    </xf>
    <xf numFmtId="3" fontId="20" fillId="0" borderId="76" xfId="23" applyNumberFormat="1" applyFont="1" applyBorder="1" applyAlignment="1">
      <alignment horizontal="center" vertical="center" wrapText="1"/>
    </xf>
    <xf numFmtId="3" fontId="20" fillId="0" borderId="77" xfId="23" applyNumberFormat="1" applyFont="1" applyBorder="1" applyAlignment="1">
      <alignment horizontal="center" vertical="center" wrapText="1"/>
    </xf>
    <xf numFmtId="3" fontId="20" fillId="0" borderId="89" xfId="23" applyNumberFormat="1" applyFont="1" applyBorder="1" applyAlignment="1">
      <alignment horizontal="center" vertical="center" wrapText="1"/>
    </xf>
    <xf numFmtId="3" fontId="20" fillId="0" borderId="32" xfId="23" applyNumberFormat="1" applyFont="1" applyBorder="1" applyAlignment="1">
      <alignment horizontal="center" vertical="center"/>
    </xf>
    <xf numFmtId="3" fontId="20" fillId="0" borderId="32" xfId="23" applyNumberFormat="1" applyFont="1" applyBorder="1" applyAlignment="1">
      <alignment horizontal="center" vertical="center" wrapText="1"/>
    </xf>
    <xf numFmtId="3" fontId="20" fillId="0" borderId="75" xfId="23" applyNumberFormat="1" applyFont="1" applyBorder="1" applyAlignment="1">
      <alignment horizontal="center" vertical="center"/>
    </xf>
    <xf numFmtId="3" fontId="20" fillId="0" borderId="76" xfId="23" applyNumberFormat="1" applyFont="1" applyBorder="1" applyAlignment="1">
      <alignment horizontal="center" vertical="center"/>
    </xf>
    <xf numFmtId="3" fontId="20" fillId="0" borderId="77" xfId="23" applyNumberFormat="1" applyFont="1" applyBorder="1" applyAlignment="1">
      <alignment horizontal="center" vertical="center"/>
    </xf>
    <xf numFmtId="3" fontId="20" fillId="0" borderId="91" xfId="9" applyNumberFormat="1" applyFont="1" applyBorder="1" applyAlignment="1">
      <alignment horizontal="center" vertical="center"/>
    </xf>
    <xf numFmtId="0" fontId="21" fillId="0" borderId="76" xfId="23" applyFont="1" applyBorder="1" applyAlignment="1">
      <alignment horizontal="center" vertical="center" wrapText="1"/>
    </xf>
    <xf numFmtId="0" fontId="20" fillId="0" borderId="32" xfId="23" applyFont="1" applyBorder="1" applyAlignment="1">
      <alignment horizontal="center" vertical="center" wrapText="1"/>
    </xf>
    <xf numFmtId="9" fontId="20" fillId="0" borderId="74" xfId="8" applyFont="1" applyBorder="1" applyAlignment="1">
      <alignment horizontal="center" vertical="center" wrapText="1"/>
    </xf>
    <xf numFmtId="9" fontId="20" fillId="0" borderId="76" xfId="8" applyFont="1" applyBorder="1" applyAlignment="1">
      <alignment horizontal="center" vertical="center" wrapText="1"/>
    </xf>
    <xf numFmtId="9" fontId="20" fillId="0" borderId="92" xfId="8" applyFont="1" applyBorder="1" applyAlignment="1">
      <alignment horizontal="center" vertical="center" wrapText="1"/>
    </xf>
    <xf numFmtId="9" fontId="20" fillId="0" borderId="89" xfId="8" applyFont="1" applyBorder="1" applyAlignment="1">
      <alignment horizontal="center" vertical="center" wrapText="1"/>
    </xf>
    <xf numFmtId="9" fontId="26" fillId="0" borderId="32" xfId="8" applyFont="1" applyBorder="1" applyAlignment="1">
      <alignment horizontal="center"/>
    </xf>
    <xf numFmtId="9" fontId="20" fillId="0" borderId="32" xfId="8" applyFont="1" applyBorder="1" applyAlignment="1">
      <alignment horizontal="center" vertical="center" wrapText="1"/>
    </xf>
    <xf numFmtId="9" fontId="20" fillId="0" borderId="32" xfId="8" applyFont="1" applyBorder="1" applyAlignment="1">
      <alignment horizontal="center" vertical="center"/>
    </xf>
    <xf numFmtId="0" fontId="21" fillId="0" borderId="32" xfId="23" applyFont="1" applyBorder="1" applyAlignment="1">
      <alignment horizontal="center" vertical="center" wrapText="1"/>
    </xf>
    <xf numFmtId="0" fontId="20" fillId="0" borderId="74" xfId="23" applyFont="1" applyBorder="1" applyAlignment="1">
      <alignment horizontal="center" vertical="center"/>
    </xf>
    <xf numFmtId="3" fontId="20" fillId="0" borderId="87" xfId="8" applyNumberFormat="1" applyFont="1" applyBorder="1" applyAlignment="1">
      <alignment horizontal="center" vertical="center" wrapText="1"/>
    </xf>
    <xf numFmtId="9" fontId="21" fillId="0" borderId="76" xfId="8" applyFont="1" applyBorder="1" applyAlignment="1">
      <alignment horizontal="center" vertical="center" wrapText="1"/>
    </xf>
    <xf numFmtId="9" fontId="21" fillId="0" borderId="92" xfId="8" applyFont="1" applyBorder="1" applyAlignment="1">
      <alignment horizontal="center" vertical="center" wrapText="1"/>
    </xf>
    <xf numFmtId="9" fontId="21" fillId="0" borderId="77" xfId="8" applyFont="1" applyBorder="1" applyAlignment="1">
      <alignment horizontal="center" vertical="center" wrapText="1"/>
    </xf>
    <xf numFmtId="3" fontId="20" fillId="0" borderId="74" xfId="8" applyNumberFormat="1" applyFont="1" applyBorder="1" applyAlignment="1">
      <alignment horizontal="center" vertical="center" wrapText="1"/>
    </xf>
    <xf numFmtId="1" fontId="20" fillId="0" borderId="77" xfId="8" applyNumberFormat="1" applyFont="1" applyBorder="1" applyAlignment="1">
      <alignment horizontal="center" vertical="center" wrapText="1"/>
    </xf>
    <xf numFmtId="167" fontId="20" fillId="0" borderId="74" xfId="8" applyNumberFormat="1" applyFont="1" applyBorder="1" applyAlignment="1">
      <alignment horizontal="center" vertical="center" wrapText="1"/>
    </xf>
    <xf numFmtId="167" fontId="20" fillId="0" borderId="76" xfId="8" applyNumberFormat="1" applyFont="1" applyBorder="1" applyAlignment="1">
      <alignment horizontal="center" vertical="center" wrapText="1"/>
    </xf>
    <xf numFmtId="167" fontId="20" fillId="0" borderId="92" xfId="8" applyNumberFormat="1" applyFont="1" applyBorder="1" applyAlignment="1">
      <alignment horizontal="center" vertical="center" wrapText="1"/>
    </xf>
    <xf numFmtId="167" fontId="20" fillId="0" borderId="77" xfId="8" applyNumberFormat="1" applyFont="1" applyBorder="1" applyAlignment="1">
      <alignment horizontal="center" vertical="center" wrapText="1"/>
    </xf>
    <xf numFmtId="2" fontId="20" fillId="0" borderId="32" xfId="8" applyNumberFormat="1" applyFont="1" applyBorder="1" applyAlignment="1">
      <alignment horizontal="center" vertical="center" wrapText="1"/>
    </xf>
    <xf numFmtId="2" fontId="20" fillId="0" borderId="32" xfId="8" applyNumberFormat="1" applyFont="1" applyBorder="1" applyAlignment="1">
      <alignment horizontal="center" vertical="center"/>
    </xf>
    <xf numFmtId="0" fontId="56" fillId="3" borderId="32" xfId="31" applyFont="1" applyFill="1" applyBorder="1" applyAlignment="1">
      <alignment horizontal="center" vertical="center" wrapText="1"/>
    </xf>
    <xf numFmtId="9" fontId="47" fillId="3" borderId="0" xfId="32" applyFont="1" applyFill="1" applyBorder="1" applyAlignment="1">
      <alignment horizontal="center" vertical="center"/>
    </xf>
    <xf numFmtId="9" fontId="47" fillId="3" borderId="0" xfId="1" applyFont="1" applyFill="1" applyBorder="1" applyAlignment="1">
      <alignment horizontal="center" vertical="center"/>
    </xf>
    <xf numFmtId="9" fontId="47" fillId="3" borderId="22" xfId="1" applyFont="1" applyFill="1" applyBorder="1" applyAlignment="1">
      <alignment horizontal="center" vertical="center"/>
    </xf>
    <xf numFmtId="0" fontId="62" fillId="3" borderId="0" xfId="31" applyFont="1" applyFill="1"/>
    <xf numFmtId="0" fontId="26" fillId="0" borderId="0" xfId="33" applyFont="1" applyAlignment="1">
      <alignment wrapText="1"/>
    </xf>
    <xf numFmtId="0" fontId="63" fillId="3" borderId="0" xfId="31" applyFont="1" applyFill="1"/>
    <xf numFmtId="166" fontId="44" fillId="3" borderId="62" xfId="22" applyNumberFormat="1" applyFont="1" applyFill="1" applyBorder="1" applyAlignment="1">
      <alignment horizontal="center"/>
    </xf>
    <xf numFmtId="9" fontId="32" fillId="3" borderId="0" xfId="22" applyNumberFormat="1" applyFont="1" applyFill="1"/>
    <xf numFmtId="9" fontId="42" fillId="3" borderId="0" xfId="0" applyNumberFormat="1" applyFont="1" applyFill="1" applyAlignment="1">
      <alignment horizontal="center"/>
    </xf>
    <xf numFmtId="9" fontId="42" fillId="3" borderId="62" xfId="1" applyFont="1" applyFill="1" applyBorder="1" applyAlignment="1">
      <alignment horizontal="center"/>
    </xf>
    <xf numFmtId="9" fontId="42" fillId="3" borderId="62" xfId="0" applyNumberFormat="1" applyFont="1" applyFill="1" applyBorder="1" applyAlignment="1">
      <alignment horizontal="center"/>
    </xf>
    <xf numFmtId="9" fontId="42" fillId="0" borderId="0" xfId="1" applyFont="1" applyFill="1" applyBorder="1" applyAlignment="1">
      <alignment horizontal="center"/>
    </xf>
    <xf numFmtId="9" fontId="44" fillId="3" borderId="0" xfId="22" applyNumberFormat="1" applyFont="1" applyFill="1" applyAlignment="1">
      <alignment horizontal="center"/>
    </xf>
    <xf numFmtId="9" fontId="44" fillId="3" borderId="32" xfId="22" applyNumberFormat="1" applyFont="1" applyFill="1" applyBorder="1" applyAlignment="1">
      <alignment horizontal="center"/>
    </xf>
    <xf numFmtId="168" fontId="2" fillId="0" borderId="0" xfId="1" applyNumberFormat="1" applyFont="1" applyAlignment="1">
      <alignment horizontal="center"/>
    </xf>
    <xf numFmtId="0" fontId="1" fillId="0" borderId="0" xfId="31" applyFont="1" applyAlignment="1">
      <alignment horizontal="center" vertical="center" wrapText="1"/>
    </xf>
    <xf numFmtId="0" fontId="2" fillId="0" borderId="0" xfId="31" applyAlignment="1">
      <alignment horizontal="center" vertical="center" wrapText="1"/>
    </xf>
    <xf numFmtId="0" fontId="65" fillId="0" borderId="0" xfId="31" applyFont="1" applyAlignment="1">
      <alignment horizontal="center" vertical="center" wrapText="1"/>
    </xf>
    <xf numFmtId="0" fontId="65" fillId="0" borderId="0" xfId="31" applyFont="1"/>
    <xf numFmtId="0" fontId="11" fillId="0" borderId="0" xfId="2" applyProtection="1">
      <protection locked="0"/>
    </xf>
    <xf numFmtId="166" fontId="11" fillId="0" borderId="0" xfId="2" applyNumberFormat="1" applyProtection="1">
      <protection locked="0"/>
    </xf>
    <xf numFmtId="0" fontId="22" fillId="0" borderId="0" xfId="2" applyFont="1" applyAlignment="1" applyProtection="1">
      <alignment vertical="top"/>
      <protection locked="0"/>
    </xf>
    <xf numFmtId="166" fontId="22" fillId="0" borderId="0" xfId="2" applyNumberFormat="1" applyFont="1" applyAlignment="1" applyProtection="1">
      <alignment horizontal="right" vertical="top" wrapText="1"/>
      <protection locked="0"/>
    </xf>
    <xf numFmtId="0" fontId="66" fillId="2" borderId="94" xfId="2" applyFont="1" applyFill="1" applyBorder="1" applyAlignment="1" applyProtection="1">
      <alignment horizontal="left" vertical="top" wrapText="1"/>
      <protection locked="0"/>
    </xf>
    <xf numFmtId="166" fontId="22" fillId="2" borderId="0" xfId="2" applyNumberFormat="1" applyFont="1" applyFill="1" applyAlignment="1" applyProtection="1">
      <alignment horizontal="right" vertical="top" wrapText="1"/>
      <protection locked="0"/>
    </xf>
    <xf numFmtId="0" fontId="66" fillId="2" borderId="95" xfId="2" applyFont="1" applyFill="1" applyBorder="1" applyAlignment="1" applyProtection="1">
      <alignment horizontal="left" vertical="top" wrapText="1"/>
      <protection locked="0"/>
    </xf>
    <xf numFmtId="0" fontId="66" fillId="2" borderId="96" xfId="2" applyFont="1" applyFill="1" applyBorder="1" applyAlignment="1" applyProtection="1">
      <alignment horizontal="left" vertical="top" wrapText="1"/>
      <protection locked="0"/>
    </xf>
    <xf numFmtId="0" fontId="66" fillId="4" borderId="97" xfId="2" applyFont="1" applyFill="1" applyBorder="1" applyAlignment="1" applyProtection="1">
      <alignment horizontal="center" vertical="top" wrapText="1"/>
      <protection locked="0"/>
    </xf>
    <xf numFmtId="0" fontId="66" fillId="4" borderId="98" xfId="2" applyFont="1" applyFill="1" applyBorder="1" applyAlignment="1" applyProtection="1">
      <alignment horizontal="center" vertical="top" wrapText="1"/>
      <protection locked="0"/>
    </xf>
    <xf numFmtId="0" fontId="66" fillId="4" borderId="99" xfId="2" applyFont="1" applyFill="1" applyBorder="1" applyAlignment="1" applyProtection="1">
      <alignment horizontal="center" vertical="top" wrapText="1"/>
      <protection locked="0"/>
    </xf>
    <xf numFmtId="0" fontId="22" fillId="4" borderId="100" xfId="2" applyFont="1" applyFill="1" applyBorder="1" applyAlignment="1" applyProtection="1">
      <alignment horizontal="center" vertical="center" wrapText="1"/>
      <protection locked="0"/>
    </xf>
    <xf numFmtId="0" fontId="22" fillId="0" borderId="0" xfId="2" applyFont="1" applyAlignment="1" applyProtection="1">
      <alignment vertical="center"/>
      <protection locked="0"/>
    </xf>
    <xf numFmtId="0" fontId="67" fillId="0" borderId="0" xfId="2" applyFont="1" applyAlignment="1" applyProtection="1">
      <alignment vertical="center"/>
      <protection locked="0"/>
    </xf>
    <xf numFmtId="0" fontId="11" fillId="0" borderId="0" xfId="2" applyAlignment="1" applyProtection="1">
      <alignment vertical="top"/>
      <protection locked="0"/>
    </xf>
    <xf numFmtId="9" fontId="2" fillId="0" borderId="0" xfId="1" applyFont="1" applyAlignment="1">
      <alignment horizontal="center"/>
    </xf>
    <xf numFmtId="9" fontId="1" fillId="0" borderId="0" xfId="31" applyNumberFormat="1" applyFont="1" applyAlignment="1">
      <alignment horizontal="center"/>
    </xf>
    <xf numFmtId="3" fontId="26" fillId="0" borderId="23" xfId="33" applyNumberFormat="1" applyFont="1" applyBorder="1" applyAlignment="1">
      <alignment horizontal="center"/>
    </xf>
    <xf numFmtId="1" fontId="26" fillId="0" borderId="14" xfId="33" applyNumberFormat="1" applyFont="1" applyBorder="1" applyAlignment="1">
      <alignment horizontal="center"/>
    </xf>
    <xf numFmtId="3" fontId="2" fillId="0" borderId="0" xfId="31" applyNumberFormat="1" applyAlignment="1">
      <alignment horizontal="center"/>
    </xf>
    <xf numFmtId="0" fontId="28" fillId="0" borderId="0" xfId="33" applyFont="1" applyAlignment="1">
      <alignment horizontal="center" vertical="center" wrapText="1"/>
    </xf>
    <xf numFmtId="0" fontId="70" fillId="0" borderId="0" xfId="7" applyFont="1" applyAlignment="1">
      <alignment horizontal="center" vertical="center" wrapText="1"/>
    </xf>
    <xf numFmtId="3" fontId="26" fillId="0" borderId="0" xfId="33" applyNumberFormat="1" applyFont="1" applyAlignment="1">
      <alignment horizontal="center"/>
    </xf>
    <xf numFmtId="1" fontId="64" fillId="0" borderId="0" xfId="31" applyNumberFormat="1" applyFont="1" applyAlignment="1">
      <alignment horizontal="center"/>
    </xf>
    <xf numFmtId="0" fontId="71" fillId="0" borderId="0" xfId="31" applyFont="1" applyAlignment="1">
      <alignment horizontal="center" vertical="center" wrapText="1"/>
    </xf>
    <xf numFmtId="3" fontId="65" fillId="0" borderId="0" xfId="31" applyNumberFormat="1" applyFont="1" applyAlignment="1">
      <alignment horizontal="center"/>
    </xf>
    <xf numFmtId="168" fontId="2" fillId="0" borderId="0" xfId="1" applyNumberFormat="1" applyFont="1"/>
    <xf numFmtId="1" fontId="2" fillId="0" borderId="0" xfId="31" applyNumberFormat="1" applyAlignment="1">
      <alignment horizontal="center"/>
    </xf>
    <xf numFmtId="166" fontId="72" fillId="2" borderId="0" xfId="2" applyNumberFormat="1" applyFont="1" applyFill="1" applyAlignment="1" applyProtection="1">
      <alignment horizontal="right" vertical="top" wrapText="1"/>
      <protection locked="0"/>
    </xf>
    <xf numFmtId="166" fontId="65" fillId="0" borderId="0" xfId="31" applyNumberFormat="1" applyFont="1" applyAlignment="1">
      <alignment horizontal="center"/>
    </xf>
    <xf numFmtId="168" fontId="65" fillId="0" borderId="0" xfId="1" applyNumberFormat="1" applyFont="1" applyAlignment="1">
      <alignment horizontal="center"/>
    </xf>
    <xf numFmtId="9" fontId="26" fillId="0" borderId="0" xfId="1" applyFont="1" applyAlignment="1">
      <alignment horizontal="center"/>
    </xf>
    <xf numFmtId="9" fontId="28" fillId="0" borderId="0" xfId="1" applyFont="1" applyAlignment="1">
      <alignment horizontal="center"/>
    </xf>
    <xf numFmtId="9" fontId="26" fillId="0" borderId="0" xfId="32" applyFont="1" applyAlignment="1">
      <alignment horizontal="center"/>
    </xf>
    <xf numFmtId="0" fontId="69" fillId="0" borderId="0" xfId="31" applyFont="1" applyAlignment="1">
      <alignment horizontal="center" vertical="center" wrapText="1"/>
    </xf>
    <xf numFmtId="0" fontId="70" fillId="0" borderId="0" xfId="33" applyFont="1" applyAlignment="1">
      <alignment horizontal="center" vertical="center" wrapText="1"/>
    </xf>
    <xf numFmtId="0" fontId="73" fillId="0" borderId="0" xfId="33" applyFont="1" applyAlignment="1">
      <alignment horizontal="center" vertical="center" wrapText="1"/>
    </xf>
    <xf numFmtId="1" fontId="20" fillId="0" borderId="0" xfId="33" applyNumberFormat="1" applyFont="1" applyAlignment="1">
      <alignment horizontal="center"/>
    </xf>
    <xf numFmtId="9" fontId="25" fillId="0" borderId="0" xfId="1" applyFont="1" applyAlignment="1">
      <alignment horizontal="center"/>
    </xf>
    <xf numFmtId="0" fontId="1" fillId="0" borderId="0" xfId="31" applyFont="1"/>
    <xf numFmtId="9" fontId="20" fillId="0" borderId="0" xfId="1" applyFont="1" applyAlignment="1">
      <alignment horizontal="center"/>
    </xf>
    <xf numFmtId="0" fontId="74" fillId="0" borderId="0" xfId="33" applyFont="1" applyAlignment="1">
      <alignment horizontal="center" vertical="center" wrapText="1"/>
    </xf>
    <xf numFmtId="0" fontId="75" fillId="0" borderId="0" xfId="33" applyFont="1" applyAlignment="1">
      <alignment horizontal="center" vertical="center" wrapText="1"/>
    </xf>
    <xf numFmtId="0" fontId="76" fillId="0" borderId="0" xfId="31" applyFont="1" applyAlignment="1">
      <alignment horizontal="center" vertical="center" wrapText="1"/>
    </xf>
    <xf numFmtId="9" fontId="20" fillId="0" borderId="0" xfId="33" applyNumberFormat="1" applyFont="1" applyAlignment="1">
      <alignment horizontal="center" vertical="center" wrapText="1"/>
    </xf>
    <xf numFmtId="9" fontId="77" fillId="0" borderId="0" xfId="1" applyFont="1" applyAlignment="1">
      <alignment horizontal="center"/>
    </xf>
    <xf numFmtId="0" fontId="78" fillId="0" borderId="0" xfId="33" applyFont="1" applyAlignment="1">
      <alignment horizontal="center" vertical="center" wrapText="1"/>
    </xf>
    <xf numFmtId="168" fontId="65" fillId="0" borderId="0" xfId="1" applyNumberFormat="1" applyFont="1" applyFill="1" applyAlignment="1">
      <alignment horizontal="center"/>
    </xf>
    <xf numFmtId="9" fontId="26" fillId="0" borderId="0" xfId="33" applyNumberFormat="1" applyFont="1" applyAlignment="1">
      <alignment horizontal="center"/>
    </xf>
    <xf numFmtId="3" fontId="58" fillId="0" borderId="22" xfId="31" applyNumberFormat="1" applyFont="1" applyBorder="1" applyAlignment="1">
      <alignment horizontal="center" vertical="center"/>
    </xf>
    <xf numFmtId="9" fontId="14" fillId="0" borderId="0" xfId="1" applyFont="1" applyAlignment="1">
      <alignment horizontal="center" vertical="center" wrapText="1"/>
    </xf>
    <xf numFmtId="1" fontId="46" fillId="5" borderId="22" xfId="31" applyNumberFormat="1" applyFont="1" applyFill="1" applyBorder="1" applyAlignment="1">
      <alignment horizontal="center" vertical="center"/>
    </xf>
    <xf numFmtId="0" fontId="46" fillId="5" borderId="0" xfId="31" applyFont="1" applyFill="1" applyAlignment="1">
      <alignment horizontal="center" vertical="center"/>
    </xf>
    <xf numFmtId="1" fontId="46" fillId="5" borderId="0" xfId="31" applyNumberFormat="1" applyFont="1" applyFill="1" applyAlignment="1">
      <alignment horizontal="center" vertical="center"/>
    </xf>
    <xf numFmtId="168" fontId="46" fillId="5" borderId="62" xfId="31" applyNumberFormat="1" applyFont="1" applyFill="1" applyBorder="1" applyAlignment="1">
      <alignment horizontal="center" vertical="center"/>
    </xf>
    <xf numFmtId="168" fontId="46" fillId="5" borderId="64" xfId="31" applyNumberFormat="1" applyFont="1" applyFill="1" applyBorder="1" applyAlignment="1">
      <alignment horizontal="center" vertical="center"/>
    </xf>
    <xf numFmtId="0" fontId="22" fillId="0" borderId="0" xfId="36"/>
    <xf numFmtId="0" fontId="79" fillId="0" borderId="0" xfId="36" applyFont="1"/>
    <xf numFmtId="0" fontId="79" fillId="0" borderId="0" xfId="36" applyFont="1" applyAlignment="1">
      <alignment wrapText="1"/>
    </xf>
    <xf numFmtId="9" fontId="79" fillId="0" borderId="0" xfId="37" applyFont="1" applyAlignment="1">
      <alignment horizontal="center"/>
    </xf>
    <xf numFmtId="9" fontId="22" fillId="0" borderId="0" xfId="37" applyFont="1"/>
    <xf numFmtId="170" fontId="79" fillId="0" borderId="0" xfId="36" applyNumberFormat="1" applyFont="1"/>
    <xf numFmtId="170" fontId="22" fillId="0" borderId="0" xfId="36" applyNumberFormat="1"/>
    <xf numFmtId="171" fontId="22" fillId="0" borderId="0" xfId="36" applyNumberFormat="1"/>
    <xf numFmtId="0" fontId="22" fillId="0" borderId="0" xfId="36" applyAlignment="1">
      <alignment horizontal="center"/>
    </xf>
    <xf numFmtId="0" fontId="66" fillId="0" borderId="0" xfId="36" applyFont="1"/>
    <xf numFmtId="170" fontId="73" fillId="0" borderId="0" xfId="36" applyNumberFormat="1" applyFont="1"/>
    <xf numFmtId="172" fontId="66" fillId="0" borderId="101" xfId="36" applyNumberFormat="1" applyFont="1" applyBorder="1"/>
    <xf numFmtId="170" fontId="73" fillId="0" borderId="43" xfId="36" applyNumberFormat="1" applyFont="1" applyBorder="1"/>
    <xf numFmtId="170" fontId="73" fillId="0" borderId="102" xfId="36" applyNumberFormat="1" applyFont="1" applyBorder="1"/>
    <xf numFmtId="170" fontId="73" fillId="0" borderId="50" xfId="36" applyNumberFormat="1" applyFont="1" applyBorder="1"/>
    <xf numFmtId="0" fontId="66" fillId="0" borderId="32" xfId="36" applyFont="1" applyBorder="1"/>
    <xf numFmtId="170" fontId="70" fillId="0" borderId="0" xfId="36" applyNumberFormat="1" applyFont="1"/>
    <xf numFmtId="172" fontId="22" fillId="0" borderId="101" xfId="36" applyNumberFormat="1" applyBorder="1"/>
    <xf numFmtId="170" fontId="70" fillId="0" borderId="22" xfId="36" applyNumberFormat="1" applyFont="1" applyBorder="1"/>
    <xf numFmtId="170" fontId="70" fillId="0" borderId="101" xfId="36" applyNumberFormat="1" applyFont="1" applyBorder="1"/>
    <xf numFmtId="170" fontId="70" fillId="0" borderId="11" xfId="36" applyNumberFormat="1" applyFont="1" applyBorder="1"/>
    <xf numFmtId="0" fontId="22" fillId="0" borderId="0" xfId="36" applyAlignment="1">
      <alignment horizontal="left" indent="2"/>
    </xf>
    <xf numFmtId="0" fontId="22" fillId="6" borderId="0" xfId="36" applyFill="1"/>
    <xf numFmtId="170" fontId="70" fillId="6" borderId="0" xfId="36" applyNumberFormat="1" applyFont="1" applyFill="1"/>
    <xf numFmtId="172" fontId="22" fillId="6" borderId="101" xfId="36" applyNumberFormat="1" applyFill="1" applyBorder="1"/>
    <xf numFmtId="170" fontId="70" fillId="6" borderId="22" xfId="36" applyNumberFormat="1" applyFont="1" applyFill="1" applyBorder="1"/>
    <xf numFmtId="170" fontId="70" fillId="6" borderId="101" xfId="36" applyNumberFormat="1" applyFont="1" applyFill="1" applyBorder="1"/>
    <xf numFmtId="170" fontId="70" fillId="6" borderId="11" xfId="36" applyNumberFormat="1" applyFont="1" applyFill="1" applyBorder="1"/>
    <xf numFmtId="0" fontId="22" fillId="6" borderId="0" xfId="36" applyFill="1" applyAlignment="1">
      <alignment horizontal="left" indent="2"/>
    </xf>
    <xf numFmtId="171" fontId="70" fillId="0" borderId="101" xfId="36" applyNumberFormat="1" applyFont="1" applyBorder="1"/>
    <xf numFmtId="0" fontId="22" fillId="5" borderId="0" xfId="36" applyFill="1"/>
    <xf numFmtId="170" fontId="70" fillId="5" borderId="0" xfId="36" applyNumberFormat="1" applyFont="1" applyFill="1"/>
    <xf numFmtId="172" fontId="22" fillId="5" borderId="101" xfId="36" applyNumberFormat="1" applyFill="1" applyBorder="1"/>
    <xf numFmtId="170" fontId="70" fillId="5" borderId="22" xfId="36" applyNumberFormat="1" applyFont="1" applyFill="1" applyBorder="1"/>
    <xf numFmtId="173" fontId="70" fillId="5" borderId="22" xfId="36" applyNumberFormat="1" applyFont="1" applyFill="1" applyBorder="1"/>
    <xf numFmtId="173" fontId="70" fillId="5" borderId="101" xfId="36" applyNumberFormat="1" applyFont="1" applyFill="1" applyBorder="1"/>
    <xf numFmtId="170" fontId="70" fillId="5" borderId="101" xfId="36" applyNumberFormat="1" applyFont="1" applyFill="1" applyBorder="1"/>
    <xf numFmtId="170" fontId="70" fillId="5" borderId="11" xfId="36" applyNumberFormat="1" applyFont="1" applyFill="1" applyBorder="1"/>
    <xf numFmtId="173" fontId="70" fillId="5" borderId="11" xfId="36" applyNumberFormat="1" applyFont="1" applyFill="1" applyBorder="1"/>
    <xf numFmtId="0" fontId="22" fillId="5" borderId="0" xfId="36" applyFill="1" applyAlignment="1">
      <alignment horizontal="left" indent="2"/>
    </xf>
    <xf numFmtId="171" fontId="70" fillId="5" borderId="101" xfId="36" applyNumberFormat="1" applyFont="1" applyFill="1" applyBorder="1"/>
    <xf numFmtId="173" fontId="70" fillId="5" borderId="0" xfId="36" applyNumberFormat="1" applyFont="1" applyFill="1"/>
    <xf numFmtId="174" fontId="22" fillId="5" borderId="101" xfId="36" applyNumberFormat="1" applyFill="1" applyBorder="1"/>
    <xf numFmtId="170" fontId="73" fillId="0" borderId="22" xfId="36" applyNumberFormat="1" applyFont="1" applyBorder="1"/>
    <xf numFmtId="170" fontId="73" fillId="0" borderId="101" xfId="36" applyNumberFormat="1" applyFont="1" applyBorder="1"/>
    <xf numFmtId="170" fontId="73" fillId="0" borderId="11" xfId="36" applyNumberFormat="1" applyFont="1" applyBorder="1"/>
    <xf numFmtId="0" fontId="82" fillId="0" borderId="0" xfId="36" applyFont="1"/>
    <xf numFmtId="173" fontId="70" fillId="0" borderId="11" xfId="36" applyNumberFormat="1" applyFont="1" applyBorder="1"/>
    <xf numFmtId="173" fontId="70" fillId="0" borderId="22" xfId="36" applyNumberFormat="1" applyFont="1" applyBorder="1"/>
    <xf numFmtId="173" fontId="70" fillId="0" borderId="101" xfId="36" applyNumberFormat="1" applyFont="1" applyBorder="1"/>
    <xf numFmtId="173" fontId="70" fillId="0" borderId="0" xfId="36" applyNumberFormat="1" applyFont="1"/>
    <xf numFmtId="173" fontId="70" fillId="6" borderId="0" xfId="36" applyNumberFormat="1" applyFont="1" applyFill="1"/>
    <xf numFmtId="174" fontId="22" fillId="6" borderId="101" xfId="36" applyNumberFormat="1" applyFill="1" applyBorder="1"/>
    <xf numFmtId="171" fontId="70" fillId="6" borderId="101" xfId="36" applyNumberFormat="1" applyFont="1" applyFill="1" applyBorder="1"/>
    <xf numFmtId="173" fontId="70" fillId="6" borderId="101" xfId="36" applyNumberFormat="1" applyFont="1" applyFill="1" applyBorder="1"/>
    <xf numFmtId="173" fontId="70" fillId="6" borderId="11" xfId="36" applyNumberFormat="1" applyFont="1" applyFill="1" applyBorder="1"/>
    <xf numFmtId="173" fontId="70" fillId="6" borderId="22" xfId="36" applyNumberFormat="1" applyFont="1" applyFill="1" applyBorder="1"/>
    <xf numFmtId="174" fontId="22" fillId="0" borderId="101" xfId="36" applyNumberFormat="1" applyBorder="1"/>
    <xf numFmtId="175" fontId="70" fillId="6" borderId="101" xfId="36" applyNumberFormat="1" applyFont="1" applyFill="1" applyBorder="1"/>
    <xf numFmtId="0" fontId="66" fillId="6" borderId="0" xfId="36" applyFont="1" applyFill="1"/>
    <xf numFmtId="0" fontId="82" fillId="6" borderId="0" xfId="36" applyFont="1" applyFill="1"/>
    <xf numFmtId="175" fontId="70" fillId="0" borderId="11" xfId="36" applyNumberFormat="1" applyFont="1" applyBorder="1"/>
    <xf numFmtId="170" fontId="73" fillId="0" borderId="92" xfId="36" applyNumberFormat="1" applyFont="1" applyBorder="1"/>
    <xf numFmtId="170" fontId="73" fillId="0" borderId="103" xfId="36" applyNumberFormat="1" applyFont="1" applyBorder="1"/>
    <xf numFmtId="170" fontId="73" fillId="0" borderId="48" xfId="36" applyNumberFormat="1" applyFont="1" applyBorder="1"/>
    <xf numFmtId="0" fontId="66" fillId="0" borderId="0" xfId="36" applyFont="1" applyAlignment="1">
      <alignment wrapText="1"/>
    </xf>
    <xf numFmtId="49" fontId="22" fillId="0" borderId="0" xfId="36" applyNumberFormat="1" applyAlignment="1">
      <alignment horizontal="center"/>
    </xf>
    <xf numFmtId="49" fontId="22" fillId="0" borderId="104" xfId="36" applyNumberFormat="1" applyBorder="1" applyAlignment="1">
      <alignment horizontal="center"/>
    </xf>
    <xf numFmtId="49" fontId="22" fillId="0" borderId="105" xfId="36" applyNumberFormat="1" applyBorder="1" applyAlignment="1">
      <alignment horizontal="center"/>
    </xf>
    <xf numFmtId="49" fontId="22" fillId="0" borderId="106" xfId="36" applyNumberFormat="1" applyBorder="1" applyAlignment="1">
      <alignment horizontal="center"/>
    </xf>
    <xf numFmtId="0" fontId="66" fillId="0" borderId="76" xfId="36" applyFont="1" applyBorder="1" applyAlignment="1">
      <alignment wrapText="1"/>
    </xf>
    <xf numFmtId="0" fontId="22" fillId="0" borderId="102" xfId="36" applyBorder="1" applyAlignment="1">
      <alignment horizontal="center" vertical="center"/>
    </xf>
    <xf numFmtId="9" fontId="47" fillId="0" borderId="0" xfId="32" applyFont="1" applyFill="1" applyBorder="1" applyAlignment="1">
      <alignment horizontal="center" vertical="center"/>
    </xf>
    <xf numFmtId="166" fontId="72" fillId="0" borderId="0" xfId="2" applyNumberFormat="1" applyFont="1" applyAlignment="1" applyProtection="1">
      <alignment horizontal="right" vertical="top" wrapText="1"/>
      <protection locked="0"/>
    </xf>
    <xf numFmtId="3" fontId="25" fillId="0" borderId="0" xfId="2" applyNumberFormat="1" applyFont="1" applyAlignment="1">
      <alignment horizontal="center"/>
    </xf>
    <xf numFmtId="3" fontId="25" fillId="0" borderId="10" xfId="2" applyNumberFormat="1" applyFont="1" applyBorder="1" applyAlignment="1">
      <alignment horizontal="center"/>
    </xf>
    <xf numFmtId="0" fontId="26" fillId="0" borderId="0" xfId="34" applyAlignment="1">
      <alignment wrapText="1"/>
    </xf>
    <xf numFmtId="9" fontId="26" fillId="5" borderId="0" xfId="1" applyFont="1" applyFill="1"/>
    <xf numFmtId="9" fontId="47" fillId="5" borderId="0" xfId="32" quotePrefix="1" applyFont="1" applyFill="1" applyBorder="1" applyAlignment="1">
      <alignment horizontal="center" vertical="center" wrapText="1"/>
    </xf>
    <xf numFmtId="9" fontId="47" fillId="5" borderId="65" xfId="32" quotePrefix="1" applyFont="1" applyFill="1" applyBorder="1" applyAlignment="1">
      <alignment horizontal="center" vertical="center" wrapText="1"/>
    </xf>
    <xf numFmtId="170" fontId="82" fillId="0" borderId="0" xfId="36" applyNumberFormat="1" applyFont="1"/>
    <xf numFmtId="166" fontId="26" fillId="0" borderId="0" xfId="35" applyNumberFormat="1" applyFont="1" applyBorder="1" applyAlignment="1">
      <alignment horizontal="center" vertical="center"/>
    </xf>
    <xf numFmtId="0" fontId="26" fillId="0" borderId="1" xfId="33" applyFont="1" applyBorder="1"/>
    <xf numFmtId="0" fontId="26" fillId="0" borderId="2" xfId="33" applyFont="1" applyBorder="1"/>
    <xf numFmtId="0" fontId="26" fillId="0" borderId="3" xfId="33" applyFont="1" applyBorder="1"/>
    <xf numFmtId="168" fontId="28" fillId="0" borderId="4" xfId="33" applyNumberFormat="1" applyFont="1" applyBorder="1"/>
    <xf numFmtId="9" fontId="26" fillId="0" borderId="5" xfId="33" applyNumberFormat="1" applyFont="1" applyBorder="1" applyAlignment="1">
      <alignment horizontal="center" vertical="center" wrapText="1"/>
    </xf>
    <xf numFmtId="9" fontId="28" fillId="0" borderId="4" xfId="1" applyFont="1" applyBorder="1" applyAlignment="1">
      <alignment horizontal="center"/>
    </xf>
    <xf numFmtId="168" fontId="28" fillId="0" borderId="0" xfId="33" applyNumberFormat="1" applyFont="1" applyAlignment="1">
      <alignment horizontal="center"/>
    </xf>
    <xf numFmtId="0" fontId="26" fillId="0" borderId="0" xfId="33" applyFont="1" applyAlignment="1">
      <alignment horizontal="center"/>
    </xf>
    <xf numFmtId="0" fontId="26" fillId="0" borderId="5" xfId="33" applyFont="1" applyBorder="1" applyAlignment="1">
      <alignment horizontal="center"/>
    </xf>
    <xf numFmtId="9" fontId="26" fillId="0" borderId="0" xfId="1" applyFont="1" applyBorder="1" applyAlignment="1">
      <alignment horizontal="center"/>
    </xf>
    <xf numFmtId="167" fontId="26" fillId="0" borderId="0" xfId="33" applyNumberFormat="1" applyFont="1" applyAlignment="1">
      <alignment horizontal="center"/>
    </xf>
    <xf numFmtId="9" fontId="26" fillId="0" borderId="5" xfId="1" applyFont="1" applyBorder="1" applyAlignment="1">
      <alignment horizontal="center"/>
    </xf>
    <xf numFmtId="166" fontId="26" fillId="0" borderId="0" xfId="33" applyNumberFormat="1" applyFont="1" applyAlignment="1">
      <alignment horizontal="center"/>
    </xf>
    <xf numFmtId="0" fontId="11" fillId="0" borderId="0" xfId="2" applyAlignment="1">
      <alignment horizontal="center"/>
    </xf>
    <xf numFmtId="0" fontId="14" fillId="0" borderId="59" xfId="0" applyFont="1" applyBorder="1" applyAlignment="1">
      <alignment horizontal="center" vertical="center" wrapText="1"/>
    </xf>
    <xf numFmtId="0" fontId="14" fillId="0" borderId="46" xfId="0" applyFont="1" applyBorder="1" applyAlignment="1">
      <alignment horizontal="center" vertical="center" wrapText="1"/>
    </xf>
    <xf numFmtId="1" fontId="26" fillId="0" borderId="4" xfId="33" applyNumberFormat="1" applyFont="1" applyBorder="1" applyAlignment="1">
      <alignment horizontal="center"/>
    </xf>
    <xf numFmtId="0" fontId="20" fillId="0" borderId="5" xfId="33" applyFont="1" applyBorder="1"/>
    <xf numFmtId="168" fontId="28" fillId="0" borderId="11" xfId="33" applyNumberFormat="1" applyFont="1" applyBorder="1"/>
    <xf numFmtId="168" fontId="28" fillId="0" borderId="11" xfId="33" applyNumberFormat="1" applyFont="1" applyBorder="1" applyAlignment="1">
      <alignment horizontal="center"/>
    </xf>
    <xf numFmtId="3" fontId="25" fillId="0" borderId="11" xfId="33" applyNumberFormat="1" applyFont="1" applyBorder="1" applyAlignment="1">
      <alignment horizontal="center"/>
    </xf>
    <xf numFmtId="3" fontId="26" fillId="0" borderId="11" xfId="33" applyNumberFormat="1" applyFont="1" applyBorder="1" applyAlignment="1">
      <alignment horizontal="center"/>
    </xf>
    <xf numFmtId="0" fontId="26" fillId="0" borderId="11" xfId="33" applyFont="1" applyBorder="1"/>
    <xf numFmtId="3" fontId="14" fillId="0" borderId="29" xfId="0" quotePrefix="1" applyNumberFormat="1" applyFont="1" applyBorder="1" applyAlignment="1">
      <alignment horizontal="center" vertical="center"/>
    </xf>
    <xf numFmtId="3" fontId="14" fillId="0" borderId="29" xfId="0" applyNumberFormat="1" applyFont="1" applyBorder="1" applyAlignment="1">
      <alignment horizontal="center" vertical="center"/>
    </xf>
    <xf numFmtId="0" fontId="16" fillId="0" borderId="45" xfId="0" applyFont="1" applyBorder="1" applyAlignment="1">
      <alignment horizontal="center" vertical="center" wrapText="1"/>
    </xf>
    <xf numFmtId="1" fontId="16" fillId="0" borderId="49" xfId="0" applyNumberFormat="1" applyFont="1" applyBorder="1" applyAlignment="1">
      <alignment horizontal="center" vertical="center" wrapText="1"/>
    </xf>
    <xf numFmtId="9" fontId="14" fillId="0" borderId="35" xfId="1" applyFont="1" applyFill="1" applyBorder="1" applyAlignment="1">
      <alignment horizontal="center" vertical="center"/>
    </xf>
    <xf numFmtId="0" fontId="84" fillId="0" borderId="32" xfId="0" applyFont="1" applyBorder="1" applyAlignment="1">
      <alignment horizontal="center" vertical="center" wrapText="1"/>
    </xf>
    <xf numFmtId="0" fontId="84" fillId="0" borderId="59" xfId="0" applyFont="1" applyBorder="1" applyAlignment="1">
      <alignment horizontal="center" vertical="center" wrapText="1"/>
    </xf>
    <xf numFmtId="3" fontId="16" fillId="0" borderId="22" xfId="0" applyNumberFormat="1" applyFont="1" applyBorder="1" applyAlignment="1">
      <alignment horizontal="center" vertical="center"/>
    </xf>
    <xf numFmtId="3" fontId="16" fillId="0" borderId="22" xfId="0" applyNumberFormat="1" applyFont="1" applyBorder="1" applyAlignment="1">
      <alignment horizontal="center" vertical="center" wrapText="1"/>
    </xf>
    <xf numFmtId="3" fontId="16" fillId="0" borderId="106" xfId="0" applyNumberFormat="1" applyFont="1" applyBorder="1" applyAlignment="1">
      <alignment horizontal="center" vertical="center" wrapText="1"/>
    </xf>
    <xf numFmtId="3" fontId="16" fillId="0" borderId="111" xfId="0" applyNumberFormat="1" applyFont="1" applyBorder="1" applyAlignment="1">
      <alignment horizontal="center" vertical="center" wrapText="1"/>
    </xf>
    <xf numFmtId="3" fontId="16" fillId="0" borderId="101" xfId="0" applyNumberFormat="1" applyFont="1" applyBorder="1" applyAlignment="1">
      <alignment horizontal="center" vertical="center" wrapText="1"/>
    </xf>
    <xf numFmtId="3" fontId="16" fillId="0" borderId="105" xfId="0" applyNumberFormat="1" applyFont="1" applyBorder="1" applyAlignment="1">
      <alignment horizontal="center" vertical="center" wrapText="1"/>
    </xf>
    <xf numFmtId="3" fontId="16" fillId="0" borderId="112" xfId="0" applyNumberFormat="1" applyFont="1" applyBorder="1" applyAlignment="1">
      <alignment horizontal="center" vertical="center" wrapText="1"/>
    </xf>
    <xf numFmtId="3" fontId="16" fillId="0" borderId="106" xfId="0" applyNumberFormat="1" applyFont="1" applyBorder="1" applyAlignment="1">
      <alignment horizontal="center" vertical="center"/>
    </xf>
    <xf numFmtId="3" fontId="14" fillId="0" borderId="10" xfId="8" applyNumberFormat="1" applyFont="1" applyFill="1" applyBorder="1" applyAlignment="1">
      <alignment horizontal="center" vertical="center"/>
    </xf>
    <xf numFmtId="3" fontId="14" fillId="0" borderId="31" xfId="8" applyNumberFormat="1" applyFont="1" applyFill="1" applyBorder="1" applyAlignment="1">
      <alignment horizontal="center" vertical="center"/>
    </xf>
    <xf numFmtId="3" fontId="16" fillId="0" borderId="10" xfId="8" applyNumberFormat="1" applyFont="1" applyFill="1" applyBorder="1" applyAlignment="1">
      <alignment horizontal="center" vertical="center"/>
    </xf>
    <xf numFmtId="3" fontId="16" fillId="0" borderId="107" xfId="0" applyNumberFormat="1" applyFont="1" applyBorder="1" applyAlignment="1">
      <alignment horizontal="center" vertical="center" wrapText="1"/>
    </xf>
    <xf numFmtId="0" fontId="17" fillId="0" borderId="59" xfId="0" applyFont="1" applyBorder="1" applyAlignment="1">
      <alignment horizontal="center" vertical="center" wrapText="1"/>
    </xf>
    <xf numFmtId="168" fontId="16" fillId="0" borderId="39" xfId="1" applyNumberFormat="1" applyFont="1" applyBorder="1" applyAlignment="1">
      <alignment horizontal="center" vertical="center"/>
    </xf>
    <xf numFmtId="3" fontId="16" fillId="0" borderId="36" xfId="0" applyNumberFormat="1" applyFont="1" applyBorder="1" applyAlignment="1">
      <alignment horizontal="center" vertical="center"/>
    </xf>
    <xf numFmtId="0" fontId="16" fillId="0" borderId="32" xfId="0" applyFont="1" applyBorder="1" applyAlignment="1">
      <alignment horizontal="center" vertical="center" wrapText="1"/>
    </xf>
    <xf numFmtId="167" fontId="16" fillId="0" borderId="0" xfId="0" applyNumberFormat="1" applyFont="1" applyAlignment="1">
      <alignment horizontal="center" vertical="center" wrapText="1"/>
    </xf>
    <xf numFmtId="1" fontId="14" fillId="0" borderId="0" xfId="1" applyNumberFormat="1" applyFont="1" applyBorder="1" applyAlignment="1">
      <alignment horizontal="center" vertical="center"/>
    </xf>
    <xf numFmtId="1" fontId="14" fillId="0" borderId="36" xfId="1" applyNumberFormat="1" applyFont="1" applyBorder="1" applyAlignment="1">
      <alignment horizontal="center" vertical="center"/>
    </xf>
    <xf numFmtId="1" fontId="16" fillId="0" borderId="36" xfId="0" applyNumberFormat="1" applyFont="1" applyBorder="1" applyAlignment="1">
      <alignment horizontal="center" vertical="center" wrapText="1"/>
    </xf>
    <xf numFmtId="1" fontId="16" fillId="0" borderId="110" xfId="0" applyNumberFormat="1" applyFont="1" applyBorder="1" applyAlignment="1">
      <alignment horizontal="center" vertical="center" wrapText="1"/>
    </xf>
    <xf numFmtId="1" fontId="16" fillId="0" borderId="34" xfId="0" applyNumberFormat="1" applyFont="1" applyBorder="1" applyAlignment="1">
      <alignment horizontal="center" vertical="center" wrapText="1"/>
    </xf>
    <xf numFmtId="166" fontId="14" fillId="0" borderId="0" xfId="0" quotePrefix="1" applyNumberFormat="1" applyFont="1" applyAlignment="1">
      <alignment horizontal="center" vertical="center"/>
    </xf>
    <xf numFmtId="0" fontId="85" fillId="0" borderId="0" xfId="0" applyFont="1"/>
    <xf numFmtId="0" fontId="86" fillId="0" borderId="0" xfId="0" applyFont="1"/>
    <xf numFmtId="168" fontId="16" fillId="0" borderId="0" xfId="1" applyNumberFormat="1" applyFont="1" applyAlignment="1">
      <alignment horizontal="center"/>
    </xf>
    <xf numFmtId="9" fontId="16" fillId="0" borderId="84" xfId="1" applyFont="1" applyBorder="1" applyAlignment="1">
      <alignment horizontal="center" vertical="center" wrapText="1"/>
    </xf>
    <xf numFmtId="166" fontId="14" fillId="5" borderId="10" xfId="8" applyNumberFormat="1" applyFont="1" applyFill="1" applyBorder="1" applyAlignment="1">
      <alignment horizontal="center" vertical="center"/>
    </xf>
    <xf numFmtId="9" fontId="16" fillId="0" borderId="0" xfId="1" applyFont="1" applyFill="1" applyBorder="1" applyAlignment="1">
      <alignment horizontal="center" vertical="center" wrapText="1"/>
    </xf>
    <xf numFmtId="166" fontId="87" fillId="0" borderId="0" xfId="2" applyNumberFormat="1" applyFont="1" applyAlignment="1">
      <alignment horizontal="center"/>
    </xf>
    <xf numFmtId="9" fontId="16" fillId="0" borderId="20" xfId="1" applyFont="1" applyFill="1" applyBorder="1" applyAlignment="1">
      <alignment horizontal="center" vertical="center" wrapText="1"/>
    </xf>
    <xf numFmtId="9" fontId="16" fillId="0" borderId="20" xfId="1" applyFont="1" applyFill="1" applyBorder="1" applyAlignment="1">
      <alignment horizontal="center" vertical="center"/>
    </xf>
    <xf numFmtId="9" fontId="11" fillId="0" borderId="0" xfId="1" applyFont="1" applyProtection="1">
      <protection locked="0"/>
    </xf>
    <xf numFmtId="0" fontId="66" fillId="4" borderId="99" xfId="0" applyFont="1" applyFill="1" applyBorder="1" applyAlignment="1" applyProtection="1">
      <alignment horizontal="center" vertical="top" wrapText="1"/>
      <protection locked="0"/>
    </xf>
    <xf numFmtId="0" fontId="66" fillId="4" borderId="98" xfId="0" applyFont="1" applyFill="1" applyBorder="1" applyAlignment="1" applyProtection="1">
      <alignment horizontal="center" vertical="top" wrapText="1"/>
      <protection locked="0"/>
    </xf>
    <xf numFmtId="166" fontId="22" fillId="0" borderId="0" xfId="0" applyNumberFormat="1" applyFont="1" applyAlignment="1" applyProtection="1">
      <alignment horizontal="right" vertical="top" wrapText="1"/>
      <protection locked="0"/>
    </xf>
    <xf numFmtId="166" fontId="22" fillId="2" borderId="0" xfId="0" applyNumberFormat="1" applyFont="1" applyFill="1" applyAlignment="1" applyProtection="1">
      <alignment horizontal="right" vertical="top" wrapText="1"/>
      <protection locked="0"/>
    </xf>
    <xf numFmtId="166" fontId="72" fillId="0" borderId="0" xfId="0" applyNumberFormat="1" applyFont="1" applyAlignment="1" applyProtection="1">
      <alignment horizontal="right" vertical="top" wrapText="1"/>
      <protection locked="0"/>
    </xf>
    <xf numFmtId="166" fontId="72" fillId="2" borderId="0" xfId="0" applyNumberFormat="1" applyFont="1" applyFill="1" applyAlignment="1" applyProtection="1">
      <alignment horizontal="right" vertical="top" wrapText="1"/>
      <protection locked="0"/>
    </xf>
    <xf numFmtId="164" fontId="23" fillId="0" borderId="0" xfId="2" applyNumberFormat="1" applyFont="1" applyAlignment="1">
      <alignment horizontal="center"/>
    </xf>
    <xf numFmtId="164" fontId="24" fillId="0" borderId="0" xfId="5" applyNumberFormat="1" applyFont="1" applyFill="1" applyBorder="1" applyAlignment="1">
      <alignment horizontal="center"/>
    </xf>
    <xf numFmtId="166" fontId="2" fillId="0" borderId="0" xfId="31" applyNumberFormat="1" applyAlignment="1">
      <alignment horizontal="center"/>
    </xf>
    <xf numFmtId="9" fontId="14" fillId="0" borderId="0" xfId="1" applyFont="1" applyFill="1" applyBorder="1" applyAlignment="1">
      <alignment horizontal="center" vertical="center"/>
    </xf>
    <xf numFmtId="9" fontId="16" fillId="0" borderId="39" xfId="1" applyFont="1" applyBorder="1" applyAlignment="1">
      <alignment horizontal="center" vertical="center"/>
    </xf>
    <xf numFmtId="168" fontId="16" fillId="0" borderId="35" xfId="1" applyNumberFormat="1" applyFont="1" applyBorder="1" applyAlignment="1">
      <alignment horizontal="center" vertical="center"/>
    </xf>
    <xf numFmtId="3" fontId="16" fillId="0" borderId="85" xfId="0" applyNumberFormat="1" applyFont="1" applyBorder="1" applyAlignment="1">
      <alignment horizontal="center" vertical="center" wrapText="1"/>
    </xf>
    <xf numFmtId="166" fontId="0" fillId="0" borderId="0" xfId="0" applyNumberFormat="1"/>
    <xf numFmtId="0" fontId="88" fillId="0" borderId="0" xfId="31" applyFont="1" applyAlignment="1">
      <alignment horizontal="center" vertical="center" wrapText="1"/>
    </xf>
    <xf numFmtId="168" fontId="64" fillId="0" borderId="0" xfId="1" applyNumberFormat="1" applyFont="1" applyAlignment="1">
      <alignment horizontal="center"/>
    </xf>
    <xf numFmtId="9" fontId="2" fillId="5" borderId="0" xfId="1" applyFont="1" applyFill="1" applyAlignment="1">
      <alignment horizontal="center"/>
    </xf>
    <xf numFmtId="3" fontId="65" fillId="5" borderId="0" xfId="31" applyNumberFormat="1" applyFont="1" applyFill="1" applyAlignment="1">
      <alignment horizontal="center"/>
    </xf>
    <xf numFmtId="3" fontId="2" fillId="5" borderId="0" xfId="31" applyNumberFormat="1" applyFill="1" applyAlignment="1">
      <alignment horizontal="center"/>
    </xf>
    <xf numFmtId="0" fontId="87" fillId="0" borderId="0" xfId="2" applyFont="1"/>
    <xf numFmtId="3" fontId="11" fillId="0" borderId="0" xfId="2" applyNumberFormat="1"/>
    <xf numFmtId="3" fontId="87" fillId="0" borderId="0" xfId="2" applyNumberFormat="1" applyFont="1"/>
    <xf numFmtId="3" fontId="16" fillId="0" borderId="104" xfId="0" quotePrefix="1" applyNumberFormat="1" applyFont="1" applyBorder="1" applyAlignment="1">
      <alignment horizontal="center" vertical="center"/>
    </xf>
    <xf numFmtId="3" fontId="16" fillId="0" borderId="84" xfId="0" applyNumberFormat="1" applyFont="1" applyBorder="1" applyAlignment="1">
      <alignment horizontal="center" vertical="center" wrapText="1"/>
    </xf>
    <xf numFmtId="3" fontId="16" fillId="0" borderId="85" xfId="0" applyNumberFormat="1" applyFont="1" applyBorder="1" applyAlignment="1">
      <alignment horizontal="center" vertical="center"/>
    </xf>
    <xf numFmtId="1" fontId="14" fillId="0" borderId="36" xfId="1" applyNumberFormat="1" applyFont="1" applyFill="1" applyBorder="1" applyAlignment="1">
      <alignment horizontal="center" vertical="center"/>
    </xf>
    <xf numFmtId="9" fontId="14" fillId="0" borderId="29" xfId="1" applyFont="1" applyFill="1" applyBorder="1" applyAlignment="1">
      <alignment horizontal="center" vertical="center"/>
    </xf>
    <xf numFmtId="9" fontId="14" fillId="0" borderId="0" xfId="1" applyFont="1" applyFill="1" applyBorder="1" applyAlignment="1">
      <alignment horizontal="center" vertical="center" wrapText="1"/>
    </xf>
    <xf numFmtId="9" fontId="16" fillId="0" borderId="0" xfId="1" applyFont="1" applyFill="1" applyBorder="1" applyAlignment="1">
      <alignment horizontal="center" vertical="center"/>
    </xf>
    <xf numFmtId="1" fontId="14" fillId="0" borderId="0" xfId="1" applyNumberFormat="1" applyFont="1" applyFill="1" applyBorder="1" applyAlignment="1">
      <alignment horizontal="center" vertical="center"/>
    </xf>
    <xf numFmtId="168" fontId="46" fillId="3" borderId="0" xfId="32" applyNumberFormat="1" applyFont="1" applyFill="1" applyAlignment="1">
      <alignment horizontal="center" vertical="center"/>
    </xf>
    <xf numFmtId="3" fontId="14" fillId="0" borderId="0" xfId="0" applyNumberFormat="1" applyFont="1" applyFill="1" applyAlignment="1">
      <alignment horizontal="center" vertical="center" wrapText="1"/>
    </xf>
    <xf numFmtId="0" fontId="51" fillId="0" borderId="63" xfId="22" applyFont="1" applyBorder="1" applyAlignment="1">
      <alignment horizontal="center" vertical="center" wrapText="1"/>
    </xf>
    <xf numFmtId="0" fontId="16" fillId="0" borderId="0" xfId="2" applyFont="1" applyAlignment="1" applyProtection="1">
      <alignment vertical="top"/>
      <protection locked="0"/>
    </xf>
    <xf numFmtId="0" fontId="22" fillId="0" borderId="0" xfId="2" applyFont="1" applyAlignment="1" applyProtection="1">
      <alignment vertical="top"/>
      <protection locked="0"/>
    </xf>
    <xf numFmtId="0" fontId="22" fillId="0" borderId="0" xfId="2" applyFont="1" applyAlignment="1" applyProtection="1">
      <alignment horizontal="left" vertical="top"/>
      <protection locked="0"/>
    </xf>
    <xf numFmtId="0" fontId="68" fillId="0" borderId="0" xfId="2" applyFont="1" applyAlignment="1" applyProtection="1">
      <alignment vertical="center"/>
      <protection locked="0"/>
    </xf>
    <xf numFmtId="3" fontId="43" fillId="3" borderId="0" xfId="22" applyNumberFormat="1" applyFont="1" applyFill="1" applyAlignment="1">
      <alignment horizontal="left" vertical="center"/>
    </xf>
    <xf numFmtId="0" fontId="43" fillId="3" borderId="63" xfId="22" applyFont="1" applyFill="1" applyBorder="1" applyAlignment="1">
      <alignment horizontal="center" vertical="center" wrapText="1"/>
    </xf>
    <xf numFmtId="0" fontId="32" fillId="3" borderId="75" xfId="22" applyFont="1" applyFill="1" applyBorder="1" applyAlignment="1">
      <alignment horizontal="left" vertical="center"/>
    </xf>
    <xf numFmtId="0" fontId="32" fillId="3" borderId="76" xfId="22" applyFont="1" applyFill="1" applyBorder="1" applyAlignment="1">
      <alignment horizontal="left" vertical="center"/>
    </xf>
    <xf numFmtId="0" fontId="32" fillId="3" borderId="92" xfId="22" applyFont="1" applyFill="1" applyBorder="1" applyAlignment="1">
      <alignment horizontal="left" vertical="center"/>
    </xf>
    <xf numFmtId="0" fontId="32" fillId="3" borderId="11" xfId="22" applyFont="1" applyFill="1" applyBorder="1" applyAlignment="1">
      <alignment horizontal="left" vertical="center"/>
    </xf>
    <xf numFmtId="0" fontId="32" fillId="3" borderId="0" xfId="22" applyFont="1" applyFill="1" applyAlignment="1">
      <alignment horizontal="left" vertical="center"/>
    </xf>
    <xf numFmtId="0" fontId="32" fillId="3" borderId="22" xfId="22" applyFont="1" applyFill="1" applyBorder="1" applyAlignment="1">
      <alignment horizontal="left" vertical="center"/>
    </xf>
    <xf numFmtId="0" fontId="32" fillId="3" borderId="50" xfId="22" applyFont="1" applyFill="1" applyBorder="1" applyAlignment="1">
      <alignment horizontal="left" vertical="center"/>
    </xf>
    <xf numFmtId="0" fontId="32" fillId="3" borderId="32" xfId="22" applyFont="1" applyFill="1" applyBorder="1" applyAlignment="1">
      <alignment horizontal="left" vertical="center"/>
    </xf>
    <xf numFmtId="0" fontId="32" fillId="3" borderId="43" xfId="22" applyFont="1" applyFill="1" applyBorder="1" applyAlignment="1">
      <alignment horizontal="left" vertical="center"/>
    </xf>
    <xf numFmtId="0" fontId="20" fillId="0" borderId="4" xfId="33" applyFont="1" applyBorder="1" applyAlignment="1">
      <alignment horizontal="center" vertical="center"/>
    </xf>
    <xf numFmtId="0" fontId="20" fillId="0" borderId="0" xfId="33" applyFont="1" applyAlignment="1">
      <alignment horizontal="center" vertical="center"/>
    </xf>
    <xf numFmtId="0" fontId="26" fillId="0" borderId="0" xfId="34" applyAlignment="1">
      <alignment horizontal="center" vertical="center" wrapText="1"/>
    </xf>
    <xf numFmtId="0" fontId="30" fillId="0" borderId="11" xfId="34" applyFont="1" applyBorder="1" applyAlignment="1">
      <alignment horizontal="center" vertical="center" wrapText="1"/>
    </xf>
    <xf numFmtId="0" fontId="30" fillId="0" borderId="0" xfId="34" applyFont="1" applyAlignment="1">
      <alignment horizontal="center" vertical="center" wrapText="1"/>
    </xf>
    <xf numFmtId="0" fontId="20" fillId="0" borderId="108" xfId="33" applyFont="1" applyBorder="1" applyAlignment="1">
      <alignment horizontal="center" vertical="center"/>
    </xf>
    <xf numFmtId="0" fontId="20" fillId="0" borderId="59" xfId="33" applyFont="1" applyBorder="1" applyAlignment="1">
      <alignment horizontal="center" vertical="center"/>
    </xf>
    <xf numFmtId="0" fontId="20" fillId="0" borderId="109" xfId="33" applyFont="1" applyBorder="1" applyAlignment="1">
      <alignment horizontal="center" vertical="center"/>
    </xf>
    <xf numFmtId="0" fontId="26" fillId="0" borderId="17" xfId="33" applyFont="1" applyBorder="1" applyAlignment="1">
      <alignment vertical="center" wrapText="1"/>
    </xf>
    <xf numFmtId="0" fontId="26" fillId="0" borderId="9" xfId="33" applyFont="1" applyBorder="1" applyAlignment="1">
      <alignment vertical="center" wrapText="1"/>
    </xf>
    <xf numFmtId="0" fontId="26" fillId="0" borderId="18" xfId="33" applyFont="1" applyBorder="1" applyAlignment="1">
      <alignment vertical="center" wrapText="1"/>
    </xf>
    <xf numFmtId="0" fontId="31" fillId="0" borderId="1" xfId="33" applyFont="1" applyBorder="1" applyAlignment="1">
      <alignment horizontal="center" vertical="center" wrapText="1"/>
    </xf>
    <xf numFmtId="0" fontId="31" fillId="0" borderId="2" xfId="33" applyFont="1" applyBorder="1" applyAlignment="1">
      <alignment horizontal="center" vertical="center" wrapText="1"/>
    </xf>
    <xf numFmtId="0" fontId="31" fillId="0" borderId="3" xfId="33" applyFont="1" applyBorder="1" applyAlignment="1">
      <alignment horizontal="center" vertical="center" wrapText="1"/>
    </xf>
    <xf numFmtId="0" fontId="20" fillId="0" borderId="58" xfId="33" applyFont="1" applyBorder="1" applyAlignment="1">
      <alignment horizontal="center" vertical="center"/>
    </xf>
    <xf numFmtId="0" fontId="20" fillId="0" borderId="60" xfId="33" applyFont="1" applyBorder="1" applyAlignment="1">
      <alignment horizontal="center" vertical="center"/>
    </xf>
    <xf numFmtId="0" fontId="0" fillId="0" borderId="58" xfId="33" applyFont="1" applyBorder="1" applyAlignment="1">
      <alignment horizontal="center" vertical="center" wrapText="1"/>
    </xf>
    <xf numFmtId="0" fontId="26" fillId="0" borderId="10" xfId="33" applyFont="1" applyBorder="1" applyAlignment="1">
      <alignment horizontal="center" vertical="center" wrapText="1"/>
    </xf>
    <xf numFmtId="0" fontId="26" fillId="0" borderId="31" xfId="33" applyFont="1" applyBorder="1" applyAlignment="1">
      <alignment horizontal="center" vertical="center" wrapText="1"/>
    </xf>
    <xf numFmtId="0" fontId="0" fillId="0" borderId="57" xfId="33" applyFont="1" applyBorder="1" applyAlignment="1">
      <alignment horizontal="center" vertical="center" wrapText="1"/>
    </xf>
    <xf numFmtId="0" fontId="26" fillId="0" borderId="5" xfId="33" applyFont="1" applyBorder="1" applyAlignment="1">
      <alignment horizontal="center" vertical="center" wrapText="1"/>
    </xf>
    <xf numFmtId="0" fontId="26" fillId="0" borderId="55" xfId="33" applyFont="1" applyBorder="1" applyAlignment="1">
      <alignment horizontal="center" vertical="center" wrapText="1"/>
    </xf>
    <xf numFmtId="0" fontId="0" fillId="0" borderId="6" xfId="33" applyFont="1" applyBorder="1" applyAlignment="1">
      <alignment horizontal="center" vertical="center"/>
    </xf>
    <xf numFmtId="0" fontId="0" fillId="0" borderId="7" xfId="33" applyFont="1" applyBorder="1" applyAlignment="1">
      <alignment horizontal="center" vertical="center"/>
    </xf>
    <xf numFmtId="0" fontId="20" fillId="0" borderId="58" xfId="33" applyFont="1" applyBorder="1" applyAlignment="1">
      <alignment horizontal="center" vertical="center" wrapText="1"/>
    </xf>
    <xf numFmtId="0" fontId="20" fillId="0" borderId="31" xfId="33" applyFont="1" applyBorder="1" applyAlignment="1">
      <alignment horizontal="center" vertical="center" wrapText="1"/>
    </xf>
    <xf numFmtId="0" fontId="26" fillId="0" borderId="5" xfId="34" applyBorder="1" applyAlignment="1">
      <alignment horizontal="center" vertical="center" wrapText="1"/>
    </xf>
    <xf numFmtId="0" fontId="20" fillId="0" borderId="11" xfId="33" applyFont="1" applyBorder="1" applyAlignment="1">
      <alignment horizontal="center" vertical="center"/>
    </xf>
    <xf numFmtId="0" fontId="20" fillId="0" borderId="5" xfId="33" applyFont="1" applyBorder="1" applyAlignment="1">
      <alignment horizontal="center" vertical="center"/>
    </xf>
    <xf numFmtId="0" fontId="30" fillId="0" borderId="0" xfId="33" applyFont="1" applyAlignment="1">
      <alignment horizontal="center" vertical="center" wrapText="1"/>
    </xf>
    <xf numFmtId="0" fontId="30" fillId="0" borderId="4" xfId="33" applyFont="1" applyBorder="1" applyAlignment="1">
      <alignment horizontal="center" vertical="center" wrapText="1"/>
    </xf>
    <xf numFmtId="0" fontId="81" fillId="0" borderId="0" xfId="36" applyFont="1" applyAlignment="1">
      <alignment wrapText="1"/>
    </xf>
    <xf numFmtId="0" fontId="80" fillId="0" borderId="0" xfId="36" applyFont="1"/>
    <xf numFmtId="0" fontId="81" fillId="0" borderId="20" xfId="36" applyFont="1" applyBorder="1" applyAlignment="1">
      <alignment horizontal="left" vertical="center" wrapText="1"/>
    </xf>
    <xf numFmtId="0" fontId="80" fillId="0" borderId="20" xfId="36" applyFont="1" applyBorder="1"/>
    <xf numFmtId="0" fontId="22" fillId="0" borderId="101" xfId="36" applyBorder="1" applyAlignment="1">
      <alignment horizontal="center" vertical="center" wrapText="1"/>
    </xf>
    <xf numFmtId="0" fontId="22" fillId="0" borderId="102" xfId="36" applyBorder="1" applyAlignment="1">
      <alignment horizontal="center" vertical="center" wrapText="1"/>
    </xf>
    <xf numFmtId="0" fontId="22" fillId="0" borderId="11" xfId="36" applyBorder="1" applyAlignment="1">
      <alignment horizontal="center" vertical="center" wrapText="1"/>
    </xf>
    <xf numFmtId="0" fontId="22" fillId="0" borderId="50" xfId="36" applyBorder="1" applyAlignment="1">
      <alignment horizontal="center" vertical="center" wrapText="1"/>
    </xf>
    <xf numFmtId="0" fontId="81" fillId="0" borderId="76" xfId="36" applyFont="1" applyBorder="1" applyAlignment="1">
      <alignment wrapText="1"/>
    </xf>
    <xf numFmtId="0" fontId="80" fillId="0" borderId="76" xfId="36" applyFont="1" applyBorder="1"/>
    <xf numFmtId="0" fontId="81" fillId="0" borderId="0" xfId="36" applyFont="1"/>
    <xf numFmtId="0" fontId="22" fillId="0" borderId="0" xfId="36" applyAlignment="1">
      <alignment horizontal="center" vertical="center" wrapText="1"/>
    </xf>
    <xf numFmtId="0" fontId="22" fillId="0" borderId="32" xfId="36" applyBorder="1" applyAlignment="1">
      <alignment horizontal="center" vertical="center" wrapText="1"/>
    </xf>
    <xf numFmtId="0" fontId="66" fillId="0" borderId="0" xfId="36" applyFont="1" applyAlignment="1">
      <alignment horizontal="left" vertical="center" wrapText="1"/>
    </xf>
    <xf numFmtId="0" fontId="70" fillId="0" borderId="0" xfId="36" applyFont="1"/>
    <xf numFmtId="0" fontId="22" fillId="0" borderId="50" xfId="36" applyBorder="1" applyAlignment="1">
      <alignment horizontal="center" vertical="center"/>
    </xf>
    <xf numFmtId="0" fontId="70" fillId="0" borderId="32" xfId="36" applyFont="1" applyBorder="1" applyAlignment="1">
      <alignment horizontal="center" vertical="center"/>
    </xf>
    <xf numFmtId="0" fontId="70" fillId="0" borderId="43" xfId="36" applyFont="1" applyBorder="1" applyAlignment="1">
      <alignment horizontal="center" vertical="center"/>
    </xf>
    <xf numFmtId="0" fontId="22" fillId="0" borderId="22" xfId="36" applyBorder="1" applyAlignment="1">
      <alignment horizontal="center" vertical="center" wrapText="1"/>
    </xf>
    <xf numFmtId="0" fontId="70" fillId="0" borderId="43" xfId="36" applyFont="1" applyBorder="1" applyAlignment="1">
      <alignment horizontal="center" vertical="center" wrapText="1"/>
    </xf>
    <xf numFmtId="0" fontId="70" fillId="0" borderId="50" xfId="36" applyFont="1" applyBorder="1" applyAlignment="1">
      <alignment horizontal="center" vertical="center" wrapText="1"/>
    </xf>
    <xf numFmtId="0" fontId="84" fillId="0" borderId="60" xfId="0" applyFont="1" applyBorder="1" applyAlignment="1">
      <alignment horizontal="center" vertical="center" wrapText="1"/>
    </xf>
    <xf numFmtId="0" fontId="84" fillId="0" borderId="32" xfId="0" applyFont="1" applyBorder="1" applyAlignment="1">
      <alignment horizontal="center" vertical="center" wrapText="1"/>
    </xf>
    <xf numFmtId="0" fontId="14" fillId="0" borderId="77"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0" xfId="0" applyFont="1" applyAlignment="1">
      <alignment horizontal="center" vertical="center" wrapText="1"/>
    </xf>
    <xf numFmtId="0" fontId="84" fillId="0" borderId="77" xfId="0" applyFont="1" applyBorder="1" applyAlignment="1">
      <alignment horizontal="center" vertical="center" wrapText="1"/>
    </xf>
    <xf numFmtId="0" fontId="84" fillId="0" borderId="35" xfId="0" applyFont="1" applyBorder="1" applyAlignment="1">
      <alignment horizontal="center" vertical="center" wrapText="1"/>
    </xf>
    <xf numFmtId="0" fontId="31" fillId="0" borderId="17" xfId="0" applyFont="1" applyBorder="1" applyAlignment="1">
      <alignment horizontal="center" vertical="center"/>
    </xf>
    <xf numFmtId="0" fontId="31" fillId="0" borderId="9" xfId="0" applyFont="1" applyBorder="1" applyAlignment="1">
      <alignment horizontal="center" vertical="center"/>
    </xf>
    <xf numFmtId="0" fontId="31" fillId="0" borderId="18" xfId="0" applyFont="1" applyBorder="1" applyAlignment="1">
      <alignment horizontal="center" vertical="center"/>
    </xf>
    <xf numFmtId="3" fontId="16" fillId="0" borderId="59" xfId="0" applyNumberFormat="1" applyFont="1" applyBorder="1" applyAlignment="1">
      <alignment horizontal="center" vertical="center" wrapText="1"/>
    </xf>
    <xf numFmtId="3" fontId="16" fillId="0" borderId="46" xfId="0" applyNumberFormat="1" applyFont="1" applyBorder="1" applyAlignment="1">
      <alignment horizontal="center" vertical="center" wrapText="1"/>
    </xf>
    <xf numFmtId="0" fontId="16" fillId="0" borderId="49" xfId="0" applyFont="1" applyBorder="1" applyAlignment="1">
      <alignment horizontal="center" vertical="center" wrapText="1"/>
    </xf>
    <xf numFmtId="0" fontId="16" fillId="0" borderId="37" xfId="0" applyFont="1" applyBorder="1" applyAlignment="1">
      <alignment horizontal="center" vertical="center" wrapText="1"/>
    </xf>
    <xf numFmtId="0" fontId="16" fillId="0" borderId="76" xfId="0" applyFont="1" applyBorder="1" applyAlignment="1">
      <alignment horizontal="center" vertical="center" wrapText="1"/>
    </xf>
    <xf numFmtId="0" fontId="16" fillId="0" borderId="60" xfId="0" applyFont="1" applyBorder="1" applyAlignment="1">
      <alignment horizontal="center" vertical="center" wrapText="1"/>
    </xf>
    <xf numFmtId="0" fontId="16" fillId="0" borderId="33" xfId="0" applyFont="1" applyBorder="1" applyAlignment="1">
      <alignment horizontal="center" vertical="center" wrapText="1"/>
    </xf>
    <xf numFmtId="1" fontId="16" fillId="0" borderId="103" xfId="0" applyNumberFormat="1" applyFont="1" applyBorder="1" applyAlignment="1">
      <alignment horizontal="center" vertical="center" wrapText="1"/>
    </xf>
    <xf numFmtId="1" fontId="16" fillId="0" borderId="102" xfId="0" applyNumberFormat="1" applyFont="1" applyBorder="1" applyAlignment="1">
      <alignment horizontal="center" vertical="center" wrapText="1"/>
    </xf>
    <xf numFmtId="0" fontId="14" fillId="0" borderId="60"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58" xfId="0" applyFont="1" applyBorder="1" applyAlignment="1">
      <alignment horizontal="center" vertical="center" wrapText="1"/>
    </xf>
    <xf numFmtId="0" fontId="14" fillId="0" borderId="31" xfId="0" applyFont="1" applyBorder="1" applyAlignment="1">
      <alignment horizontal="center" vertical="center" wrapText="1"/>
    </xf>
    <xf numFmtId="0" fontId="17" fillId="0" borderId="92" xfId="0" applyFont="1" applyBorder="1" applyAlignment="1">
      <alignment horizontal="center" vertical="center" wrapText="1"/>
    </xf>
    <xf numFmtId="0" fontId="17" fillId="0" borderId="43" xfId="0" applyFont="1" applyBorder="1" applyAlignment="1">
      <alignment horizontal="center" vertical="center" wrapText="1"/>
    </xf>
    <xf numFmtId="0" fontId="16" fillId="0" borderId="58" xfId="0" applyFont="1" applyBorder="1" applyAlignment="1">
      <alignment horizontal="center" vertical="center" wrapText="1"/>
    </xf>
    <xf numFmtId="0" fontId="14" fillId="0" borderId="78" xfId="2" applyFont="1" applyBorder="1" applyAlignment="1">
      <alignment horizontal="center" vertical="center" wrapText="1"/>
    </xf>
    <xf numFmtId="0" fontId="14" fillId="0" borderId="47" xfId="2" applyFont="1" applyBorder="1" applyAlignment="1">
      <alignment horizontal="center" vertical="center" wrapText="1"/>
    </xf>
    <xf numFmtId="0" fontId="14" fillId="0" borderId="60" xfId="2" applyFont="1" applyBorder="1" applyAlignment="1">
      <alignment horizontal="center" vertical="center" wrapText="1"/>
    </xf>
    <xf numFmtId="0" fontId="14" fillId="0" borderId="0" xfId="2" applyFont="1" applyAlignment="1">
      <alignment horizontal="center" vertical="center" wrapText="1"/>
    </xf>
    <xf numFmtId="0" fontId="14" fillId="0" borderId="58" xfId="2" applyFont="1" applyBorder="1" applyAlignment="1">
      <alignment horizontal="center" vertical="center" wrapText="1"/>
    </xf>
    <xf numFmtId="0" fontId="14" fillId="0" borderId="10" xfId="2" applyFont="1" applyBorder="1" applyAlignment="1">
      <alignment horizontal="center" vertical="center" wrapText="1"/>
    </xf>
    <xf numFmtId="0" fontId="14" fillId="0" borderId="48" xfId="2" applyFont="1" applyBorder="1" applyAlignment="1">
      <alignment horizontal="center" vertical="center" wrapText="1"/>
    </xf>
    <xf numFmtId="0" fontId="14" fillId="0" borderId="11" xfId="2" applyFont="1" applyBorder="1" applyAlignment="1">
      <alignment horizontal="center" vertical="center" wrapText="1"/>
    </xf>
    <xf numFmtId="0" fontId="12" fillId="0" borderId="17" xfId="2" applyFont="1" applyBorder="1" applyAlignment="1">
      <alignment horizontal="center" vertical="center"/>
    </xf>
    <xf numFmtId="0" fontId="12" fillId="0" borderId="9" xfId="2" applyFont="1" applyBorder="1" applyAlignment="1">
      <alignment horizontal="center" vertical="center"/>
    </xf>
    <xf numFmtId="0" fontId="12" fillId="0" borderId="18" xfId="2" applyFont="1" applyBorder="1" applyAlignment="1">
      <alignment horizontal="center" vertical="center"/>
    </xf>
    <xf numFmtId="0" fontId="14" fillId="0" borderId="40" xfId="3" applyFont="1" applyBorder="1" applyAlignment="1">
      <alignment horizontal="center" vertical="center"/>
    </xf>
    <xf numFmtId="0" fontId="14" fillId="0" borderId="38" xfId="3" applyFont="1" applyBorder="1" applyAlignment="1">
      <alignment horizontal="center" vertical="center"/>
    </xf>
    <xf numFmtId="0" fontId="14" fillId="0" borderId="39" xfId="3" applyFont="1" applyBorder="1" applyAlignment="1">
      <alignment horizontal="center" vertical="center"/>
    </xf>
    <xf numFmtId="0" fontId="16" fillId="0" borderId="6" xfId="2" applyFont="1" applyBorder="1" applyAlignment="1">
      <alignment horizontal="center" vertical="center" wrapText="1"/>
    </xf>
    <xf numFmtId="0" fontId="16" fillId="0" borderId="7" xfId="2" applyFont="1" applyBorder="1" applyAlignment="1">
      <alignment horizontal="center" vertical="center" wrapText="1"/>
    </xf>
    <xf numFmtId="0" fontId="16" fillId="0" borderId="8" xfId="2" applyFont="1" applyBorder="1" applyAlignment="1">
      <alignment horizontal="center" vertical="center" wrapText="1"/>
    </xf>
    <xf numFmtId="0" fontId="16" fillId="0" borderId="9" xfId="2" applyFont="1" applyBorder="1" applyAlignment="1">
      <alignment horizontal="center" vertical="center" wrapText="1"/>
    </xf>
    <xf numFmtId="0" fontId="12" fillId="0" borderId="17" xfId="2" applyFont="1" applyBorder="1" applyAlignment="1">
      <alignment horizontal="center" vertical="center" wrapText="1"/>
    </xf>
    <xf numFmtId="0" fontId="12" fillId="0" borderId="9" xfId="2" applyFont="1" applyBorder="1" applyAlignment="1">
      <alignment horizontal="center" vertical="center" wrapText="1"/>
    </xf>
    <xf numFmtId="0" fontId="12" fillId="0" borderId="18" xfId="2" applyFont="1" applyBorder="1" applyAlignment="1">
      <alignment horizontal="center" vertical="center" wrapText="1"/>
    </xf>
    <xf numFmtId="0" fontId="14" fillId="0" borderId="17" xfId="2" applyFont="1" applyBorder="1" applyAlignment="1">
      <alignment horizontal="left" vertical="top" wrapText="1"/>
    </xf>
    <xf numFmtId="0" fontId="14" fillId="0" borderId="9" xfId="2" applyFont="1" applyBorder="1" applyAlignment="1">
      <alignment horizontal="left" vertical="top" wrapText="1"/>
    </xf>
    <xf numFmtId="0" fontId="14" fillId="0" borderId="18" xfId="2" applyFont="1" applyBorder="1" applyAlignment="1">
      <alignment horizontal="left" vertical="top" wrapText="1"/>
    </xf>
    <xf numFmtId="0" fontId="14" fillId="0" borderId="19" xfId="2" applyFont="1" applyBorder="1" applyAlignment="1">
      <alignment horizontal="left" vertical="top" wrapText="1"/>
    </xf>
    <xf numFmtId="0" fontId="14" fillId="0" borderId="20" xfId="2" applyFont="1" applyBorder="1" applyAlignment="1">
      <alignment horizontal="left" vertical="top" wrapText="1"/>
    </xf>
    <xf numFmtId="0" fontId="14" fillId="0" borderId="21" xfId="2" applyFont="1" applyBorder="1" applyAlignment="1">
      <alignment horizontal="left" vertical="top" wrapText="1"/>
    </xf>
    <xf numFmtId="0" fontId="14" fillId="0" borderId="75" xfId="2" applyFont="1" applyBorder="1" applyAlignment="1">
      <alignment horizontal="center" vertical="center"/>
    </xf>
    <xf numFmtId="0" fontId="14" fillId="0" borderId="76" xfId="2" applyFont="1" applyBorder="1" applyAlignment="1">
      <alignment horizontal="center" vertical="center"/>
    </xf>
    <xf numFmtId="0" fontId="14" fillId="0" borderId="77" xfId="2" applyFont="1" applyBorder="1" applyAlignment="1">
      <alignment horizontal="center" vertical="center"/>
    </xf>
    <xf numFmtId="0" fontId="16" fillId="0" borderId="17" xfId="2" applyFont="1" applyBorder="1" applyAlignment="1">
      <alignment horizontal="center" vertical="center"/>
    </xf>
    <xf numFmtId="0" fontId="16" fillId="0" borderId="9" xfId="2" applyFont="1" applyBorder="1" applyAlignment="1">
      <alignment horizontal="center" vertical="center"/>
    </xf>
    <xf numFmtId="0" fontId="16" fillId="0" borderId="18" xfId="2" applyFont="1" applyBorder="1" applyAlignment="1">
      <alignment horizontal="center" vertical="center"/>
    </xf>
    <xf numFmtId="0" fontId="31" fillId="0" borderId="1" xfId="23" applyFont="1" applyBorder="1" applyAlignment="1">
      <alignment horizontal="center" vertical="center"/>
    </xf>
    <xf numFmtId="0" fontId="31" fillId="0" borderId="2" xfId="23" applyFont="1" applyBorder="1" applyAlignment="1">
      <alignment horizontal="center" vertical="center"/>
    </xf>
    <xf numFmtId="0" fontId="31" fillId="0" borderId="3" xfId="23" applyFont="1" applyBorder="1" applyAlignment="1">
      <alignment horizontal="center" vertical="center"/>
    </xf>
    <xf numFmtId="0" fontId="20" fillId="0" borderId="12" xfId="23" applyFont="1" applyBorder="1" applyAlignment="1">
      <alignment horizontal="center" vertical="center" wrapText="1"/>
    </xf>
    <xf numFmtId="0" fontId="20" fillId="0" borderId="41" xfId="23" applyFont="1" applyBorder="1" applyAlignment="1">
      <alignment horizontal="center" vertical="center" wrapText="1"/>
    </xf>
    <xf numFmtId="0" fontId="20" fillId="0" borderId="83" xfId="23" applyFont="1" applyBorder="1" applyAlignment="1">
      <alignment horizontal="center" vertical="center"/>
    </xf>
    <xf numFmtId="0" fontId="20" fillId="0" borderId="84" xfId="23" applyFont="1" applyBorder="1" applyAlignment="1">
      <alignment horizontal="center" vertical="center"/>
    </xf>
    <xf numFmtId="0" fontId="20" fillId="0" borderId="85" xfId="23" applyFont="1" applyBorder="1" applyAlignment="1">
      <alignment horizontal="center" vertical="center"/>
    </xf>
    <xf numFmtId="0" fontId="20" fillId="0" borderId="86" xfId="23" applyFont="1" applyBorder="1" applyAlignment="1">
      <alignment horizontal="center" vertical="center"/>
    </xf>
    <xf numFmtId="9" fontId="26" fillId="0" borderId="0" xfId="8" applyFont="1" applyAlignment="1">
      <alignment horizontal="center" vertical="center" wrapText="1"/>
    </xf>
    <xf numFmtId="0" fontId="20" fillId="0" borderId="87" xfId="23" applyFont="1" applyBorder="1" applyAlignment="1">
      <alignment horizontal="center" vertical="center" wrapText="1"/>
    </xf>
    <xf numFmtId="0" fontId="21" fillId="0" borderId="0" xfId="23" applyFont="1" applyAlignment="1">
      <alignment horizontal="center" vertical="center"/>
    </xf>
    <xf numFmtId="0" fontId="26" fillId="0" borderId="0" xfId="23" applyFont="1" applyAlignment="1">
      <alignment horizontal="center"/>
    </xf>
    <xf numFmtId="9" fontId="26" fillId="0" borderId="0" xfId="8" applyFont="1" applyAlignment="1">
      <alignment horizontal="center"/>
    </xf>
    <xf numFmtId="0" fontId="26" fillId="0" borderId="90" xfId="23" applyFont="1" applyBorder="1" applyAlignment="1">
      <alignment horizontal="center" vertical="center"/>
    </xf>
    <xf numFmtId="0" fontId="26" fillId="0" borderId="84" xfId="23" applyFont="1" applyBorder="1" applyAlignment="1">
      <alignment horizontal="center" vertical="center"/>
    </xf>
    <xf numFmtId="0" fontId="26" fillId="0" borderId="86" xfId="23" applyFont="1" applyBorder="1" applyAlignment="1">
      <alignment horizontal="center" vertical="center"/>
    </xf>
    <xf numFmtId="0" fontId="26" fillId="0" borderId="87" xfId="23" applyFont="1" applyBorder="1" applyAlignment="1">
      <alignment horizontal="center" vertical="center" wrapText="1"/>
    </xf>
    <xf numFmtId="0" fontId="26" fillId="0" borderId="41" xfId="23" applyFont="1" applyBorder="1" applyAlignment="1">
      <alignment horizontal="center" vertical="center" wrapText="1"/>
    </xf>
    <xf numFmtId="0" fontId="20" fillId="0" borderId="90" xfId="23" applyFont="1" applyBorder="1" applyAlignment="1">
      <alignment horizontal="center" vertical="center"/>
    </xf>
    <xf numFmtId="0" fontId="20" fillId="0" borderId="74" xfId="23" applyFont="1" applyBorder="1" applyAlignment="1">
      <alignment horizontal="center" vertical="center" wrapText="1"/>
    </xf>
    <xf numFmtId="0" fontId="20" fillId="0" borderId="31" xfId="23" applyFont="1" applyBorder="1" applyAlignment="1">
      <alignment horizontal="center" vertical="center" wrapText="1"/>
    </xf>
    <xf numFmtId="0" fontId="41" fillId="0" borderId="83" xfId="23" applyFont="1" applyBorder="1" applyAlignment="1">
      <alignment horizontal="center" vertical="center"/>
    </xf>
    <xf numFmtId="0" fontId="31" fillId="0" borderId="84" xfId="23" applyFont="1" applyBorder="1" applyAlignment="1">
      <alignment horizontal="center" vertical="center"/>
    </xf>
    <xf numFmtId="0" fontId="31" fillId="0" borderId="86" xfId="23" applyFont="1" applyBorder="1" applyAlignment="1">
      <alignment horizontal="center" vertical="center"/>
    </xf>
    <xf numFmtId="0" fontId="31" fillId="0" borderId="17" xfId="23" applyFont="1" applyBorder="1" applyAlignment="1">
      <alignment horizontal="center" vertical="center"/>
    </xf>
    <xf numFmtId="0" fontId="31" fillId="0" borderId="9" xfId="23" applyFont="1" applyBorder="1" applyAlignment="1">
      <alignment horizontal="center" vertical="center"/>
    </xf>
    <xf numFmtId="0" fontId="31" fillId="0" borderId="18" xfId="23" applyFont="1" applyBorder="1" applyAlignment="1">
      <alignment horizontal="center" vertical="center"/>
    </xf>
    <xf numFmtId="0" fontId="41" fillId="0" borderId="84" xfId="23" applyFont="1" applyBorder="1" applyAlignment="1">
      <alignment horizontal="center" vertical="center"/>
    </xf>
    <xf numFmtId="0" fontId="31" fillId="0" borderId="85" xfId="23" applyFont="1" applyBorder="1" applyAlignment="1">
      <alignment horizontal="center" vertical="center"/>
    </xf>
    <xf numFmtId="0" fontId="20" fillId="0" borderId="76" xfId="23" applyFont="1" applyBorder="1" applyAlignment="1">
      <alignment horizontal="center" vertical="center" wrapText="1"/>
    </xf>
    <xf numFmtId="0" fontId="20" fillId="0" borderId="32" xfId="23" applyFont="1" applyBorder="1" applyAlignment="1">
      <alignment horizontal="center" vertical="center" wrapText="1"/>
    </xf>
    <xf numFmtId="0" fontId="21" fillId="0" borderId="93" xfId="23" applyFont="1" applyBorder="1" applyAlignment="1">
      <alignment horizontal="center" vertical="center" wrapText="1"/>
    </xf>
    <xf numFmtId="0" fontId="21" fillId="0" borderId="36" xfId="23" applyFont="1" applyBorder="1" applyAlignment="1">
      <alignment horizontal="center" vertical="center" wrapText="1"/>
    </xf>
    <xf numFmtId="0" fontId="21" fillId="0" borderId="37" xfId="23" applyFont="1" applyBorder="1" applyAlignment="1">
      <alignment horizontal="center" vertical="center" wrapText="1"/>
    </xf>
    <xf numFmtId="0" fontId="21" fillId="0" borderId="83" xfId="23" applyFont="1" applyBorder="1" applyAlignment="1">
      <alignment horizontal="center" vertical="center"/>
    </xf>
    <xf numFmtId="0" fontId="21" fillId="0" borderId="90" xfId="23" applyFont="1" applyBorder="1" applyAlignment="1">
      <alignment horizontal="center" vertical="center"/>
    </xf>
    <xf numFmtId="0" fontId="26" fillId="0" borderId="85" xfId="23" applyFont="1" applyBorder="1" applyAlignment="1">
      <alignment horizontal="center" vertical="center"/>
    </xf>
    <xf numFmtId="0" fontId="21" fillId="0" borderId="74" xfId="23" applyFont="1" applyBorder="1" applyAlignment="1">
      <alignment horizontal="center" vertical="center" wrapText="1"/>
    </xf>
    <xf numFmtId="0" fontId="21" fillId="0" borderId="10" xfId="23" applyFont="1" applyBorder="1" applyAlignment="1">
      <alignment horizontal="center" vertical="center" wrapText="1"/>
    </xf>
    <xf numFmtId="0" fontId="21" fillId="0" borderId="31" xfId="23" applyFont="1" applyBorder="1" applyAlignment="1">
      <alignment horizontal="center" vertical="center" wrapText="1"/>
    </xf>
    <xf numFmtId="0" fontId="21" fillId="0" borderId="77" xfId="23" applyFont="1" applyBorder="1" applyAlignment="1">
      <alignment horizontal="center" vertical="center" wrapText="1"/>
    </xf>
    <xf numFmtId="0" fontId="21" fillId="0" borderId="29" xfId="23" applyFont="1" applyBorder="1" applyAlignment="1">
      <alignment horizontal="center" vertical="center" wrapText="1"/>
    </xf>
    <xf numFmtId="0" fontId="21" fillId="0" borderId="35" xfId="23" applyFont="1" applyBorder="1" applyAlignment="1">
      <alignment horizontal="center" vertical="center" wrapText="1"/>
    </xf>
  </cellXfs>
  <cellStyles count="38">
    <cellStyle name="Comma 10" xfId="20" xr:uid="{00000000-0005-0000-0000-000000000000}"/>
    <cellStyle name="Comma 13" xfId="5" xr:uid="{00000000-0005-0000-0000-000001000000}"/>
    <cellStyle name="Comma 2" xfId="9" xr:uid="{00000000-0005-0000-0000-000002000000}"/>
    <cellStyle name="Comma 2 5" xfId="19" xr:uid="{00000000-0005-0000-0000-000003000000}"/>
    <cellStyle name="Hyperlink" xfId="30" builtinId="8"/>
    <cellStyle name="Hyperlink 2" xfId="17" xr:uid="{00000000-0005-0000-0000-000004000000}"/>
    <cellStyle name="Normal" xfId="0" builtinId="0"/>
    <cellStyle name="Normal 10" xfId="16" xr:uid="{00000000-0005-0000-0000-000007000000}"/>
    <cellStyle name="Normal 11 2" xfId="2" xr:uid="{00000000-0005-0000-0000-000008000000}"/>
    <cellStyle name="Normal 15 4" xfId="4" xr:uid="{00000000-0005-0000-0000-000009000000}"/>
    <cellStyle name="Normal 2" xfId="7" xr:uid="{00000000-0005-0000-0000-00000A000000}"/>
    <cellStyle name="Normal 2 2" xfId="18" xr:uid="{00000000-0005-0000-0000-00000B000000}"/>
    <cellStyle name="Normal 2 3" xfId="23" xr:uid="{00000000-0005-0000-0000-00000C000000}"/>
    <cellStyle name="Normal 2 4" xfId="34" xr:uid="{00000000-0005-0000-0000-00000D000000}"/>
    <cellStyle name="Normal 2 5" xfId="36" xr:uid="{8A0211B1-18E6-D641-BE6C-0AC75E91BE25}"/>
    <cellStyle name="Normal 22" xfId="24" xr:uid="{00000000-0005-0000-0000-00000E000000}"/>
    <cellStyle name="Normal 29" xfId="25" xr:uid="{00000000-0005-0000-0000-00000F000000}"/>
    <cellStyle name="Normal 3" xfId="10" xr:uid="{00000000-0005-0000-0000-000010000000}"/>
    <cellStyle name="Normal 3 2 2 2" xfId="28" xr:uid="{00000000-0005-0000-0000-000011000000}"/>
    <cellStyle name="Normal 32" xfId="33" xr:uid="{00000000-0005-0000-0000-000012000000}"/>
    <cellStyle name="Normal 34" xfId="27" xr:uid="{00000000-0005-0000-0000-000013000000}"/>
    <cellStyle name="Normal 36" xfId="6" xr:uid="{00000000-0005-0000-0000-000014000000}"/>
    <cellStyle name="Normal 4" xfId="13" xr:uid="{00000000-0005-0000-0000-000015000000}"/>
    <cellStyle name="Normal 5" xfId="14" xr:uid="{00000000-0005-0000-0000-000016000000}"/>
    <cellStyle name="Normal 6" xfId="15" xr:uid="{00000000-0005-0000-0000-000017000000}"/>
    <cellStyle name="Normal 7" xfId="21" xr:uid="{00000000-0005-0000-0000-000018000000}"/>
    <cellStyle name="Normal 8" xfId="22" xr:uid="{00000000-0005-0000-0000-000019000000}"/>
    <cellStyle name="Normal 9" xfId="31" xr:uid="{00000000-0005-0000-0000-00001A000000}"/>
    <cellStyle name="Normal_AppendixTables(NationalAccountsData).xls" xfId="3" xr:uid="{00000000-0005-0000-0000-00001B000000}"/>
    <cellStyle name="Percent" xfId="1" builtinId="5"/>
    <cellStyle name="Percent 17" xfId="29" xr:uid="{00000000-0005-0000-0000-00001C000000}"/>
    <cellStyle name="Percent 2" xfId="8" xr:uid="{00000000-0005-0000-0000-00001D000000}"/>
    <cellStyle name="Percent 2 2" xfId="35" xr:uid="{00000000-0005-0000-0000-00001E000000}"/>
    <cellStyle name="Percent 3" xfId="11" xr:uid="{00000000-0005-0000-0000-00001F000000}"/>
    <cellStyle name="Percent 4" xfId="32" xr:uid="{00000000-0005-0000-0000-000020000000}"/>
    <cellStyle name="Percent 5" xfId="37" xr:uid="{1CB3F3C7-80E4-9941-8BFD-92ABE84E5CD8}"/>
    <cellStyle name="Percent 6" xfId="26" xr:uid="{00000000-0005-0000-0000-000021000000}"/>
    <cellStyle name="Procent 2" xfId="12" xr:uid="{00000000-0005-0000-0000-000023000000}"/>
  </cellStyles>
  <dxfs count="1">
    <dxf>
      <font>
        <color rgb="FF9C0006"/>
      </font>
      <fill>
        <patternFill>
          <bgColor rgb="FFFFC7CE"/>
        </patternFill>
      </fill>
    </dxf>
  </dxfs>
  <tableStyles count="0" defaultTableStyle="TableStyleMedium2" defaultPivotStyle="PivotStyleLight16"/>
  <colors>
    <mruColors>
      <color rgb="FFFF7C80"/>
      <color rgb="FFEAA192"/>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7.xml"/><Relationship Id="rId18" Type="http://schemas.openxmlformats.org/officeDocument/2006/relationships/chartsheet" Target="chartsheets/sheet7.xml"/><Relationship Id="rId26" Type="http://schemas.openxmlformats.org/officeDocument/2006/relationships/worksheet" Target="worksheets/sheet14.xml"/><Relationship Id="rId39" Type="http://schemas.openxmlformats.org/officeDocument/2006/relationships/worksheet" Target="worksheets/sheet27.xml"/><Relationship Id="rId21" Type="http://schemas.openxmlformats.org/officeDocument/2006/relationships/chartsheet" Target="chartsheets/sheet10.xml"/><Relationship Id="rId34" Type="http://schemas.openxmlformats.org/officeDocument/2006/relationships/worksheet" Target="worksheets/sheet22.xml"/><Relationship Id="rId42" Type="http://schemas.openxmlformats.org/officeDocument/2006/relationships/externalLink" Target="externalLinks/externalLink2.xml"/><Relationship Id="rId47" Type="http://schemas.openxmlformats.org/officeDocument/2006/relationships/sharedStrings" Target="sharedStrings.xml"/><Relationship Id="rId7" Type="http://schemas.openxmlformats.org/officeDocument/2006/relationships/chartsheet" Target="chartsheets/sheet4.xml"/><Relationship Id="rId2" Type="http://schemas.openxmlformats.org/officeDocument/2006/relationships/worksheet" Target="worksheets/sheet2.xml"/><Relationship Id="rId16" Type="http://schemas.openxmlformats.org/officeDocument/2006/relationships/worksheet" Target="worksheets/sheet10.xml"/><Relationship Id="rId29" Type="http://schemas.openxmlformats.org/officeDocument/2006/relationships/worksheet" Target="worksheets/sheet17.xml"/><Relationship Id="rId11" Type="http://schemas.openxmlformats.org/officeDocument/2006/relationships/worksheet" Target="worksheets/sheet5.xml"/><Relationship Id="rId24" Type="http://schemas.openxmlformats.org/officeDocument/2006/relationships/worksheet" Target="worksheets/sheet12.xml"/><Relationship Id="rId32" Type="http://schemas.openxmlformats.org/officeDocument/2006/relationships/worksheet" Target="worksheets/sheet20.xml"/><Relationship Id="rId37" Type="http://schemas.openxmlformats.org/officeDocument/2006/relationships/worksheet" Target="worksheets/sheet25.xml"/><Relationship Id="rId40" Type="http://schemas.openxmlformats.org/officeDocument/2006/relationships/chartsheet" Target="chartsheets/sheet13.xml"/><Relationship Id="rId45" Type="http://schemas.openxmlformats.org/officeDocument/2006/relationships/theme" Target="theme/theme1.xml"/><Relationship Id="rId5" Type="http://schemas.openxmlformats.org/officeDocument/2006/relationships/chartsheet" Target="chartsheets/sheet2.xml"/><Relationship Id="rId15" Type="http://schemas.openxmlformats.org/officeDocument/2006/relationships/worksheet" Target="worksheets/sheet9.xml"/><Relationship Id="rId23" Type="http://schemas.openxmlformats.org/officeDocument/2006/relationships/chartsheet" Target="chartsheets/sheet12.xml"/><Relationship Id="rId28" Type="http://schemas.openxmlformats.org/officeDocument/2006/relationships/worksheet" Target="worksheets/sheet16.xml"/><Relationship Id="rId36" Type="http://schemas.openxmlformats.org/officeDocument/2006/relationships/worksheet" Target="worksheets/sheet24.xml"/><Relationship Id="rId49" Type="http://schemas.microsoft.com/office/2017/10/relationships/person" Target="persons/person.xml"/><Relationship Id="rId10" Type="http://schemas.openxmlformats.org/officeDocument/2006/relationships/worksheet" Target="worksheets/sheet4.xml"/><Relationship Id="rId19" Type="http://schemas.openxmlformats.org/officeDocument/2006/relationships/chartsheet" Target="chartsheets/sheet8.xml"/><Relationship Id="rId31" Type="http://schemas.openxmlformats.org/officeDocument/2006/relationships/worksheet" Target="worksheets/sheet19.xml"/><Relationship Id="rId44" Type="http://schemas.openxmlformats.org/officeDocument/2006/relationships/externalLink" Target="externalLinks/externalLink4.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worksheet" Target="worksheets/sheet8.xml"/><Relationship Id="rId22" Type="http://schemas.openxmlformats.org/officeDocument/2006/relationships/chartsheet" Target="chartsheets/sheet11.xml"/><Relationship Id="rId27" Type="http://schemas.openxmlformats.org/officeDocument/2006/relationships/worksheet" Target="worksheets/sheet15.xml"/><Relationship Id="rId30" Type="http://schemas.openxmlformats.org/officeDocument/2006/relationships/worksheet" Target="worksheets/sheet18.xml"/><Relationship Id="rId35" Type="http://schemas.openxmlformats.org/officeDocument/2006/relationships/worksheet" Target="worksheets/sheet23.xml"/><Relationship Id="rId43" Type="http://schemas.openxmlformats.org/officeDocument/2006/relationships/externalLink" Target="externalLinks/externalLink3.xml"/><Relationship Id="rId48" Type="http://schemas.openxmlformats.org/officeDocument/2006/relationships/calcChain" Target="calcChain.xml"/><Relationship Id="rId8" Type="http://schemas.openxmlformats.org/officeDocument/2006/relationships/chartsheet" Target="chartsheets/sheet5.xml"/><Relationship Id="rId3" Type="http://schemas.openxmlformats.org/officeDocument/2006/relationships/worksheet" Target="worksheets/sheet3.xml"/><Relationship Id="rId12" Type="http://schemas.openxmlformats.org/officeDocument/2006/relationships/worksheet" Target="worksheets/sheet6.xml"/><Relationship Id="rId17" Type="http://schemas.openxmlformats.org/officeDocument/2006/relationships/worksheet" Target="worksheets/sheet11.xml"/><Relationship Id="rId25" Type="http://schemas.openxmlformats.org/officeDocument/2006/relationships/worksheet" Target="worksheets/sheet13.xml"/><Relationship Id="rId33" Type="http://schemas.openxmlformats.org/officeDocument/2006/relationships/worksheet" Target="worksheets/sheet21.xml"/><Relationship Id="rId38" Type="http://schemas.openxmlformats.org/officeDocument/2006/relationships/worksheet" Target="worksheets/sheet26.xml"/><Relationship Id="rId46" Type="http://schemas.openxmlformats.org/officeDocument/2006/relationships/styles" Target="styles.xml"/><Relationship Id="rId20" Type="http://schemas.openxmlformats.org/officeDocument/2006/relationships/chartsheet" Target="chartsheets/sheet9.xml"/><Relationship Id="rId41"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hartsheet" Target="chartsheets/sheet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7.xml.rels><?xml version="1.0" encoding="UTF-8" standalone="yes"?>
<Relationships xmlns="http://schemas.openxmlformats.org/package/2006/relationships"><Relationship Id="rId2" Type="http://schemas.openxmlformats.org/officeDocument/2006/relationships/chartUserShapes" Target="../drawings/drawing24.xml"/><Relationship Id="rId1" Type="http://schemas.openxmlformats.org/officeDocument/2006/relationships/themeOverride" Target="../theme/themeOverride1.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0"/>
            </a:pPr>
            <a:r>
              <a:rPr lang="en-US" sz="2200" b="1"/>
              <a:t>Pre-tax</a:t>
            </a:r>
            <a:r>
              <a:rPr lang="en-US" sz="2200" b="1" baseline="0"/>
              <a:t> </a:t>
            </a:r>
            <a:r>
              <a:rPr lang="en-US" sz="2200" b="1"/>
              <a:t>corporate</a:t>
            </a:r>
            <a:r>
              <a:rPr lang="en-US" sz="2200" b="1" baseline="0"/>
              <a:t> profits (2015)                                                             </a:t>
            </a:r>
            <a:r>
              <a:rPr lang="en-US" sz="2200" b="0" baseline="0"/>
              <a:t>(% of compensation of employees)</a:t>
            </a:r>
            <a:endParaRPr lang="en-US" sz="2200" b="0"/>
          </a:p>
        </c:rich>
      </c:tx>
      <c:layout>
        <c:manualLayout>
          <c:xMode val="edge"/>
          <c:yMode val="edge"/>
          <c:x val="0.33005346155500997"/>
          <c:y val="4.15774388034132E-3"/>
        </c:manualLayout>
      </c:layout>
      <c:overlay val="1"/>
    </c:title>
    <c:autoTitleDeleted val="0"/>
    <c:plotArea>
      <c:layout>
        <c:manualLayout>
          <c:layoutTarget val="inner"/>
          <c:xMode val="edge"/>
          <c:yMode val="edge"/>
          <c:x val="0.102983885032014"/>
          <c:y val="9.0193435851866496E-2"/>
          <c:w val="0.89564993372055801"/>
          <c:h val="0.70145389253121604"/>
        </c:manualLayout>
      </c:layout>
      <c:barChart>
        <c:barDir val="col"/>
        <c:grouping val="clustered"/>
        <c:varyColors val="0"/>
        <c:ser>
          <c:idx val="0"/>
          <c:order val="0"/>
          <c:tx>
            <c:v>Foreign firms</c:v>
          </c:tx>
          <c:spPr>
            <a:solidFill>
              <a:srgbClr val="EAA192"/>
            </a:solidFill>
            <a:ln>
              <a:noFill/>
            </a:ln>
          </c:spPr>
          <c:invertIfNegative val="0"/>
          <c:dLbls>
            <c:dLbl>
              <c:idx val="0"/>
              <c:layout>
                <c:manualLayout>
                  <c:x val="-7.2966127467867598E-2"/>
                  <c:y val="4.0860709499779303E-2"/>
                </c:manualLayout>
              </c:layout>
              <c:spPr/>
              <c:txPr>
                <a:bodyPr/>
                <a:lstStyle/>
                <a:p>
                  <a:pPr>
                    <a:defRPr sz="1800"/>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3DA-4DF5-BC5C-0DC8DB4620BF}"/>
                </c:ext>
              </c:extLst>
            </c:dLbl>
            <c:dLbl>
              <c:idx val="1"/>
              <c:delete val="1"/>
              <c:extLst>
                <c:ext xmlns:c15="http://schemas.microsoft.com/office/drawing/2012/chart" uri="{CE6537A1-D6FC-4f65-9D91-7224C49458BB}"/>
                <c:ext xmlns:c16="http://schemas.microsoft.com/office/drawing/2014/chart" uri="{C3380CC4-5D6E-409C-BE32-E72D297353CC}">
                  <c16:uniqueId val="{00000001-93DA-4DF5-BC5C-0DC8DB4620BF}"/>
                </c:ext>
              </c:extLst>
            </c:dLbl>
            <c:dLbl>
              <c:idx val="2"/>
              <c:delete val="1"/>
              <c:extLst>
                <c:ext xmlns:c15="http://schemas.microsoft.com/office/drawing/2012/chart" uri="{CE6537A1-D6FC-4f65-9D91-7224C49458BB}"/>
                <c:ext xmlns:c16="http://schemas.microsoft.com/office/drawing/2014/chart" uri="{C3380CC4-5D6E-409C-BE32-E72D297353CC}">
                  <c16:uniqueId val="{00000002-93DA-4DF5-BC5C-0DC8DB4620BF}"/>
                </c:ext>
              </c:extLst>
            </c:dLbl>
            <c:dLbl>
              <c:idx val="3"/>
              <c:delete val="1"/>
              <c:extLst>
                <c:ext xmlns:c15="http://schemas.microsoft.com/office/drawing/2012/chart" uri="{CE6537A1-D6FC-4f65-9D91-7224C49458BB}"/>
                <c:ext xmlns:c16="http://schemas.microsoft.com/office/drawing/2014/chart" uri="{C3380CC4-5D6E-409C-BE32-E72D297353CC}">
                  <c16:uniqueId val="{00000003-93DA-4DF5-BC5C-0DC8DB4620BF}"/>
                </c:ext>
              </c:extLst>
            </c:dLbl>
            <c:dLbl>
              <c:idx val="4"/>
              <c:delete val="1"/>
              <c:extLst>
                <c:ext xmlns:c15="http://schemas.microsoft.com/office/drawing/2012/chart" uri="{CE6537A1-D6FC-4f65-9D91-7224C49458BB}"/>
                <c:ext xmlns:c16="http://schemas.microsoft.com/office/drawing/2014/chart" uri="{C3380CC4-5D6E-409C-BE32-E72D297353CC}">
                  <c16:uniqueId val="{00000004-93DA-4DF5-BC5C-0DC8DB4620BF}"/>
                </c:ext>
              </c:extLst>
            </c:dLbl>
            <c:dLbl>
              <c:idx val="5"/>
              <c:delete val="1"/>
              <c:extLst>
                <c:ext xmlns:c15="http://schemas.microsoft.com/office/drawing/2012/chart" uri="{CE6537A1-D6FC-4f65-9D91-7224C49458BB}"/>
                <c:ext xmlns:c16="http://schemas.microsoft.com/office/drawing/2014/chart" uri="{C3380CC4-5D6E-409C-BE32-E72D297353CC}">
                  <c16:uniqueId val="{00000005-93DA-4DF5-BC5C-0DC8DB4620BF}"/>
                </c:ext>
              </c:extLst>
            </c:dLbl>
            <c:dLbl>
              <c:idx val="6"/>
              <c:delete val="1"/>
              <c:extLst>
                <c:ext xmlns:c15="http://schemas.microsoft.com/office/drawing/2012/chart" uri="{CE6537A1-D6FC-4f65-9D91-7224C49458BB}"/>
                <c:ext xmlns:c16="http://schemas.microsoft.com/office/drawing/2014/chart" uri="{C3380CC4-5D6E-409C-BE32-E72D297353CC}">
                  <c16:uniqueId val="{00000006-93DA-4DF5-BC5C-0DC8DB4620BF}"/>
                </c:ext>
              </c:extLst>
            </c:dLbl>
            <c:dLbl>
              <c:idx val="7"/>
              <c:delete val="1"/>
              <c:extLst>
                <c:ext xmlns:c15="http://schemas.microsoft.com/office/drawing/2012/chart" uri="{CE6537A1-D6FC-4f65-9D91-7224C49458BB}"/>
                <c:ext xmlns:c16="http://schemas.microsoft.com/office/drawing/2014/chart" uri="{C3380CC4-5D6E-409C-BE32-E72D297353CC}">
                  <c16:uniqueId val="{00000007-93DA-4DF5-BC5C-0DC8DB4620BF}"/>
                </c:ext>
              </c:extLst>
            </c:dLbl>
            <c:dLbl>
              <c:idx val="8"/>
              <c:delete val="1"/>
              <c:extLst>
                <c:ext xmlns:c15="http://schemas.microsoft.com/office/drawing/2012/chart" uri="{CE6537A1-D6FC-4f65-9D91-7224C49458BB}"/>
                <c:ext xmlns:c16="http://schemas.microsoft.com/office/drawing/2014/chart" uri="{C3380CC4-5D6E-409C-BE32-E72D297353CC}">
                  <c16:uniqueId val="{00000008-93DA-4DF5-BC5C-0DC8DB4620BF}"/>
                </c:ext>
              </c:extLst>
            </c:dLbl>
            <c:dLbl>
              <c:idx val="9"/>
              <c:delete val="1"/>
              <c:extLst>
                <c:ext xmlns:c15="http://schemas.microsoft.com/office/drawing/2012/chart" uri="{CE6537A1-D6FC-4f65-9D91-7224C49458BB}"/>
                <c:ext xmlns:c16="http://schemas.microsoft.com/office/drawing/2014/chart" uri="{C3380CC4-5D6E-409C-BE32-E72D297353CC}">
                  <c16:uniqueId val="{00000009-93DA-4DF5-BC5C-0DC8DB4620BF}"/>
                </c:ext>
              </c:extLst>
            </c:dLbl>
            <c:dLbl>
              <c:idx val="10"/>
              <c:delete val="1"/>
              <c:extLst>
                <c:ext xmlns:c15="http://schemas.microsoft.com/office/drawing/2012/chart" uri="{CE6537A1-D6FC-4f65-9D91-7224C49458BB}"/>
                <c:ext xmlns:c16="http://schemas.microsoft.com/office/drawing/2014/chart" uri="{C3380CC4-5D6E-409C-BE32-E72D297353CC}">
                  <c16:uniqueId val="{0000000A-93DA-4DF5-BC5C-0DC8DB4620BF}"/>
                </c:ext>
              </c:extLst>
            </c:dLbl>
            <c:dLbl>
              <c:idx val="11"/>
              <c:delete val="1"/>
              <c:extLst>
                <c:ext xmlns:c15="http://schemas.microsoft.com/office/drawing/2012/chart" uri="{CE6537A1-D6FC-4f65-9D91-7224C49458BB}"/>
                <c:ext xmlns:c16="http://schemas.microsoft.com/office/drawing/2014/chart" uri="{C3380CC4-5D6E-409C-BE32-E72D297353CC}">
                  <c16:uniqueId val="{0000000B-93DA-4DF5-BC5C-0DC8DB4620BF}"/>
                </c:ext>
              </c:extLst>
            </c:dLbl>
            <c:dLbl>
              <c:idx val="12"/>
              <c:delete val="1"/>
              <c:extLst>
                <c:ext xmlns:c15="http://schemas.microsoft.com/office/drawing/2012/chart" uri="{CE6537A1-D6FC-4f65-9D91-7224C49458BB}"/>
                <c:ext xmlns:c16="http://schemas.microsoft.com/office/drawing/2014/chart" uri="{C3380CC4-5D6E-409C-BE32-E72D297353CC}">
                  <c16:uniqueId val="{0000000C-93DA-4DF5-BC5C-0DC8DB4620BF}"/>
                </c:ext>
              </c:extLst>
            </c:dLbl>
            <c:dLbl>
              <c:idx val="13"/>
              <c:delete val="1"/>
              <c:extLst>
                <c:ext xmlns:c15="http://schemas.microsoft.com/office/drawing/2012/chart" uri="{CE6537A1-D6FC-4f65-9D91-7224C49458BB}"/>
                <c:ext xmlns:c16="http://schemas.microsoft.com/office/drawing/2014/chart" uri="{C3380CC4-5D6E-409C-BE32-E72D297353CC}">
                  <c16:uniqueId val="{0000000D-93DA-4DF5-BC5C-0DC8DB4620BF}"/>
                </c:ext>
              </c:extLst>
            </c:dLbl>
            <c:dLbl>
              <c:idx val="14"/>
              <c:delete val="1"/>
              <c:extLst>
                <c:ext xmlns:c15="http://schemas.microsoft.com/office/drawing/2012/chart" uri="{CE6537A1-D6FC-4f65-9D91-7224C49458BB}"/>
                <c:ext xmlns:c16="http://schemas.microsoft.com/office/drawing/2014/chart" uri="{C3380CC4-5D6E-409C-BE32-E72D297353CC}">
                  <c16:uniqueId val="{0000000E-93DA-4DF5-BC5C-0DC8DB4620BF}"/>
                </c:ext>
              </c:extLst>
            </c:dLbl>
            <c:dLbl>
              <c:idx val="15"/>
              <c:delete val="1"/>
              <c:extLst>
                <c:ext xmlns:c15="http://schemas.microsoft.com/office/drawing/2012/chart" uri="{CE6537A1-D6FC-4f65-9D91-7224C49458BB}"/>
                <c:ext xmlns:c16="http://schemas.microsoft.com/office/drawing/2014/chart" uri="{C3380CC4-5D6E-409C-BE32-E72D297353CC}">
                  <c16:uniqueId val="{0000000F-93DA-4DF5-BC5C-0DC8DB4620BF}"/>
                </c:ext>
              </c:extLst>
            </c:dLbl>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DataF1!$A$2:$A$17</c:f>
              <c:strCache>
                <c:ptCount val="16"/>
                <c:pt idx="0">
                  <c:v>Puerto Rico</c:v>
                </c:pt>
                <c:pt idx="1">
                  <c:v>Ireland</c:v>
                </c:pt>
                <c:pt idx="2">
                  <c:v>Luxembourg</c:v>
                </c:pt>
                <c:pt idx="3">
                  <c:v>Switzerland</c:v>
                </c:pt>
                <c:pt idx="4">
                  <c:v>Singapore</c:v>
                </c:pt>
                <c:pt idx="5">
                  <c:v>Hong Kong</c:v>
                </c:pt>
                <c:pt idx="6">
                  <c:v>Netherlands</c:v>
                </c:pt>
                <c:pt idx="7">
                  <c:v>Belgium</c:v>
                </c:pt>
                <c:pt idx="8">
                  <c:v>US</c:v>
                </c:pt>
                <c:pt idx="9">
                  <c:v>Australia</c:v>
                </c:pt>
                <c:pt idx="10">
                  <c:v>UK</c:v>
                </c:pt>
                <c:pt idx="11">
                  <c:v>Spain</c:v>
                </c:pt>
                <c:pt idx="12">
                  <c:v>Japan</c:v>
                </c:pt>
                <c:pt idx="13">
                  <c:v>France</c:v>
                </c:pt>
                <c:pt idx="14">
                  <c:v>Germany</c:v>
                </c:pt>
                <c:pt idx="15">
                  <c:v>Italy</c:v>
                </c:pt>
              </c:strCache>
            </c:strRef>
          </c:cat>
          <c:val>
            <c:numRef>
              <c:f>DataF1!$F$2:$F$17</c:f>
              <c:numCache>
                <c:formatCode>0%</c:formatCode>
                <c:ptCount val="16"/>
                <c:pt idx="0">
                  <c:v>16.745534629218685</c:v>
                </c:pt>
                <c:pt idx="1">
                  <c:v>7.9996490577609283</c:v>
                </c:pt>
                <c:pt idx="2">
                  <c:v>4.6076539817790847</c:v>
                </c:pt>
                <c:pt idx="3">
                  <c:v>3.1934639833073937</c:v>
                </c:pt>
                <c:pt idx="4">
                  <c:v>2.1814755318098822</c:v>
                </c:pt>
                <c:pt idx="5">
                  <c:v>2.1348906384735855</c:v>
                </c:pt>
                <c:pt idx="6">
                  <c:v>1.1495705968665206</c:v>
                </c:pt>
                <c:pt idx="7">
                  <c:v>0.67980103327038299</c:v>
                </c:pt>
                <c:pt idx="8">
                  <c:v>0.28343272646330486</c:v>
                </c:pt>
                <c:pt idx="9">
                  <c:v>0.27383940346897767</c:v>
                </c:pt>
                <c:pt idx="10">
                  <c:v>0.25723407405999843</c:v>
                </c:pt>
                <c:pt idx="11">
                  <c:v>0.24643753940062663</c:v>
                </c:pt>
                <c:pt idx="12">
                  <c:v>0.23732566147384185</c:v>
                </c:pt>
                <c:pt idx="13">
                  <c:v>0.2071972615008727</c:v>
                </c:pt>
                <c:pt idx="14">
                  <c:v>0.18304850872360104</c:v>
                </c:pt>
                <c:pt idx="15">
                  <c:v>0.16233602672515596</c:v>
                </c:pt>
              </c:numCache>
            </c:numRef>
          </c:val>
          <c:extLst>
            <c:ext xmlns:c16="http://schemas.microsoft.com/office/drawing/2014/chart" uri="{C3380CC4-5D6E-409C-BE32-E72D297353CC}">
              <c16:uniqueId val="{00000010-93DA-4DF5-BC5C-0DC8DB4620BF}"/>
            </c:ext>
          </c:extLst>
        </c:ser>
        <c:ser>
          <c:idx val="2"/>
          <c:order val="1"/>
          <c:tx>
            <c:v>Local firms</c:v>
          </c:tx>
          <c:spPr>
            <a:solidFill>
              <a:schemeClr val="tx1"/>
            </a:solidFill>
          </c:spPr>
          <c:invertIfNegative val="0"/>
          <c:cat>
            <c:strRef>
              <c:f>DataF1!$A$2:$A$17</c:f>
              <c:strCache>
                <c:ptCount val="16"/>
                <c:pt idx="0">
                  <c:v>Puerto Rico</c:v>
                </c:pt>
                <c:pt idx="1">
                  <c:v>Ireland</c:v>
                </c:pt>
                <c:pt idx="2">
                  <c:v>Luxembourg</c:v>
                </c:pt>
                <c:pt idx="3">
                  <c:v>Switzerland</c:v>
                </c:pt>
                <c:pt idx="4">
                  <c:v>Singapore</c:v>
                </c:pt>
                <c:pt idx="5">
                  <c:v>Hong Kong</c:v>
                </c:pt>
                <c:pt idx="6">
                  <c:v>Netherlands</c:v>
                </c:pt>
                <c:pt idx="7">
                  <c:v>Belgium</c:v>
                </c:pt>
                <c:pt idx="8">
                  <c:v>US</c:v>
                </c:pt>
                <c:pt idx="9">
                  <c:v>Australia</c:v>
                </c:pt>
                <c:pt idx="10">
                  <c:v>UK</c:v>
                </c:pt>
                <c:pt idx="11">
                  <c:v>Spain</c:v>
                </c:pt>
                <c:pt idx="12">
                  <c:v>Japan</c:v>
                </c:pt>
                <c:pt idx="13">
                  <c:v>France</c:v>
                </c:pt>
                <c:pt idx="14">
                  <c:v>Germany</c:v>
                </c:pt>
                <c:pt idx="15">
                  <c:v>Italy</c:v>
                </c:pt>
              </c:strCache>
            </c:strRef>
          </c:cat>
          <c:val>
            <c:numRef>
              <c:f>DataF1!$C$2:$C$17</c:f>
              <c:numCache>
                <c:formatCode>0%</c:formatCode>
                <c:ptCount val="16"/>
                <c:pt idx="0">
                  <c:v>0.47996308817683037</c:v>
                </c:pt>
                <c:pt idx="1">
                  <c:v>0.68416351867003244</c:v>
                </c:pt>
                <c:pt idx="2">
                  <c:v>0.40461450275815142</c:v>
                </c:pt>
                <c:pt idx="3">
                  <c:v>0.11438915202699569</c:v>
                </c:pt>
                <c:pt idx="4">
                  <c:v>0.47996308817683037</c:v>
                </c:pt>
                <c:pt idx="5">
                  <c:v>0.47996308817683037</c:v>
                </c:pt>
                <c:pt idx="6">
                  <c:v>0.41153378760859277</c:v>
                </c:pt>
                <c:pt idx="7">
                  <c:v>0.4031489417707429</c:v>
                </c:pt>
                <c:pt idx="8">
                  <c:v>0.3159171001923794</c:v>
                </c:pt>
                <c:pt idx="9">
                  <c:v>0.38244922547378107</c:v>
                </c:pt>
                <c:pt idx="10">
                  <c:v>0.48210280844721259</c:v>
                </c:pt>
                <c:pt idx="11">
                  <c:v>0.44755015816737814</c:v>
                </c:pt>
                <c:pt idx="12">
                  <c:v>0.43664443770241151</c:v>
                </c:pt>
                <c:pt idx="13">
                  <c:v>0.2171009289647885</c:v>
                </c:pt>
                <c:pt idx="14">
                  <c:v>0.51589201053413136</c:v>
                </c:pt>
                <c:pt idx="15">
                  <c:v>0.48415758018996907</c:v>
                </c:pt>
              </c:numCache>
            </c:numRef>
          </c:val>
          <c:extLst>
            <c:ext xmlns:c16="http://schemas.microsoft.com/office/drawing/2014/chart" uri="{C3380CC4-5D6E-409C-BE32-E72D297353CC}">
              <c16:uniqueId val="{00000011-93DA-4DF5-BC5C-0DC8DB4620BF}"/>
            </c:ext>
          </c:extLst>
        </c:ser>
        <c:dLbls>
          <c:showLegendKey val="0"/>
          <c:showVal val="0"/>
          <c:showCatName val="0"/>
          <c:showSerName val="0"/>
          <c:showPercent val="0"/>
          <c:showBubbleSize val="0"/>
        </c:dLbls>
        <c:gapWidth val="150"/>
        <c:axId val="-2139123768"/>
        <c:axId val="-2139120696"/>
      </c:barChart>
      <c:catAx>
        <c:axId val="-2139123768"/>
        <c:scaling>
          <c:orientation val="minMax"/>
        </c:scaling>
        <c:delete val="0"/>
        <c:axPos val="b"/>
        <c:numFmt formatCode="General" sourceLinked="1"/>
        <c:majorTickMark val="none"/>
        <c:minorTickMark val="none"/>
        <c:tickLblPos val="nextTo"/>
        <c:txPr>
          <a:bodyPr rot="-2700000" vert="horz"/>
          <a:lstStyle/>
          <a:p>
            <a:pPr>
              <a:defRPr sz="1800"/>
            </a:pPr>
            <a:endParaRPr lang="en-US"/>
          </a:p>
        </c:txPr>
        <c:crossAx val="-2139120696"/>
        <c:crosses val="autoZero"/>
        <c:auto val="1"/>
        <c:lblAlgn val="ctr"/>
        <c:lblOffset val="100"/>
        <c:noMultiLvlLbl val="0"/>
      </c:catAx>
      <c:valAx>
        <c:axId val="-2139120696"/>
        <c:scaling>
          <c:orientation val="minMax"/>
          <c:max val="9"/>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2139123768"/>
        <c:crosses val="autoZero"/>
        <c:crossBetween val="between"/>
        <c:majorUnit val="2"/>
        <c:minorUnit val="0.2"/>
      </c:valAx>
    </c:plotArea>
    <c:legend>
      <c:legendPos val="r"/>
      <c:layout>
        <c:manualLayout>
          <c:xMode val="edge"/>
          <c:yMode val="edge"/>
          <c:x val="0.67896174863388004"/>
          <c:y val="0.446236780548875"/>
          <c:w val="0.21430970054024701"/>
          <c:h val="0.13680250783699099"/>
        </c:manualLayout>
      </c:layout>
      <c:overlay val="0"/>
      <c:txPr>
        <a:bodyPr/>
        <a:lstStyle/>
        <a:p>
          <a:pPr>
            <a:defRPr sz="1800"/>
          </a:pPr>
          <a:endParaRPr lang="en-US"/>
        </a:p>
      </c:txPr>
    </c:legend>
    <c:plotVisOnly val="1"/>
    <c:dispBlanksAs val="gap"/>
    <c:showDLblsOverMax val="0"/>
  </c:chart>
  <c:spPr>
    <a:ln>
      <a:noFill/>
    </a:ln>
  </c:spPr>
  <c:txPr>
    <a:bodyPr/>
    <a:lstStyle/>
    <a:p>
      <a:pPr>
        <a:defRPr>
          <a:latin typeface="Garamond" panose="02020404030301010803" pitchFamily="18" charset="0"/>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0"/>
            </a:pPr>
            <a:r>
              <a:rPr lang="en-US" sz="2200" b="1"/>
              <a:t>Pre-tax</a:t>
            </a:r>
            <a:r>
              <a:rPr lang="en-US" sz="2200" b="1" baseline="0"/>
              <a:t> </a:t>
            </a:r>
            <a:r>
              <a:rPr lang="en-US" sz="2200" b="1"/>
              <a:t>corporate</a:t>
            </a:r>
            <a:r>
              <a:rPr lang="en-US" sz="2200" b="1" baseline="0"/>
              <a:t> profits (2019)                                                             </a:t>
            </a:r>
            <a:r>
              <a:rPr lang="en-US" sz="2200" b="0" baseline="0"/>
              <a:t>(% of compensation of employees)</a:t>
            </a:r>
            <a:endParaRPr lang="en-US" sz="2200" b="0"/>
          </a:p>
        </c:rich>
      </c:tx>
      <c:layout>
        <c:manualLayout>
          <c:xMode val="edge"/>
          <c:yMode val="edge"/>
          <c:x val="0.33005346155500997"/>
          <c:y val="4.15774388034132E-3"/>
        </c:manualLayout>
      </c:layout>
      <c:overlay val="1"/>
    </c:title>
    <c:autoTitleDeleted val="0"/>
    <c:plotArea>
      <c:layout>
        <c:manualLayout>
          <c:layoutTarget val="inner"/>
          <c:xMode val="edge"/>
          <c:yMode val="edge"/>
          <c:x val="0.102983885032014"/>
          <c:y val="9.0193435851866496E-2"/>
          <c:w val="0.89564993372055801"/>
          <c:h val="0.70145389253121604"/>
        </c:manualLayout>
      </c:layout>
      <c:barChart>
        <c:barDir val="col"/>
        <c:grouping val="clustered"/>
        <c:varyColors val="0"/>
        <c:ser>
          <c:idx val="2"/>
          <c:order val="0"/>
          <c:tx>
            <c:v>Foreign firms</c:v>
          </c:tx>
          <c:spPr>
            <a:solidFill>
              <a:srgbClr val="EAA192"/>
            </a:solidFill>
          </c:spPr>
          <c:invertIfNegative val="0"/>
          <c:cat>
            <c:strRef>
              <c:f>DataF1!$K$2:$K$17</c:f>
              <c:strCache>
                <c:ptCount val="16"/>
                <c:pt idx="0">
                  <c:v>Puerto Rico</c:v>
                </c:pt>
                <c:pt idx="1">
                  <c:v>Luxembourg</c:v>
                </c:pt>
                <c:pt idx="2">
                  <c:v>Ireland</c:v>
                </c:pt>
                <c:pt idx="3">
                  <c:v>Singapore</c:v>
                </c:pt>
                <c:pt idx="4">
                  <c:v>Switzerland</c:v>
                </c:pt>
                <c:pt idx="5">
                  <c:v>Netherlands</c:v>
                </c:pt>
                <c:pt idx="6">
                  <c:v>Hong Kong</c:v>
                </c:pt>
                <c:pt idx="7">
                  <c:v>Belgium</c:v>
                </c:pt>
                <c:pt idx="8">
                  <c:v>US</c:v>
                </c:pt>
                <c:pt idx="9">
                  <c:v>UK</c:v>
                </c:pt>
                <c:pt idx="10">
                  <c:v>Australia</c:v>
                </c:pt>
                <c:pt idx="11">
                  <c:v>Spain</c:v>
                </c:pt>
                <c:pt idx="12">
                  <c:v>France</c:v>
                </c:pt>
                <c:pt idx="13">
                  <c:v>Japan</c:v>
                </c:pt>
                <c:pt idx="14">
                  <c:v>Italy</c:v>
                </c:pt>
                <c:pt idx="15">
                  <c:v>Germany</c:v>
                </c:pt>
              </c:strCache>
            </c:strRef>
          </c:cat>
          <c:val>
            <c:numRef>
              <c:f>DataF1!$M$2:$M$17</c:f>
              <c:numCache>
                <c:formatCode>0%</c:formatCode>
                <c:ptCount val="16"/>
                <c:pt idx="0">
                  <c:v>16.654233745069778</c:v>
                </c:pt>
                <c:pt idx="1">
                  <c:v>5.2388827520849048</c:v>
                </c:pt>
                <c:pt idx="2">
                  <c:v>5.3423277812786267</c:v>
                </c:pt>
                <c:pt idx="3">
                  <c:v>2.9046779941544374</c:v>
                </c:pt>
                <c:pt idx="4">
                  <c:v>3.0421533393231508</c:v>
                </c:pt>
                <c:pt idx="5">
                  <c:v>1.2939186557501796</c:v>
                </c:pt>
                <c:pt idx="6">
                  <c:v>3.1142590479285701</c:v>
                </c:pt>
                <c:pt idx="7">
                  <c:v>1.0536073195309719</c:v>
                </c:pt>
                <c:pt idx="8">
                  <c:v>0.30475887656378614</c:v>
                </c:pt>
                <c:pt idx="9">
                  <c:v>0.22022157122839656</c:v>
                </c:pt>
                <c:pt idx="10">
                  <c:v>0.18742839685328039</c:v>
                </c:pt>
                <c:pt idx="11">
                  <c:v>0.3440982431314768</c:v>
                </c:pt>
                <c:pt idx="12">
                  <c:v>0.24119237296273524</c:v>
                </c:pt>
                <c:pt idx="13">
                  <c:v>0.92648187960687955</c:v>
                </c:pt>
                <c:pt idx="14">
                  <c:v>0.19299421399367148</c:v>
                </c:pt>
                <c:pt idx="15">
                  <c:v>0.16135658988454149</c:v>
                </c:pt>
              </c:numCache>
            </c:numRef>
          </c:val>
          <c:extLst>
            <c:ext xmlns:c16="http://schemas.microsoft.com/office/drawing/2014/chart" uri="{C3380CC4-5D6E-409C-BE32-E72D297353CC}">
              <c16:uniqueId val="{00000011-9A99-4C67-BE1A-36B657F58AFE}"/>
            </c:ext>
          </c:extLst>
        </c:ser>
        <c:ser>
          <c:idx val="0"/>
          <c:order val="1"/>
          <c:tx>
            <c:v>Local firms</c:v>
          </c:tx>
          <c:spPr>
            <a:solidFill>
              <a:schemeClr val="tx1"/>
            </a:solidFill>
          </c:spPr>
          <c:invertIfNegative val="0"/>
          <c:cat>
            <c:strRef>
              <c:f>DataF1!$K$2:$K$17</c:f>
              <c:strCache>
                <c:ptCount val="16"/>
                <c:pt idx="0">
                  <c:v>Puerto Rico</c:v>
                </c:pt>
                <c:pt idx="1">
                  <c:v>Luxembourg</c:v>
                </c:pt>
                <c:pt idx="2">
                  <c:v>Ireland</c:v>
                </c:pt>
                <c:pt idx="3">
                  <c:v>Singapore</c:v>
                </c:pt>
                <c:pt idx="4">
                  <c:v>Switzerland</c:v>
                </c:pt>
                <c:pt idx="5">
                  <c:v>Netherlands</c:v>
                </c:pt>
                <c:pt idx="6">
                  <c:v>Hong Kong</c:v>
                </c:pt>
                <c:pt idx="7">
                  <c:v>Belgium</c:v>
                </c:pt>
                <c:pt idx="8">
                  <c:v>US</c:v>
                </c:pt>
                <c:pt idx="9">
                  <c:v>UK</c:v>
                </c:pt>
                <c:pt idx="10">
                  <c:v>Australia</c:v>
                </c:pt>
                <c:pt idx="11">
                  <c:v>Spain</c:v>
                </c:pt>
                <c:pt idx="12">
                  <c:v>France</c:v>
                </c:pt>
                <c:pt idx="13">
                  <c:v>Japan</c:v>
                </c:pt>
                <c:pt idx="14">
                  <c:v>Italy</c:v>
                </c:pt>
                <c:pt idx="15">
                  <c:v>Germany</c:v>
                </c:pt>
              </c:strCache>
            </c:strRef>
          </c:cat>
          <c:val>
            <c:numRef>
              <c:f>DataF1!$L$2:$L$17</c:f>
              <c:numCache>
                <c:formatCode>0%</c:formatCode>
                <c:ptCount val="16"/>
                <c:pt idx="0">
                  <c:v>0.47751526933837984</c:v>
                </c:pt>
                <c:pt idx="1">
                  <c:v>0.22949857720544142</c:v>
                </c:pt>
                <c:pt idx="2">
                  <c:v>0.55054245155533743</c:v>
                </c:pt>
                <c:pt idx="3">
                  <c:v>0.47342973416788087</c:v>
                </c:pt>
                <c:pt idx="4">
                  <c:v>-2.2324846880044238E-2</c:v>
                </c:pt>
                <c:pt idx="5">
                  <c:v>0.23596948246444957</c:v>
                </c:pt>
                <c:pt idx="6">
                  <c:v>0.47342973416788087</c:v>
                </c:pt>
                <c:pt idx="7">
                  <c:v>0.21386278355354185</c:v>
                </c:pt>
                <c:pt idx="8">
                  <c:v>0.28005328234679872</c:v>
                </c:pt>
                <c:pt idx="9">
                  <c:v>0.40693929678583579</c:v>
                </c:pt>
                <c:pt idx="10">
                  <c:v>0.68183085720161707</c:v>
                </c:pt>
                <c:pt idx="11">
                  <c:v>0.47173462255255755</c:v>
                </c:pt>
                <c:pt idx="12">
                  <c:v>0.22290618377033919</c:v>
                </c:pt>
                <c:pt idx="13">
                  <c:v>0.26359440548900392</c:v>
                </c:pt>
                <c:pt idx="14">
                  <c:v>0.56662223058916417</c:v>
                </c:pt>
                <c:pt idx="15">
                  <c:v>0.37573955201106979</c:v>
                </c:pt>
              </c:numCache>
            </c:numRef>
          </c:val>
          <c:extLst>
            <c:ext xmlns:c16="http://schemas.microsoft.com/office/drawing/2014/chart" uri="{C3380CC4-5D6E-409C-BE32-E72D297353CC}">
              <c16:uniqueId val="{00000010-9A99-4C67-BE1A-36B657F58AFE}"/>
            </c:ext>
          </c:extLst>
        </c:ser>
        <c:dLbls>
          <c:showLegendKey val="0"/>
          <c:showVal val="0"/>
          <c:showCatName val="0"/>
          <c:showSerName val="0"/>
          <c:showPercent val="0"/>
          <c:showBubbleSize val="0"/>
        </c:dLbls>
        <c:gapWidth val="150"/>
        <c:axId val="-2139123768"/>
        <c:axId val="-2139120696"/>
      </c:barChart>
      <c:catAx>
        <c:axId val="-2139123768"/>
        <c:scaling>
          <c:orientation val="minMax"/>
        </c:scaling>
        <c:delete val="0"/>
        <c:axPos val="b"/>
        <c:numFmt formatCode="General" sourceLinked="1"/>
        <c:majorTickMark val="none"/>
        <c:minorTickMark val="none"/>
        <c:tickLblPos val="nextTo"/>
        <c:txPr>
          <a:bodyPr rot="-2700000" vert="horz"/>
          <a:lstStyle/>
          <a:p>
            <a:pPr>
              <a:defRPr sz="1800"/>
            </a:pPr>
            <a:endParaRPr lang="en-US"/>
          </a:p>
        </c:txPr>
        <c:crossAx val="-2139120696"/>
        <c:crosses val="autoZero"/>
        <c:auto val="1"/>
        <c:lblAlgn val="ctr"/>
        <c:lblOffset val="100"/>
        <c:noMultiLvlLbl val="0"/>
      </c:catAx>
      <c:valAx>
        <c:axId val="-2139120696"/>
        <c:scaling>
          <c:orientation val="minMax"/>
          <c:max val="13"/>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2139123768"/>
        <c:crosses val="autoZero"/>
        <c:crossBetween val="between"/>
        <c:majorUnit val="2"/>
        <c:minorUnit val="0.1"/>
      </c:valAx>
    </c:plotArea>
    <c:legend>
      <c:legendPos val="r"/>
      <c:layout>
        <c:manualLayout>
          <c:xMode val="edge"/>
          <c:yMode val="edge"/>
          <c:x val="0.68168454281061064"/>
          <c:y val="0.43159793766051824"/>
          <c:w val="0.20341864436594617"/>
          <c:h val="0.16398879021569401"/>
        </c:manualLayout>
      </c:layout>
      <c:overlay val="0"/>
      <c:txPr>
        <a:bodyPr/>
        <a:lstStyle/>
        <a:p>
          <a:pPr>
            <a:defRPr sz="1800"/>
          </a:pPr>
          <a:endParaRPr lang="en-US"/>
        </a:p>
      </c:txPr>
    </c:legend>
    <c:plotVisOnly val="1"/>
    <c:dispBlanksAs val="gap"/>
    <c:showDLblsOverMax val="0"/>
  </c:chart>
  <c:spPr>
    <a:ln>
      <a:noFill/>
    </a:ln>
  </c:spPr>
  <c:txPr>
    <a:bodyPr/>
    <a:lstStyle/>
    <a:p>
      <a:pPr>
        <a:defRPr>
          <a:latin typeface="Garamond" panose="02020404030301010803" pitchFamily="18" charset="0"/>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0"/>
            </a:pPr>
            <a:r>
              <a:rPr lang="en-US" sz="2200" b="1" baseline="0"/>
              <a:t>Corporate tax revenue lost</a:t>
            </a:r>
          </a:p>
          <a:p>
            <a:pPr>
              <a:defRPr sz="2200" b="0"/>
            </a:pPr>
            <a:r>
              <a:rPr lang="en-US" sz="2200" b="0" baseline="0"/>
              <a:t>(% of corporate tax revenue collected)</a:t>
            </a:r>
            <a:endParaRPr lang="en-US" sz="2200" b="0"/>
          </a:p>
        </c:rich>
      </c:tx>
      <c:layout>
        <c:manualLayout>
          <c:xMode val="edge"/>
          <c:yMode val="edge"/>
          <c:x val="0.28145276046333811"/>
          <c:y val="1.857609681345925E-4"/>
        </c:manualLayout>
      </c:layout>
      <c:overlay val="1"/>
    </c:title>
    <c:autoTitleDeleted val="0"/>
    <c:plotArea>
      <c:layout>
        <c:manualLayout>
          <c:layoutTarget val="inner"/>
          <c:xMode val="edge"/>
          <c:yMode val="edge"/>
          <c:x val="0.102983885032014"/>
          <c:y val="9.0193435851866496E-2"/>
          <c:w val="0.89564993372055801"/>
          <c:h val="0.70145389253121604"/>
        </c:manualLayout>
      </c:layout>
      <c:barChart>
        <c:barDir val="col"/>
        <c:grouping val="clustered"/>
        <c:varyColors val="0"/>
        <c:ser>
          <c:idx val="2"/>
          <c:order val="0"/>
          <c:tx>
            <c:v>2019 (Average = 10%)</c:v>
          </c:tx>
          <c:spPr>
            <a:solidFill>
              <a:srgbClr val="FF0000"/>
            </a:solidFill>
          </c:spPr>
          <c:invertIfNegative val="0"/>
          <c:cat>
            <c:strRef>
              <c:f>DataF2!$B$4:$B$23</c:f>
              <c:strCache>
                <c:ptCount val="20"/>
                <c:pt idx="0">
                  <c:v>United Kingdom</c:v>
                </c:pt>
                <c:pt idx="1">
                  <c:v>Germany</c:v>
                </c:pt>
                <c:pt idx="2">
                  <c:v>France</c:v>
                </c:pt>
                <c:pt idx="3">
                  <c:v>Spain</c:v>
                </c:pt>
                <c:pt idx="4">
                  <c:v>Italy</c:v>
                </c:pt>
                <c:pt idx="5">
                  <c:v>Brazil</c:v>
                </c:pt>
                <c:pt idx="6">
                  <c:v>United States</c:v>
                </c:pt>
                <c:pt idx="7">
                  <c:v>Mexico</c:v>
                </c:pt>
                <c:pt idx="8">
                  <c:v>Australia</c:v>
                </c:pt>
                <c:pt idx="9">
                  <c:v>South Africa</c:v>
                </c:pt>
                <c:pt idx="10">
                  <c:v>Greece</c:v>
                </c:pt>
                <c:pt idx="11">
                  <c:v>Denmark</c:v>
                </c:pt>
                <c:pt idx="12">
                  <c:v>Portugal</c:v>
                </c:pt>
                <c:pt idx="13">
                  <c:v>Canada</c:v>
                </c:pt>
                <c:pt idx="14">
                  <c:v>Turkey</c:v>
                </c:pt>
                <c:pt idx="15">
                  <c:v>India</c:v>
                </c:pt>
                <c:pt idx="16">
                  <c:v>Russia</c:v>
                </c:pt>
                <c:pt idx="17">
                  <c:v>China</c:v>
                </c:pt>
                <c:pt idx="18">
                  <c:v>Korea</c:v>
                </c:pt>
                <c:pt idx="19">
                  <c:v>Japan</c:v>
                </c:pt>
              </c:strCache>
            </c:strRef>
          </c:cat>
          <c:val>
            <c:numRef>
              <c:f>DataF2!$D$4:$D$23</c:f>
              <c:numCache>
                <c:formatCode>0%</c:formatCode>
                <c:ptCount val="20"/>
                <c:pt idx="0">
                  <c:v>0.2831661356494643</c:v>
                </c:pt>
                <c:pt idx="1">
                  <c:v>0.25808839233020486</c:v>
                </c:pt>
                <c:pt idx="2">
                  <c:v>0.19228368641156302</c:v>
                </c:pt>
                <c:pt idx="3">
                  <c:v>0.16207100530905744</c:v>
                </c:pt>
                <c:pt idx="4">
                  <c:v>0.15568451750232418</c:v>
                </c:pt>
                <c:pt idx="5">
                  <c:v>0.15341345366150586</c:v>
                </c:pt>
                <c:pt idx="6">
                  <c:v>0.13772366000947181</c:v>
                </c:pt>
                <c:pt idx="7">
                  <c:v>0.1296052322814818</c:v>
                </c:pt>
                <c:pt idx="8">
                  <c:v>0.12212291708037933</c:v>
                </c:pt>
                <c:pt idx="9">
                  <c:v>0.11642695001396279</c:v>
                </c:pt>
                <c:pt idx="10">
                  <c:v>0.10451057884349915</c:v>
                </c:pt>
                <c:pt idx="11">
                  <c:v>9.9857716236109298E-2</c:v>
                </c:pt>
                <c:pt idx="12">
                  <c:v>8.5984235308168386E-2</c:v>
                </c:pt>
                <c:pt idx="13">
                  <c:v>8.354715933209389E-2</c:v>
                </c:pt>
                <c:pt idx="14">
                  <c:v>8.0354128022939536E-2</c:v>
                </c:pt>
                <c:pt idx="15">
                  <c:v>5.5699768396038747E-2</c:v>
                </c:pt>
                <c:pt idx="16">
                  <c:v>5.0832713065595038E-2</c:v>
                </c:pt>
                <c:pt idx="17">
                  <c:v>3.8147870169244827E-2</c:v>
                </c:pt>
                <c:pt idx="18">
                  <c:v>3.6838649547281221E-2</c:v>
                </c:pt>
                <c:pt idx="19">
                  <c:v>2.47308978197079E-2</c:v>
                </c:pt>
              </c:numCache>
            </c:numRef>
          </c:val>
          <c:extLst>
            <c:ext xmlns:c16="http://schemas.microsoft.com/office/drawing/2014/chart" uri="{C3380CC4-5D6E-409C-BE32-E72D297353CC}">
              <c16:uniqueId val="{00000001-0AEA-4FC9-BD4D-CEA3E9E6A8E1}"/>
            </c:ext>
          </c:extLst>
        </c:ser>
        <c:ser>
          <c:idx val="0"/>
          <c:order val="1"/>
          <c:tx>
            <c:v>2015 (Average = 9%)</c:v>
          </c:tx>
          <c:spPr>
            <a:solidFill>
              <a:schemeClr val="tx1"/>
            </a:solidFill>
          </c:spPr>
          <c:invertIfNegative val="0"/>
          <c:cat>
            <c:strRef>
              <c:f>DataF2!$B$4:$B$23</c:f>
              <c:strCache>
                <c:ptCount val="20"/>
                <c:pt idx="0">
                  <c:v>United Kingdom</c:v>
                </c:pt>
                <c:pt idx="1">
                  <c:v>Germany</c:v>
                </c:pt>
                <c:pt idx="2">
                  <c:v>France</c:v>
                </c:pt>
                <c:pt idx="3">
                  <c:v>Spain</c:v>
                </c:pt>
                <c:pt idx="4">
                  <c:v>Italy</c:v>
                </c:pt>
                <c:pt idx="5">
                  <c:v>Brazil</c:v>
                </c:pt>
                <c:pt idx="6">
                  <c:v>United States</c:v>
                </c:pt>
                <c:pt idx="7">
                  <c:v>Mexico</c:v>
                </c:pt>
                <c:pt idx="8">
                  <c:v>Australia</c:v>
                </c:pt>
                <c:pt idx="9">
                  <c:v>South Africa</c:v>
                </c:pt>
                <c:pt idx="10">
                  <c:v>Greece</c:v>
                </c:pt>
                <c:pt idx="11">
                  <c:v>Denmark</c:v>
                </c:pt>
                <c:pt idx="12">
                  <c:v>Portugal</c:v>
                </c:pt>
                <c:pt idx="13">
                  <c:v>Canada</c:v>
                </c:pt>
                <c:pt idx="14">
                  <c:v>Turkey</c:v>
                </c:pt>
                <c:pt idx="15">
                  <c:v>India</c:v>
                </c:pt>
                <c:pt idx="16">
                  <c:v>Russia</c:v>
                </c:pt>
                <c:pt idx="17">
                  <c:v>China</c:v>
                </c:pt>
                <c:pt idx="18">
                  <c:v>Korea</c:v>
                </c:pt>
                <c:pt idx="19">
                  <c:v>Japan</c:v>
                </c:pt>
              </c:strCache>
            </c:strRef>
          </c:cat>
          <c:val>
            <c:numRef>
              <c:f>DataF2!$C$4:$C$23</c:f>
              <c:numCache>
                <c:formatCode>0%</c:formatCode>
                <c:ptCount val="20"/>
                <c:pt idx="0">
                  <c:v>0.17523172069902965</c:v>
                </c:pt>
                <c:pt idx="1">
                  <c:v>0.27916595513803488</c:v>
                </c:pt>
                <c:pt idx="2">
                  <c:v>0.20997996704769475</c:v>
                </c:pt>
                <c:pt idx="3">
                  <c:v>0.14169566205750209</c:v>
                </c:pt>
                <c:pt idx="4">
                  <c:v>0.19118227241411057</c:v>
                </c:pt>
                <c:pt idx="5">
                  <c:v>9.0271246129663765E-2</c:v>
                </c:pt>
                <c:pt idx="6">
                  <c:v>0.14080811485538131</c:v>
                </c:pt>
                <c:pt idx="7">
                  <c:v>0.10509727731973387</c:v>
                </c:pt>
                <c:pt idx="8">
                  <c:v>7.3234785047652198E-2</c:v>
                </c:pt>
                <c:pt idx="9">
                  <c:v>7.0004884806695672E-2</c:v>
                </c:pt>
                <c:pt idx="10">
                  <c:v>7.2011378873881565E-2</c:v>
                </c:pt>
                <c:pt idx="11">
                  <c:v>8.4310816146709378E-2</c:v>
                </c:pt>
                <c:pt idx="12">
                  <c:v>8.8987018527531159E-2</c:v>
                </c:pt>
                <c:pt idx="13">
                  <c:v>0.10131006286761744</c:v>
                </c:pt>
                <c:pt idx="14">
                  <c:v>8.1066999260363509E-2</c:v>
                </c:pt>
                <c:pt idx="15">
                  <c:v>8.7746373397239688E-2</c:v>
                </c:pt>
                <c:pt idx="16">
                  <c:v>5.640790843651218E-2</c:v>
                </c:pt>
                <c:pt idx="17">
                  <c:v>3.5861224922702772E-2</c:v>
                </c:pt>
                <c:pt idx="18">
                  <c:v>2.5672298890945015E-2</c:v>
                </c:pt>
                <c:pt idx="19">
                  <c:v>1.7437633144078594E-2</c:v>
                </c:pt>
              </c:numCache>
            </c:numRef>
          </c:val>
          <c:extLst>
            <c:ext xmlns:c16="http://schemas.microsoft.com/office/drawing/2014/chart" uri="{C3380CC4-5D6E-409C-BE32-E72D297353CC}">
              <c16:uniqueId val="{00000000-0AEA-4FC9-BD4D-CEA3E9E6A8E1}"/>
            </c:ext>
          </c:extLst>
        </c:ser>
        <c:dLbls>
          <c:showLegendKey val="0"/>
          <c:showVal val="0"/>
          <c:showCatName val="0"/>
          <c:showSerName val="0"/>
          <c:showPercent val="0"/>
          <c:showBubbleSize val="0"/>
        </c:dLbls>
        <c:gapWidth val="150"/>
        <c:axId val="-2139123768"/>
        <c:axId val="-2139120696"/>
      </c:barChart>
      <c:lineChart>
        <c:grouping val="standard"/>
        <c:varyColors val="0"/>
        <c:ser>
          <c:idx val="1"/>
          <c:order val="2"/>
          <c:spPr>
            <a:ln w="28575">
              <a:solidFill>
                <a:srgbClr val="FF0000"/>
              </a:solidFill>
            </a:ln>
          </c:spPr>
          <c:marker>
            <c:symbol val="none"/>
          </c:marker>
          <c:val>
            <c:numRef>
              <c:f>DataF2!$F$4:$F$23</c:f>
              <c:numCache>
                <c:formatCode>0%</c:formatCode>
                <c:ptCount val="20"/>
                <c:pt idx="0">
                  <c:v>0.1</c:v>
                </c:pt>
                <c:pt idx="1">
                  <c:v>0.1</c:v>
                </c:pt>
                <c:pt idx="2">
                  <c:v>0.1</c:v>
                </c:pt>
                <c:pt idx="3">
                  <c:v>0.1</c:v>
                </c:pt>
                <c:pt idx="4">
                  <c:v>0.1</c:v>
                </c:pt>
                <c:pt idx="5">
                  <c:v>0.1</c:v>
                </c:pt>
                <c:pt idx="6">
                  <c:v>0.1</c:v>
                </c:pt>
                <c:pt idx="7">
                  <c:v>0.1</c:v>
                </c:pt>
                <c:pt idx="8">
                  <c:v>0.1</c:v>
                </c:pt>
                <c:pt idx="9">
                  <c:v>0.1</c:v>
                </c:pt>
                <c:pt idx="10">
                  <c:v>0.1</c:v>
                </c:pt>
                <c:pt idx="11">
                  <c:v>0.1</c:v>
                </c:pt>
                <c:pt idx="12">
                  <c:v>0.1</c:v>
                </c:pt>
                <c:pt idx="13">
                  <c:v>0.1</c:v>
                </c:pt>
                <c:pt idx="14">
                  <c:v>0.1</c:v>
                </c:pt>
                <c:pt idx="15">
                  <c:v>0.1</c:v>
                </c:pt>
                <c:pt idx="16">
                  <c:v>0.1</c:v>
                </c:pt>
                <c:pt idx="17">
                  <c:v>0.1</c:v>
                </c:pt>
                <c:pt idx="18">
                  <c:v>0.1</c:v>
                </c:pt>
                <c:pt idx="19">
                  <c:v>0.1</c:v>
                </c:pt>
              </c:numCache>
            </c:numRef>
          </c:val>
          <c:smooth val="0"/>
          <c:extLst>
            <c:ext xmlns:c16="http://schemas.microsoft.com/office/drawing/2014/chart" uri="{C3380CC4-5D6E-409C-BE32-E72D297353CC}">
              <c16:uniqueId val="{00000002-0AEA-4FC9-BD4D-CEA3E9E6A8E1}"/>
            </c:ext>
          </c:extLst>
        </c:ser>
        <c:ser>
          <c:idx val="3"/>
          <c:order val="3"/>
          <c:spPr>
            <a:ln>
              <a:solidFill>
                <a:schemeClr val="tx1"/>
              </a:solidFill>
            </a:ln>
          </c:spPr>
          <c:marker>
            <c:symbol val="none"/>
          </c:marker>
          <c:val>
            <c:numRef>
              <c:f>DataF2!$G$4:$G$23</c:f>
              <c:numCache>
                <c:formatCode>0%</c:formatCode>
                <c:ptCount val="20"/>
                <c:pt idx="0">
                  <c:v>0.09</c:v>
                </c:pt>
                <c:pt idx="1">
                  <c:v>0.09</c:v>
                </c:pt>
                <c:pt idx="2">
                  <c:v>0.09</c:v>
                </c:pt>
                <c:pt idx="3">
                  <c:v>0.09</c:v>
                </c:pt>
                <c:pt idx="4">
                  <c:v>0.09</c:v>
                </c:pt>
                <c:pt idx="5">
                  <c:v>0.09</c:v>
                </c:pt>
                <c:pt idx="6">
                  <c:v>0.09</c:v>
                </c:pt>
                <c:pt idx="7">
                  <c:v>0.09</c:v>
                </c:pt>
                <c:pt idx="8">
                  <c:v>0.09</c:v>
                </c:pt>
                <c:pt idx="9">
                  <c:v>0.09</c:v>
                </c:pt>
                <c:pt idx="10">
                  <c:v>0.09</c:v>
                </c:pt>
                <c:pt idx="11">
                  <c:v>0.09</c:v>
                </c:pt>
                <c:pt idx="12">
                  <c:v>0.09</c:v>
                </c:pt>
                <c:pt idx="13">
                  <c:v>0.09</c:v>
                </c:pt>
                <c:pt idx="14">
                  <c:v>0.09</c:v>
                </c:pt>
                <c:pt idx="15">
                  <c:v>0.09</c:v>
                </c:pt>
                <c:pt idx="16">
                  <c:v>0.09</c:v>
                </c:pt>
                <c:pt idx="17">
                  <c:v>0.09</c:v>
                </c:pt>
                <c:pt idx="18">
                  <c:v>0.09</c:v>
                </c:pt>
                <c:pt idx="19">
                  <c:v>0.09</c:v>
                </c:pt>
              </c:numCache>
            </c:numRef>
          </c:val>
          <c:smooth val="0"/>
          <c:extLst>
            <c:ext xmlns:c16="http://schemas.microsoft.com/office/drawing/2014/chart" uri="{C3380CC4-5D6E-409C-BE32-E72D297353CC}">
              <c16:uniqueId val="{00000000-B3E3-46D3-BB5F-8834534AA6AC}"/>
            </c:ext>
          </c:extLst>
        </c:ser>
        <c:dLbls>
          <c:showLegendKey val="0"/>
          <c:showVal val="0"/>
          <c:showCatName val="0"/>
          <c:showSerName val="0"/>
          <c:showPercent val="0"/>
          <c:showBubbleSize val="0"/>
        </c:dLbls>
        <c:marker val="1"/>
        <c:smooth val="0"/>
        <c:axId val="-2139123768"/>
        <c:axId val="-2139120696"/>
      </c:lineChart>
      <c:catAx>
        <c:axId val="-2139123768"/>
        <c:scaling>
          <c:orientation val="minMax"/>
        </c:scaling>
        <c:delete val="0"/>
        <c:axPos val="b"/>
        <c:numFmt formatCode="General" sourceLinked="1"/>
        <c:majorTickMark val="none"/>
        <c:minorTickMark val="none"/>
        <c:tickLblPos val="nextTo"/>
        <c:txPr>
          <a:bodyPr rot="-2700000" vert="horz"/>
          <a:lstStyle/>
          <a:p>
            <a:pPr>
              <a:defRPr sz="1800"/>
            </a:pPr>
            <a:endParaRPr lang="en-US"/>
          </a:p>
        </c:txPr>
        <c:crossAx val="-2139120696"/>
        <c:crosses val="autoZero"/>
        <c:auto val="1"/>
        <c:lblAlgn val="ctr"/>
        <c:lblOffset val="100"/>
        <c:noMultiLvlLbl val="0"/>
      </c:catAx>
      <c:valAx>
        <c:axId val="-2139120696"/>
        <c:scaling>
          <c:orientation val="minMax"/>
          <c:max val="0.35000000000000003"/>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2139123768"/>
        <c:crosses val="autoZero"/>
        <c:crossBetween val="between"/>
        <c:majorUnit val="5.000000000000001E-2"/>
      </c:valAx>
    </c:plotArea>
    <c:legend>
      <c:legendPos val="r"/>
      <c:legendEntry>
        <c:idx val="2"/>
        <c:delete val="1"/>
      </c:legendEntry>
      <c:legendEntry>
        <c:idx val="3"/>
        <c:delete val="1"/>
      </c:legendEntry>
      <c:layout>
        <c:manualLayout>
          <c:xMode val="edge"/>
          <c:yMode val="edge"/>
          <c:x val="0.41353885168345539"/>
          <c:y val="0.24532360099408546"/>
          <c:w val="0.44833259841240936"/>
          <c:h val="0.12762527592000791"/>
        </c:manualLayout>
      </c:layout>
      <c:overlay val="0"/>
      <c:txPr>
        <a:bodyPr/>
        <a:lstStyle/>
        <a:p>
          <a:pPr>
            <a:defRPr sz="2200"/>
          </a:pPr>
          <a:endParaRPr lang="en-US"/>
        </a:p>
      </c:txPr>
    </c:legend>
    <c:plotVisOnly val="1"/>
    <c:dispBlanksAs val="gap"/>
    <c:showDLblsOverMax val="0"/>
  </c:chart>
  <c:spPr>
    <a:ln>
      <a:noFill/>
    </a:ln>
  </c:spPr>
  <c:txPr>
    <a:bodyPr/>
    <a:lstStyle/>
    <a:p>
      <a:pPr>
        <a:defRPr>
          <a:latin typeface="Garamond" panose="02020404030301010803" pitchFamily="18" charset="0"/>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a:pPr>
            <a:r>
              <a:rPr lang="en-GB" sz="2000"/>
              <a:t>Global corporate profits and foreign profits, 1975-2019 </a:t>
            </a:r>
          </a:p>
        </c:rich>
      </c:tx>
      <c:layout>
        <c:manualLayout>
          <c:xMode val="edge"/>
          <c:yMode val="edge"/>
          <c:x val="0.19974917016682603"/>
          <c:y val="7.9827364675649857E-4"/>
        </c:manualLayout>
      </c:layout>
      <c:overlay val="0"/>
    </c:title>
    <c:autoTitleDeleted val="0"/>
    <c:plotArea>
      <c:layout>
        <c:manualLayout>
          <c:layoutTarget val="inner"/>
          <c:xMode val="edge"/>
          <c:yMode val="edge"/>
          <c:x val="8.2658661856377394E-2"/>
          <c:y val="0.102088855081104"/>
          <c:w val="0.87977913816798403"/>
          <c:h val="0.774688462855186"/>
        </c:manualLayout>
      </c:layout>
      <c:lineChart>
        <c:grouping val="standard"/>
        <c:varyColors val="0"/>
        <c:ser>
          <c:idx val="0"/>
          <c:order val="0"/>
          <c:spPr>
            <a:ln w="19050">
              <a:solidFill>
                <a:schemeClr val="tx1"/>
              </a:solidFill>
            </a:ln>
          </c:spPr>
          <c:marker>
            <c:symbol val="none"/>
          </c:marker>
          <c:cat>
            <c:numRef>
              <c:f>DataF3!$A$5:$A$50</c:f>
              <c:numCache>
                <c:formatCode>General</c:formatCode>
                <c:ptCount val="46"/>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pt idx="45">
                  <c:v>2020</c:v>
                </c:pt>
              </c:numCache>
            </c:numRef>
          </c:cat>
          <c:val>
            <c:numRef>
              <c:f>DataF3!$B$5:$B$50</c:f>
              <c:numCache>
                <c:formatCode>0.0%</c:formatCode>
                <c:ptCount val="46"/>
                <c:pt idx="0">
                  <c:v>9.9657517220842082E-2</c:v>
                </c:pt>
                <c:pt idx="1">
                  <c:v>0.11722170787446358</c:v>
                </c:pt>
                <c:pt idx="2">
                  <c:v>9.4714857906828306E-2</c:v>
                </c:pt>
                <c:pt idx="3">
                  <c:v>8.8089685653665484E-2</c:v>
                </c:pt>
                <c:pt idx="4">
                  <c:v>0.11666059102837449</c:v>
                </c:pt>
                <c:pt idx="5">
                  <c:v>7.8654611006140102E-2</c:v>
                </c:pt>
                <c:pt idx="6">
                  <c:v>6.6549746533489607E-2</c:v>
                </c:pt>
                <c:pt idx="7">
                  <c:v>6.4912908121166582E-2</c:v>
                </c:pt>
                <c:pt idx="8">
                  <c:v>6.2480143539153474E-2</c:v>
                </c:pt>
                <c:pt idx="9">
                  <c:v>6.722703736105215E-2</c:v>
                </c:pt>
                <c:pt idx="10">
                  <c:v>6.2779187718306456E-2</c:v>
                </c:pt>
                <c:pt idx="11">
                  <c:v>4.8834205778680383E-2</c:v>
                </c:pt>
                <c:pt idx="12">
                  <c:v>5.2269497892569433E-2</c:v>
                </c:pt>
                <c:pt idx="13">
                  <c:v>5.9345403197578035E-2</c:v>
                </c:pt>
                <c:pt idx="14">
                  <c:v>5.829973807896089E-2</c:v>
                </c:pt>
                <c:pt idx="15">
                  <c:v>5.4985262928575168E-2</c:v>
                </c:pt>
                <c:pt idx="16">
                  <c:v>4.5789556031087954E-2</c:v>
                </c:pt>
                <c:pt idx="17">
                  <c:v>4.479884307373886E-2</c:v>
                </c:pt>
                <c:pt idx="18">
                  <c:v>4.8028050847168581E-2</c:v>
                </c:pt>
                <c:pt idx="19">
                  <c:v>5.5139915750882611E-2</c:v>
                </c:pt>
                <c:pt idx="20">
                  <c:v>5.8153453238058359E-2</c:v>
                </c:pt>
                <c:pt idx="21">
                  <c:v>6.9749114371787255E-2</c:v>
                </c:pt>
                <c:pt idx="22">
                  <c:v>7.2567227414628288E-2</c:v>
                </c:pt>
                <c:pt idx="23">
                  <c:v>6.8546909504774503E-2</c:v>
                </c:pt>
                <c:pt idx="24">
                  <c:v>8.47568451647365E-2</c:v>
                </c:pt>
                <c:pt idx="25">
                  <c:v>0.10069157316144314</c:v>
                </c:pt>
                <c:pt idx="26">
                  <c:v>8.8629776188056036E-2</c:v>
                </c:pt>
                <c:pt idx="27">
                  <c:v>8.6758706606470351E-2</c:v>
                </c:pt>
                <c:pt idx="28">
                  <c:v>0.1016279832091007</c:v>
                </c:pt>
                <c:pt idx="29">
                  <c:v>0.12243583502610267</c:v>
                </c:pt>
                <c:pt idx="30">
                  <c:v>0.15161514442956117</c:v>
                </c:pt>
                <c:pt idx="31">
                  <c:v>0.15988041687071738</c:v>
                </c:pt>
                <c:pt idx="32">
                  <c:v>0.16676020115694903</c:v>
                </c:pt>
                <c:pt idx="33">
                  <c:v>0.14203808468671716</c:v>
                </c:pt>
                <c:pt idx="34">
                  <c:v>0.1376330779087456</c:v>
                </c:pt>
                <c:pt idx="35">
                  <c:v>0.15577655832657195</c:v>
                </c:pt>
                <c:pt idx="36">
                  <c:v>0.15482114232117231</c:v>
                </c:pt>
                <c:pt idx="37">
                  <c:v>0.14573976388269586</c:v>
                </c:pt>
                <c:pt idx="38">
                  <c:v>0.15005513269809706</c:v>
                </c:pt>
                <c:pt idx="39">
                  <c:v>0.15157827340782384</c:v>
                </c:pt>
                <c:pt idx="40">
                  <c:v>0.14791394348737996</c:v>
                </c:pt>
                <c:pt idx="41">
                  <c:v>0.1568529819614532</c:v>
                </c:pt>
                <c:pt idx="42">
                  <c:v>0.16866952407045691</c:v>
                </c:pt>
                <c:pt idx="43">
                  <c:v>0.1823660964015057</c:v>
                </c:pt>
                <c:pt idx="44">
                  <c:v>0.1628312507290792</c:v>
                </c:pt>
              </c:numCache>
            </c:numRef>
          </c:val>
          <c:smooth val="0"/>
          <c:extLst>
            <c:ext xmlns:c16="http://schemas.microsoft.com/office/drawing/2014/chart" uri="{C3380CC4-5D6E-409C-BE32-E72D297353CC}">
              <c16:uniqueId val="{00000000-032C-47AB-9B63-27F67993570D}"/>
            </c:ext>
          </c:extLst>
        </c:ser>
        <c:ser>
          <c:idx val="1"/>
          <c:order val="1"/>
          <c:spPr>
            <a:ln>
              <a:solidFill>
                <a:schemeClr val="accent1"/>
              </a:solidFill>
            </a:ln>
          </c:spPr>
          <c:marker>
            <c:symbol val="none"/>
          </c:marker>
          <c:cat>
            <c:numRef>
              <c:f>DataF3!$A$5:$A$50</c:f>
              <c:numCache>
                <c:formatCode>General</c:formatCode>
                <c:ptCount val="46"/>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pt idx="45">
                  <c:v>2020</c:v>
                </c:pt>
              </c:numCache>
            </c:numRef>
          </c:cat>
          <c:val>
            <c:numRef>
              <c:f>DataF3!$D$5:$D$50</c:f>
              <c:numCache>
                <c:formatCode>0.0%</c:formatCode>
                <c:ptCount val="46"/>
                <c:pt idx="0">
                  <c:v>0.14470206791406698</c:v>
                </c:pt>
                <c:pt idx="1">
                  <c:v>0.14397126261561582</c:v>
                </c:pt>
                <c:pt idx="2">
                  <c:v>0.1445614018544939</c:v>
                </c:pt>
                <c:pt idx="3">
                  <c:v>0.14486121477397693</c:v>
                </c:pt>
                <c:pt idx="4">
                  <c:v>0.14190607606739974</c:v>
                </c:pt>
                <c:pt idx="5">
                  <c:v>0.13893632482514331</c:v>
                </c:pt>
                <c:pt idx="6">
                  <c:v>0.14441739244778107</c:v>
                </c:pt>
                <c:pt idx="7">
                  <c:v>0.14516043068528164</c:v>
                </c:pt>
                <c:pt idx="8">
                  <c:v>0.15067141437877599</c:v>
                </c:pt>
                <c:pt idx="9">
                  <c:v>0.15560705884144874</c:v>
                </c:pt>
                <c:pt idx="10">
                  <c:v>0.15787049636712966</c:v>
                </c:pt>
                <c:pt idx="11">
                  <c:v>0.15713913811353761</c:v>
                </c:pt>
                <c:pt idx="12">
                  <c:v>0.15835844691816678</c:v>
                </c:pt>
                <c:pt idx="13">
                  <c:v>0.16198837717118159</c:v>
                </c:pt>
                <c:pt idx="14">
                  <c:v>0.16321954049849099</c:v>
                </c:pt>
                <c:pt idx="15">
                  <c:v>0.15992041882154995</c:v>
                </c:pt>
                <c:pt idx="16">
                  <c:v>0.1564549147222811</c:v>
                </c:pt>
                <c:pt idx="17">
                  <c:v>0.15479722044315622</c:v>
                </c:pt>
                <c:pt idx="18">
                  <c:v>0.15601794526942436</c:v>
                </c:pt>
                <c:pt idx="19">
                  <c:v>0.16120024399049293</c:v>
                </c:pt>
                <c:pt idx="20">
                  <c:v>0.16350535103761582</c:v>
                </c:pt>
                <c:pt idx="21">
                  <c:v>0.16612537731554916</c:v>
                </c:pt>
                <c:pt idx="22">
                  <c:v>0.16905658686298317</c:v>
                </c:pt>
                <c:pt idx="23">
                  <c:v>0.16770399609041559</c:v>
                </c:pt>
                <c:pt idx="24">
                  <c:v>0.16603567419961138</c:v>
                </c:pt>
                <c:pt idx="25">
                  <c:v>0.16173886106400437</c:v>
                </c:pt>
                <c:pt idx="26">
                  <c:v>0.16097701760114649</c:v>
                </c:pt>
                <c:pt idx="27">
                  <c:v>0.16562429479480884</c:v>
                </c:pt>
                <c:pt idx="28">
                  <c:v>0.17028752212635573</c:v>
                </c:pt>
                <c:pt idx="29">
                  <c:v>0.17744971927147501</c:v>
                </c:pt>
                <c:pt idx="30">
                  <c:v>0.18059534068314209</c:v>
                </c:pt>
                <c:pt idx="31">
                  <c:v>0.18359636090393244</c:v>
                </c:pt>
                <c:pt idx="32">
                  <c:v>0.18348428437183417</c:v>
                </c:pt>
                <c:pt idx="33">
                  <c:v>0.18055457048188797</c:v>
                </c:pt>
                <c:pt idx="34">
                  <c:v>0.17855281871926884</c:v>
                </c:pt>
                <c:pt idx="35">
                  <c:v>0.18674684834289276</c:v>
                </c:pt>
                <c:pt idx="36">
                  <c:v>0.18506273739029191</c:v>
                </c:pt>
                <c:pt idx="37">
                  <c:v>0.18147799881404808</c:v>
                </c:pt>
                <c:pt idx="38">
                  <c:v>0.18181728523860391</c:v>
                </c:pt>
                <c:pt idx="39">
                  <c:v>0.18215657166315974</c:v>
                </c:pt>
                <c:pt idx="40">
                  <c:v>0.18249131134972568</c:v>
                </c:pt>
                <c:pt idx="41">
                  <c:v>0.1936366123754738</c:v>
                </c:pt>
                <c:pt idx="42">
                  <c:v>0.1931997925278065</c:v>
                </c:pt>
                <c:pt idx="43">
                  <c:v>0.19367375629765182</c:v>
                </c:pt>
                <c:pt idx="44">
                  <c:v>0.19383288723945977</c:v>
                </c:pt>
              </c:numCache>
            </c:numRef>
          </c:val>
          <c:smooth val="0"/>
          <c:extLst>
            <c:ext xmlns:c16="http://schemas.microsoft.com/office/drawing/2014/chart" uri="{C3380CC4-5D6E-409C-BE32-E72D297353CC}">
              <c16:uniqueId val="{00000001-032C-47AB-9B63-27F67993570D}"/>
            </c:ext>
          </c:extLst>
        </c:ser>
        <c:dLbls>
          <c:showLegendKey val="0"/>
          <c:showVal val="0"/>
          <c:showCatName val="0"/>
          <c:showSerName val="0"/>
          <c:showPercent val="0"/>
          <c:showBubbleSize val="0"/>
        </c:dLbls>
        <c:smooth val="0"/>
        <c:axId val="1839106456"/>
        <c:axId val="1839111368"/>
        <c:extLst/>
      </c:lineChart>
      <c:catAx>
        <c:axId val="1839106456"/>
        <c:scaling>
          <c:orientation val="minMax"/>
        </c:scaling>
        <c:delete val="0"/>
        <c:axPos val="b"/>
        <c:numFmt formatCode="General" sourceLinked="0"/>
        <c:majorTickMark val="none"/>
        <c:minorTickMark val="none"/>
        <c:tickLblPos val="nextTo"/>
        <c:txPr>
          <a:bodyPr/>
          <a:lstStyle/>
          <a:p>
            <a:pPr>
              <a:defRPr sz="1800"/>
            </a:pPr>
            <a:endParaRPr lang="en-US"/>
          </a:p>
        </c:txPr>
        <c:crossAx val="1839111368"/>
        <c:crosses val="autoZero"/>
        <c:auto val="1"/>
        <c:lblAlgn val="ctr"/>
        <c:lblOffset val="100"/>
        <c:tickLblSkip val="5"/>
        <c:noMultiLvlLbl val="0"/>
      </c:catAx>
      <c:valAx>
        <c:axId val="1839111368"/>
        <c:scaling>
          <c:orientation val="minMax"/>
          <c:max val="0.22"/>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1839106456"/>
        <c:crosses val="autoZero"/>
        <c:crossBetween val="between"/>
        <c:majorUnit val="0.05"/>
      </c:valAx>
      <c:spPr>
        <a:noFill/>
        <a:ln>
          <a:noFill/>
        </a:ln>
      </c:spPr>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a:pPr>
            <a:r>
              <a:rPr lang="en-GB" sz="2000"/>
              <a:t>Global corporate profits and foreign profits, 1975-2019 </a:t>
            </a:r>
          </a:p>
        </c:rich>
      </c:tx>
      <c:layout>
        <c:manualLayout>
          <c:xMode val="edge"/>
          <c:yMode val="edge"/>
          <c:x val="0.19974917016682603"/>
          <c:y val="7.9827364675649857E-4"/>
        </c:manualLayout>
      </c:layout>
      <c:overlay val="0"/>
    </c:title>
    <c:autoTitleDeleted val="0"/>
    <c:plotArea>
      <c:layout>
        <c:manualLayout>
          <c:layoutTarget val="inner"/>
          <c:xMode val="edge"/>
          <c:yMode val="edge"/>
          <c:x val="8.2658661856377394E-2"/>
          <c:y val="0.102088855081104"/>
          <c:w val="0.87977913816798403"/>
          <c:h val="0.774688462855186"/>
        </c:manualLayout>
      </c:layout>
      <c:lineChart>
        <c:grouping val="standard"/>
        <c:varyColors val="0"/>
        <c:ser>
          <c:idx val="0"/>
          <c:order val="0"/>
          <c:spPr>
            <a:ln w="19050">
              <a:solidFill>
                <a:schemeClr val="bg1">
                  <a:lumMod val="75000"/>
                </a:schemeClr>
              </a:solidFill>
              <a:prstDash val="dash"/>
            </a:ln>
          </c:spPr>
          <c:marker>
            <c:symbol val="none"/>
          </c:marker>
          <c:cat>
            <c:numRef>
              <c:f>DataF3!$A$5:$A$50</c:f>
              <c:numCache>
                <c:formatCode>General</c:formatCode>
                <c:ptCount val="46"/>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pt idx="45">
                  <c:v>2020</c:v>
                </c:pt>
              </c:numCache>
            </c:numRef>
          </c:cat>
          <c:val>
            <c:numRef>
              <c:f>DataF3!$B$5:$B$50</c:f>
              <c:numCache>
                <c:formatCode>0.0%</c:formatCode>
                <c:ptCount val="46"/>
                <c:pt idx="0">
                  <c:v>9.9657517220842082E-2</c:v>
                </c:pt>
                <c:pt idx="1">
                  <c:v>0.11722170787446358</c:v>
                </c:pt>
                <c:pt idx="2">
                  <c:v>9.4714857906828306E-2</c:v>
                </c:pt>
                <c:pt idx="3">
                  <c:v>8.8089685653665484E-2</c:v>
                </c:pt>
                <c:pt idx="4">
                  <c:v>0.11666059102837449</c:v>
                </c:pt>
                <c:pt idx="5">
                  <c:v>7.8654611006140102E-2</c:v>
                </c:pt>
                <c:pt idx="6">
                  <c:v>6.6549746533489607E-2</c:v>
                </c:pt>
                <c:pt idx="7">
                  <c:v>6.4912908121166582E-2</c:v>
                </c:pt>
                <c:pt idx="8">
                  <c:v>6.2480143539153474E-2</c:v>
                </c:pt>
                <c:pt idx="9">
                  <c:v>6.722703736105215E-2</c:v>
                </c:pt>
                <c:pt idx="10">
                  <c:v>6.2779187718306456E-2</c:v>
                </c:pt>
                <c:pt idx="11">
                  <c:v>4.8834205778680383E-2</c:v>
                </c:pt>
                <c:pt idx="12">
                  <c:v>5.2269497892569433E-2</c:v>
                </c:pt>
                <c:pt idx="13">
                  <c:v>5.9345403197578035E-2</c:v>
                </c:pt>
                <c:pt idx="14">
                  <c:v>5.829973807896089E-2</c:v>
                </c:pt>
                <c:pt idx="15">
                  <c:v>5.4985262928575168E-2</c:v>
                </c:pt>
                <c:pt idx="16">
                  <c:v>4.5789556031087954E-2</c:v>
                </c:pt>
                <c:pt idx="17">
                  <c:v>4.479884307373886E-2</c:v>
                </c:pt>
                <c:pt idx="18">
                  <c:v>4.8028050847168581E-2</c:v>
                </c:pt>
                <c:pt idx="19">
                  <c:v>5.5139915750882611E-2</c:v>
                </c:pt>
                <c:pt idx="20">
                  <c:v>5.8153453238058359E-2</c:v>
                </c:pt>
                <c:pt idx="21">
                  <c:v>6.9749114371787255E-2</c:v>
                </c:pt>
                <c:pt idx="22">
                  <c:v>7.2567227414628288E-2</c:v>
                </c:pt>
                <c:pt idx="23">
                  <c:v>6.8546909504774503E-2</c:v>
                </c:pt>
                <c:pt idx="24">
                  <c:v>8.47568451647365E-2</c:v>
                </c:pt>
                <c:pt idx="25">
                  <c:v>0.10069157316144314</c:v>
                </c:pt>
                <c:pt idx="26">
                  <c:v>8.8629776188056036E-2</c:v>
                </c:pt>
                <c:pt idx="27">
                  <c:v>8.6758706606470351E-2</c:v>
                </c:pt>
                <c:pt idx="28">
                  <c:v>0.1016279832091007</c:v>
                </c:pt>
                <c:pt idx="29">
                  <c:v>0.12243583502610267</c:v>
                </c:pt>
                <c:pt idx="30">
                  <c:v>0.15161514442956117</c:v>
                </c:pt>
                <c:pt idx="31">
                  <c:v>0.15988041687071738</c:v>
                </c:pt>
                <c:pt idx="32">
                  <c:v>0.16676020115694903</c:v>
                </c:pt>
                <c:pt idx="33">
                  <c:v>0.14203808468671716</c:v>
                </c:pt>
                <c:pt idx="34">
                  <c:v>0.1376330779087456</c:v>
                </c:pt>
                <c:pt idx="35">
                  <c:v>0.15577655832657195</c:v>
                </c:pt>
                <c:pt idx="36">
                  <c:v>0.15482114232117231</c:v>
                </c:pt>
                <c:pt idx="37">
                  <c:v>0.14573976388269586</c:v>
                </c:pt>
                <c:pt idx="38">
                  <c:v>0.15005513269809706</c:v>
                </c:pt>
                <c:pt idx="39">
                  <c:v>0.15157827340782384</c:v>
                </c:pt>
                <c:pt idx="40">
                  <c:v>0.14791394348737996</c:v>
                </c:pt>
                <c:pt idx="41">
                  <c:v>0.1568529819614532</c:v>
                </c:pt>
                <c:pt idx="42">
                  <c:v>0.16866952407045691</c:v>
                </c:pt>
                <c:pt idx="43">
                  <c:v>0.1823660964015057</c:v>
                </c:pt>
                <c:pt idx="44">
                  <c:v>0.1628312507290792</c:v>
                </c:pt>
              </c:numCache>
            </c:numRef>
          </c:val>
          <c:smooth val="0"/>
          <c:extLst>
            <c:ext xmlns:c16="http://schemas.microsoft.com/office/drawing/2014/chart" uri="{C3380CC4-5D6E-409C-BE32-E72D297353CC}">
              <c16:uniqueId val="{00000000-30E3-6546-91A7-EA60D7B0CF5A}"/>
            </c:ext>
          </c:extLst>
        </c:ser>
        <c:ser>
          <c:idx val="1"/>
          <c:order val="1"/>
          <c:spPr>
            <a:ln>
              <a:solidFill>
                <a:schemeClr val="accent1"/>
              </a:solidFill>
            </a:ln>
          </c:spPr>
          <c:marker>
            <c:symbol val="none"/>
          </c:marker>
          <c:cat>
            <c:numRef>
              <c:f>DataF3!$A$5:$A$50</c:f>
              <c:numCache>
                <c:formatCode>General</c:formatCode>
                <c:ptCount val="46"/>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pt idx="45">
                  <c:v>2020</c:v>
                </c:pt>
              </c:numCache>
            </c:numRef>
          </c:cat>
          <c:val>
            <c:numRef>
              <c:f>DataF3!$D$5:$D$50</c:f>
              <c:numCache>
                <c:formatCode>0.0%</c:formatCode>
                <c:ptCount val="46"/>
                <c:pt idx="0">
                  <c:v>0.14470206791406698</c:v>
                </c:pt>
                <c:pt idx="1">
                  <c:v>0.14397126261561582</c:v>
                </c:pt>
                <c:pt idx="2">
                  <c:v>0.1445614018544939</c:v>
                </c:pt>
                <c:pt idx="3">
                  <c:v>0.14486121477397693</c:v>
                </c:pt>
                <c:pt idx="4">
                  <c:v>0.14190607606739974</c:v>
                </c:pt>
                <c:pt idx="5">
                  <c:v>0.13893632482514331</c:v>
                </c:pt>
                <c:pt idx="6">
                  <c:v>0.14441739244778107</c:v>
                </c:pt>
                <c:pt idx="7">
                  <c:v>0.14516043068528164</c:v>
                </c:pt>
                <c:pt idx="8">
                  <c:v>0.15067141437877599</c:v>
                </c:pt>
                <c:pt idx="9">
                  <c:v>0.15560705884144874</c:v>
                </c:pt>
                <c:pt idx="10">
                  <c:v>0.15787049636712966</c:v>
                </c:pt>
                <c:pt idx="11">
                  <c:v>0.15713913811353761</c:v>
                </c:pt>
                <c:pt idx="12">
                  <c:v>0.15835844691816678</c:v>
                </c:pt>
                <c:pt idx="13">
                  <c:v>0.16198837717118159</c:v>
                </c:pt>
                <c:pt idx="14">
                  <c:v>0.16321954049849099</c:v>
                </c:pt>
                <c:pt idx="15">
                  <c:v>0.15992041882154995</c:v>
                </c:pt>
                <c:pt idx="16">
                  <c:v>0.1564549147222811</c:v>
                </c:pt>
                <c:pt idx="17">
                  <c:v>0.15479722044315622</c:v>
                </c:pt>
                <c:pt idx="18">
                  <c:v>0.15601794526942436</c:v>
                </c:pt>
                <c:pt idx="19">
                  <c:v>0.16120024399049293</c:v>
                </c:pt>
                <c:pt idx="20">
                  <c:v>0.16350535103761582</c:v>
                </c:pt>
                <c:pt idx="21">
                  <c:v>0.16612537731554916</c:v>
                </c:pt>
                <c:pt idx="22">
                  <c:v>0.16905658686298317</c:v>
                </c:pt>
                <c:pt idx="23">
                  <c:v>0.16770399609041559</c:v>
                </c:pt>
                <c:pt idx="24">
                  <c:v>0.16603567419961138</c:v>
                </c:pt>
                <c:pt idx="25">
                  <c:v>0.16173886106400437</c:v>
                </c:pt>
                <c:pt idx="26">
                  <c:v>0.16097701760114649</c:v>
                </c:pt>
                <c:pt idx="27">
                  <c:v>0.16562429479480884</c:v>
                </c:pt>
                <c:pt idx="28">
                  <c:v>0.17028752212635573</c:v>
                </c:pt>
                <c:pt idx="29">
                  <c:v>0.17744971927147501</c:v>
                </c:pt>
                <c:pt idx="30">
                  <c:v>0.18059534068314209</c:v>
                </c:pt>
                <c:pt idx="31">
                  <c:v>0.18359636090393244</c:v>
                </c:pt>
                <c:pt idx="32">
                  <c:v>0.18348428437183417</c:v>
                </c:pt>
                <c:pt idx="33">
                  <c:v>0.18055457048188797</c:v>
                </c:pt>
                <c:pt idx="34">
                  <c:v>0.17855281871926884</c:v>
                </c:pt>
                <c:pt idx="35">
                  <c:v>0.18674684834289276</c:v>
                </c:pt>
                <c:pt idx="36">
                  <c:v>0.18506273739029191</c:v>
                </c:pt>
                <c:pt idx="37">
                  <c:v>0.18147799881404808</c:v>
                </c:pt>
                <c:pt idx="38">
                  <c:v>0.18181728523860391</c:v>
                </c:pt>
                <c:pt idx="39">
                  <c:v>0.18215657166315974</c:v>
                </c:pt>
                <c:pt idx="40">
                  <c:v>0.18249131134972568</c:v>
                </c:pt>
                <c:pt idx="41">
                  <c:v>0.1936366123754738</c:v>
                </c:pt>
                <c:pt idx="42">
                  <c:v>0.1931997925278065</c:v>
                </c:pt>
                <c:pt idx="43">
                  <c:v>0.19367375629765182</c:v>
                </c:pt>
                <c:pt idx="44">
                  <c:v>0.19383288723945977</c:v>
                </c:pt>
              </c:numCache>
            </c:numRef>
          </c:val>
          <c:smooth val="0"/>
          <c:extLst>
            <c:ext xmlns:c16="http://schemas.microsoft.com/office/drawing/2014/chart" uri="{C3380CC4-5D6E-409C-BE32-E72D297353CC}">
              <c16:uniqueId val="{00000001-30E3-6546-91A7-EA60D7B0CF5A}"/>
            </c:ext>
          </c:extLst>
        </c:ser>
        <c:ser>
          <c:idx val="2"/>
          <c:order val="2"/>
          <c:spPr>
            <a:ln>
              <a:solidFill>
                <a:schemeClr val="tx1"/>
              </a:solidFill>
              <a:prstDash val="solid"/>
            </a:ln>
          </c:spPr>
          <c:marker>
            <c:symbol val="none"/>
          </c:marker>
          <c:val>
            <c:numRef>
              <c:f>DataF3!$C$5:$C$50</c:f>
              <c:numCache>
                <c:formatCode>0.0%</c:formatCode>
                <c:ptCount val="46"/>
                <c:pt idx="0">
                  <c:v>4.4264970609858859E-2</c:v>
                </c:pt>
                <c:pt idx="1">
                  <c:v>4.5874547181408702E-2</c:v>
                </c:pt>
                <c:pt idx="2">
                  <c:v>4.0890859902648694E-2</c:v>
                </c:pt>
                <c:pt idx="3">
                  <c:v>4.4967256629543387E-2</c:v>
                </c:pt>
                <c:pt idx="4">
                  <c:v>6.3051408258244415E-2</c:v>
                </c:pt>
                <c:pt idx="5">
                  <c:v>5.7286724201963353E-2</c:v>
                </c:pt>
                <c:pt idx="6">
                  <c:v>4.700862141178519E-2</c:v>
                </c:pt>
                <c:pt idx="7">
                  <c:v>4.2305884277239678E-2</c:v>
                </c:pt>
                <c:pt idx="8">
                  <c:v>4.2077444761486442E-2</c:v>
                </c:pt>
                <c:pt idx="9">
                  <c:v>4.5707216438508197E-2</c:v>
                </c:pt>
                <c:pt idx="10">
                  <c:v>4.3490746703181059E-2</c:v>
                </c:pt>
                <c:pt idx="11">
                  <c:v>3.8780782153167423E-2</c:v>
                </c:pt>
                <c:pt idx="12">
                  <c:v>4.4259985650042834E-2</c:v>
                </c:pt>
                <c:pt idx="13">
                  <c:v>5.0637451372962904E-2</c:v>
                </c:pt>
                <c:pt idx="14">
                  <c:v>5.0517108911763454E-2</c:v>
                </c:pt>
                <c:pt idx="15">
                  <c:v>4.785864588048834E-2</c:v>
                </c:pt>
                <c:pt idx="16">
                  <c:v>4.0061503925254663E-2</c:v>
                </c:pt>
                <c:pt idx="17">
                  <c:v>3.8074814789300429E-2</c:v>
                </c:pt>
                <c:pt idx="18">
                  <c:v>4.3019473387257826E-2</c:v>
                </c:pt>
                <c:pt idx="19">
                  <c:v>4.8140427153715727E-2</c:v>
                </c:pt>
                <c:pt idx="20">
                  <c:v>5.123316670441011E-2</c:v>
                </c:pt>
                <c:pt idx="21">
                  <c:v>6.1622125252804215E-2</c:v>
                </c:pt>
                <c:pt idx="22">
                  <c:v>6.5786503865238335E-2</c:v>
                </c:pt>
                <c:pt idx="23">
                  <c:v>6.2408702216915066E-2</c:v>
                </c:pt>
                <c:pt idx="24">
                  <c:v>7.801346136077969E-2</c:v>
                </c:pt>
                <c:pt idx="25">
                  <c:v>9.1272978802478755E-2</c:v>
                </c:pt>
                <c:pt idx="26">
                  <c:v>7.4887726447418659E-2</c:v>
                </c:pt>
                <c:pt idx="27">
                  <c:v>7.6598118182380534E-2</c:v>
                </c:pt>
                <c:pt idx="28">
                  <c:v>9.3535672089371552E-2</c:v>
                </c:pt>
                <c:pt idx="29">
                  <c:v>0.11398394672305596</c:v>
                </c:pt>
                <c:pt idx="30">
                  <c:v>0.14116572344549966</c:v>
                </c:pt>
                <c:pt idx="31">
                  <c:v>0.14934320718795099</c:v>
                </c:pt>
                <c:pt idx="32">
                  <c:v>0.15602848655054885</c:v>
                </c:pt>
                <c:pt idx="33">
                  <c:v>0.12781478449533362</c:v>
                </c:pt>
                <c:pt idx="34">
                  <c:v>0.12768812707296648</c:v>
                </c:pt>
                <c:pt idx="35">
                  <c:v>0.14457874806048046</c:v>
                </c:pt>
                <c:pt idx="36">
                  <c:v>0.141690394007632</c:v>
                </c:pt>
                <c:pt idx="37">
                  <c:v>0.1348872731894839</c:v>
                </c:pt>
                <c:pt idx="38">
                  <c:v>0.14089205226216006</c:v>
                </c:pt>
                <c:pt idx="39">
                  <c:v>0.14589214277606952</c:v>
                </c:pt>
                <c:pt idx="40">
                  <c:v>0.13690285762308796</c:v>
                </c:pt>
                <c:pt idx="41">
                  <c:v>0.13259291538159557</c:v>
                </c:pt>
                <c:pt idx="42">
                  <c:v>0.14944661209810853</c:v>
                </c:pt>
                <c:pt idx="43">
                  <c:v>0.15375411650756851</c:v>
                </c:pt>
                <c:pt idx="44">
                  <c:v>0.15583916555804697</c:v>
                </c:pt>
              </c:numCache>
            </c:numRef>
          </c:val>
          <c:smooth val="0"/>
          <c:extLst>
            <c:ext xmlns:c16="http://schemas.microsoft.com/office/drawing/2014/chart" uri="{C3380CC4-5D6E-409C-BE32-E72D297353CC}">
              <c16:uniqueId val="{00000002-30E3-6546-91A7-EA60D7B0CF5A}"/>
            </c:ext>
          </c:extLst>
        </c:ser>
        <c:dLbls>
          <c:showLegendKey val="0"/>
          <c:showVal val="0"/>
          <c:showCatName val="0"/>
          <c:showSerName val="0"/>
          <c:showPercent val="0"/>
          <c:showBubbleSize val="0"/>
        </c:dLbls>
        <c:smooth val="0"/>
        <c:axId val="1839106456"/>
        <c:axId val="1839111368"/>
        <c:extLst/>
      </c:lineChart>
      <c:catAx>
        <c:axId val="1839106456"/>
        <c:scaling>
          <c:orientation val="minMax"/>
        </c:scaling>
        <c:delete val="0"/>
        <c:axPos val="b"/>
        <c:numFmt formatCode="General" sourceLinked="0"/>
        <c:majorTickMark val="none"/>
        <c:minorTickMark val="none"/>
        <c:tickLblPos val="nextTo"/>
        <c:txPr>
          <a:bodyPr/>
          <a:lstStyle/>
          <a:p>
            <a:pPr>
              <a:defRPr sz="1800"/>
            </a:pPr>
            <a:endParaRPr lang="en-US"/>
          </a:p>
        </c:txPr>
        <c:crossAx val="1839111368"/>
        <c:crosses val="autoZero"/>
        <c:auto val="1"/>
        <c:lblAlgn val="ctr"/>
        <c:lblOffset val="100"/>
        <c:tickLblSkip val="5"/>
        <c:noMultiLvlLbl val="0"/>
      </c:catAx>
      <c:valAx>
        <c:axId val="1839111368"/>
        <c:scaling>
          <c:orientation val="minMax"/>
          <c:max val="0.22"/>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1839106456"/>
        <c:crosses val="autoZero"/>
        <c:crossBetween val="between"/>
        <c:majorUnit val="0.05"/>
      </c:valAx>
      <c:spPr>
        <a:noFill/>
        <a:ln>
          <a:noFill/>
        </a:ln>
      </c:spPr>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700"/>
              <a:t>Foreign profits shifted to tax havens and corporate tax revenue loss, 1975-2019</a:t>
            </a:r>
          </a:p>
        </c:rich>
      </c:tx>
      <c:layout>
        <c:manualLayout>
          <c:xMode val="edge"/>
          <c:yMode val="edge"/>
          <c:x val="0.1490969086488364"/>
          <c:y val="1.6710192581153218E-2"/>
        </c:manualLayout>
      </c:layout>
      <c:overlay val="0"/>
    </c:title>
    <c:autoTitleDeleted val="0"/>
    <c:plotArea>
      <c:layout>
        <c:manualLayout>
          <c:layoutTarget val="inner"/>
          <c:xMode val="edge"/>
          <c:yMode val="edge"/>
          <c:x val="0.11682264812966432"/>
          <c:y val="0.102088855081104"/>
          <c:w val="0.78002029824998609"/>
          <c:h val="0.774688462855186"/>
        </c:manualLayout>
      </c:layout>
      <c:lineChart>
        <c:grouping val="standard"/>
        <c:varyColors val="0"/>
        <c:ser>
          <c:idx val="0"/>
          <c:order val="0"/>
          <c:marker>
            <c:symbol val="none"/>
          </c:marker>
          <c:cat>
            <c:numRef>
              <c:f>DataF3!$A$5:$A$49</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DataF3!$AT$5:$AT$49</c:f>
              <c:numCache>
                <c:formatCode>0%</c:formatCode>
                <c:ptCount val="45"/>
                <c:pt idx="0">
                  <c:v>6.2675282359083827E-3</c:v>
                </c:pt>
                <c:pt idx="1">
                  <c:v>0</c:v>
                </c:pt>
                <c:pt idx="2">
                  <c:v>4.8084701761058595E-3</c:v>
                </c:pt>
                <c:pt idx="3">
                  <c:v>2.9638916354100212E-2</c:v>
                </c:pt>
                <c:pt idx="4">
                  <c:v>4.2608719474651953E-2</c:v>
                </c:pt>
                <c:pt idx="5">
                  <c:v>8.8779163599295219E-2</c:v>
                </c:pt>
                <c:pt idx="6">
                  <c:v>8.6742375271813082E-2</c:v>
                </c:pt>
                <c:pt idx="7">
                  <c:v>0.11601090168044406</c:v>
                </c:pt>
                <c:pt idx="8">
                  <c:v>0.10263277918576177</c:v>
                </c:pt>
                <c:pt idx="9">
                  <c:v>9.4178977252820789E-2</c:v>
                </c:pt>
                <c:pt idx="10">
                  <c:v>0.10568671286169133</c:v>
                </c:pt>
                <c:pt idx="11">
                  <c:v>0.10979972592014786</c:v>
                </c:pt>
                <c:pt idx="12">
                  <c:v>0.13334652737438768</c:v>
                </c:pt>
                <c:pt idx="13">
                  <c:v>9.5962602641367217E-2</c:v>
                </c:pt>
                <c:pt idx="14">
                  <c:v>0.12708460068916866</c:v>
                </c:pt>
                <c:pt idx="15">
                  <c:v>0.15784889429701554</c:v>
                </c:pt>
                <c:pt idx="16">
                  <c:v>0.17056157601435862</c:v>
                </c:pt>
                <c:pt idx="17">
                  <c:v>0.15624700010073472</c:v>
                </c:pt>
                <c:pt idx="18">
                  <c:v>0.14883684451288787</c:v>
                </c:pt>
                <c:pt idx="19">
                  <c:v>0.14010361897418369</c:v>
                </c:pt>
                <c:pt idx="20">
                  <c:v>0.16104454476282981</c:v>
                </c:pt>
                <c:pt idx="21">
                  <c:v>0.14357116004644624</c:v>
                </c:pt>
                <c:pt idx="22">
                  <c:v>0.17765032950018067</c:v>
                </c:pt>
                <c:pt idx="23">
                  <c:v>0.21848949702227563</c:v>
                </c:pt>
                <c:pt idx="24">
                  <c:v>0.19326767881764628</c:v>
                </c:pt>
                <c:pt idx="25">
                  <c:v>0.19531707227766004</c:v>
                </c:pt>
                <c:pt idx="26">
                  <c:v>0.22672673523680836</c:v>
                </c:pt>
                <c:pt idx="27">
                  <c:v>0.22969565688934201</c:v>
                </c:pt>
                <c:pt idx="28">
                  <c:v>0.20901430839343813</c:v>
                </c:pt>
                <c:pt idx="29">
                  <c:v>0.2249599949577526</c:v>
                </c:pt>
                <c:pt idx="30">
                  <c:v>0.18107509262075461</c:v>
                </c:pt>
                <c:pt idx="31">
                  <c:v>0.19778081067422595</c:v>
                </c:pt>
                <c:pt idx="32">
                  <c:v>0.20102148456192345</c:v>
                </c:pt>
                <c:pt idx="33">
                  <c:v>0.17166523340268036</c:v>
                </c:pt>
                <c:pt idx="34">
                  <c:v>0.24448820913921815</c:v>
                </c:pt>
                <c:pt idx="35">
                  <c:v>0.20305084765257506</c:v>
                </c:pt>
                <c:pt idx="36">
                  <c:v>0.214174211030211</c:v>
                </c:pt>
                <c:pt idx="37">
                  <c:v>0.24138932304834992</c:v>
                </c:pt>
                <c:pt idx="38">
                  <c:v>0.2345795570639265</c:v>
                </c:pt>
                <c:pt idx="39">
                  <c:v>0.27085771962372962</c:v>
                </c:pt>
                <c:pt idx="40">
                  <c:v>0.3619370081190203</c:v>
                </c:pt>
                <c:pt idx="41">
                  <c:v>0.36224558978351656</c:v>
                </c:pt>
                <c:pt idx="42">
                  <c:v>0.35975842449750389</c:v>
                </c:pt>
                <c:pt idx="43">
                  <c:v>0.35639008352064244</c:v>
                </c:pt>
                <c:pt idx="44">
                  <c:v>0.37420932775225652</c:v>
                </c:pt>
              </c:numCache>
            </c:numRef>
          </c:val>
          <c:smooth val="0"/>
          <c:extLst>
            <c:ext xmlns:c16="http://schemas.microsoft.com/office/drawing/2014/chart" uri="{C3380CC4-5D6E-409C-BE32-E72D297353CC}">
              <c16:uniqueId val="{00000000-192F-4D90-BF6C-8406153441A5}"/>
            </c:ext>
          </c:extLst>
        </c:ser>
        <c:dLbls>
          <c:showLegendKey val="0"/>
          <c:showVal val="0"/>
          <c:showCatName val="0"/>
          <c:showSerName val="0"/>
          <c:showPercent val="0"/>
          <c:showBubbleSize val="0"/>
        </c:dLbls>
        <c:marker val="1"/>
        <c:smooth val="0"/>
        <c:axId val="1839106456"/>
        <c:axId val="1839111368"/>
        <c:extLst>
          <c:ext xmlns:c15="http://schemas.microsoft.com/office/drawing/2012/chart" uri="{02D57815-91ED-43cb-92C2-25804820EDAC}">
            <c15:filteredLineSeries>
              <c15:ser>
                <c:idx val="1"/>
                <c:order val="1"/>
                <c:marker>
                  <c:symbol val="none"/>
                </c:marker>
                <c:cat>
                  <c:numRef>
                    <c:extLst>
                      <c:ext uri="{02D57815-91ED-43cb-92C2-25804820EDAC}">
                        <c15:formulaRef>
                          <c15:sqref>DataF3!$A$5:$A$49</c15:sqref>
                        </c15:formulaRef>
                      </c:ext>
                    </c:extLst>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extLst>
                      <c:ext uri="{02D57815-91ED-43cb-92C2-25804820EDAC}">
                        <c15:formulaRef>
                          <c15:sqref>'Wright-Zucman'!$C$9:$C$14</c15:sqref>
                        </c15:formulaRef>
                      </c:ext>
                    </c:extLst>
                    <c:numCache>
                      <c:formatCode>General</c:formatCode>
                      <c:ptCount val="1"/>
                    </c:numCache>
                  </c:numRef>
                </c:val>
                <c:smooth val="0"/>
                <c:extLst>
                  <c:ext xmlns:c16="http://schemas.microsoft.com/office/drawing/2014/chart" uri="{C3380CC4-5D6E-409C-BE32-E72D297353CC}">
                    <c16:uniqueId val="{00000002-192F-4D90-BF6C-8406153441A5}"/>
                  </c:ext>
                </c:extLst>
              </c15:ser>
            </c15:filteredLineSeries>
            <c15:filteredLineSeries>
              <c15:ser>
                <c:idx val="2"/>
                <c:order val="2"/>
                <c:marker>
                  <c:symbol val="none"/>
                </c:marker>
                <c:cat>
                  <c:numRef>
                    <c:extLst xmlns:c15="http://schemas.microsoft.com/office/drawing/2012/chart">
                      <c:ext xmlns:c15="http://schemas.microsoft.com/office/drawing/2012/chart" uri="{02D57815-91ED-43cb-92C2-25804820EDAC}">
                        <c15:formulaRef>
                          <c15:sqref>DataF3!$A$5:$A$49</c15:sqref>
                        </c15:formulaRef>
                      </c:ext>
                    </c:extLst>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extLst xmlns:c15="http://schemas.microsoft.com/office/drawing/2012/chart">
                      <c:ext xmlns:c15="http://schemas.microsoft.com/office/drawing/2012/chart" uri="{02D57815-91ED-43cb-92C2-25804820EDAC}">
                        <c15:formulaRef>
                          <c15:sqref>'Wright-Zucman'!$D$9:$D$14</c15:sqref>
                        </c15:formulaRef>
                      </c:ext>
                    </c:extLst>
                    <c:numCache>
                      <c:formatCode>General</c:formatCode>
                      <c:ptCount val="1"/>
                    </c:numCache>
                  </c:numRef>
                </c:val>
                <c:smooth val="0"/>
                <c:extLst xmlns:c15="http://schemas.microsoft.com/office/drawing/2012/chart">
                  <c:ext xmlns:c16="http://schemas.microsoft.com/office/drawing/2014/chart" uri="{C3380CC4-5D6E-409C-BE32-E72D297353CC}">
                    <c16:uniqueId val="{00000003-192F-4D90-BF6C-8406153441A5}"/>
                  </c:ext>
                </c:extLst>
              </c15:ser>
            </c15:filteredLineSeries>
            <c15:filteredLineSeries>
              <c15:ser>
                <c:idx val="3"/>
                <c:order val="3"/>
                <c:spPr>
                  <a:ln>
                    <a:solidFill>
                      <a:schemeClr val="tx1"/>
                    </a:solidFill>
                  </a:ln>
                </c:spPr>
                <c:marker>
                  <c:spPr>
                    <a:solidFill>
                      <a:schemeClr val="bg1"/>
                    </a:solidFill>
                    <a:ln w="19050">
                      <a:solidFill>
                        <a:schemeClr val="tx1"/>
                      </a:solidFill>
                    </a:ln>
                  </c:spPr>
                </c:marker>
                <c:cat>
                  <c:numRef>
                    <c:extLst xmlns:c15="http://schemas.microsoft.com/office/drawing/2012/chart">
                      <c:ext xmlns:c15="http://schemas.microsoft.com/office/drawing/2012/chart" uri="{02D57815-91ED-43cb-92C2-25804820EDAC}">
                        <c15:formulaRef>
                          <c15:sqref>DataF3!$A$5:$A$49</c15:sqref>
                        </c15:formulaRef>
                      </c:ext>
                    </c:extLst>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extLst xmlns:c15="http://schemas.microsoft.com/office/drawing/2012/chart">
                      <c:ext xmlns:c15="http://schemas.microsoft.com/office/drawing/2012/chart" uri="{02D57815-91ED-43cb-92C2-25804820EDAC}">
                        <c15:formulaRef>
                          <c15:sqref>'Wright-Zucman'!$E$9:$E$14</c15:sqref>
                        </c15:formulaRef>
                      </c:ext>
                    </c:extLst>
                    <c:numCache>
                      <c:formatCode>General</c:formatCode>
                      <c:ptCount val="1"/>
                    </c:numCache>
                  </c:numRef>
                </c:val>
                <c:smooth val="0"/>
                <c:extLst xmlns:c15="http://schemas.microsoft.com/office/drawing/2012/chart">
                  <c:ext xmlns:c16="http://schemas.microsoft.com/office/drawing/2014/chart" uri="{C3380CC4-5D6E-409C-BE32-E72D297353CC}">
                    <c16:uniqueId val="{00000004-192F-4D90-BF6C-8406153441A5}"/>
                  </c:ext>
                </c:extLst>
              </c15:ser>
            </c15:filteredLineSeries>
            <c15:filteredLineSeries>
              <c15:ser>
                <c:idx val="4"/>
                <c:order val="4"/>
                <c:marker>
                  <c:symbol val="none"/>
                </c:marker>
                <c:cat>
                  <c:numRef>
                    <c:extLst xmlns:c15="http://schemas.microsoft.com/office/drawing/2012/chart">
                      <c:ext xmlns:c15="http://schemas.microsoft.com/office/drawing/2012/chart" uri="{02D57815-91ED-43cb-92C2-25804820EDAC}">
                        <c15:formulaRef>
                          <c15:sqref>DataF3!$A$5:$A$49</c15:sqref>
                        </c15:formulaRef>
                      </c:ext>
                    </c:extLst>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extLst xmlns:c15="http://schemas.microsoft.com/office/drawing/2012/chart">
                      <c:ext xmlns:c15="http://schemas.microsoft.com/office/drawing/2012/chart" uri="{02D57815-91ED-43cb-92C2-25804820EDAC}">
                        <c15:formulaRef>
                          <c15:sqref>'Wright-Zucman'!$F$9:$F$14</c15:sqref>
                        </c15:formulaRef>
                      </c:ext>
                    </c:extLst>
                    <c:numCache>
                      <c:formatCode>General</c:formatCode>
                      <c:ptCount val="1"/>
                    </c:numCache>
                  </c:numRef>
                </c:val>
                <c:smooth val="0"/>
                <c:extLst xmlns:c15="http://schemas.microsoft.com/office/drawing/2012/chart">
                  <c:ext xmlns:c16="http://schemas.microsoft.com/office/drawing/2014/chart" uri="{C3380CC4-5D6E-409C-BE32-E72D297353CC}">
                    <c16:uniqueId val="{00000005-192F-4D90-BF6C-8406153441A5}"/>
                  </c:ext>
                </c:extLst>
              </c15:ser>
            </c15:filteredLineSeries>
            <c15:filteredLineSeries>
              <c15:ser>
                <c:idx val="5"/>
                <c:order val="5"/>
                <c:marker>
                  <c:symbol val="none"/>
                </c:marker>
                <c:cat>
                  <c:numRef>
                    <c:extLst xmlns:c15="http://schemas.microsoft.com/office/drawing/2012/chart">
                      <c:ext xmlns:c15="http://schemas.microsoft.com/office/drawing/2012/chart" uri="{02D57815-91ED-43cb-92C2-25804820EDAC}">
                        <c15:formulaRef>
                          <c15:sqref>DataF3!$A$5:$A$49</c15:sqref>
                        </c15:formulaRef>
                      </c:ext>
                    </c:extLst>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extLst xmlns:c15="http://schemas.microsoft.com/office/drawing/2012/chart">
                      <c:ext xmlns:c15="http://schemas.microsoft.com/office/drawing/2012/chart" uri="{02D57815-91ED-43cb-92C2-25804820EDAC}">
                        <c15:formulaRef>
                          <c15:sqref>'Wright-Zucman'!$G$9:$G$14</c15:sqref>
                        </c15:formulaRef>
                      </c:ext>
                    </c:extLst>
                    <c:numCache>
                      <c:formatCode>General</c:formatCode>
                      <c:ptCount val="1"/>
                    </c:numCache>
                  </c:numRef>
                </c:val>
                <c:smooth val="0"/>
                <c:extLst xmlns:c15="http://schemas.microsoft.com/office/drawing/2012/chart">
                  <c:ext xmlns:c16="http://schemas.microsoft.com/office/drawing/2014/chart" uri="{C3380CC4-5D6E-409C-BE32-E72D297353CC}">
                    <c16:uniqueId val="{00000006-192F-4D90-BF6C-8406153441A5}"/>
                  </c:ext>
                </c:extLst>
              </c15:ser>
            </c15:filteredLineSeries>
          </c:ext>
        </c:extLst>
      </c:lineChart>
      <c:lineChart>
        <c:grouping val="standard"/>
        <c:varyColors val="0"/>
        <c:ser>
          <c:idx val="7"/>
          <c:order val="6"/>
          <c:spPr>
            <a:ln>
              <a:solidFill>
                <a:schemeClr val="tx1"/>
              </a:solidFill>
            </a:ln>
          </c:spPr>
          <c:marker>
            <c:symbol val="none"/>
          </c:marker>
          <c:val>
            <c:numRef>
              <c:f>DataF3!$AY$5:$AY$49</c:f>
              <c:numCache>
                <c:formatCode>0%</c:formatCode>
                <c:ptCount val="45"/>
                <c:pt idx="0">
                  <c:v>1.050042226275397E-3</c:v>
                </c:pt>
                <c:pt idx="1">
                  <c:v>0</c:v>
                </c:pt>
                <c:pt idx="2">
                  <c:v>7.6564145581182108E-4</c:v>
                </c:pt>
                <c:pt idx="3">
                  <c:v>4.389224380584234E-3</c:v>
                </c:pt>
                <c:pt idx="4">
                  <c:v>8.3564738098363643E-3</c:v>
                </c:pt>
                <c:pt idx="5">
                  <c:v>1.1739122599811686E-2</c:v>
                </c:pt>
                <c:pt idx="6">
                  <c:v>9.7046106823694533E-3</c:v>
                </c:pt>
                <c:pt idx="7">
                  <c:v>1.2659899847401367E-2</c:v>
                </c:pt>
                <c:pt idx="8">
                  <c:v>1.0780241981421081E-2</c:v>
                </c:pt>
                <c:pt idx="9">
                  <c:v>1.0643840161119907E-2</c:v>
                </c:pt>
                <c:pt idx="10">
                  <c:v>1.1154150092608187E-2</c:v>
                </c:pt>
                <c:pt idx="11">
                  <c:v>9.0141708770967322E-3</c:v>
                </c:pt>
                <c:pt idx="12">
                  <c:v>1.1717377990086951E-2</c:v>
                </c:pt>
                <c:pt idx="13">
                  <c:v>9.5739136145446789E-3</c:v>
                </c:pt>
                <c:pt idx="14">
                  <c:v>1.2455464660764548E-2</c:v>
                </c:pt>
                <c:pt idx="15">
                  <c:v>1.4591107319295648E-2</c:v>
                </c:pt>
                <c:pt idx="16">
                  <c:v>1.3129495375954099E-2</c:v>
                </c:pt>
                <c:pt idx="17">
                  <c:v>1.1767355875666905E-2</c:v>
                </c:pt>
                <c:pt idx="18">
                  <c:v>1.2017269956531551E-2</c:v>
                </c:pt>
                <c:pt idx="19">
                  <c:v>1.2987209710168658E-2</c:v>
                </c:pt>
                <c:pt idx="20">
                  <c:v>1.5744248234462438E-2</c:v>
                </c:pt>
                <c:pt idx="21">
                  <c:v>1.6834735938078736E-2</c:v>
                </c:pt>
                <c:pt idx="22">
                  <c:v>2.1672397077737687E-2</c:v>
                </c:pt>
                <c:pt idx="23">
                  <c:v>2.5177861806161845E-2</c:v>
                </c:pt>
                <c:pt idx="24">
                  <c:v>2.7538128062976355E-2</c:v>
                </c:pt>
                <c:pt idx="25">
                  <c:v>3.3062351098625313E-2</c:v>
                </c:pt>
                <c:pt idx="26">
                  <c:v>3.378180016932554E-2</c:v>
                </c:pt>
                <c:pt idx="27">
                  <c:v>3.3501654394962853E-2</c:v>
                </c:pt>
                <c:pt idx="28">
                  <c:v>3.5709989800408126E-2</c:v>
                </c:pt>
                <c:pt idx="29">
                  <c:v>4.6303545086319189E-2</c:v>
                </c:pt>
                <c:pt idx="30">
                  <c:v>4.615318763473962E-2</c:v>
                </c:pt>
                <c:pt idx="31">
                  <c:v>5.3159370096825739E-2</c:v>
                </c:pt>
                <c:pt idx="32">
                  <c:v>5.6355367714186817E-2</c:v>
                </c:pt>
                <c:pt idx="33">
                  <c:v>4.0990909768215865E-2</c:v>
                </c:pt>
                <c:pt idx="34">
                  <c:v>5.6569344077321122E-2</c:v>
                </c:pt>
                <c:pt idx="35">
                  <c:v>5.3174977260261068E-2</c:v>
                </c:pt>
                <c:pt idx="36">
                  <c:v>5.5743963522474592E-2</c:v>
                </c:pt>
                <c:pt idx="37">
                  <c:v>5.9142069860620018E-2</c:v>
                </c:pt>
                <c:pt idx="38">
                  <c:v>5.9175429494308519E-2</c:v>
                </c:pt>
                <c:pt idx="39">
                  <c:v>6.9020575341180501E-2</c:v>
                </c:pt>
                <c:pt idx="40">
                  <c:v>0.09</c:v>
                </c:pt>
                <c:pt idx="41">
                  <c:v>8.8279246563469235E-2</c:v>
                </c:pt>
                <c:pt idx="42">
                  <c:v>8.9892875696098218E-2</c:v>
                </c:pt>
                <c:pt idx="43">
                  <c:v>9.9017331291928773E-2</c:v>
                </c:pt>
                <c:pt idx="44">
                  <c:v>0.10003235676728385</c:v>
                </c:pt>
              </c:numCache>
            </c:numRef>
          </c:val>
          <c:smooth val="0"/>
          <c:extLst>
            <c:ext xmlns:c16="http://schemas.microsoft.com/office/drawing/2014/chart" uri="{C3380CC4-5D6E-409C-BE32-E72D297353CC}">
              <c16:uniqueId val="{00000001-192F-4D90-BF6C-8406153441A5}"/>
            </c:ext>
          </c:extLst>
        </c:ser>
        <c:dLbls>
          <c:showLegendKey val="0"/>
          <c:showVal val="0"/>
          <c:showCatName val="0"/>
          <c:showSerName val="0"/>
          <c:showPercent val="0"/>
          <c:showBubbleSize val="0"/>
        </c:dLbls>
        <c:marker val="1"/>
        <c:smooth val="0"/>
        <c:axId val="750701840"/>
        <c:axId val="750689360"/>
      </c:lineChart>
      <c:catAx>
        <c:axId val="1839106456"/>
        <c:scaling>
          <c:orientation val="minMax"/>
        </c:scaling>
        <c:delete val="0"/>
        <c:axPos val="b"/>
        <c:numFmt formatCode="General" sourceLinked="0"/>
        <c:majorTickMark val="none"/>
        <c:minorTickMark val="none"/>
        <c:tickLblPos val="nextTo"/>
        <c:txPr>
          <a:bodyPr/>
          <a:lstStyle/>
          <a:p>
            <a:pPr>
              <a:defRPr sz="1800"/>
            </a:pPr>
            <a:endParaRPr lang="en-US"/>
          </a:p>
        </c:txPr>
        <c:crossAx val="1839111368"/>
        <c:crosses val="autoZero"/>
        <c:auto val="1"/>
        <c:lblAlgn val="ctr"/>
        <c:lblOffset val="100"/>
        <c:tickLblSkip val="2"/>
        <c:noMultiLvlLbl val="0"/>
      </c:catAx>
      <c:valAx>
        <c:axId val="1839111368"/>
        <c:scaling>
          <c:orientation val="minMax"/>
          <c:min val="0"/>
        </c:scaling>
        <c:delete val="0"/>
        <c:axPos val="l"/>
        <c:majorGridlines>
          <c:spPr>
            <a:ln>
              <a:noFill/>
            </a:ln>
          </c:spPr>
        </c:majorGridlines>
        <c:title>
          <c:tx>
            <c:rich>
              <a:bodyPr/>
              <a:lstStyle/>
              <a:p>
                <a:pPr>
                  <a:defRPr sz="1800"/>
                </a:pPr>
                <a:r>
                  <a:rPr lang="en-US" sz="1800" b="0"/>
                  <a:t>% of foreign profits </a:t>
                </a:r>
              </a:p>
            </c:rich>
          </c:tx>
          <c:layout>
            <c:manualLayout>
              <c:xMode val="edge"/>
              <c:yMode val="edge"/>
              <c:x val="6.8327765304916693E-3"/>
              <c:y val="0.28691315520706356"/>
            </c:manualLayout>
          </c:layout>
          <c:overlay val="0"/>
        </c:title>
        <c:numFmt formatCode="0%" sourceLinked="0"/>
        <c:majorTickMark val="none"/>
        <c:minorTickMark val="none"/>
        <c:tickLblPos val="nextTo"/>
        <c:txPr>
          <a:bodyPr/>
          <a:lstStyle/>
          <a:p>
            <a:pPr>
              <a:defRPr sz="1800"/>
            </a:pPr>
            <a:endParaRPr lang="en-US"/>
          </a:p>
        </c:txPr>
        <c:crossAx val="1839106456"/>
        <c:crosses val="autoZero"/>
        <c:crossBetween val="between"/>
        <c:majorUnit val="4.0000000000000008E-2"/>
      </c:valAx>
      <c:valAx>
        <c:axId val="750689360"/>
        <c:scaling>
          <c:orientation val="minMax"/>
          <c:min val="0"/>
        </c:scaling>
        <c:delete val="0"/>
        <c:axPos val="r"/>
        <c:title>
          <c:tx>
            <c:rich>
              <a:bodyPr/>
              <a:lstStyle/>
              <a:p>
                <a:pPr>
                  <a:defRPr sz="1800"/>
                </a:pPr>
                <a:r>
                  <a:rPr lang="en-US" sz="1800" b="0"/>
                  <a:t>% of corporate tax revenue collected</a:t>
                </a:r>
              </a:p>
            </c:rich>
          </c:tx>
          <c:overlay val="0"/>
        </c:title>
        <c:numFmt formatCode="0%" sourceLinked="1"/>
        <c:majorTickMark val="none"/>
        <c:minorTickMark val="none"/>
        <c:tickLblPos val="nextTo"/>
        <c:txPr>
          <a:bodyPr/>
          <a:lstStyle/>
          <a:p>
            <a:pPr>
              <a:defRPr sz="1800"/>
            </a:pPr>
            <a:endParaRPr lang="en-US"/>
          </a:p>
        </c:txPr>
        <c:crossAx val="750701840"/>
        <c:crosses val="max"/>
        <c:crossBetween val="between"/>
        <c:majorUnit val="1.0000000000000002E-2"/>
      </c:valAx>
      <c:catAx>
        <c:axId val="750701840"/>
        <c:scaling>
          <c:orientation val="minMax"/>
        </c:scaling>
        <c:delete val="1"/>
        <c:axPos val="b"/>
        <c:numFmt formatCode="General" sourceLinked="1"/>
        <c:majorTickMark val="out"/>
        <c:minorTickMark val="none"/>
        <c:tickLblPos val="nextTo"/>
        <c:crossAx val="750689360"/>
        <c:crosses val="autoZero"/>
        <c:auto val="1"/>
        <c:lblAlgn val="ctr"/>
        <c:lblOffset val="100"/>
        <c:noMultiLvlLbl val="0"/>
      </c:catAx>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DataF3!$AC$5:$AC$50</c:f>
              <c:numCache>
                <c:formatCode>0.0%</c:formatCode>
                <c:ptCount val="46"/>
                <c:pt idx="0">
                  <c:v>0.74379303725332924</c:v>
                </c:pt>
                <c:pt idx="1">
                  <c:v>0.74588970935950971</c:v>
                </c:pt>
                <c:pt idx="2">
                  <c:v>0.74637969357124778</c:v>
                </c:pt>
                <c:pt idx="3">
                  <c:v>0.75774561861084033</c:v>
                </c:pt>
                <c:pt idx="4">
                  <c:v>0.71826858549799788</c:v>
                </c:pt>
                <c:pt idx="5">
                  <c:v>0.71966376499946849</c:v>
                </c:pt>
                <c:pt idx="6">
                  <c:v>0.71486121247293632</c:v>
                </c:pt>
                <c:pt idx="7">
                  <c:v>0.68608264693011212</c:v>
                </c:pt>
                <c:pt idx="8">
                  <c:v>0.7092567130121793</c:v>
                </c:pt>
                <c:pt idx="9">
                  <c:v>0.68749112560222625</c:v>
                </c:pt>
                <c:pt idx="10">
                  <c:v>0.67989793845708435</c:v>
                </c:pt>
                <c:pt idx="11">
                  <c:v>0.6594131887254111</c:v>
                </c:pt>
                <c:pt idx="12">
                  <c:v>0.62457495704504662</c:v>
                </c:pt>
                <c:pt idx="13">
                  <c:v>0.58250963732443184</c:v>
                </c:pt>
                <c:pt idx="14">
                  <c:v>0.58153244469881715</c:v>
                </c:pt>
                <c:pt idx="15">
                  <c:v>0.57712855354061376</c:v>
                </c:pt>
                <c:pt idx="16">
                  <c:v>0.59086888414206318</c:v>
                </c:pt>
                <c:pt idx="17">
                  <c:v>0.57584861307937985</c:v>
                </c:pt>
                <c:pt idx="18">
                  <c:v>0.57142480857776312</c:v>
                </c:pt>
                <c:pt idx="19">
                  <c:v>0.51934617833562668</c:v>
                </c:pt>
                <c:pt idx="20">
                  <c:v>0.54133805893623632</c:v>
                </c:pt>
                <c:pt idx="21">
                  <c:v>0.47310520199067846</c:v>
                </c:pt>
                <c:pt idx="22">
                  <c:v>0.49898056413073416</c:v>
                </c:pt>
                <c:pt idx="23">
                  <c:v>0.47297541187605474</c:v>
                </c:pt>
                <c:pt idx="24">
                  <c:v>0.45708988540703721</c:v>
                </c:pt>
                <c:pt idx="25">
                  <c:v>0.45176380221833368</c:v>
                </c:pt>
                <c:pt idx="26">
                  <c:v>0.46243437016530781</c:v>
                </c:pt>
                <c:pt idx="27">
                  <c:v>0.47322644224414195</c:v>
                </c:pt>
                <c:pt idx="28">
                  <c:v>0.43018172767796786</c:v>
                </c:pt>
                <c:pt idx="29">
                  <c:v>0.4102820424240764</c:v>
                </c:pt>
                <c:pt idx="30">
                  <c:v>0.35590592968419876</c:v>
                </c:pt>
                <c:pt idx="31">
                  <c:v>0.34178453864806635</c:v>
                </c:pt>
                <c:pt idx="32">
                  <c:v>0.33447155642351795</c:v>
                </c:pt>
                <c:pt idx="33">
                  <c:v>0.41184052554528083</c:v>
                </c:pt>
                <c:pt idx="34">
                  <c:v>0.38775761447972001</c:v>
                </c:pt>
                <c:pt idx="35">
                  <c:v>0.35787128183275424</c:v>
                </c:pt>
                <c:pt idx="36">
                  <c:v>0.36070481000937177</c:v>
                </c:pt>
                <c:pt idx="37">
                  <c:v>0.3743123426036567</c:v>
                </c:pt>
                <c:pt idx="38">
                  <c:v>0.35590883849892441</c:v>
                </c:pt>
                <c:pt idx="39">
                  <c:v>0.34088132874200883</c:v>
                </c:pt>
                <c:pt idx="40">
                  <c:v>0.36832919550227028</c:v>
                </c:pt>
                <c:pt idx="41">
                  <c:v>0.36043953357070035</c:v>
                </c:pt>
                <c:pt idx="42">
                  <c:v>0.35682220685481464</c:v>
                </c:pt>
                <c:pt idx="43">
                  <c:v>0.3413747300543814</c:v>
                </c:pt>
                <c:pt idx="44">
                  <c:v>0.33112190438367028</c:v>
                </c:pt>
                <c:pt idx="45">
                  <c:v>0.3649425531032981</c:v>
                </c:pt>
              </c:numCache>
            </c:numRef>
          </c:val>
          <c:smooth val="0"/>
          <c:extLst>
            <c:ext xmlns:c16="http://schemas.microsoft.com/office/drawing/2014/chart" uri="{C3380CC4-5D6E-409C-BE32-E72D297353CC}">
              <c16:uniqueId val="{00000000-7C0E-D04E-A22A-AA04701DAB95}"/>
            </c:ext>
          </c:extLst>
        </c:ser>
        <c:ser>
          <c:idx val="1"/>
          <c:order val="1"/>
          <c:spPr>
            <a:ln w="28575" cap="rnd">
              <a:solidFill>
                <a:schemeClr val="accent2"/>
              </a:solidFill>
              <a:round/>
            </a:ln>
            <a:effectLst/>
          </c:spPr>
          <c:marker>
            <c:symbol val="none"/>
          </c:marker>
          <c:val>
            <c:numRef>
              <c:f>DataF3!$AB$5:$AB$50</c:f>
              <c:numCache>
                <c:formatCode>0.0%</c:formatCode>
                <c:ptCount val="46"/>
                <c:pt idx="0">
                  <c:v>0.8333116319798286</c:v>
                </c:pt>
                <c:pt idx="1">
                  <c:v>0.84886239245558315</c:v>
                </c:pt>
                <c:pt idx="2">
                  <c:v>0.83831539063194083</c:v>
                </c:pt>
                <c:pt idx="3">
                  <c:v>0.82754653984474602</c:v>
                </c:pt>
                <c:pt idx="4">
                  <c:v>0.79097168815457108</c:v>
                </c:pt>
                <c:pt idx="5">
                  <c:v>0.75376532474235591</c:v>
                </c:pt>
                <c:pt idx="6">
                  <c:v>0.75346124084430621</c:v>
                </c:pt>
                <c:pt idx="7">
                  <c:v>0.73960935174821574</c:v>
                </c:pt>
                <c:pt idx="8">
                  <c:v>0.75631885398804888</c:v>
                </c:pt>
                <c:pt idx="9">
                  <c:v>0.73611490001917057</c:v>
                </c:pt>
                <c:pt idx="10">
                  <c:v>0.72399500363949831</c:v>
                </c:pt>
                <c:pt idx="11">
                  <c:v>0.68724243787185768</c:v>
                </c:pt>
                <c:pt idx="12">
                  <c:v>0.64485633061981473</c:v>
                </c:pt>
                <c:pt idx="13">
                  <c:v>0.60490782006179389</c:v>
                </c:pt>
                <c:pt idx="14">
                  <c:v>0.59983198097619483</c:v>
                </c:pt>
                <c:pt idx="15">
                  <c:v>0.59494468459048278</c:v>
                </c:pt>
                <c:pt idx="16">
                  <c:v>0.60794593754620552</c:v>
                </c:pt>
                <c:pt idx="17">
                  <c:v>0.59768777674798734</c:v>
                </c:pt>
                <c:pt idx="18">
                  <c:v>0.58490216597170419</c:v>
                </c:pt>
                <c:pt idx="19">
                  <c:v>0.53865110461523635</c:v>
                </c:pt>
                <c:pt idx="20">
                  <c:v>0.55955040657333177</c:v>
                </c:pt>
                <c:pt idx="21">
                  <c:v>0.49157371946202083</c:v>
                </c:pt>
                <c:pt idx="22">
                  <c:v>0.51232492460764667</c:v>
                </c:pt>
                <c:pt idx="23">
                  <c:v>0.48415881080030171</c:v>
                </c:pt>
                <c:pt idx="24">
                  <c:v>0.46649926350603321</c:v>
                </c:pt>
                <c:pt idx="25">
                  <c:v>0.46432520381505216</c:v>
                </c:pt>
                <c:pt idx="26">
                  <c:v>0.48626884044274438</c:v>
                </c:pt>
                <c:pt idx="27">
                  <c:v>0.48931552813622403</c:v>
                </c:pt>
                <c:pt idx="28">
                  <c:v>0.44073350840693826</c:v>
                </c:pt>
                <c:pt idx="29">
                  <c:v>0.4203486690644338</c:v>
                </c:pt>
                <c:pt idx="30">
                  <c:v>0.36689082307217297</c:v>
                </c:pt>
                <c:pt idx="31">
                  <c:v>0.3527425750319963</c:v>
                </c:pt>
                <c:pt idx="32">
                  <c:v>0.34495716897562956</c:v>
                </c:pt>
                <c:pt idx="33">
                  <c:v>0.42995467686564026</c:v>
                </c:pt>
                <c:pt idx="34">
                  <c:v>0.39898204047237523</c:v>
                </c:pt>
                <c:pt idx="35">
                  <c:v>0.36960105450249492</c:v>
                </c:pt>
                <c:pt idx="36">
                  <c:v>0.37498206129587752</c:v>
                </c:pt>
                <c:pt idx="37">
                  <c:v>0.38646125773083784</c:v>
                </c:pt>
                <c:pt idx="38">
                  <c:v>0.36572946136011603</c:v>
                </c:pt>
                <c:pt idx="39">
                  <c:v>0.34644754520290283</c:v>
                </c:pt>
                <c:pt idx="40">
                  <c:v>0.33595109742280138</c:v>
                </c:pt>
                <c:pt idx="41">
                  <c:v>0.30379464440646525</c:v>
                </c:pt>
                <c:pt idx="42">
                  <c:v>0.3073552294076512</c:v>
                </c:pt>
                <c:pt idx="43">
                  <c:v>0.28622474812623699</c:v>
                </c:pt>
                <c:pt idx="44">
                  <c:v>0.31936926517750813</c:v>
                </c:pt>
              </c:numCache>
            </c:numRef>
          </c:val>
          <c:smooth val="0"/>
          <c:extLst>
            <c:ext xmlns:c16="http://schemas.microsoft.com/office/drawing/2014/chart" uri="{C3380CC4-5D6E-409C-BE32-E72D297353CC}">
              <c16:uniqueId val="{00000001-7C0E-D04E-A22A-AA04701DAB95}"/>
            </c:ext>
          </c:extLst>
        </c:ser>
        <c:dLbls>
          <c:showLegendKey val="0"/>
          <c:showVal val="0"/>
          <c:showCatName val="0"/>
          <c:showSerName val="0"/>
          <c:showPercent val="0"/>
          <c:showBubbleSize val="0"/>
        </c:dLbls>
        <c:smooth val="0"/>
        <c:axId val="706353024"/>
        <c:axId val="502774176"/>
      </c:lineChart>
      <c:catAx>
        <c:axId val="7063530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774176"/>
        <c:crosses val="autoZero"/>
        <c:auto val="1"/>
        <c:lblAlgn val="ctr"/>
        <c:lblOffset val="100"/>
        <c:noMultiLvlLbl val="0"/>
      </c:catAx>
      <c:valAx>
        <c:axId val="5027741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353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U</a:t>
            </a:r>
            <a:r>
              <a:rPr lang="da-DK" baseline="0"/>
              <a:t>S profits shifted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DataF3!$AE$12:$AE$45</c:f>
              <c:numCache>
                <c:formatCode>0%</c:formatCode>
                <c:ptCount val="34"/>
                <c:pt idx="0">
                  <c:v>0.12628709732579524</c:v>
                </c:pt>
                <c:pt idx="1">
                  <c:v>0.11109247127944562</c:v>
                </c:pt>
                <c:pt idx="2">
                  <c:v>0.1026433267726666</c:v>
                </c:pt>
                <c:pt idx="3">
                  <c:v>0.11566276007109053</c:v>
                </c:pt>
                <c:pt idx="4">
                  <c:v>0.12169360673195538</c:v>
                </c:pt>
                <c:pt idx="5">
                  <c:v>0.14999303656927479</c:v>
                </c:pt>
                <c:pt idx="6">
                  <c:v>0.1094795789395418</c:v>
                </c:pt>
                <c:pt idx="7">
                  <c:v>0.14524816289176071</c:v>
                </c:pt>
                <c:pt idx="8">
                  <c:v>0.1807249080012531</c:v>
                </c:pt>
                <c:pt idx="9">
                  <c:v>0.19437578238718534</c:v>
                </c:pt>
                <c:pt idx="10">
                  <c:v>0.17871546274371625</c:v>
                </c:pt>
                <c:pt idx="11">
                  <c:v>0.17102129396251187</c:v>
                </c:pt>
                <c:pt idx="12">
                  <c:v>0.16370512782577151</c:v>
                </c:pt>
                <c:pt idx="13">
                  <c:v>0.18674859467254296</c:v>
                </c:pt>
                <c:pt idx="14">
                  <c:v>0.17069096226206415</c:v>
                </c:pt>
                <c:pt idx="15">
                  <c:v>0.20959162136074871</c:v>
                </c:pt>
                <c:pt idx="16">
                  <c:v>0.26047853882291788</c:v>
                </c:pt>
                <c:pt idx="17">
                  <c:v>0.23193555861316661</c:v>
                </c:pt>
                <c:pt idx="18">
                  <c:v>0.2345862454940322</c:v>
                </c:pt>
                <c:pt idx="19">
                  <c:v>0.27008648425334286</c:v>
                </c:pt>
                <c:pt idx="20">
                  <c:v>0.27331320725753555</c:v>
                </c:pt>
                <c:pt idx="21">
                  <c:v>0.25328005470856035</c:v>
                </c:pt>
                <c:pt idx="22">
                  <c:v>0.27472345611523219</c:v>
                </c:pt>
                <c:pt idx="23">
                  <c:v>0.2257359860860271</c:v>
                </c:pt>
                <c:pt idx="24">
                  <c:v>0.2479285821260129</c:v>
                </c:pt>
                <c:pt idx="25">
                  <c:v>0.25276180979399027</c:v>
                </c:pt>
                <c:pt idx="26">
                  <c:v>0.20887363476922563</c:v>
                </c:pt>
                <c:pt idx="27">
                  <c:v>0.3010260997876964</c:v>
                </c:pt>
                <c:pt idx="28">
                  <c:v>0.25286492209493283</c:v>
                </c:pt>
                <c:pt idx="29">
                  <c:v>0.26615979630502978</c:v>
                </c:pt>
                <c:pt idx="30">
                  <c:v>0.29864935285813921</c:v>
                </c:pt>
                <c:pt idx="31">
                  <c:v>0.29256931804332326</c:v>
                </c:pt>
                <c:pt idx="32">
                  <c:v>0.34037365856012092</c:v>
                </c:pt>
                <c:pt idx="33">
                  <c:v>0.4567110995991705</c:v>
                </c:pt>
              </c:numCache>
            </c:numRef>
          </c:yVal>
          <c:smooth val="0"/>
          <c:extLst>
            <c:ext xmlns:c16="http://schemas.microsoft.com/office/drawing/2014/chart" uri="{C3380CC4-5D6E-409C-BE32-E72D297353CC}">
              <c16:uniqueId val="{00000001-E6FC-1D41-A522-91F492CFA212}"/>
            </c:ext>
          </c:extLst>
        </c:ser>
        <c:dLbls>
          <c:showLegendKey val="0"/>
          <c:showVal val="0"/>
          <c:showCatName val="0"/>
          <c:showSerName val="0"/>
          <c:showPercent val="0"/>
          <c:showBubbleSize val="0"/>
        </c:dLbls>
        <c:axId val="375582696"/>
        <c:axId val="368019376"/>
      </c:scatterChart>
      <c:valAx>
        <c:axId val="3755826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019376"/>
        <c:crosses val="autoZero"/>
        <c:crossBetween val="midCat"/>
      </c:valAx>
      <c:valAx>
        <c:axId val="368019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582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U</a:t>
            </a:r>
            <a:r>
              <a:rPr lang="da-DK" baseline="0"/>
              <a:t>S profits shifted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DataF3!$AT$12:$AT$45</c:f>
              <c:numCache>
                <c:formatCode>0%</c:formatCode>
                <c:ptCount val="34"/>
                <c:pt idx="0">
                  <c:v>0.11601090168044406</c:v>
                </c:pt>
                <c:pt idx="1">
                  <c:v>0.10263277918576177</c:v>
                </c:pt>
                <c:pt idx="2">
                  <c:v>9.4178977252820789E-2</c:v>
                </c:pt>
                <c:pt idx="3">
                  <c:v>0.10568671286169133</c:v>
                </c:pt>
                <c:pt idx="4">
                  <c:v>0.10979972592014786</c:v>
                </c:pt>
                <c:pt idx="5">
                  <c:v>0.13334652737438768</c:v>
                </c:pt>
                <c:pt idx="6">
                  <c:v>9.5962602641367217E-2</c:v>
                </c:pt>
                <c:pt idx="7">
                  <c:v>0.12708460068916866</c:v>
                </c:pt>
                <c:pt idx="8">
                  <c:v>0.15784889429701554</c:v>
                </c:pt>
                <c:pt idx="9">
                  <c:v>0.17056157601435862</c:v>
                </c:pt>
                <c:pt idx="10">
                  <c:v>0.15624700010073472</c:v>
                </c:pt>
                <c:pt idx="11">
                  <c:v>0.14883684451288787</c:v>
                </c:pt>
                <c:pt idx="12">
                  <c:v>0.14010361897418369</c:v>
                </c:pt>
                <c:pt idx="13">
                  <c:v>0.16104454476282981</c:v>
                </c:pt>
                <c:pt idx="14">
                  <c:v>0.14357116004644624</c:v>
                </c:pt>
                <c:pt idx="15">
                  <c:v>0.17765032950018067</c:v>
                </c:pt>
                <c:pt idx="16">
                  <c:v>0.21848949702227563</c:v>
                </c:pt>
                <c:pt idx="17">
                  <c:v>0.19326767881764628</c:v>
                </c:pt>
                <c:pt idx="18">
                  <c:v>0.19531707227766004</c:v>
                </c:pt>
                <c:pt idx="19">
                  <c:v>0.22672673523680836</c:v>
                </c:pt>
                <c:pt idx="20">
                  <c:v>0.22969565688934201</c:v>
                </c:pt>
                <c:pt idx="21">
                  <c:v>0.20901430839343813</c:v>
                </c:pt>
                <c:pt idx="22">
                  <c:v>0.2249599949577526</c:v>
                </c:pt>
                <c:pt idx="23">
                  <c:v>0.18107509262075461</c:v>
                </c:pt>
                <c:pt idx="24">
                  <c:v>0.19778081067422595</c:v>
                </c:pt>
                <c:pt idx="25">
                  <c:v>0.20102148456192345</c:v>
                </c:pt>
                <c:pt idx="26">
                  <c:v>0.17166523340268036</c:v>
                </c:pt>
                <c:pt idx="27">
                  <c:v>0.24448820913921815</c:v>
                </c:pt>
                <c:pt idx="28">
                  <c:v>0.20305084765257506</c:v>
                </c:pt>
                <c:pt idx="29">
                  <c:v>0.214174211030211</c:v>
                </c:pt>
                <c:pt idx="30">
                  <c:v>0.24138932304834992</c:v>
                </c:pt>
                <c:pt idx="31">
                  <c:v>0.2345795570639265</c:v>
                </c:pt>
                <c:pt idx="32">
                  <c:v>0.27085771962372962</c:v>
                </c:pt>
                <c:pt idx="33">
                  <c:v>0.3619370081190203</c:v>
                </c:pt>
              </c:numCache>
            </c:numRef>
          </c:yVal>
          <c:smooth val="0"/>
          <c:extLst>
            <c:ext xmlns:c16="http://schemas.microsoft.com/office/drawing/2014/chart" uri="{C3380CC4-5D6E-409C-BE32-E72D297353CC}">
              <c16:uniqueId val="{00000001-3F29-C64B-8982-65677DBE9395}"/>
            </c:ext>
          </c:extLst>
        </c:ser>
        <c:dLbls>
          <c:showLegendKey val="0"/>
          <c:showVal val="0"/>
          <c:showCatName val="0"/>
          <c:showSerName val="0"/>
          <c:showPercent val="0"/>
          <c:showBubbleSize val="0"/>
        </c:dLbls>
        <c:axId val="375582696"/>
        <c:axId val="368019376"/>
      </c:scatterChart>
      <c:valAx>
        <c:axId val="3755826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019376"/>
        <c:crosses val="autoZero"/>
        <c:crossBetween val="midCat"/>
      </c:valAx>
      <c:valAx>
        <c:axId val="368019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582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DataF3!$Q$5:$Q$50</c:f>
              <c:numCache>
                <c:formatCode>0%</c:formatCode>
                <c:ptCount val="46"/>
                <c:pt idx="0">
                  <c:v>0.71899326248459061</c:v>
                </c:pt>
                <c:pt idx="1">
                  <c:v>0.74849400064323557</c:v>
                </c:pt>
                <c:pt idx="2">
                  <c:v>0.72284329126015279</c:v>
                </c:pt>
                <c:pt idx="3">
                  <c:v>0.66221465469567864</c:v>
                </c:pt>
                <c:pt idx="4">
                  <c:v>0.64315839178004419</c:v>
                </c:pt>
                <c:pt idx="5">
                  <c:v>0.49763924657811892</c:v>
                </c:pt>
                <c:pt idx="6">
                  <c:v>0.50870789167691577</c:v>
                </c:pt>
                <c:pt idx="7">
                  <c:v>0.55029994531811555</c:v>
                </c:pt>
                <c:pt idx="8">
                  <c:v>0.50769531210266405</c:v>
                </c:pt>
                <c:pt idx="9">
                  <c:v>0.50806386305888196</c:v>
                </c:pt>
                <c:pt idx="10">
                  <c:v>0.51389134404295223</c:v>
                </c:pt>
                <c:pt idx="11">
                  <c:v>0.41778949258721598</c:v>
                </c:pt>
                <c:pt idx="12">
                  <c:v>0.37807839072384458</c:v>
                </c:pt>
                <c:pt idx="13">
                  <c:v>0.3702297661204923</c:v>
                </c:pt>
                <c:pt idx="14">
                  <c:v>0.36887141974801491</c:v>
                </c:pt>
                <c:pt idx="15">
                  <c:v>0.36001643646700465</c:v>
                </c:pt>
                <c:pt idx="16">
                  <c:v>0.34661208083879746</c:v>
                </c:pt>
                <c:pt idx="17">
                  <c:v>0.37029224282058071</c:v>
                </c:pt>
                <c:pt idx="18">
                  <c:v>0.31862466820921931</c:v>
                </c:pt>
                <c:pt idx="19">
                  <c:v>0.33318380159444094</c:v>
                </c:pt>
                <c:pt idx="20">
                  <c:v>0.32209626954104059</c:v>
                </c:pt>
                <c:pt idx="21">
                  <c:v>0.33175550557276329</c:v>
                </c:pt>
                <c:pt idx="22">
                  <c:v>0.30981470583878651</c:v>
                </c:pt>
                <c:pt idx="23">
                  <c:v>0.30481134453165576</c:v>
                </c:pt>
                <c:pt idx="24">
                  <c:v>0.29608426338438543</c:v>
                </c:pt>
                <c:pt idx="25">
                  <c:v>0.31650797045526546</c:v>
                </c:pt>
                <c:pt idx="26">
                  <c:v>0.37306511490872935</c:v>
                </c:pt>
                <c:pt idx="27">
                  <c:v>0.31741308418621311</c:v>
                </c:pt>
                <c:pt idx="28">
                  <c:v>0.27335484498134482</c:v>
                </c:pt>
                <c:pt idx="29">
                  <c:v>0.26580156313714109</c:v>
                </c:pt>
                <c:pt idx="30">
                  <c:v>0.28174188690012847</c:v>
                </c:pt>
                <c:pt idx="31">
                  <c:v>0.2855471556432605</c:v>
                </c:pt>
                <c:pt idx="32">
                  <c:v>0.28080537346248274</c:v>
                </c:pt>
                <c:pt idx="33">
                  <c:v>0.3007574774998158</c:v>
                </c:pt>
                <c:pt idx="34">
                  <c:v>0.25317378110434563</c:v>
                </c:pt>
                <c:pt idx="35">
                  <c:v>0.25086146519201136</c:v>
                </c:pt>
                <c:pt idx="36">
                  <c:v>0.27259652577231258</c:v>
                </c:pt>
                <c:pt idx="37">
                  <c:v>0.26496449821471685</c:v>
                </c:pt>
                <c:pt idx="38">
                  <c:v>0.2526763478980425</c:v>
                </c:pt>
                <c:pt idx="39">
                  <c:v>0.22242914521698015</c:v>
                </c:pt>
                <c:pt idx="40">
                  <c:v>0.17706584052741292</c:v>
                </c:pt>
                <c:pt idx="41">
                  <c:v>0.18380141680158801</c:v>
                </c:pt>
                <c:pt idx="42">
                  <c:v>0.16593757417330657</c:v>
                </c:pt>
                <c:pt idx="43">
                  <c:v>0.18144166454154137</c:v>
                </c:pt>
                <c:pt idx="44" formatCode="0.0%">
                  <c:v>0.18563934758041392</c:v>
                </c:pt>
                <c:pt idx="45">
                  <c:v>0.18030906521666298</c:v>
                </c:pt>
              </c:numCache>
            </c:numRef>
          </c:val>
          <c:smooth val="0"/>
          <c:extLst>
            <c:ext xmlns:c16="http://schemas.microsoft.com/office/drawing/2014/chart" uri="{C3380CC4-5D6E-409C-BE32-E72D297353CC}">
              <c16:uniqueId val="{00000000-29A8-1947-9B45-86E08E24C14A}"/>
            </c:ext>
          </c:extLst>
        </c:ser>
        <c:dLbls>
          <c:showLegendKey val="0"/>
          <c:showVal val="0"/>
          <c:showCatName val="0"/>
          <c:showSerName val="0"/>
          <c:showPercent val="0"/>
          <c:showBubbleSize val="0"/>
        </c:dLbls>
        <c:smooth val="0"/>
        <c:axId val="448130367"/>
        <c:axId val="290641216"/>
      </c:lineChart>
      <c:catAx>
        <c:axId val="4481303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641216"/>
        <c:crosses val="autoZero"/>
        <c:auto val="1"/>
        <c:lblAlgn val="ctr"/>
        <c:lblOffset val="100"/>
        <c:noMultiLvlLbl val="0"/>
      </c:catAx>
      <c:valAx>
        <c:axId val="290641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13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DataF3!$K$5:$K$49</c:f>
              <c:numCache>
                <c:formatCode>0.0%</c:formatCode>
                <c:ptCount val="45"/>
                <c:pt idx="0">
                  <c:v>0.23099999999999998</c:v>
                </c:pt>
                <c:pt idx="1">
                  <c:v>0.20399999999999999</c:v>
                </c:pt>
                <c:pt idx="2">
                  <c:v>0.21799999999999997</c:v>
                </c:pt>
                <c:pt idx="3">
                  <c:v>0.222</c:v>
                </c:pt>
                <c:pt idx="4">
                  <c:v>0.21899999999999997</c:v>
                </c:pt>
                <c:pt idx="5">
                  <c:v>0.23699999999999999</c:v>
                </c:pt>
                <c:pt idx="6">
                  <c:v>0.22500000000000001</c:v>
                </c:pt>
                <c:pt idx="7">
                  <c:v>0.21299999999999999</c:v>
                </c:pt>
                <c:pt idx="8">
                  <c:v>0.189</c:v>
                </c:pt>
                <c:pt idx="9">
                  <c:v>0.19400000000000003</c:v>
                </c:pt>
                <c:pt idx="10">
                  <c:v>0.19900000000000001</c:v>
                </c:pt>
                <c:pt idx="11">
                  <c:v>0.20200000000000001</c:v>
                </c:pt>
                <c:pt idx="12">
                  <c:v>0.21299999999999999</c:v>
                </c:pt>
                <c:pt idx="13">
                  <c:v>0.216</c:v>
                </c:pt>
                <c:pt idx="14">
                  <c:v>0.223</c:v>
                </c:pt>
                <c:pt idx="15">
                  <c:v>0.217</c:v>
                </c:pt>
                <c:pt idx="16">
                  <c:v>0.20900000000000002</c:v>
                </c:pt>
                <c:pt idx="17">
                  <c:v>0.20499999999999999</c:v>
                </c:pt>
                <c:pt idx="18">
                  <c:v>0.19800000000000001</c:v>
                </c:pt>
                <c:pt idx="19">
                  <c:v>0.186</c:v>
                </c:pt>
                <c:pt idx="20">
                  <c:v>0.188</c:v>
                </c:pt>
                <c:pt idx="21">
                  <c:v>0.19600000000000001</c:v>
                </c:pt>
                <c:pt idx="22">
                  <c:v>0.2</c:v>
                </c:pt>
                <c:pt idx="23">
                  <c:v>0.192</c:v>
                </c:pt>
                <c:pt idx="24">
                  <c:v>0.19400000000000001</c:v>
                </c:pt>
                <c:pt idx="25">
                  <c:v>0.20100000000000001</c:v>
                </c:pt>
                <c:pt idx="26">
                  <c:v>0.184</c:v>
                </c:pt>
                <c:pt idx="27">
                  <c:v>0.16900000000000001</c:v>
                </c:pt>
                <c:pt idx="28">
                  <c:v>0.17</c:v>
                </c:pt>
                <c:pt idx="29">
                  <c:v>0.17899999999999999</c:v>
                </c:pt>
                <c:pt idx="30">
                  <c:v>0.19700000000000001</c:v>
                </c:pt>
                <c:pt idx="31">
                  <c:v>0.20599999999999999</c:v>
                </c:pt>
                <c:pt idx="32">
                  <c:v>0.20200000000000001</c:v>
                </c:pt>
                <c:pt idx="33">
                  <c:v>0.184</c:v>
                </c:pt>
                <c:pt idx="34">
                  <c:v>0.161</c:v>
                </c:pt>
                <c:pt idx="35">
                  <c:v>0.159</c:v>
                </c:pt>
                <c:pt idx="36">
                  <c:v>0.16600000000000001</c:v>
                </c:pt>
                <c:pt idx="37">
                  <c:v>0.17199999999999999</c:v>
                </c:pt>
                <c:pt idx="38">
                  <c:v>0.17599999999999999</c:v>
                </c:pt>
                <c:pt idx="39">
                  <c:v>0.17399999999999999</c:v>
                </c:pt>
                <c:pt idx="40">
                  <c:v>0.18706035605731655</c:v>
                </c:pt>
                <c:pt idx="41">
                  <c:v>0.18219491307108945</c:v>
                </c:pt>
                <c:pt idx="42">
                  <c:v>0.18319544025050455</c:v>
                </c:pt>
                <c:pt idx="43">
                  <c:v>0.17955254073292914</c:v>
                </c:pt>
                <c:pt idx="44">
                  <c:v>0.17493325018590883</c:v>
                </c:pt>
              </c:numCache>
            </c:numRef>
          </c:val>
          <c:smooth val="0"/>
          <c:extLst>
            <c:ext xmlns:c16="http://schemas.microsoft.com/office/drawing/2014/chart" uri="{C3380CC4-5D6E-409C-BE32-E72D297353CC}">
              <c16:uniqueId val="{00000000-316F-0F4B-BB5F-A010639B0327}"/>
            </c:ext>
          </c:extLst>
        </c:ser>
        <c:ser>
          <c:idx val="1"/>
          <c:order val="1"/>
          <c:spPr>
            <a:ln w="28575" cap="rnd">
              <a:solidFill>
                <a:schemeClr val="accent2"/>
              </a:solidFill>
              <a:round/>
            </a:ln>
            <a:effectLst/>
          </c:spPr>
          <c:marker>
            <c:symbol val="none"/>
          </c:marker>
          <c:val>
            <c:numRef>
              <c:f>DataF3!$R$5:$R$49</c:f>
              <c:numCache>
                <c:formatCode>0%</c:formatCode>
                <c:ptCount val="45"/>
                <c:pt idx="0">
                  <c:v>0.4749966312422953</c:v>
                </c:pt>
                <c:pt idx="1">
                  <c:v>0.47624700032161776</c:v>
                </c:pt>
                <c:pt idx="2">
                  <c:v>0.47042164563007638</c:v>
                </c:pt>
                <c:pt idx="3">
                  <c:v>0.44210732734783931</c:v>
                </c:pt>
                <c:pt idx="4">
                  <c:v>0.43107919589002208</c:v>
                </c:pt>
                <c:pt idx="5">
                  <c:v>0.36731962328905943</c:v>
                </c:pt>
                <c:pt idx="6">
                  <c:v>0.36685394583845787</c:v>
                </c:pt>
                <c:pt idx="7">
                  <c:v>0.38164997265905776</c:v>
                </c:pt>
                <c:pt idx="8">
                  <c:v>0.348347656051332</c:v>
                </c:pt>
                <c:pt idx="9">
                  <c:v>0.35103193152944101</c:v>
                </c:pt>
                <c:pt idx="10">
                  <c:v>0.35644567202147615</c:v>
                </c:pt>
                <c:pt idx="11">
                  <c:v>0.30989474629360803</c:v>
                </c:pt>
                <c:pt idx="12">
                  <c:v>0.2955391953619223</c:v>
                </c:pt>
                <c:pt idx="13">
                  <c:v>0.29311488306024613</c:v>
                </c:pt>
                <c:pt idx="14">
                  <c:v>0.29593570987400747</c:v>
                </c:pt>
                <c:pt idx="15">
                  <c:v>0.28850821823350231</c:v>
                </c:pt>
                <c:pt idx="16">
                  <c:v>0.27780604041939871</c:v>
                </c:pt>
                <c:pt idx="17">
                  <c:v>0.28764612141029033</c:v>
                </c:pt>
                <c:pt idx="18">
                  <c:v>0.25831233410460963</c:v>
                </c:pt>
                <c:pt idx="19">
                  <c:v>0.2595919007972205</c:v>
                </c:pt>
                <c:pt idx="20">
                  <c:v>0.2550481347705203</c:v>
                </c:pt>
                <c:pt idx="21">
                  <c:v>0.26387775278638165</c:v>
                </c:pt>
                <c:pt idx="22">
                  <c:v>0.25490735291939326</c:v>
                </c:pt>
                <c:pt idx="23">
                  <c:v>0.24840567226582788</c:v>
                </c:pt>
                <c:pt idx="24">
                  <c:v>0.24504213169219272</c:v>
                </c:pt>
                <c:pt idx="25">
                  <c:v>0.25875398522763271</c:v>
                </c:pt>
                <c:pt idx="26">
                  <c:v>0.27853255745436467</c:v>
                </c:pt>
                <c:pt idx="27">
                  <c:v>0.24320654209310655</c:v>
                </c:pt>
                <c:pt idx="28">
                  <c:v>0.2216774224906724</c:v>
                </c:pt>
                <c:pt idx="29">
                  <c:v>0.22240078156857054</c:v>
                </c:pt>
                <c:pt idx="30">
                  <c:v>0.23937094345006424</c:v>
                </c:pt>
                <c:pt idx="31">
                  <c:v>0.24577357782163023</c:v>
                </c:pt>
                <c:pt idx="32">
                  <c:v>0.24140268673124138</c:v>
                </c:pt>
                <c:pt idx="33">
                  <c:v>0.2423787387499079</c:v>
                </c:pt>
                <c:pt idx="34">
                  <c:v>0.20708689055217283</c:v>
                </c:pt>
                <c:pt idx="35">
                  <c:v>0.20493073259600569</c:v>
                </c:pt>
                <c:pt idx="36">
                  <c:v>0.21929826288615628</c:v>
                </c:pt>
                <c:pt idx="37">
                  <c:v>0.21848224910735842</c:v>
                </c:pt>
                <c:pt idx="38">
                  <c:v>0.21433817394902124</c:v>
                </c:pt>
                <c:pt idx="39">
                  <c:v>0.19821457260849007</c:v>
                </c:pt>
                <c:pt idx="40">
                  <c:v>0.17503292026370645</c:v>
                </c:pt>
                <c:pt idx="41">
                  <c:v>0.183400708400794</c:v>
                </c:pt>
                <c:pt idx="42">
                  <c:v>0.17546878708665328</c:v>
                </c:pt>
                <c:pt idx="43">
                  <c:v>0.17872083227077068</c:v>
                </c:pt>
                <c:pt idx="44">
                  <c:v>0.18081967379020697</c:v>
                </c:pt>
              </c:numCache>
            </c:numRef>
          </c:val>
          <c:smooth val="0"/>
          <c:extLst>
            <c:ext xmlns:c16="http://schemas.microsoft.com/office/drawing/2014/chart" uri="{C3380CC4-5D6E-409C-BE32-E72D297353CC}">
              <c16:uniqueId val="{00000001-316F-0F4B-BB5F-A010639B0327}"/>
            </c:ext>
          </c:extLst>
        </c:ser>
        <c:ser>
          <c:idx val="2"/>
          <c:order val="2"/>
          <c:spPr>
            <a:ln w="28575" cap="rnd">
              <a:solidFill>
                <a:schemeClr val="accent3"/>
              </a:solidFill>
              <a:round/>
            </a:ln>
            <a:effectLst/>
          </c:spPr>
          <c:marker>
            <c:symbol val="none"/>
          </c:marker>
          <c:val>
            <c:numRef>
              <c:f>DataF3!$S$5:$S$49</c:f>
              <c:numCache>
                <c:formatCode>0%</c:formatCode>
                <c:ptCount val="45"/>
                <c:pt idx="0">
                  <c:v>0.65843256637079373</c:v>
                </c:pt>
                <c:pt idx="1">
                  <c:v>0.68848654213852933</c:v>
                </c:pt>
                <c:pt idx="2">
                  <c:v>0.66239032449030388</c:v>
                </c:pt>
                <c:pt idx="3">
                  <c:v>0.60285332615068743</c:v>
                </c:pt>
                <c:pt idx="4">
                  <c:v>0.57789387645300172</c:v>
                </c:pt>
                <c:pt idx="5">
                  <c:v>0.4442821595966463</c:v>
                </c:pt>
                <c:pt idx="6">
                  <c:v>0.4525646829353418</c:v>
                </c:pt>
                <c:pt idx="7">
                  <c:v>0.48708612986434674</c:v>
                </c:pt>
                <c:pt idx="8">
                  <c:v>0.45382955658254798</c:v>
                </c:pt>
                <c:pt idx="9">
                  <c:v>0.45200595035025615</c:v>
                </c:pt>
                <c:pt idx="10">
                  <c:v>0.44510132457336971</c:v>
                </c:pt>
                <c:pt idx="11">
                  <c:v>0.3662830455668391</c:v>
                </c:pt>
                <c:pt idx="12">
                  <c:v>0.33359588075294155</c:v>
                </c:pt>
                <c:pt idx="13">
                  <c:v>0.33103897290526596</c:v>
                </c:pt>
                <c:pt idx="14">
                  <c:v>0.32672435729852234</c:v>
                </c:pt>
                <c:pt idx="15">
                  <c:v>0.31848430418347706</c:v>
                </c:pt>
                <c:pt idx="16">
                  <c:v>0.30795027618607984</c:v>
                </c:pt>
                <c:pt idx="17">
                  <c:v>0.32432456553241118</c:v>
                </c:pt>
                <c:pt idx="18">
                  <c:v>0.28163610540079276</c:v>
                </c:pt>
                <c:pt idx="19">
                  <c:v>0.28932956879794725</c:v>
                </c:pt>
                <c:pt idx="20">
                  <c:v>0.28462835743079928</c:v>
                </c:pt>
                <c:pt idx="21">
                  <c:v>0.28968003178984214</c:v>
                </c:pt>
                <c:pt idx="22">
                  <c:v>0.27475246103199547</c:v>
                </c:pt>
                <c:pt idx="23">
                  <c:v>0.2643544142897496</c:v>
                </c:pt>
                <c:pt idx="24">
                  <c:v>0.2581265886598918</c:v>
                </c:pt>
                <c:pt idx="25">
                  <c:v>0.27573770303247369</c:v>
                </c:pt>
                <c:pt idx="26">
                  <c:v>0.31052082709277173</c:v>
                </c:pt>
                <c:pt idx="27">
                  <c:v>0.26632105641820314</c:v>
                </c:pt>
                <c:pt idx="28">
                  <c:v>0.23609024421507685</c:v>
                </c:pt>
                <c:pt idx="29">
                  <c:v>0.2356745862869476</c:v>
                </c:pt>
                <c:pt idx="30">
                  <c:v>0.25234331733001591</c:v>
                </c:pt>
                <c:pt idx="31">
                  <c:v>0.25833001421857604</c:v>
                </c:pt>
                <c:pt idx="32">
                  <c:v>0.25335462896118299</c:v>
                </c:pt>
                <c:pt idx="33">
                  <c:v>0.26571197873984242</c:v>
                </c:pt>
                <c:pt idx="34">
                  <c:v>0.22162360791459479</c:v>
                </c:pt>
                <c:pt idx="35">
                  <c:v>0.21945427203520751</c:v>
                </c:pt>
                <c:pt idx="36">
                  <c:v>0.23673351823470568</c:v>
                </c:pt>
                <c:pt idx="37">
                  <c:v>0.23365690168959041</c:v>
                </c:pt>
                <c:pt idx="38">
                  <c:v>0.22631736098226685</c:v>
                </c:pt>
                <c:pt idx="39">
                  <c:v>0.20498560101151442</c:v>
                </c:pt>
                <c:pt idx="40">
                  <c:v>0.2475776271873612</c:v>
                </c:pt>
                <c:pt idx="41">
                  <c:v>0.30868282302435601</c:v>
                </c:pt>
                <c:pt idx="42">
                  <c:v>0.2762849431539367</c:v>
                </c:pt>
                <c:pt idx="43">
                  <c:v>0.30827507563271916</c:v>
                </c:pt>
                <c:pt idx="44">
                  <c:v>0.2103621802018385</c:v>
                </c:pt>
              </c:numCache>
            </c:numRef>
          </c:val>
          <c:smooth val="0"/>
          <c:extLst>
            <c:ext xmlns:c16="http://schemas.microsoft.com/office/drawing/2014/chart" uri="{C3380CC4-5D6E-409C-BE32-E72D297353CC}">
              <c16:uniqueId val="{00000000-15A2-3246-9FC7-9E44EC3A3174}"/>
            </c:ext>
          </c:extLst>
        </c:ser>
        <c:dLbls>
          <c:showLegendKey val="0"/>
          <c:showVal val="0"/>
          <c:showCatName val="0"/>
          <c:showSerName val="0"/>
          <c:showPercent val="0"/>
          <c:showBubbleSize val="0"/>
        </c:dLbls>
        <c:smooth val="0"/>
        <c:axId val="410603904"/>
        <c:axId val="410605904"/>
      </c:lineChart>
      <c:catAx>
        <c:axId val="4106039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5904"/>
        <c:crosses val="autoZero"/>
        <c:auto val="1"/>
        <c:lblAlgn val="ctr"/>
        <c:lblOffset val="100"/>
        <c:noMultiLvlLbl val="0"/>
      </c:catAx>
      <c:valAx>
        <c:axId val="4106059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0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GlobalDIEquityIncome!$B$228:$AV$228</c:f>
              <c:numCache>
                <c:formatCode>0%</c:formatCode>
                <c:ptCount val="47"/>
                <c:pt idx="0">
                  <c:v>4.9188738429908722E-2</c:v>
                </c:pt>
                <c:pt idx="1">
                  <c:v>5.7973937684313352E-2</c:v>
                </c:pt>
                <c:pt idx="2">
                  <c:v>5.9455830124453567E-2</c:v>
                </c:pt>
                <c:pt idx="3">
                  <c:v>4.3728616663153079E-2</c:v>
                </c:pt>
                <c:pt idx="4">
                  <c:v>7.4044664197437632E-2</c:v>
                </c:pt>
                <c:pt idx="5">
                  <c:v>6.5613008064178066E-2</c:v>
                </c:pt>
                <c:pt idx="6">
                  <c:v>5.2432547116535437E-2</c:v>
                </c:pt>
                <c:pt idx="7">
                  <c:v>4.9549503378388891E-2</c:v>
                </c:pt>
                <c:pt idx="8">
                  <c:v>6.0130977448777129E-2</c:v>
                </c:pt>
                <c:pt idx="9">
                  <c:v>6.1631299065738568E-2</c:v>
                </c:pt>
                <c:pt idx="10">
                  <c:v>2.7898289240706226E-2</c:v>
                </c:pt>
                <c:pt idx="11">
                  <c:v>5.2179058998400363E-2</c:v>
                </c:pt>
                <c:pt idx="12">
                  <c:v>4.9970165874791285E-2</c:v>
                </c:pt>
                <c:pt idx="13">
                  <c:v>4.6795277432252744E-2</c:v>
                </c:pt>
                <c:pt idx="14">
                  <c:v>6.2755283005199516E-2</c:v>
                </c:pt>
                <c:pt idx="15">
                  <c:v>4.1530353090380417E-2</c:v>
                </c:pt>
                <c:pt idx="16">
                  <c:v>5.2216174066352615E-2</c:v>
                </c:pt>
                <c:pt idx="17">
                  <c:v>5.4338598043585429E-2</c:v>
                </c:pt>
                <c:pt idx="18">
                  <c:v>5.3463752596799523E-2</c:v>
                </c:pt>
                <c:pt idx="19">
                  <c:v>5.6879216153519756E-2</c:v>
                </c:pt>
                <c:pt idx="20">
                  <c:v>6.5907953541963701E-2</c:v>
                </c:pt>
                <c:pt idx="21">
                  <c:v>5.3946468311826437E-2</c:v>
                </c:pt>
                <c:pt idx="22">
                  <c:v>5.8661890588268241E-2</c:v>
                </c:pt>
                <c:pt idx="23">
                  <c:v>9.7578842242768069E-2</c:v>
                </c:pt>
                <c:pt idx="24">
                  <c:v>0.10209885491150783</c:v>
                </c:pt>
                <c:pt idx="25">
                  <c:v>0.10006896094744869</c:v>
                </c:pt>
                <c:pt idx="26">
                  <c:v>0.11449250634017984</c:v>
                </c:pt>
                <c:pt idx="27">
                  <c:v>0.1429538369211191</c:v>
                </c:pt>
                <c:pt idx="28">
                  <c:v>0.12690534408440876</c:v>
                </c:pt>
                <c:pt idx="29">
                  <c:v>0.1829691579083276</c:v>
                </c:pt>
                <c:pt idx="30">
                  <c:v>0.17500808575349366</c:v>
                </c:pt>
                <c:pt idx="31">
                  <c:v>0.18297688420430192</c:v>
                </c:pt>
                <c:pt idx="32">
                  <c:v>0.21130771264508397</c:v>
                </c:pt>
                <c:pt idx="33">
                  <c:v>0.21487530167311433</c:v>
                </c:pt>
                <c:pt idx="34">
                  <c:v>0.20325065218709829</c:v>
                </c:pt>
                <c:pt idx="35">
                  <c:v>0.21179675867730743</c:v>
                </c:pt>
                <c:pt idx="36">
                  <c:v>0.22556974822051981</c:v>
                </c:pt>
                <c:pt idx="37">
                  <c:v>0.23078662959953089</c:v>
                </c:pt>
                <c:pt idx="38">
                  <c:v>0.23428263838042818</c:v>
                </c:pt>
                <c:pt idx="39">
                  <c:v>0.23574306005089329</c:v>
                </c:pt>
                <c:pt idx="40">
                  <c:v>0.25018511789681552</c:v>
                </c:pt>
                <c:pt idx="41">
                  <c:v>0.25811462059097845</c:v>
                </c:pt>
                <c:pt idx="42">
                  <c:v>0.22792265135382989</c:v>
                </c:pt>
                <c:pt idx="43">
                  <c:v>0.2426174769149462</c:v>
                </c:pt>
                <c:pt idx="44">
                  <c:v>0.21105378552649967</c:v>
                </c:pt>
                <c:pt idx="45">
                  <c:v>0.2286163923026383</c:v>
                </c:pt>
                <c:pt idx="46">
                  <c:v>0.18150860167720076</c:v>
                </c:pt>
              </c:numCache>
            </c:numRef>
          </c:val>
          <c:smooth val="0"/>
          <c:extLst>
            <c:ext xmlns:c16="http://schemas.microsoft.com/office/drawing/2014/chart" uri="{C3380CC4-5D6E-409C-BE32-E72D297353CC}">
              <c16:uniqueId val="{00000000-F762-9942-A900-742E167679BE}"/>
            </c:ext>
          </c:extLst>
        </c:ser>
        <c:dLbls>
          <c:showLegendKey val="0"/>
          <c:showVal val="0"/>
          <c:showCatName val="0"/>
          <c:showSerName val="0"/>
          <c:showPercent val="0"/>
          <c:showBubbleSize val="0"/>
        </c:dLbls>
        <c:smooth val="0"/>
        <c:axId val="419605184"/>
        <c:axId val="419606912"/>
      </c:lineChart>
      <c:catAx>
        <c:axId val="4196051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606912"/>
        <c:crosses val="autoZero"/>
        <c:auto val="1"/>
        <c:lblAlgn val="ctr"/>
        <c:lblOffset val="100"/>
        <c:noMultiLvlLbl val="0"/>
      </c:catAx>
      <c:valAx>
        <c:axId val="419606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60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aseline="0"/>
              <a:t>A. Shifted profits</a:t>
            </a:r>
            <a:endParaRPr lang="en-GB" sz="1800"/>
          </a:p>
        </c:rich>
      </c:tx>
      <c:layout>
        <c:manualLayout>
          <c:xMode val="edge"/>
          <c:yMode val="edge"/>
          <c:x val="0.44179489870375666"/>
          <c:y val="1.4618858935643528E-2"/>
        </c:manualLayout>
      </c:layout>
      <c:overlay val="0"/>
    </c:title>
    <c:autoTitleDeleted val="0"/>
    <c:plotArea>
      <c:layout>
        <c:manualLayout>
          <c:layoutTarget val="inner"/>
          <c:xMode val="edge"/>
          <c:yMode val="edge"/>
          <c:x val="0.11861371867780032"/>
          <c:y val="8.5358762991508685E-2"/>
          <c:w val="0.87049519189488556"/>
          <c:h val="0.79350983194380154"/>
        </c:manualLayout>
      </c:layout>
      <c:lineChart>
        <c:grouping val="standard"/>
        <c:varyColors val="0"/>
        <c:ser>
          <c:idx val="0"/>
          <c:order val="1"/>
          <c:spPr>
            <a:ln>
              <a:solidFill>
                <a:schemeClr val="accent2"/>
              </a:solidFill>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DataF3!$AU$5:$AU$49</c:f>
              <c:numCache>
                <c:formatCode>0%</c:formatCode>
                <c:ptCount val="45"/>
                <c:pt idx="0">
                  <c:v>6.5553493392207479E-2</c:v>
                </c:pt>
                <c:pt idx="1">
                  <c:v>5.4702293488892897E-2</c:v>
                </c:pt>
                <c:pt idx="2">
                  <c:v>6.2765168585548342E-2</c:v>
                </c:pt>
                <c:pt idx="3">
                  <c:v>8.8341992038405329E-2</c:v>
                </c:pt>
                <c:pt idx="4">
                  <c:v>0.11171269338504208</c:v>
                </c:pt>
                <c:pt idx="5">
                  <c:v>0.16161860701079089</c:v>
                </c:pt>
                <c:pt idx="6">
                  <c:v>0.16004413674044726</c:v>
                </c:pt>
                <c:pt idx="7">
                  <c:v>0.18764813035771821</c:v>
                </c:pt>
                <c:pt idx="8">
                  <c:v>0.17221855548735027</c:v>
                </c:pt>
                <c:pt idx="9">
                  <c:v>0.17106706579914646</c:v>
                </c:pt>
                <c:pt idx="10">
                  <c:v>0.18363568300724464</c:v>
                </c:pt>
                <c:pt idx="11">
                  <c:v>0.19683154726714655</c:v>
                </c:pt>
                <c:pt idx="12">
                  <c:v>0.22526359632846099</c:v>
                </c:pt>
                <c:pt idx="13">
                  <c:v>0.20922353497565721</c:v>
                </c:pt>
                <c:pt idx="14">
                  <c:v>0.23196010883090906</c:v>
                </c:pt>
                <c:pt idx="15">
                  <c:v>0.25412583237047626</c:v>
                </c:pt>
                <c:pt idx="16">
                  <c:v>0.26006884164508848</c:v>
                </c:pt>
                <c:pt idx="17">
                  <c:v>0.25242773001132435</c:v>
                </c:pt>
                <c:pt idx="18">
                  <c:v>0.25026999339084377</c:v>
                </c:pt>
                <c:pt idx="19">
                  <c:v>0.25515918682910654</c:v>
                </c:pt>
                <c:pt idx="20">
                  <c:v>0.26391026014810692</c:v>
                </c:pt>
                <c:pt idx="21">
                  <c:v>0.26792547802471212</c:v>
                </c:pt>
                <c:pt idx="22">
                  <c:v>0.283886669333766</c:v>
                </c:pt>
                <c:pt idx="23">
                  <c:v>0.31281499627900045</c:v>
                </c:pt>
                <c:pt idx="24">
                  <c:v>0.30129142766982275</c:v>
                </c:pt>
                <c:pt idx="25">
                  <c:v>0.30280483930717034</c:v>
                </c:pt>
                <c:pt idx="26">
                  <c:v>0.31727296038479869</c:v>
                </c:pt>
                <c:pt idx="27">
                  <c:v>0.31857200619504333</c:v>
                </c:pt>
                <c:pt idx="28">
                  <c:v>0.31404824782961904</c:v>
                </c:pt>
                <c:pt idx="29">
                  <c:v>0.32527690760984618</c:v>
                </c:pt>
                <c:pt idx="30">
                  <c:v>0.31196610304206418</c:v>
                </c:pt>
                <c:pt idx="31">
                  <c:v>0.32172138235890202</c:v>
                </c:pt>
                <c:pt idx="32">
                  <c:v>0.32427624078246498</c:v>
                </c:pt>
                <c:pt idx="33">
                  <c:v>0.29612669489044446</c:v>
                </c:pt>
                <c:pt idx="34">
                  <c:v>0.3376346496259629</c:v>
                </c:pt>
                <c:pt idx="35">
                  <c:v>0.3216238501077307</c:v>
                </c:pt>
                <c:pt idx="36">
                  <c:v>0.32602227180783822</c:v>
                </c:pt>
                <c:pt idx="37">
                  <c:v>0.33747878126806446</c:v>
                </c:pt>
                <c:pt idx="38">
                  <c:v>0.33656720019184011</c:v>
                </c:pt>
                <c:pt idx="39">
                  <c:v>0.35446643859798749</c:v>
                </c:pt>
                <c:pt idx="40">
                  <c:v>0.3619370081190203</c:v>
                </c:pt>
              </c:numCache>
            </c:numRef>
          </c:val>
          <c:smooth val="0"/>
          <c:extLst>
            <c:ext xmlns:c16="http://schemas.microsoft.com/office/drawing/2014/chart" uri="{C3380CC4-5D6E-409C-BE32-E72D297353CC}">
              <c16:uniqueId val="{00000000-C6C7-4DDE-868F-A4786F33B141}"/>
            </c:ext>
          </c:extLst>
        </c:ser>
        <c:dLbls>
          <c:showLegendKey val="0"/>
          <c:showVal val="0"/>
          <c:showCatName val="0"/>
          <c:showSerName val="0"/>
          <c:showPercent val="0"/>
          <c:showBubbleSize val="0"/>
        </c:dLbls>
        <c:marker val="1"/>
        <c:smooth val="0"/>
        <c:axId val="1839106456"/>
        <c:axId val="1839111368"/>
        <c:extLst/>
      </c:lineChart>
      <c:lineChart>
        <c:grouping val="standard"/>
        <c:varyColors val="0"/>
        <c:ser>
          <c:idx val="6"/>
          <c:order val="0"/>
          <c:spPr>
            <a:ln>
              <a:solidFill>
                <a:schemeClr val="tx1"/>
              </a:solidFill>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DataF3!$AT$5:$AT$49</c:f>
              <c:numCache>
                <c:formatCode>0%</c:formatCode>
                <c:ptCount val="45"/>
                <c:pt idx="0">
                  <c:v>6.2675282359083827E-3</c:v>
                </c:pt>
                <c:pt idx="1">
                  <c:v>0</c:v>
                </c:pt>
                <c:pt idx="2">
                  <c:v>4.8084701761058595E-3</c:v>
                </c:pt>
                <c:pt idx="3">
                  <c:v>2.9638916354100212E-2</c:v>
                </c:pt>
                <c:pt idx="4">
                  <c:v>4.2608719474651953E-2</c:v>
                </c:pt>
                <c:pt idx="5">
                  <c:v>8.8779163599295219E-2</c:v>
                </c:pt>
                <c:pt idx="6">
                  <c:v>8.6742375271813082E-2</c:v>
                </c:pt>
                <c:pt idx="7">
                  <c:v>0.11601090168044406</c:v>
                </c:pt>
                <c:pt idx="8">
                  <c:v>0.10263277918576177</c:v>
                </c:pt>
                <c:pt idx="9">
                  <c:v>9.4178977252820789E-2</c:v>
                </c:pt>
                <c:pt idx="10">
                  <c:v>0.10568671286169133</c:v>
                </c:pt>
                <c:pt idx="11">
                  <c:v>0.10979972592014786</c:v>
                </c:pt>
                <c:pt idx="12">
                  <c:v>0.13334652737438768</c:v>
                </c:pt>
                <c:pt idx="13">
                  <c:v>9.5962602641367217E-2</c:v>
                </c:pt>
                <c:pt idx="14">
                  <c:v>0.12708460068916866</c:v>
                </c:pt>
                <c:pt idx="15">
                  <c:v>0.15784889429701554</c:v>
                </c:pt>
                <c:pt idx="16">
                  <c:v>0.17056157601435862</c:v>
                </c:pt>
                <c:pt idx="17">
                  <c:v>0.15624700010073472</c:v>
                </c:pt>
                <c:pt idx="18">
                  <c:v>0.14883684451288787</c:v>
                </c:pt>
                <c:pt idx="19">
                  <c:v>0.14010361897418369</c:v>
                </c:pt>
                <c:pt idx="20">
                  <c:v>0.16104454476282981</c:v>
                </c:pt>
                <c:pt idx="21">
                  <c:v>0.14357116004644624</c:v>
                </c:pt>
                <c:pt idx="22">
                  <c:v>0.17765032950018067</c:v>
                </c:pt>
                <c:pt idx="23">
                  <c:v>0.21848949702227563</c:v>
                </c:pt>
                <c:pt idx="24">
                  <c:v>0.19326767881764628</c:v>
                </c:pt>
                <c:pt idx="25">
                  <c:v>0.19531707227766004</c:v>
                </c:pt>
                <c:pt idx="26">
                  <c:v>0.22672673523680836</c:v>
                </c:pt>
                <c:pt idx="27">
                  <c:v>0.22969565688934201</c:v>
                </c:pt>
                <c:pt idx="28">
                  <c:v>0.20901430839343813</c:v>
                </c:pt>
                <c:pt idx="29">
                  <c:v>0.2249599949577526</c:v>
                </c:pt>
                <c:pt idx="30">
                  <c:v>0.18107509262075461</c:v>
                </c:pt>
                <c:pt idx="31">
                  <c:v>0.19778081067422595</c:v>
                </c:pt>
                <c:pt idx="32">
                  <c:v>0.20102148456192345</c:v>
                </c:pt>
                <c:pt idx="33">
                  <c:v>0.17166523340268036</c:v>
                </c:pt>
                <c:pt idx="34">
                  <c:v>0.24448820913921815</c:v>
                </c:pt>
                <c:pt idx="35">
                  <c:v>0.20305084765257506</c:v>
                </c:pt>
                <c:pt idx="36">
                  <c:v>0.214174211030211</c:v>
                </c:pt>
                <c:pt idx="37">
                  <c:v>0.24138932304834992</c:v>
                </c:pt>
                <c:pt idx="38">
                  <c:v>0.2345795570639265</c:v>
                </c:pt>
                <c:pt idx="39">
                  <c:v>0.27085771962372962</c:v>
                </c:pt>
                <c:pt idx="40">
                  <c:v>0.3619370081190203</c:v>
                </c:pt>
                <c:pt idx="41">
                  <c:v>0.36224558978351656</c:v>
                </c:pt>
                <c:pt idx="42">
                  <c:v>0.35975842449750389</c:v>
                </c:pt>
                <c:pt idx="43">
                  <c:v>0.35639008352064244</c:v>
                </c:pt>
                <c:pt idx="44">
                  <c:v>0.37420932775225652</c:v>
                </c:pt>
              </c:numCache>
            </c:numRef>
          </c:val>
          <c:smooth val="0"/>
          <c:extLst>
            <c:ext xmlns:c16="http://schemas.microsoft.com/office/drawing/2014/chart" uri="{C3380CC4-5D6E-409C-BE32-E72D297353CC}">
              <c16:uniqueId val="{00000032-C6C7-4DDE-868F-A4786F33B141}"/>
            </c:ext>
          </c:extLst>
        </c:ser>
        <c:ser>
          <c:idx val="7"/>
          <c:order val="2"/>
          <c:spPr>
            <a:ln>
              <a:solidFill>
                <a:schemeClr val="accent1"/>
              </a:solidFill>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DataF3!$AV$5:$AV$45</c:f>
              <c:numCache>
                <c:formatCode>0%</c:formatCode>
                <c:ptCount val="41"/>
                <c:pt idx="0">
                  <c:v>5.2228041827444725E-3</c:v>
                </c:pt>
                <c:pt idx="1">
                  <c:v>0</c:v>
                </c:pt>
                <c:pt idx="2">
                  <c:v>4.2455248119804955E-3</c:v>
                </c:pt>
                <c:pt idx="3">
                  <c:v>2.5924702630040031E-2</c:v>
                </c:pt>
                <c:pt idx="4">
                  <c:v>3.6057611583537978E-2</c:v>
                </c:pt>
                <c:pt idx="5">
                  <c:v>7.2497165352880658E-2</c:v>
                </c:pt>
                <c:pt idx="6">
                  <c:v>7.0812635866259729E-2</c:v>
                </c:pt>
                <c:pt idx="7">
                  <c:v>9.3403118187295242E-2</c:v>
                </c:pt>
                <c:pt idx="8">
                  <c:v>8.4021330564770541E-2</c:v>
                </c:pt>
                <c:pt idx="9">
                  <c:v>7.5557282224896535E-2</c:v>
                </c:pt>
                <c:pt idx="10">
                  <c:v>8.3739260398623602E-2</c:v>
                </c:pt>
                <c:pt idx="11">
                  <c:v>8.363301096388813E-2</c:v>
                </c:pt>
                <c:pt idx="12">
                  <c:v>9.6723959180586225E-2</c:v>
                </c:pt>
                <c:pt idx="13">
                  <c:v>6.6225053437601308E-2</c:v>
                </c:pt>
                <c:pt idx="14">
                  <c:v>8.7124493280517856E-2</c:v>
                </c:pt>
                <c:pt idx="15">
                  <c:v>0.10752132338844954</c:v>
                </c:pt>
                <c:pt idx="16">
                  <c:v>0.1181699672596546</c:v>
                </c:pt>
                <c:pt idx="17">
                  <c:v>0.10681604759777953</c:v>
                </c:pt>
                <c:pt idx="18">
                  <c:v>0.10003072526595673</c:v>
                </c:pt>
                <c:pt idx="19">
                  <c:v>8.8179947934530295E-2</c:v>
                </c:pt>
                <c:pt idx="20">
                  <c:v>0.10449525207601976</c:v>
                </c:pt>
                <c:pt idx="21">
                  <c:v>8.3907191197714309E-2</c:v>
                </c:pt>
                <c:pt idx="22">
                  <c:v>0.10737901161204001</c:v>
                </c:pt>
                <c:pt idx="23">
                  <c:v>0.12611297959550413</c:v>
                </c:pt>
                <c:pt idx="24">
                  <c:v>0.10819776727390262</c:v>
                </c:pt>
                <c:pt idx="25">
                  <c:v>0.10892430625122436</c:v>
                </c:pt>
                <c:pt idx="26">
                  <c:v>0.13133464151713056</c:v>
                </c:pt>
                <c:pt idx="27">
                  <c:v>0.13373639635582626</c:v>
                </c:pt>
                <c:pt idx="28">
                  <c:v>0.11162900712120506</c:v>
                </c:pt>
                <c:pt idx="29">
                  <c:v>0.11547963913881924</c:v>
                </c:pt>
                <c:pt idx="30">
                  <c:v>8.2820461732111064E-2</c:v>
                </c:pt>
                <c:pt idx="31">
                  <c:v>8.7454966483161561E-2</c:v>
                </c:pt>
                <c:pt idx="32">
                  <c:v>8.7191998331691445E-2</c:v>
                </c:pt>
                <c:pt idx="33">
                  <c:v>8.9806196142954167E-2</c:v>
                </c:pt>
                <c:pt idx="34">
                  <c:v>0.12010400752873596</c:v>
                </c:pt>
                <c:pt idx="35">
                  <c:v>9.3459141852978406E-2</c:v>
                </c:pt>
                <c:pt idx="36">
                  <c:v>9.9805149052550959E-2</c:v>
                </c:pt>
                <c:pt idx="37">
                  <c:v>0.11541640452605727</c:v>
                </c:pt>
                <c:pt idx="38">
                  <c:v>0.10700121909848109</c:v>
                </c:pt>
                <c:pt idx="39">
                  <c:v>0.1179216184598849</c:v>
                </c:pt>
                <c:pt idx="40">
                  <c:v>0.3619370081190203</c:v>
                </c:pt>
              </c:numCache>
            </c:numRef>
          </c:val>
          <c:smooth val="0"/>
          <c:extLst>
            <c:ext xmlns:c16="http://schemas.microsoft.com/office/drawing/2014/chart" uri="{C3380CC4-5D6E-409C-BE32-E72D297353CC}">
              <c16:uniqueId val="{00000001-C6C7-4DDE-868F-A4786F33B141}"/>
            </c:ext>
          </c:extLst>
        </c:ser>
        <c:dLbls>
          <c:showLegendKey val="0"/>
          <c:showVal val="0"/>
          <c:showCatName val="0"/>
          <c:showSerName val="0"/>
          <c:showPercent val="0"/>
          <c:showBubbleSize val="0"/>
        </c:dLbls>
        <c:marker val="1"/>
        <c:smooth val="0"/>
        <c:axId val="750701840"/>
        <c:axId val="750689360"/>
      </c:lineChart>
      <c:catAx>
        <c:axId val="1839106456"/>
        <c:scaling>
          <c:orientation val="minMax"/>
        </c:scaling>
        <c:delete val="0"/>
        <c:axPos val="b"/>
        <c:numFmt formatCode="General" sourceLinked="0"/>
        <c:majorTickMark val="none"/>
        <c:minorTickMark val="none"/>
        <c:tickLblPos val="nextTo"/>
        <c:txPr>
          <a:bodyPr/>
          <a:lstStyle/>
          <a:p>
            <a:pPr>
              <a:defRPr sz="1800"/>
            </a:pPr>
            <a:endParaRPr lang="en-US"/>
          </a:p>
        </c:txPr>
        <c:crossAx val="1839111368"/>
        <c:crosses val="autoZero"/>
        <c:auto val="1"/>
        <c:lblAlgn val="ctr"/>
        <c:lblOffset val="100"/>
        <c:tickLblSkip val="2"/>
        <c:noMultiLvlLbl val="0"/>
      </c:catAx>
      <c:valAx>
        <c:axId val="1839111368"/>
        <c:scaling>
          <c:orientation val="minMax"/>
          <c:max val="0.4"/>
          <c:min val="0"/>
        </c:scaling>
        <c:delete val="0"/>
        <c:axPos val="l"/>
        <c:majorGridlines>
          <c:spPr>
            <a:ln>
              <a:noFill/>
            </a:ln>
          </c:spPr>
        </c:majorGridlines>
        <c:title>
          <c:tx>
            <c:rich>
              <a:bodyPr/>
              <a:lstStyle/>
              <a:p>
                <a:pPr>
                  <a:defRPr sz="1800"/>
                </a:pPr>
                <a:r>
                  <a:rPr lang="en-US" sz="1800" b="0"/>
                  <a:t>% of foreign profits </a:t>
                </a:r>
              </a:p>
            </c:rich>
          </c:tx>
          <c:layout>
            <c:manualLayout>
              <c:xMode val="edge"/>
              <c:yMode val="edge"/>
              <c:x val="8.1941512491468561E-3"/>
              <c:y val="0.35587294326326979"/>
            </c:manualLayout>
          </c:layout>
          <c:overlay val="0"/>
        </c:title>
        <c:numFmt formatCode="0%" sourceLinked="0"/>
        <c:majorTickMark val="none"/>
        <c:minorTickMark val="none"/>
        <c:tickLblPos val="nextTo"/>
        <c:txPr>
          <a:bodyPr/>
          <a:lstStyle/>
          <a:p>
            <a:pPr>
              <a:defRPr sz="1800"/>
            </a:pPr>
            <a:endParaRPr lang="en-US"/>
          </a:p>
        </c:txPr>
        <c:crossAx val="1839106456"/>
        <c:crosses val="autoZero"/>
        <c:crossBetween val="between"/>
        <c:majorUnit val="4.0000000000000008E-2"/>
      </c:valAx>
      <c:valAx>
        <c:axId val="750689360"/>
        <c:scaling>
          <c:orientation val="minMax"/>
          <c:min val="0"/>
        </c:scaling>
        <c:delete val="1"/>
        <c:axPos val="r"/>
        <c:numFmt formatCode="0%" sourceLinked="1"/>
        <c:majorTickMark val="none"/>
        <c:minorTickMark val="none"/>
        <c:tickLblPos val="nextTo"/>
        <c:crossAx val="750701840"/>
        <c:crosses val="max"/>
        <c:crossBetween val="between"/>
        <c:majorUnit val="1.0000000000000002E-2"/>
      </c:valAx>
      <c:catAx>
        <c:axId val="750701840"/>
        <c:scaling>
          <c:orientation val="minMax"/>
        </c:scaling>
        <c:delete val="1"/>
        <c:axPos val="b"/>
        <c:numFmt formatCode="General" sourceLinked="1"/>
        <c:majorTickMark val="out"/>
        <c:minorTickMark val="none"/>
        <c:tickLblPos val="nextTo"/>
        <c:crossAx val="750689360"/>
        <c:crosses val="autoZero"/>
        <c:auto val="1"/>
        <c:lblAlgn val="ctr"/>
        <c:lblOffset val="100"/>
        <c:noMultiLvlLbl val="0"/>
      </c:catAx>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aseline="0"/>
              <a:t>A. Shifted profits</a:t>
            </a:r>
            <a:endParaRPr lang="en-GB" sz="1800"/>
          </a:p>
        </c:rich>
      </c:tx>
      <c:layout>
        <c:manualLayout>
          <c:xMode val="edge"/>
          <c:yMode val="edge"/>
          <c:x val="0.44179489870375666"/>
          <c:y val="1.4618858935643528E-2"/>
        </c:manualLayout>
      </c:layout>
      <c:overlay val="0"/>
    </c:title>
    <c:autoTitleDeleted val="0"/>
    <c:plotArea>
      <c:layout>
        <c:manualLayout>
          <c:layoutTarget val="inner"/>
          <c:xMode val="edge"/>
          <c:yMode val="edge"/>
          <c:x val="0.11861371867780032"/>
          <c:y val="8.5358762991508685E-2"/>
          <c:w val="0.87049519189488556"/>
          <c:h val="0.79350983194380154"/>
        </c:manualLayout>
      </c:layout>
      <c:lineChart>
        <c:grouping val="standard"/>
        <c:varyColors val="0"/>
        <c:ser>
          <c:idx val="0"/>
          <c:order val="1"/>
          <c:spPr>
            <a:ln>
              <a:solidFill>
                <a:schemeClr val="accent2"/>
              </a:solidFill>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DataF3!$AU$5:$AU$49</c:f>
              <c:numCache>
                <c:formatCode>0%</c:formatCode>
                <c:ptCount val="45"/>
                <c:pt idx="0">
                  <c:v>6.5553493392207479E-2</c:v>
                </c:pt>
                <c:pt idx="1">
                  <c:v>5.4702293488892897E-2</c:v>
                </c:pt>
                <c:pt idx="2">
                  <c:v>6.2765168585548342E-2</c:v>
                </c:pt>
                <c:pt idx="3">
                  <c:v>8.8341992038405329E-2</c:v>
                </c:pt>
                <c:pt idx="4">
                  <c:v>0.11171269338504208</c:v>
                </c:pt>
                <c:pt idx="5">
                  <c:v>0.16161860701079089</c:v>
                </c:pt>
                <c:pt idx="6">
                  <c:v>0.16004413674044726</c:v>
                </c:pt>
                <c:pt idx="7">
                  <c:v>0.18764813035771821</c:v>
                </c:pt>
                <c:pt idx="8">
                  <c:v>0.17221855548735027</c:v>
                </c:pt>
                <c:pt idx="9">
                  <c:v>0.17106706579914646</c:v>
                </c:pt>
                <c:pt idx="10">
                  <c:v>0.18363568300724464</c:v>
                </c:pt>
                <c:pt idx="11">
                  <c:v>0.19683154726714655</c:v>
                </c:pt>
                <c:pt idx="12">
                  <c:v>0.22526359632846099</c:v>
                </c:pt>
                <c:pt idx="13">
                  <c:v>0.20922353497565721</c:v>
                </c:pt>
                <c:pt idx="14">
                  <c:v>0.23196010883090906</c:v>
                </c:pt>
                <c:pt idx="15">
                  <c:v>0.25412583237047626</c:v>
                </c:pt>
                <c:pt idx="16">
                  <c:v>0.26006884164508848</c:v>
                </c:pt>
                <c:pt idx="17">
                  <c:v>0.25242773001132435</c:v>
                </c:pt>
                <c:pt idx="18">
                  <c:v>0.25026999339084377</c:v>
                </c:pt>
                <c:pt idx="19">
                  <c:v>0.25515918682910654</c:v>
                </c:pt>
                <c:pt idx="20">
                  <c:v>0.26391026014810692</c:v>
                </c:pt>
                <c:pt idx="21">
                  <c:v>0.26792547802471212</c:v>
                </c:pt>
                <c:pt idx="22">
                  <c:v>0.283886669333766</c:v>
                </c:pt>
                <c:pt idx="23">
                  <c:v>0.31281499627900045</c:v>
                </c:pt>
                <c:pt idx="24">
                  <c:v>0.30129142766982275</c:v>
                </c:pt>
                <c:pt idx="25">
                  <c:v>0.30280483930717034</c:v>
                </c:pt>
                <c:pt idx="26">
                  <c:v>0.31727296038479869</c:v>
                </c:pt>
                <c:pt idx="27">
                  <c:v>0.31857200619504333</c:v>
                </c:pt>
                <c:pt idx="28">
                  <c:v>0.31404824782961904</c:v>
                </c:pt>
                <c:pt idx="29">
                  <c:v>0.32527690760984618</c:v>
                </c:pt>
                <c:pt idx="30">
                  <c:v>0.31196610304206418</c:v>
                </c:pt>
                <c:pt idx="31">
                  <c:v>0.32172138235890202</c:v>
                </c:pt>
                <c:pt idx="32">
                  <c:v>0.32427624078246498</c:v>
                </c:pt>
                <c:pt idx="33">
                  <c:v>0.29612669489044446</c:v>
                </c:pt>
                <c:pt idx="34">
                  <c:v>0.3376346496259629</c:v>
                </c:pt>
                <c:pt idx="35">
                  <c:v>0.3216238501077307</c:v>
                </c:pt>
                <c:pt idx="36">
                  <c:v>0.32602227180783822</c:v>
                </c:pt>
                <c:pt idx="37">
                  <c:v>0.33747878126806446</c:v>
                </c:pt>
                <c:pt idx="38">
                  <c:v>0.33656720019184011</c:v>
                </c:pt>
                <c:pt idx="39">
                  <c:v>0.35446643859798749</c:v>
                </c:pt>
                <c:pt idx="40">
                  <c:v>0.3619370081190203</c:v>
                </c:pt>
              </c:numCache>
            </c:numRef>
          </c:val>
          <c:smooth val="0"/>
          <c:extLst>
            <c:ext xmlns:c16="http://schemas.microsoft.com/office/drawing/2014/chart" uri="{C3380CC4-5D6E-409C-BE32-E72D297353CC}">
              <c16:uniqueId val="{00000000-37EC-0E40-96AD-D3C48A19270D}"/>
            </c:ext>
          </c:extLst>
        </c:ser>
        <c:dLbls>
          <c:showLegendKey val="0"/>
          <c:showVal val="0"/>
          <c:showCatName val="0"/>
          <c:showSerName val="0"/>
          <c:showPercent val="0"/>
          <c:showBubbleSize val="0"/>
        </c:dLbls>
        <c:marker val="1"/>
        <c:smooth val="0"/>
        <c:axId val="1839106456"/>
        <c:axId val="1839111368"/>
        <c:extLst/>
      </c:lineChart>
      <c:lineChart>
        <c:grouping val="standard"/>
        <c:varyColors val="0"/>
        <c:ser>
          <c:idx val="6"/>
          <c:order val="0"/>
          <c:spPr>
            <a:ln>
              <a:solidFill>
                <a:schemeClr val="tx1"/>
              </a:solidFill>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DataF3!$AT$5:$AT$49</c:f>
              <c:numCache>
                <c:formatCode>0%</c:formatCode>
                <c:ptCount val="45"/>
                <c:pt idx="0">
                  <c:v>6.2675282359083827E-3</c:v>
                </c:pt>
                <c:pt idx="1">
                  <c:v>0</c:v>
                </c:pt>
                <c:pt idx="2">
                  <c:v>4.8084701761058595E-3</c:v>
                </c:pt>
                <c:pt idx="3">
                  <c:v>2.9638916354100212E-2</c:v>
                </c:pt>
                <c:pt idx="4">
                  <c:v>4.2608719474651953E-2</c:v>
                </c:pt>
                <c:pt idx="5">
                  <c:v>8.8779163599295219E-2</c:v>
                </c:pt>
                <c:pt idx="6">
                  <c:v>8.6742375271813082E-2</c:v>
                </c:pt>
                <c:pt idx="7">
                  <c:v>0.11601090168044406</c:v>
                </c:pt>
                <c:pt idx="8">
                  <c:v>0.10263277918576177</c:v>
                </c:pt>
                <c:pt idx="9">
                  <c:v>9.4178977252820789E-2</c:v>
                </c:pt>
                <c:pt idx="10">
                  <c:v>0.10568671286169133</c:v>
                </c:pt>
                <c:pt idx="11">
                  <c:v>0.10979972592014786</c:v>
                </c:pt>
                <c:pt idx="12">
                  <c:v>0.13334652737438768</c:v>
                </c:pt>
                <c:pt idx="13">
                  <c:v>9.5962602641367217E-2</c:v>
                </c:pt>
                <c:pt idx="14">
                  <c:v>0.12708460068916866</c:v>
                </c:pt>
                <c:pt idx="15">
                  <c:v>0.15784889429701554</c:v>
                </c:pt>
                <c:pt idx="16">
                  <c:v>0.17056157601435862</c:v>
                </c:pt>
                <c:pt idx="17">
                  <c:v>0.15624700010073472</c:v>
                </c:pt>
                <c:pt idx="18">
                  <c:v>0.14883684451288787</c:v>
                </c:pt>
                <c:pt idx="19">
                  <c:v>0.14010361897418369</c:v>
                </c:pt>
                <c:pt idx="20">
                  <c:v>0.16104454476282981</c:v>
                </c:pt>
                <c:pt idx="21">
                  <c:v>0.14357116004644624</c:v>
                </c:pt>
                <c:pt idx="22">
                  <c:v>0.17765032950018067</c:v>
                </c:pt>
                <c:pt idx="23">
                  <c:v>0.21848949702227563</c:v>
                </c:pt>
                <c:pt idx="24">
                  <c:v>0.19326767881764628</c:v>
                </c:pt>
                <c:pt idx="25">
                  <c:v>0.19531707227766004</c:v>
                </c:pt>
                <c:pt idx="26">
                  <c:v>0.22672673523680836</c:v>
                </c:pt>
                <c:pt idx="27">
                  <c:v>0.22969565688934201</c:v>
                </c:pt>
                <c:pt idx="28">
                  <c:v>0.20901430839343813</c:v>
                </c:pt>
                <c:pt idx="29">
                  <c:v>0.2249599949577526</c:v>
                </c:pt>
                <c:pt idx="30">
                  <c:v>0.18107509262075461</c:v>
                </c:pt>
                <c:pt idx="31">
                  <c:v>0.19778081067422595</c:v>
                </c:pt>
                <c:pt idx="32">
                  <c:v>0.20102148456192345</c:v>
                </c:pt>
                <c:pt idx="33">
                  <c:v>0.17166523340268036</c:v>
                </c:pt>
                <c:pt idx="34">
                  <c:v>0.24448820913921815</c:v>
                </c:pt>
                <c:pt idx="35">
                  <c:v>0.20305084765257506</c:v>
                </c:pt>
                <c:pt idx="36">
                  <c:v>0.214174211030211</c:v>
                </c:pt>
                <c:pt idx="37">
                  <c:v>0.24138932304834992</c:v>
                </c:pt>
                <c:pt idx="38">
                  <c:v>0.2345795570639265</c:v>
                </c:pt>
                <c:pt idx="39">
                  <c:v>0.27085771962372962</c:v>
                </c:pt>
                <c:pt idx="40">
                  <c:v>0.3619370081190203</c:v>
                </c:pt>
                <c:pt idx="41">
                  <c:v>0.36224558978351656</c:v>
                </c:pt>
                <c:pt idx="42">
                  <c:v>0.35975842449750389</c:v>
                </c:pt>
                <c:pt idx="43">
                  <c:v>0.35639008352064244</c:v>
                </c:pt>
                <c:pt idx="44">
                  <c:v>0.37420932775225652</c:v>
                </c:pt>
              </c:numCache>
            </c:numRef>
          </c:val>
          <c:smooth val="0"/>
          <c:extLst>
            <c:ext xmlns:c16="http://schemas.microsoft.com/office/drawing/2014/chart" uri="{C3380CC4-5D6E-409C-BE32-E72D297353CC}">
              <c16:uniqueId val="{00000001-37EC-0E40-96AD-D3C48A19270D}"/>
            </c:ext>
          </c:extLst>
        </c:ser>
        <c:ser>
          <c:idx val="7"/>
          <c:order val="2"/>
          <c:spPr>
            <a:ln>
              <a:solidFill>
                <a:schemeClr val="accent1"/>
              </a:solidFill>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DataF3!$AV$5:$AV$45</c:f>
              <c:numCache>
                <c:formatCode>0%</c:formatCode>
                <c:ptCount val="41"/>
                <c:pt idx="0">
                  <c:v>5.2228041827444725E-3</c:v>
                </c:pt>
                <c:pt idx="1">
                  <c:v>0</c:v>
                </c:pt>
                <c:pt idx="2">
                  <c:v>4.2455248119804955E-3</c:v>
                </c:pt>
                <c:pt idx="3">
                  <c:v>2.5924702630040031E-2</c:v>
                </c:pt>
                <c:pt idx="4">
                  <c:v>3.6057611583537978E-2</c:v>
                </c:pt>
                <c:pt idx="5">
                  <c:v>7.2497165352880658E-2</c:v>
                </c:pt>
                <c:pt idx="6">
                  <c:v>7.0812635866259729E-2</c:v>
                </c:pt>
                <c:pt idx="7">
                  <c:v>9.3403118187295242E-2</c:v>
                </c:pt>
                <c:pt idx="8">
                  <c:v>8.4021330564770541E-2</c:v>
                </c:pt>
                <c:pt idx="9">
                  <c:v>7.5557282224896535E-2</c:v>
                </c:pt>
                <c:pt idx="10">
                  <c:v>8.3739260398623602E-2</c:v>
                </c:pt>
                <c:pt idx="11">
                  <c:v>8.363301096388813E-2</c:v>
                </c:pt>
                <c:pt idx="12">
                  <c:v>9.6723959180586225E-2</c:v>
                </c:pt>
                <c:pt idx="13">
                  <c:v>6.6225053437601308E-2</c:v>
                </c:pt>
                <c:pt idx="14">
                  <c:v>8.7124493280517856E-2</c:v>
                </c:pt>
                <c:pt idx="15">
                  <c:v>0.10752132338844954</c:v>
                </c:pt>
                <c:pt idx="16">
                  <c:v>0.1181699672596546</c:v>
                </c:pt>
                <c:pt idx="17">
                  <c:v>0.10681604759777953</c:v>
                </c:pt>
                <c:pt idx="18">
                  <c:v>0.10003072526595673</c:v>
                </c:pt>
                <c:pt idx="19">
                  <c:v>8.8179947934530295E-2</c:v>
                </c:pt>
                <c:pt idx="20">
                  <c:v>0.10449525207601976</c:v>
                </c:pt>
                <c:pt idx="21">
                  <c:v>8.3907191197714309E-2</c:v>
                </c:pt>
                <c:pt idx="22">
                  <c:v>0.10737901161204001</c:v>
                </c:pt>
                <c:pt idx="23">
                  <c:v>0.12611297959550413</c:v>
                </c:pt>
                <c:pt idx="24">
                  <c:v>0.10819776727390262</c:v>
                </c:pt>
                <c:pt idx="25">
                  <c:v>0.10892430625122436</c:v>
                </c:pt>
                <c:pt idx="26">
                  <c:v>0.13133464151713056</c:v>
                </c:pt>
                <c:pt idx="27">
                  <c:v>0.13373639635582626</c:v>
                </c:pt>
                <c:pt idx="28">
                  <c:v>0.11162900712120506</c:v>
                </c:pt>
                <c:pt idx="29">
                  <c:v>0.11547963913881924</c:v>
                </c:pt>
                <c:pt idx="30">
                  <c:v>8.2820461732111064E-2</c:v>
                </c:pt>
                <c:pt idx="31">
                  <c:v>8.7454966483161561E-2</c:v>
                </c:pt>
                <c:pt idx="32">
                  <c:v>8.7191998331691445E-2</c:v>
                </c:pt>
                <c:pt idx="33">
                  <c:v>8.9806196142954167E-2</c:v>
                </c:pt>
                <c:pt idx="34">
                  <c:v>0.12010400752873596</c:v>
                </c:pt>
                <c:pt idx="35">
                  <c:v>9.3459141852978406E-2</c:v>
                </c:pt>
                <c:pt idx="36">
                  <c:v>9.9805149052550959E-2</c:v>
                </c:pt>
                <c:pt idx="37">
                  <c:v>0.11541640452605727</c:v>
                </c:pt>
                <c:pt idx="38">
                  <c:v>0.10700121909848109</c:v>
                </c:pt>
                <c:pt idx="39">
                  <c:v>0.1179216184598849</c:v>
                </c:pt>
                <c:pt idx="40">
                  <c:v>0.3619370081190203</c:v>
                </c:pt>
              </c:numCache>
            </c:numRef>
          </c:val>
          <c:smooth val="0"/>
          <c:extLst>
            <c:ext xmlns:c16="http://schemas.microsoft.com/office/drawing/2014/chart" uri="{C3380CC4-5D6E-409C-BE32-E72D297353CC}">
              <c16:uniqueId val="{00000002-37EC-0E40-96AD-D3C48A19270D}"/>
            </c:ext>
          </c:extLst>
        </c:ser>
        <c:ser>
          <c:idx val="1"/>
          <c:order val="3"/>
          <c:marker>
            <c:symbol val="none"/>
          </c:marker>
          <c:val>
            <c:numRef>
              <c:f>DataF3!$AW$5:$AW$45</c:f>
              <c:numCache>
                <c:formatCode>0%</c:formatCode>
                <c:ptCount val="41"/>
                <c:pt idx="0">
                  <c:v>6.2675282359083853E-3</c:v>
                </c:pt>
                <c:pt idx="1">
                  <c:v>0</c:v>
                </c:pt>
                <c:pt idx="2">
                  <c:v>5.0643526999786135E-3</c:v>
                </c:pt>
                <c:pt idx="3">
                  <c:v>3.1327183888538404E-2</c:v>
                </c:pt>
                <c:pt idx="4">
                  <c:v>4.5586475626788331E-2</c:v>
                </c:pt>
                <c:pt idx="5">
                  <c:v>9.6180021782855118E-2</c:v>
                </c:pt>
                <c:pt idx="6">
                  <c:v>9.3983116884564899E-2</c:v>
                </c:pt>
                <c:pt idx="7">
                  <c:v>0.12628709732579524</c:v>
                </c:pt>
                <c:pt idx="8">
                  <c:v>0.11109247127944562</c:v>
                </c:pt>
                <c:pt idx="9">
                  <c:v>0.1026433267726666</c:v>
                </c:pt>
                <c:pt idx="10">
                  <c:v>0.11566276007109053</c:v>
                </c:pt>
                <c:pt idx="11">
                  <c:v>0.12169360673195538</c:v>
                </c:pt>
                <c:pt idx="12">
                  <c:v>0.14999303656927479</c:v>
                </c:pt>
                <c:pt idx="13">
                  <c:v>0.1094795789395418</c:v>
                </c:pt>
                <c:pt idx="14">
                  <c:v>0.14524816289176071</c:v>
                </c:pt>
                <c:pt idx="15">
                  <c:v>0.1807249080012531</c:v>
                </c:pt>
                <c:pt idx="16">
                  <c:v>0.19437578238718534</c:v>
                </c:pt>
                <c:pt idx="17">
                  <c:v>0.17871546274371625</c:v>
                </c:pt>
                <c:pt idx="18">
                  <c:v>0.17102129396251187</c:v>
                </c:pt>
                <c:pt idx="19">
                  <c:v>0.16370512782577151</c:v>
                </c:pt>
                <c:pt idx="20">
                  <c:v>0.18674859467254296</c:v>
                </c:pt>
                <c:pt idx="21">
                  <c:v>0.17069096226206415</c:v>
                </c:pt>
                <c:pt idx="22">
                  <c:v>0.20959162136074871</c:v>
                </c:pt>
                <c:pt idx="23">
                  <c:v>0.26047853882291788</c:v>
                </c:pt>
                <c:pt idx="24">
                  <c:v>0.23193555861316661</c:v>
                </c:pt>
                <c:pt idx="25">
                  <c:v>0.23458624549403218</c:v>
                </c:pt>
                <c:pt idx="26">
                  <c:v>0.27008648425334281</c:v>
                </c:pt>
                <c:pt idx="27">
                  <c:v>0.27331320725753555</c:v>
                </c:pt>
                <c:pt idx="28">
                  <c:v>0.25328005470856035</c:v>
                </c:pt>
                <c:pt idx="29">
                  <c:v>0.27472345611523219</c:v>
                </c:pt>
                <c:pt idx="30">
                  <c:v>0.22573598608602707</c:v>
                </c:pt>
                <c:pt idx="31">
                  <c:v>0.24792858212601288</c:v>
                </c:pt>
                <c:pt idx="32">
                  <c:v>0.25276180979399027</c:v>
                </c:pt>
                <c:pt idx="33">
                  <c:v>0.20887363476922563</c:v>
                </c:pt>
                <c:pt idx="34">
                  <c:v>0.30102609978769646</c:v>
                </c:pt>
                <c:pt idx="35">
                  <c:v>0.25286492209493283</c:v>
                </c:pt>
                <c:pt idx="36">
                  <c:v>0.26615979630502978</c:v>
                </c:pt>
                <c:pt idx="37">
                  <c:v>0.29864935285813921</c:v>
                </c:pt>
                <c:pt idx="38">
                  <c:v>0.29256931804332326</c:v>
                </c:pt>
                <c:pt idx="39">
                  <c:v>0.34037365856012092</c:v>
                </c:pt>
                <c:pt idx="40">
                  <c:v>0.3619370081190203</c:v>
                </c:pt>
              </c:numCache>
            </c:numRef>
          </c:val>
          <c:smooth val="0"/>
          <c:extLst>
            <c:ext xmlns:c16="http://schemas.microsoft.com/office/drawing/2014/chart" uri="{C3380CC4-5D6E-409C-BE32-E72D297353CC}">
              <c16:uniqueId val="{00000003-37EC-0E40-96AD-D3C48A19270D}"/>
            </c:ext>
          </c:extLst>
        </c:ser>
        <c:ser>
          <c:idx val="2"/>
          <c:order val="4"/>
          <c:spPr>
            <a:ln>
              <a:solidFill>
                <a:schemeClr val="accent1"/>
              </a:solidFill>
            </a:ln>
          </c:spPr>
          <c:marker>
            <c:symbol val="none"/>
          </c:marker>
          <c:val>
            <c:numRef>
              <c:f>DataF3!$AX$5:$AX$45</c:f>
              <c:numCache>
                <c:formatCode>0%</c:formatCode>
                <c:ptCount val="41"/>
                <c:pt idx="0">
                  <c:v>5.7451662093264289E-3</c:v>
                </c:pt>
                <c:pt idx="1">
                  <c:v>0</c:v>
                </c:pt>
                <c:pt idx="2">
                  <c:v>4.6549387559795541E-3</c:v>
                </c:pt>
                <c:pt idx="3">
                  <c:v>2.8625943259289216E-2</c:v>
                </c:pt>
                <c:pt idx="4">
                  <c:v>4.0822043605163158E-2</c:v>
                </c:pt>
                <c:pt idx="5">
                  <c:v>8.4338593567867895E-2</c:v>
                </c:pt>
                <c:pt idx="6">
                  <c:v>8.2397876375412307E-2</c:v>
                </c:pt>
                <c:pt idx="7">
                  <c:v>0.10984510775654524</c:v>
                </c:pt>
                <c:pt idx="8">
                  <c:v>9.7556900922108072E-2</c:v>
                </c:pt>
                <c:pt idx="9">
                  <c:v>8.9100304498781577E-2</c:v>
                </c:pt>
                <c:pt idx="10">
                  <c:v>9.9701010234857057E-2</c:v>
                </c:pt>
                <c:pt idx="11">
                  <c:v>0.10266330884792176</c:v>
                </c:pt>
                <c:pt idx="12">
                  <c:v>0.1233584978749305</c:v>
                </c:pt>
                <c:pt idx="13">
                  <c:v>8.7852316188571561E-2</c:v>
                </c:pt>
                <c:pt idx="14">
                  <c:v>0.11618632808613928</c:v>
                </c:pt>
                <c:pt idx="15">
                  <c:v>0.14412311569485131</c:v>
                </c:pt>
                <c:pt idx="16">
                  <c:v>0.15627287482341998</c:v>
                </c:pt>
                <c:pt idx="17">
                  <c:v>0.14276575517074788</c:v>
                </c:pt>
                <c:pt idx="18">
                  <c:v>0.13552600961423431</c:v>
                </c:pt>
                <c:pt idx="19">
                  <c:v>0.12594253788015092</c:v>
                </c:pt>
                <c:pt idx="20">
                  <c:v>0.14562192337428137</c:v>
                </c:pt>
                <c:pt idx="21">
                  <c:v>0.12729907672988922</c:v>
                </c:pt>
                <c:pt idx="22">
                  <c:v>0.15848531648639436</c:v>
                </c:pt>
                <c:pt idx="23">
                  <c:v>0.19329575920921099</c:v>
                </c:pt>
                <c:pt idx="24">
                  <c:v>0.17006666294353462</c:v>
                </c:pt>
                <c:pt idx="25">
                  <c:v>0.17175527587262829</c:v>
                </c:pt>
                <c:pt idx="26">
                  <c:v>0.2007105628852367</c:v>
                </c:pt>
                <c:pt idx="27">
                  <c:v>0.20352480180668092</c:v>
                </c:pt>
                <c:pt idx="28">
                  <c:v>0.1824545309148827</c:v>
                </c:pt>
                <c:pt idx="29">
                  <c:v>0.19510154762702572</c:v>
                </c:pt>
                <c:pt idx="30">
                  <c:v>0.15427822390906909</c:v>
                </c:pt>
                <c:pt idx="31">
                  <c:v>0.1676917743045872</c:v>
                </c:pt>
                <c:pt idx="32">
                  <c:v>0.16997690406284086</c:v>
                </c:pt>
                <c:pt idx="33">
                  <c:v>0.14933991545608991</c:v>
                </c:pt>
                <c:pt idx="34">
                  <c:v>0.21056505365821621</c:v>
                </c:pt>
                <c:pt idx="35">
                  <c:v>0.17316203197395563</c:v>
                </c:pt>
                <c:pt idx="36">
                  <c:v>0.18298247267879036</c:v>
                </c:pt>
                <c:pt idx="37">
                  <c:v>0.20703287869209824</c:v>
                </c:pt>
                <c:pt idx="38">
                  <c:v>0.19978526857090217</c:v>
                </c:pt>
                <c:pt idx="39">
                  <c:v>0.22914763851000292</c:v>
                </c:pt>
                <c:pt idx="40">
                  <c:v>0.3619370081190203</c:v>
                </c:pt>
              </c:numCache>
            </c:numRef>
          </c:val>
          <c:smooth val="0"/>
          <c:extLst>
            <c:ext xmlns:c16="http://schemas.microsoft.com/office/drawing/2014/chart" uri="{C3380CC4-5D6E-409C-BE32-E72D297353CC}">
              <c16:uniqueId val="{00000004-37EC-0E40-96AD-D3C48A19270D}"/>
            </c:ext>
          </c:extLst>
        </c:ser>
        <c:dLbls>
          <c:showLegendKey val="0"/>
          <c:showVal val="0"/>
          <c:showCatName val="0"/>
          <c:showSerName val="0"/>
          <c:showPercent val="0"/>
          <c:showBubbleSize val="0"/>
        </c:dLbls>
        <c:marker val="1"/>
        <c:smooth val="0"/>
        <c:axId val="750701840"/>
        <c:axId val="750689360"/>
      </c:lineChart>
      <c:catAx>
        <c:axId val="1839106456"/>
        <c:scaling>
          <c:orientation val="minMax"/>
        </c:scaling>
        <c:delete val="0"/>
        <c:axPos val="b"/>
        <c:numFmt formatCode="General" sourceLinked="0"/>
        <c:majorTickMark val="none"/>
        <c:minorTickMark val="none"/>
        <c:tickLblPos val="nextTo"/>
        <c:txPr>
          <a:bodyPr/>
          <a:lstStyle/>
          <a:p>
            <a:pPr>
              <a:defRPr sz="1800"/>
            </a:pPr>
            <a:endParaRPr lang="en-US"/>
          </a:p>
        </c:txPr>
        <c:crossAx val="1839111368"/>
        <c:crosses val="autoZero"/>
        <c:auto val="1"/>
        <c:lblAlgn val="ctr"/>
        <c:lblOffset val="100"/>
        <c:tickLblSkip val="2"/>
        <c:noMultiLvlLbl val="0"/>
      </c:catAx>
      <c:valAx>
        <c:axId val="1839111368"/>
        <c:scaling>
          <c:orientation val="minMax"/>
          <c:max val="0.4"/>
          <c:min val="0"/>
        </c:scaling>
        <c:delete val="0"/>
        <c:axPos val="l"/>
        <c:majorGridlines>
          <c:spPr>
            <a:ln>
              <a:noFill/>
            </a:ln>
          </c:spPr>
        </c:majorGridlines>
        <c:title>
          <c:tx>
            <c:rich>
              <a:bodyPr/>
              <a:lstStyle/>
              <a:p>
                <a:pPr>
                  <a:defRPr sz="1800"/>
                </a:pPr>
                <a:r>
                  <a:rPr lang="en-US" sz="1800" b="0"/>
                  <a:t>% of foreign profits </a:t>
                </a:r>
              </a:p>
            </c:rich>
          </c:tx>
          <c:layout>
            <c:manualLayout>
              <c:xMode val="edge"/>
              <c:yMode val="edge"/>
              <c:x val="8.1941512491468561E-3"/>
              <c:y val="0.35587294326326979"/>
            </c:manualLayout>
          </c:layout>
          <c:overlay val="0"/>
        </c:title>
        <c:numFmt formatCode="0%" sourceLinked="0"/>
        <c:majorTickMark val="none"/>
        <c:minorTickMark val="none"/>
        <c:tickLblPos val="nextTo"/>
        <c:txPr>
          <a:bodyPr/>
          <a:lstStyle/>
          <a:p>
            <a:pPr>
              <a:defRPr sz="1800"/>
            </a:pPr>
            <a:endParaRPr lang="en-US"/>
          </a:p>
        </c:txPr>
        <c:crossAx val="1839106456"/>
        <c:crosses val="autoZero"/>
        <c:crossBetween val="between"/>
        <c:majorUnit val="4.0000000000000008E-2"/>
      </c:valAx>
      <c:valAx>
        <c:axId val="750689360"/>
        <c:scaling>
          <c:orientation val="minMax"/>
          <c:min val="0"/>
        </c:scaling>
        <c:delete val="1"/>
        <c:axPos val="r"/>
        <c:numFmt formatCode="0%" sourceLinked="1"/>
        <c:majorTickMark val="none"/>
        <c:minorTickMark val="none"/>
        <c:tickLblPos val="nextTo"/>
        <c:crossAx val="750701840"/>
        <c:crosses val="max"/>
        <c:crossBetween val="between"/>
        <c:majorUnit val="1.0000000000000002E-2"/>
      </c:valAx>
      <c:catAx>
        <c:axId val="750701840"/>
        <c:scaling>
          <c:orientation val="minMax"/>
        </c:scaling>
        <c:delete val="1"/>
        <c:axPos val="b"/>
        <c:numFmt formatCode="General" sourceLinked="1"/>
        <c:majorTickMark val="out"/>
        <c:minorTickMark val="none"/>
        <c:tickLblPos val="nextTo"/>
        <c:crossAx val="750689360"/>
        <c:crosses val="autoZero"/>
        <c:auto val="1"/>
        <c:lblAlgn val="ctr"/>
        <c:lblOffset val="100"/>
        <c:noMultiLvlLbl val="0"/>
      </c:catAx>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a:t>B. Corporate tax revenue loss</a:t>
            </a:r>
          </a:p>
        </c:rich>
      </c:tx>
      <c:layout>
        <c:manualLayout>
          <c:xMode val="edge"/>
          <c:yMode val="edge"/>
          <c:x val="0.41908299791897591"/>
          <c:y val="1.8812348309726973E-2"/>
        </c:manualLayout>
      </c:layout>
      <c:overlay val="0"/>
    </c:title>
    <c:autoTitleDeleted val="0"/>
    <c:plotArea>
      <c:layout>
        <c:manualLayout>
          <c:layoutTarget val="inner"/>
          <c:xMode val="edge"/>
          <c:yMode val="edge"/>
          <c:x val="0.10728740292862157"/>
          <c:y val="8.5381181139666626E-2"/>
          <c:w val="0.87903030838671392"/>
          <c:h val="0.7913960380913917"/>
        </c:manualLayout>
      </c:layout>
      <c:lineChart>
        <c:grouping val="standard"/>
        <c:varyColors val="0"/>
        <c:ser>
          <c:idx val="0"/>
          <c:order val="0"/>
          <c:spPr>
            <a:ln>
              <a:solidFill>
                <a:schemeClr val="tx1"/>
              </a:solidFill>
            </a:ln>
          </c:spPr>
          <c:marker>
            <c:symbol val="none"/>
          </c:marker>
          <c:cat>
            <c:numRef>
              <c:f>DataF3!$A$5:$A$49</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DataF3!$AY$5:$AY$49</c:f>
              <c:numCache>
                <c:formatCode>0%</c:formatCode>
                <c:ptCount val="45"/>
                <c:pt idx="0">
                  <c:v>1.050042226275397E-3</c:v>
                </c:pt>
                <c:pt idx="1">
                  <c:v>0</c:v>
                </c:pt>
                <c:pt idx="2">
                  <c:v>7.6564145581182108E-4</c:v>
                </c:pt>
                <c:pt idx="3">
                  <c:v>4.389224380584234E-3</c:v>
                </c:pt>
                <c:pt idx="4">
                  <c:v>8.3564738098363643E-3</c:v>
                </c:pt>
                <c:pt idx="5">
                  <c:v>1.1739122599811686E-2</c:v>
                </c:pt>
                <c:pt idx="6">
                  <c:v>9.7046106823694533E-3</c:v>
                </c:pt>
                <c:pt idx="7">
                  <c:v>1.2659899847401367E-2</c:v>
                </c:pt>
                <c:pt idx="8">
                  <c:v>1.0780241981421081E-2</c:v>
                </c:pt>
                <c:pt idx="9">
                  <c:v>1.0643840161119907E-2</c:v>
                </c:pt>
                <c:pt idx="10">
                  <c:v>1.1154150092608187E-2</c:v>
                </c:pt>
                <c:pt idx="11">
                  <c:v>9.0141708770967322E-3</c:v>
                </c:pt>
                <c:pt idx="12">
                  <c:v>1.1717377990086951E-2</c:v>
                </c:pt>
                <c:pt idx="13">
                  <c:v>9.5739136145446789E-3</c:v>
                </c:pt>
                <c:pt idx="14">
                  <c:v>1.2455464660764548E-2</c:v>
                </c:pt>
                <c:pt idx="15">
                  <c:v>1.4591107319295648E-2</c:v>
                </c:pt>
                <c:pt idx="16">
                  <c:v>1.3129495375954099E-2</c:v>
                </c:pt>
                <c:pt idx="17">
                  <c:v>1.1767355875666905E-2</c:v>
                </c:pt>
                <c:pt idx="18">
                  <c:v>1.2017269956531551E-2</c:v>
                </c:pt>
                <c:pt idx="19">
                  <c:v>1.2987209710168658E-2</c:v>
                </c:pt>
                <c:pt idx="20">
                  <c:v>1.5744248234462438E-2</c:v>
                </c:pt>
                <c:pt idx="21">
                  <c:v>1.6834735938078736E-2</c:v>
                </c:pt>
                <c:pt idx="22">
                  <c:v>2.1672397077737687E-2</c:v>
                </c:pt>
                <c:pt idx="23">
                  <c:v>2.5177861806161845E-2</c:v>
                </c:pt>
                <c:pt idx="24">
                  <c:v>2.7538128062976355E-2</c:v>
                </c:pt>
                <c:pt idx="25">
                  <c:v>3.3062351098625313E-2</c:v>
                </c:pt>
                <c:pt idx="26">
                  <c:v>3.378180016932554E-2</c:v>
                </c:pt>
                <c:pt idx="27">
                  <c:v>3.3501654394962853E-2</c:v>
                </c:pt>
                <c:pt idx="28">
                  <c:v>3.5709989800408126E-2</c:v>
                </c:pt>
                <c:pt idx="29">
                  <c:v>4.6303545086319189E-2</c:v>
                </c:pt>
                <c:pt idx="30">
                  <c:v>4.615318763473962E-2</c:v>
                </c:pt>
                <c:pt idx="31">
                  <c:v>5.3159370096825739E-2</c:v>
                </c:pt>
                <c:pt idx="32">
                  <c:v>5.6355367714186817E-2</c:v>
                </c:pt>
                <c:pt idx="33">
                  <c:v>4.0990909768215865E-2</c:v>
                </c:pt>
                <c:pt idx="34">
                  <c:v>5.6569344077321122E-2</c:v>
                </c:pt>
                <c:pt idx="35">
                  <c:v>5.3174977260261068E-2</c:v>
                </c:pt>
                <c:pt idx="36">
                  <c:v>5.5743963522474592E-2</c:v>
                </c:pt>
                <c:pt idx="37">
                  <c:v>5.9142069860620018E-2</c:v>
                </c:pt>
                <c:pt idx="38">
                  <c:v>5.9175429494308519E-2</c:v>
                </c:pt>
                <c:pt idx="39">
                  <c:v>6.9020575341180501E-2</c:v>
                </c:pt>
                <c:pt idx="40">
                  <c:v>0.09</c:v>
                </c:pt>
                <c:pt idx="41">
                  <c:v>8.8279246563469235E-2</c:v>
                </c:pt>
                <c:pt idx="42">
                  <c:v>8.9892875696098218E-2</c:v>
                </c:pt>
                <c:pt idx="43">
                  <c:v>9.9017331291928773E-2</c:v>
                </c:pt>
                <c:pt idx="44">
                  <c:v>0.10003235676728385</c:v>
                </c:pt>
              </c:numCache>
            </c:numRef>
          </c:val>
          <c:smooth val="0"/>
          <c:extLst>
            <c:ext xmlns:c16="http://schemas.microsoft.com/office/drawing/2014/chart" uri="{C3380CC4-5D6E-409C-BE32-E72D297353CC}">
              <c16:uniqueId val="{00000000-19DB-41DF-A972-C241D730C570}"/>
            </c:ext>
          </c:extLst>
        </c:ser>
        <c:dLbls>
          <c:showLegendKey val="0"/>
          <c:showVal val="0"/>
          <c:showCatName val="0"/>
          <c:showSerName val="0"/>
          <c:showPercent val="0"/>
          <c:showBubbleSize val="0"/>
        </c:dLbls>
        <c:marker val="1"/>
        <c:smooth val="0"/>
        <c:axId val="1839106456"/>
        <c:axId val="1839111368"/>
        <c:extLst/>
      </c:lineChart>
      <c:lineChart>
        <c:grouping val="standard"/>
        <c:varyColors val="0"/>
        <c:ser>
          <c:idx val="7"/>
          <c:order val="1"/>
          <c:spPr>
            <a:ln>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DataF3!$AZ$5:$AZ$45</c:f>
              <c:numCache>
                <c:formatCode>0%</c:formatCode>
                <c:ptCount val="41"/>
                <c:pt idx="0">
                  <c:v>1.0982628805294346E-2</c:v>
                </c:pt>
                <c:pt idx="1">
                  <c:v>1.0779881366448512E-2</c:v>
                </c:pt>
                <c:pt idx="2">
                  <c:v>9.993950942840505E-3</c:v>
                </c:pt>
                <c:pt idx="3">
                  <c:v>1.3082557427262541E-2</c:v>
                </c:pt>
                <c:pt idx="4">
                  <c:v>2.1909229096963134E-2</c:v>
                </c:pt>
                <c:pt idx="5">
                  <c:v>2.1370562248972574E-2</c:v>
                </c:pt>
                <c:pt idx="6">
                  <c:v>1.7905505056726792E-2</c:v>
                </c:pt>
                <c:pt idx="7">
                  <c:v>2.0477442227149627E-2</c:v>
                </c:pt>
                <c:pt idx="8">
                  <c:v>1.8089325034101669E-2</c:v>
                </c:pt>
                <c:pt idx="9">
                  <c:v>1.9333513256466817E-2</c:v>
                </c:pt>
                <c:pt idx="10">
                  <c:v>1.9380865533229017E-2</c:v>
                </c:pt>
                <c:pt idx="11">
                  <c:v>1.6159176957870971E-2</c:v>
                </c:pt>
                <c:pt idx="12">
                  <c:v>1.9794281542677188E-2</c:v>
                </c:pt>
                <c:pt idx="13">
                  <c:v>2.0873631965491576E-2</c:v>
                </c:pt>
                <c:pt idx="14">
                  <c:v>2.2734233121737529E-2</c:v>
                </c:pt>
                <c:pt idx="15">
                  <c:v>2.349067637905565E-2</c:v>
                </c:pt>
                <c:pt idx="16">
                  <c:v>2.0019589016470357E-2</c:v>
                </c:pt>
                <c:pt idx="17">
                  <c:v>1.9010969362707453E-2</c:v>
                </c:pt>
                <c:pt idx="18">
                  <c:v>2.0207107201447753E-2</c:v>
                </c:pt>
                <c:pt idx="19">
                  <c:v>2.3652535838038079E-2</c:v>
                </c:pt>
                <c:pt idx="20">
                  <c:v>2.5800741363282576E-2</c:v>
                </c:pt>
                <c:pt idx="21">
                  <c:v>3.1416160962761494E-2</c:v>
                </c:pt>
                <c:pt idx="22">
                  <c:v>3.4632666543247467E-2</c:v>
                </c:pt>
                <c:pt idx="23">
                  <c:v>3.604755768376694E-2</c:v>
                </c:pt>
                <c:pt idx="24">
                  <c:v>4.2930105903931412E-2</c:v>
                </c:pt>
                <c:pt idx="25">
                  <c:v>5.1257372408820258E-2</c:v>
                </c:pt>
                <c:pt idx="26">
                  <c:v>4.7272994672000052E-2</c:v>
                </c:pt>
                <c:pt idx="27">
                  <c:v>4.6464479981865613E-2</c:v>
                </c:pt>
                <c:pt idx="28">
                  <c:v>5.3654985694672253E-2</c:v>
                </c:pt>
                <c:pt idx="29">
                  <c:v>6.6951788294089959E-2</c:v>
                </c:pt>
                <c:pt idx="30">
                  <c:v>7.9515243543377287E-2</c:v>
                </c:pt>
                <c:pt idx="31">
                  <c:v>8.647201907292007E-2</c:v>
                </c:pt>
                <c:pt idx="32">
                  <c:v>9.0909222116706559E-2</c:v>
                </c:pt>
                <c:pt idx="33">
                  <c:v>7.0710314427735885E-2</c:v>
                </c:pt>
                <c:pt idx="34">
                  <c:v>7.8121438798060536E-2</c:v>
                </c:pt>
                <c:pt idx="35">
                  <c:v>8.42268875680771E-2</c:v>
                </c:pt>
                <c:pt idx="36">
                  <c:v>8.4855097818508474E-2</c:v>
                </c:pt>
                <c:pt idx="37">
                  <c:v>8.268465815381143E-2</c:v>
                </c:pt>
                <c:pt idx="38">
                  <c:v>8.4903002095879587E-2</c:v>
                </c:pt>
                <c:pt idx="39">
                  <c:v>9.0325937784454871E-2</c:v>
                </c:pt>
                <c:pt idx="40">
                  <c:v>0.09</c:v>
                </c:pt>
              </c:numCache>
            </c:numRef>
          </c:val>
          <c:smooth val="0"/>
          <c:extLst>
            <c:ext xmlns:c16="http://schemas.microsoft.com/office/drawing/2014/chart" uri="{C3380CC4-5D6E-409C-BE32-E72D297353CC}">
              <c16:uniqueId val="{00000001-19DB-41DF-A972-C241D730C570}"/>
            </c:ext>
          </c:extLst>
        </c:ser>
        <c:ser>
          <c:idx val="6"/>
          <c:order val="2"/>
          <c:spPr>
            <a:ln>
              <a:solidFill>
                <a:srgbClr val="0070C0"/>
              </a:solidFill>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DataF3!$BA$5:$BA$45</c:f>
              <c:numCache>
                <c:formatCode>0%</c:formatCode>
                <c:ptCount val="41"/>
                <c:pt idx="0">
                  <c:v>8.7501240122528389E-4</c:v>
                </c:pt>
                <c:pt idx="1">
                  <c:v>0</c:v>
                </c:pt>
                <c:pt idx="2">
                  <c:v>6.760049825997699E-4</c:v>
                </c:pt>
                <c:pt idx="3">
                  <c:v>3.8391868138399881E-3</c:v>
                </c:pt>
                <c:pt idx="4">
                  <c:v>7.0716625741907187E-3</c:v>
                </c:pt>
                <c:pt idx="5">
                  <c:v>9.5861807851391166E-3</c:v>
                </c:pt>
                <c:pt idx="6">
                  <c:v>7.9224146251590001E-3</c:v>
                </c:pt>
                <c:pt idx="7">
                  <c:v>1.019278451040158E-2</c:v>
                </c:pt>
                <c:pt idx="8">
                  <c:v>8.8253507531914806E-3</c:v>
                </c:pt>
                <c:pt idx="9">
                  <c:v>8.5392691497543066E-3</c:v>
                </c:pt>
                <c:pt idx="10">
                  <c:v>8.837821272316377E-3</c:v>
                </c:pt>
                <c:pt idx="11">
                  <c:v>6.865975716030974E-3</c:v>
                </c:pt>
                <c:pt idx="12">
                  <c:v>8.4992928779812869E-3</c:v>
                </c:pt>
                <c:pt idx="13">
                  <c:v>6.6070836271470944E-3</c:v>
                </c:pt>
                <c:pt idx="14">
                  <c:v>8.539005050633151E-3</c:v>
                </c:pt>
                <c:pt idx="15">
                  <c:v>9.9389683764368499E-3</c:v>
                </c:pt>
                <c:pt idx="16">
                  <c:v>9.0964921582435965E-3</c:v>
                </c:pt>
                <c:pt idx="17">
                  <c:v>8.0445861008843541E-3</c:v>
                </c:pt>
                <c:pt idx="18">
                  <c:v>8.0766038369252911E-3</c:v>
                </c:pt>
                <c:pt idx="19">
                  <c:v>8.1740320802742572E-3</c:v>
                </c:pt>
                <c:pt idx="20">
                  <c:v>1.0215802034340657E-2</c:v>
                </c:pt>
                <c:pt idx="21">
                  <c:v>9.8387127795194658E-3</c:v>
                </c:pt>
                <c:pt idx="22">
                  <c:v>1.3099669356193177E-2</c:v>
                </c:pt>
                <c:pt idx="23">
                  <c:v>1.4532758853370353E-2</c:v>
                </c:pt>
                <c:pt idx="24">
                  <c:v>1.541677320049023E-2</c:v>
                </c:pt>
                <c:pt idx="25">
                  <c:v>1.8438191881826996E-2</c:v>
                </c:pt>
                <c:pt idx="26">
                  <c:v>1.9568581580851972E-2</c:v>
                </c:pt>
                <c:pt idx="27">
                  <c:v>1.95057694665038E-2</c:v>
                </c:pt>
                <c:pt idx="28">
                  <c:v>1.9071759901835815E-2</c:v>
                </c:pt>
                <c:pt idx="29">
                  <c:v>2.3769189177037339E-2</c:v>
                </c:pt>
                <c:pt idx="30">
                  <c:v>2.1109630568151218E-2</c:v>
                </c:pt>
                <c:pt idx="31">
                  <c:v>2.3506076824316116E-2</c:v>
                </c:pt>
                <c:pt idx="32">
                  <c:v>2.4443840609502554E-2</c:v>
                </c:pt>
                <c:pt idx="33">
                  <c:v>2.1444282046833199E-2</c:v>
                </c:pt>
                <c:pt idx="34">
                  <c:v>2.7789499341824817E-2</c:v>
                </c:pt>
                <c:pt idx="35">
                  <c:v>2.4475089861722202E-2</c:v>
                </c:pt>
                <c:pt idx="36">
                  <c:v>2.5976678337597606E-2</c:v>
                </c:pt>
                <c:pt idx="37">
                  <c:v>2.8277825105687996E-2</c:v>
                </c:pt>
                <c:pt idx="38">
                  <c:v>2.699230562039855E-2</c:v>
                </c:pt>
                <c:pt idx="39">
                  <c:v>3.004905292184766E-2</c:v>
                </c:pt>
                <c:pt idx="40">
                  <c:v>0.09</c:v>
                </c:pt>
              </c:numCache>
            </c:numRef>
          </c:val>
          <c:smooth val="0"/>
          <c:extLst>
            <c:ext xmlns:c16="http://schemas.microsoft.com/office/drawing/2014/chart" uri="{C3380CC4-5D6E-409C-BE32-E72D297353CC}">
              <c16:uniqueId val="{00000002-19DB-41DF-A972-C241D730C570}"/>
            </c:ext>
          </c:extLst>
        </c:ser>
        <c:dLbls>
          <c:showLegendKey val="0"/>
          <c:showVal val="0"/>
          <c:showCatName val="0"/>
          <c:showSerName val="0"/>
          <c:showPercent val="0"/>
          <c:showBubbleSize val="0"/>
        </c:dLbls>
        <c:marker val="1"/>
        <c:smooth val="0"/>
        <c:axId val="750701840"/>
        <c:axId val="750689360"/>
      </c:lineChart>
      <c:catAx>
        <c:axId val="1839106456"/>
        <c:scaling>
          <c:orientation val="minMax"/>
        </c:scaling>
        <c:delete val="0"/>
        <c:axPos val="b"/>
        <c:numFmt formatCode="General" sourceLinked="0"/>
        <c:majorTickMark val="none"/>
        <c:minorTickMark val="none"/>
        <c:tickLblPos val="nextTo"/>
        <c:txPr>
          <a:bodyPr rot="-5400000" vert="horz"/>
          <a:lstStyle/>
          <a:p>
            <a:pPr>
              <a:defRPr sz="1800"/>
            </a:pPr>
            <a:endParaRPr lang="en-US"/>
          </a:p>
        </c:txPr>
        <c:crossAx val="1839111368"/>
        <c:crosses val="autoZero"/>
        <c:auto val="1"/>
        <c:lblAlgn val="ctr"/>
        <c:lblOffset val="100"/>
        <c:tickLblSkip val="2"/>
        <c:noMultiLvlLbl val="0"/>
      </c:catAx>
      <c:valAx>
        <c:axId val="1839111368"/>
        <c:scaling>
          <c:orientation val="minMax"/>
          <c:max val="0.1"/>
          <c:min val="0"/>
        </c:scaling>
        <c:delete val="0"/>
        <c:axPos val="l"/>
        <c:majorGridlines>
          <c:spPr>
            <a:ln>
              <a:noFill/>
            </a:ln>
          </c:spPr>
        </c:majorGridlines>
        <c:title>
          <c:tx>
            <c:rich>
              <a:bodyPr/>
              <a:lstStyle/>
              <a:p>
                <a:pPr>
                  <a:defRPr sz="1800"/>
                </a:pPr>
                <a:r>
                  <a:rPr lang="en-US" sz="1800" b="0"/>
                  <a:t>% of corporate tax receipts</a:t>
                </a:r>
              </a:p>
            </c:rich>
          </c:tx>
          <c:layout>
            <c:manualLayout>
              <c:xMode val="edge"/>
              <c:yMode val="edge"/>
              <c:x val="2.1880678652844656E-5"/>
              <c:y val="0.29921005535384543"/>
            </c:manualLayout>
          </c:layout>
          <c:overlay val="0"/>
        </c:title>
        <c:numFmt formatCode="0%" sourceLinked="0"/>
        <c:majorTickMark val="none"/>
        <c:minorTickMark val="none"/>
        <c:tickLblPos val="nextTo"/>
        <c:txPr>
          <a:bodyPr/>
          <a:lstStyle/>
          <a:p>
            <a:pPr>
              <a:defRPr sz="1800"/>
            </a:pPr>
            <a:endParaRPr lang="en-US"/>
          </a:p>
        </c:txPr>
        <c:crossAx val="1839106456"/>
        <c:crosses val="autoZero"/>
        <c:crossBetween val="between"/>
        <c:majorUnit val="0.02"/>
      </c:valAx>
      <c:valAx>
        <c:axId val="750689360"/>
        <c:scaling>
          <c:orientation val="minMax"/>
          <c:min val="0"/>
        </c:scaling>
        <c:delete val="1"/>
        <c:axPos val="r"/>
        <c:numFmt formatCode="0%" sourceLinked="1"/>
        <c:majorTickMark val="none"/>
        <c:minorTickMark val="none"/>
        <c:tickLblPos val="nextTo"/>
        <c:crossAx val="750701840"/>
        <c:crosses val="max"/>
        <c:crossBetween val="between"/>
        <c:majorUnit val="1.0000000000000002E-2"/>
      </c:valAx>
      <c:catAx>
        <c:axId val="750701840"/>
        <c:scaling>
          <c:orientation val="minMax"/>
        </c:scaling>
        <c:delete val="1"/>
        <c:axPos val="b"/>
        <c:numFmt formatCode="General" sourceLinked="1"/>
        <c:majorTickMark val="out"/>
        <c:minorTickMark val="none"/>
        <c:tickLblPos val="nextTo"/>
        <c:crossAx val="750689360"/>
        <c:crosses val="autoZero"/>
        <c:auto val="1"/>
        <c:lblAlgn val="ctr"/>
        <c:lblOffset val="100"/>
        <c:noMultiLvlLbl val="0"/>
      </c:catAx>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a:t>B. Corporate tax revenue loss</a:t>
            </a:r>
          </a:p>
        </c:rich>
      </c:tx>
      <c:layout>
        <c:manualLayout>
          <c:xMode val="edge"/>
          <c:yMode val="edge"/>
          <c:x val="0.41908299791897591"/>
          <c:y val="1.8812348309726973E-2"/>
        </c:manualLayout>
      </c:layout>
      <c:overlay val="0"/>
    </c:title>
    <c:autoTitleDeleted val="0"/>
    <c:plotArea>
      <c:layout>
        <c:manualLayout>
          <c:layoutTarget val="inner"/>
          <c:xMode val="edge"/>
          <c:yMode val="edge"/>
          <c:x val="0.10728740292862157"/>
          <c:y val="8.5381181139666626E-2"/>
          <c:w val="0.87903030838671392"/>
          <c:h val="0.7913960380913917"/>
        </c:manualLayout>
      </c:layout>
      <c:lineChart>
        <c:grouping val="standard"/>
        <c:varyColors val="0"/>
        <c:ser>
          <c:idx val="0"/>
          <c:order val="0"/>
          <c:spPr>
            <a:ln>
              <a:solidFill>
                <a:schemeClr val="tx1"/>
              </a:solidFill>
            </a:ln>
          </c:spPr>
          <c:marker>
            <c:symbol val="none"/>
          </c:marker>
          <c:cat>
            <c:numRef>
              <c:f>DataF3!$A$5:$A$49</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DataF3!$AY$5:$AY$49</c:f>
              <c:numCache>
                <c:formatCode>0%</c:formatCode>
                <c:ptCount val="45"/>
                <c:pt idx="0">
                  <c:v>1.050042226275397E-3</c:v>
                </c:pt>
                <c:pt idx="1">
                  <c:v>0</c:v>
                </c:pt>
                <c:pt idx="2">
                  <c:v>7.6564145581182108E-4</c:v>
                </c:pt>
                <c:pt idx="3">
                  <c:v>4.389224380584234E-3</c:v>
                </c:pt>
                <c:pt idx="4">
                  <c:v>8.3564738098363643E-3</c:v>
                </c:pt>
                <c:pt idx="5">
                  <c:v>1.1739122599811686E-2</c:v>
                </c:pt>
                <c:pt idx="6">
                  <c:v>9.7046106823694533E-3</c:v>
                </c:pt>
                <c:pt idx="7">
                  <c:v>1.2659899847401367E-2</c:v>
                </c:pt>
                <c:pt idx="8">
                  <c:v>1.0780241981421081E-2</c:v>
                </c:pt>
                <c:pt idx="9">
                  <c:v>1.0643840161119907E-2</c:v>
                </c:pt>
                <c:pt idx="10">
                  <c:v>1.1154150092608187E-2</c:v>
                </c:pt>
                <c:pt idx="11">
                  <c:v>9.0141708770967322E-3</c:v>
                </c:pt>
                <c:pt idx="12">
                  <c:v>1.1717377990086951E-2</c:v>
                </c:pt>
                <c:pt idx="13">
                  <c:v>9.5739136145446789E-3</c:v>
                </c:pt>
                <c:pt idx="14">
                  <c:v>1.2455464660764548E-2</c:v>
                </c:pt>
                <c:pt idx="15">
                  <c:v>1.4591107319295648E-2</c:v>
                </c:pt>
                <c:pt idx="16">
                  <c:v>1.3129495375954099E-2</c:v>
                </c:pt>
                <c:pt idx="17">
                  <c:v>1.1767355875666905E-2</c:v>
                </c:pt>
                <c:pt idx="18">
                  <c:v>1.2017269956531551E-2</c:v>
                </c:pt>
                <c:pt idx="19">
                  <c:v>1.2987209710168658E-2</c:v>
                </c:pt>
                <c:pt idx="20">
                  <c:v>1.5744248234462438E-2</c:v>
                </c:pt>
                <c:pt idx="21">
                  <c:v>1.6834735938078736E-2</c:v>
                </c:pt>
                <c:pt idx="22">
                  <c:v>2.1672397077737687E-2</c:v>
                </c:pt>
                <c:pt idx="23">
                  <c:v>2.5177861806161845E-2</c:v>
                </c:pt>
                <c:pt idx="24">
                  <c:v>2.7538128062976355E-2</c:v>
                </c:pt>
                <c:pt idx="25">
                  <c:v>3.3062351098625313E-2</c:v>
                </c:pt>
                <c:pt idx="26">
                  <c:v>3.378180016932554E-2</c:v>
                </c:pt>
                <c:pt idx="27">
                  <c:v>3.3501654394962853E-2</c:v>
                </c:pt>
                <c:pt idx="28">
                  <c:v>3.5709989800408126E-2</c:v>
                </c:pt>
                <c:pt idx="29">
                  <c:v>4.6303545086319189E-2</c:v>
                </c:pt>
                <c:pt idx="30">
                  <c:v>4.615318763473962E-2</c:v>
                </c:pt>
                <c:pt idx="31">
                  <c:v>5.3159370096825739E-2</c:v>
                </c:pt>
                <c:pt idx="32">
                  <c:v>5.6355367714186817E-2</c:v>
                </c:pt>
                <c:pt idx="33">
                  <c:v>4.0990909768215865E-2</c:v>
                </c:pt>
                <c:pt idx="34">
                  <c:v>5.6569344077321122E-2</c:v>
                </c:pt>
                <c:pt idx="35">
                  <c:v>5.3174977260261068E-2</c:v>
                </c:pt>
                <c:pt idx="36">
                  <c:v>5.5743963522474592E-2</c:v>
                </c:pt>
                <c:pt idx="37">
                  <c:v>5.9142069860620018E-2</c:v>
                </c:pt>
                <c:pt idx="38">
                  <c:v>5.9175429494308519E-2</c:v>
                </c:pt>
                <c:pt idx="39">
                  <c:v>6.9020575341180501E-2</c:v>
                </c:pt>
                <c:pt idx="40">
                  <c:v>0.09</c:v>
                </c:pt>
                <c:pt idx="41">
                  <c:v>8.8279246563469235E-2</c:v>
                </c:pt>
                <c:pt idx="42">
                  <c:v>8.9892875696098218E-2</c:v>
                </c:pt>
                <c:pt idx="43">
                  <c:v>9.9017331291928773E-2</c:v>
                </c:pt>
                <c:pt idx="44">
                  <c:v>0.10003235676728385</c:v>
                </c:pt>
              </c:numCache>
            </c:numRef>
          </c:val>
          <c:smooth val="0"/>
          <c:extLst>
            <c:ext xmlns:c16="http://schemas.microsoft.com/office/drawing/2014/chart" uri="{C3380CC4-5D6E-409C-BE32-E72D297353CC}">
              <c16:uniqueId val="{00000000-FCF3-904A-898A-BC1FFB4DD7BD}"/>
            </c:ext>
          </c:extLst>
        </c:ser>
        <c:dLbls>
          <c:showLegendKey val="0"/>
          <c:showVal val="0"/>
          <c:showCatName val="0"/>
          <c:showSerName val="0"/>
          <c:showPercent val="0"/>
          <c:showBubbleSize val="0"/>
        </c:dLbls>
        <c:marker val="1"/>
        <c:smooth val="0"/>
        <c:axId val="1839106456"/>
        <c:axId val="1839111368"/>
        <c:extLst/>
      </c:lineChart>
      <c:lineChart>
        <c:grouping val="standard"/>
        <c:varyColors val="0"/>
        <c:ser>
          <c:idx val="7"/>
          <c:order val="1"/>
          <c:spPr>
            <a:ln>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DataF3!$AZ$5:$AZ$45</c:f>
              <c:numCache>
                <c:formatCode>0%</c:formatCode>
                <c:ptCount val="41"/>
                <c:pt idx="0">
                  <c:v>1.0982628805294346E-2</c:v>
                </c:pt>
                <c:pt idx="1">
                  <c:v>1.0779881366448512E-2</c:v>
                </c:pt>
                <c:pt idx="2">
                  <c:v>9.993950942840505E-3</c:v>
                </c:pt>
                <c:pt idx="3">
                  <c:v>1.3082557427262541E-2</c:v>
                </c:pt>
                <c:pt idx="4">
                  <c:v>2.1909229096963134E-2</c:v>
                </c:pt>
                <c:pt idx="5">
                  <c:v>2.1370562248972574E-2</c:v>
                </c:pt>
                <c:pt idx="6">
                  <c:v>1.7905505056726792E-2</c:v>
                </c:pt>
                <c:pt idx="7">
                  <c:v>2.0477442227149627E-2</c:v>
                </c:pt>
                <c:pt idx="8">
                  <c:v>1.8089325034101669E-2</c:v>
                </c:pt>
                <c:pt idx="9">
                  <c:v>1.9333513256466817E-2</c:v>
                </c:pt>
                <c:pt idx="10">
                  <c:v>1.9380865533229017E-2</c:v>
                </c:pt>
                <c:pt idx="11">
                  <c:v>1.6159176957870971E-2</c:v>
                </c:pt>
                <c:pt idx="12">
                  <c:v>1.9794281542677188E-2</c:v>
                </c:pt>
                <c:pt idx="13">
                  <c:v>2.0873631965491576E-2</c:v>
                </c:pt>
                <c:pt idx="14">
                  <c:v>2.2734233121737529E-2</c:v>
                </c:pt>
                <c:pt idx="15">
                  <c:v>2.349067637905565E-2</c:v>
                </c:pt>
                <c:pt idx="16">
                  <c:v>2.0019589016470357E-2</c:v>
                </c:pt>
                <c:pt idx="17">
                  <c:v>1.9010969362707453E-2</c:v>
                </c:pt>
                <c:pt idx="18">
                  <c:v>2.0207107201447753E-2</c:v>
                </c:pt>
                <c:pt idx="19">
                  <c:v>2.3652535838038079E-2</c:v>
                </c:pt>
                <c:pt idx="20">
                  <c:v>2.5800741363282576E-2</c:v>
                </c:pt>
                <c:pt idx="21">
                  <c:v>3.1416160962761494E-2</c:v>
                </c:pt>
                <c:pt idx="22">
                  <c:v>3.4632666543247467E-2</c:v>
                </c:pt>
                <c:pt idx="23">
                  <c:v>3.604755768376694E-2</c:v>
                </c:pt>
                <c:pt idx="24">
                  <c:v>4.2930105903931412E-2</c:v>
                </c:pt>
                <c:pt idx="25">
                  <c:v>5.1257372408820258E-2</c:v>
                </c:pt>
                <c:pt idx="26">
                  <c:v>4.7272994672000052E-2</c:v>
                </c:pt>
                <c:pt idx="27">
                  <c:v>4.6464479981865613E-2</c:v>
                </c:pt>
                <c:pt idx="28">
                  <c:v>5.3654985694672253E-2</c:v>
                </c:pt>
                <c:pt idx="29">
                  <c:v>6.6951788294089959E-2</c:v>
                </c:pt>
                <c:pt idx="30">
                  <c:v>7.9515243543377287E-2</c:v>
                </c:pt>
                <c:pt idx="31">
                  <c:v>8.647201907292007E-2</c:v>
                </c:pt>
                <c:pt idx="32">
                  <c:v>9.0909222116706559E-2</c:v>
                </c:pt>
                <c:pt idx="33">
                  <c:v>7.0710314427735885E-2</c:v>
                </c:pt>
                <c:pt idx="34">
                  <c:v>7.8121438798060536E-2</c:v>
                </c:pt>
                <c:pt idx="35">
                  <c:v>8.42268875680771E-2</c:v>
                </c:pt>
                <c:pt idx="36">
                  <c:v>8.4855097818508474E-2</c:v>
                </c:pt>
                <c:pt idx="37">
                  <c:v>8.268465815381143E-2</c:v>
                </c:pt>
                <c:pt idx="38">
                  <c:v>8.4903002095879587E-2</c:v>
                </c:pt>
                <c:pt idx="39">
                  <c:v>9.0325937784454871E-2</c:v>
                </c:pt>
                <c:pt idx="40">
                  <c:v>0.09</c:v>
                </c:pt>
              </c:numCache>
            </c:numRef>
          </c:val>
          <c:smooth val="0"/>
          <c:extLst>
            <c:ext xmlns:c16="http://schemas.microsoft.com/office/drawing/2014/chart" uri="{C3380CC4-5D6E-409C-BE32-E72D297353CC}">
              <c16:uniqueId val="{00000001-FCF3-904A-898A-BC1FFB4DD7BD}"/>
            </c:ext>
          </c:extLst>
        </c:ser>
        <c:ser>
          <c:idx val="6"/>
          <c:order val="2"/>
          <c:spPr>
            <a:ln>
              <a:solidFill>
                <a:srgbClr val="0070C0"/>
              </a:solidFill>
              <a:prstDash val="dash"/>
            </a:ln>
          </c:spPr>
          <c:marker>
            <c:symbol val="none"/>
          </c:marker>
          <c:cat>
            <c:numRef>
              <c:f>'Wright-Zucman'!$A$37:$A$81</c:f>
              <c:numCache>
                <c:formatCode>General</c:formatCode>
                <c:ptCount val="45"/>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numCache>
            </c:numRef>
          </c:cat>
          <c:val>
            <c:numRef>
              <c:f>DataF3!$BA$5:$BA$45</c:f>
              <c:numCache>
                <c:formatCode>0%</c:formatCode>
                <c:ptCount val="41"/>
                <c:pt idx="0">
                  <c:v>8.7501240122528389E-4</c:v>
                </c:pt>
                <c:pt idx="1">
                  <c:v>0</c:v>
                </c:pt>
                <c:pt idx="2">
                  <c:v>6.760049825997699E-4</c:v>
                </c:pt>
                <c:pt idx="3">
                  <c:v>3.8391868138399881E-3</c:v>
                </c:pt>
                <c:pt idx="4">
                  <c:v>7.0716625741907187E-3</c:v>
                </c:pt>
                <c:pt idx="5">
                  <c:v>9.5861807851391166E-3</c:v>
                </c:pt>
                <c:pt idx="6">
                  <c:v>7.9224146251590001E-3</c:v>
                </c:pt>
                <c:pt idx="7">
                  <c:v>1.019278451040158E-2</c:v>
                </c:pt>
                <c:pt idx="8">
                  <c:v>8.8253507531914806E-3</c:v>
                </c:pt>
                <c:pt idx="9">
                  <c:v>8.5392691497543066E-3</c:v>
                </c:pt>
                <c:pt idx="10">
                  <c:v>8.837821272316377E-3</c:v>
                </c:pt>
                <c:pt idx="11">
                  <c:v>6.865975716030974E-3</c:v>
                </c:pt>
                <c:pt idx="12">
                  <c:v>8.4992928779812869E-3</c:v>
                </c:pt>
                <c:pt idx="13">
                  <c:v>6.6070836271470944E-3</c:v>
                </c:pt>
                <c:pt idx="14">
                  <c:v>8.539005050633151E-3</c:v>
                </c:pt>
                <c:pt idx="15">
                  <c:v>9.9389683764368499E-3</c:v>
                </c:pt>
                <c:pt idx="16">
                  <c:v>9.0964921582435965E-3</c:v>
                </c:pt>
                <c:pt idx="17">
                  <c:v>8.0445861008843541E-3</c:v>
                </c:pt>
                <c:pt idx="18">
                  <c:v>8.0766038369252911E-3</c:v>
                </c:pt>
                <c:pt idx="19">
                  <c:v>8.1740320802742572E-3</c:v>
                </c:pt>
                <c:pt idx="20">
                  <c:v>1.0215802034340657E-2</c:v>
                </c:pt>
                <c:pt idx="21">
                  <c:v>9.8387127795194658E-3</c:v>
                </c:pt>
                <c:pt idx="22">
                  <c:v>1.3099669356193177E-2</c:v>
                </c:pt>
                <c:pt idx="23">
                  <c:v>1.4532758853370353E-2</c:v>
                </c:pt>
                <c:pt idx="24">
                  <c:v>1.541677320049023E-2</c:v>
                </c:pt>
                <c:pt idx="25">
                  <c:v>1.8438191881826996E-2</c:v>
                </c:pt>
                <c:pt idx="26">
                  <c:v>1.9568581580851972E-2</c:v>
                </c:pt>
                <c:pt idx="27">
                  <c:v>1.95057694665038E-2</c:v>
                </c:pt>
                <c:pt idx="28">
                  <c:v>1.9071759901835815E-2</c:v>
                </c:pt>
                <c:pt idx="29">
                  <c:v>2.3769189177037339E-2</c:v>
                </c:pt>
                <c:pt idx="30">
                  <c:v>2.1109630568151218E-2</c:v>
                </c:pt>
                <c:pt idx="31">
                  <c:v>2.3506076824316116E-2</c:v>
                </c:pt>
                <c:pt idx="32">
                  <c:v>2.4443840609502554E-2</c:v>
                </c:pt>
                <c:pt idx="33">
                  <c:v>2.1444282046833199E-2</c:v>
                </c:pt>
                <c:pt idx="34">
                  <c:v>2.7789499341824817E-2</c:v>
                </c:pt>
                <c:pt idx="35">
                  <c:v>2.4475089861722202E-2</c:v>
                </c:pt>
                <c:pt idx="36">
                  <c:v>2.5976678337597606E-2</c:v>
                </c:pt>
                <c:pt idx="37">
                  <c:v>2.8277825105687996E-2</c:v>
                </c:pt>
                <c:pt idx="38">
                  <c:v>2.699230562039855E-2</c:v>
                </c:pt>
                <c:pt idx="39">
                  <c:v>3.004905292184766E-2</c:v>
                </c:pt>
                <c:pt idx="40">
                  <c:v>0.09</c:v>
                </c:pt>
              </c:numCache>
            </c:numRef>
          </c:val>
          <c:smooth val="0"/>
          <c:extLst>
            <c:ext xmlns:c16="http://schemas.microsoft.com/office/drawing/2014/chart" uri="{C3380CC4-5D6E-409C-BE32-E72D297353CC}">
              <c16:uniqueId val="{00000002-FCF3-904A-898A-BC1FFB4DD7BD}"/>
            </c:ext>
          </c:extLst>
        </c:ser>
        <c:ser>
          <c:idx val="1"/>
          <c:order val="3"/>
          <c:marker>
            <c:symbol val="none"/>
          </c:marker>
          <c:val>
            <c:numRef>
              <c:f>DataF3!$BB$5:$BB$45</c:f>
              <c:numCache>
                <c:formatCode>0%</c:formatCode>
                <c:ptCount val="41"/>
                <c:pt idx="0">
                  <c:v>1.0500422262753975E-3</c:v>
                </c:pt>
                <c:pt idx="1">
                  <c:v>0</c:v>
                </c:pt>
                <c:pt idx="2">
                  <c:v>8.0638503140230107E-4</c:v>
                </c:pt>
                <c:pt idx="3">
                  <c:v>4.6392397635548676E-3</c:v>
                </c:pt>
                <c:pt idx="4">
                  <c:v>8.9404749627508533E-3</c:v>
                </c:pt>
                <c:pt idx="5">
                  <c:v>1.2717725889574137E-2</c:v>
                </c:pt>
                <c:pt idx="6">
                  <c:v>1.0514694314310555E-2</c:v>
                </c:pt>
                <c:pt idx="7">
                  <c:v>1.3781308316760572E-2</c:v>
                </c:pt>
                <c:pt idx="8">
                  <c:v>1.1668822886875881E-2</c:v>
                </c:pt>
                <c:pt idx="9">
                  <c:v>1.1600456870974789E-2</c:v>
                </c:pt>
                <c:pt idx="10">
                  <c:v>1.2207019700258911E-2</c:v>
                </c:pt>
                <c:pt idx="11">
                  <c:v>9.9906166116464357E-3</c:v>
                </c:pt>
                <c:pt idx="12">
                  <c:v>1.3180134046000672E-2</c:v>
                </c:pt>
                <c:pt idx="13">
                  <c:v>1.0922463568866003E-2</c:v>
                </c:pt>
                <c:pt idx="14">
                  <c:v>1.4235661520975211E-2</c:v>
                </c:pt>
                <c:pt idx="15">
                  <c:v>1.6705701612038305E-2</c:v>
                </c:pt>
                <c:pt idx="16">
                  <c:v>1.4962666244565931E-2</c:v>
                </c:pt>
                <c:pt idx="17">
                  <c:v>1.3459512497737294E-2</c:v>
                </c:pt>
                <c:pt idx="18">
                  <c:v>1.38084697010953E-2</c:v>
                </c:pt>
                <c:pt idx="19">
                  <c:v>1.517500291048887E-2</c:v>
                </c:pt>
                <c:pt idx="20">
                  <c:v>1.8257161310813605E-2</c:v>
                </c:pt>
                <c:pt idx="21">
                  <c:v>2.0014724933397517E-2</c:v>
                </c:pt>
                <c:pt idx="22">
                  <c:v>2.5569065112780301E-2</c:v>
                </c:pt>
                <c:pt idx="23">
                  <c:v>3.0016512204638166E-2</c:v>
                </c:pt>
                <c:pt idx="24">
                  <c:v>3.3047797513384172E-2</c:v>
                </c:pt>
                <c:pt idx="25">
                  <c:v>3.9709651189150624E-2</c:v>
                </c:pt>
                <c:pt idx="26">
                  <c:v>4.0242310329888537E-2</c:v>
                </c:pt>
                <c:pt idx="27">
                  <c:v>3.9863377197123101E-2</c:v>
                </c:pt>
                <c:pt idx="28">
                  <c:v>4.3272770365865784E-2</c:v>
                </c:pt>
                <c:pt idx="29">
                  <c:v>5.6546364783169656E-2</c:v>
                </c:pt>
                <c:pt idx="30">
                  <c:v>5.7536545589745185E-2</c:v>
                </c:pt>
                <c:pt idx="31">
                  <c:v>6.663804850373943E-2</c:v>
                </c:pt>
                <c:pt idx="32">
                  <c:v>7.0860509094766641E-2</c:v>
                </c:pt>
                <c:pt idx="33">
                  <c:v>4.9875680393016132E-2</c:v>
                </c:pt>
                <c:pt idx="34">
                  <c:v>6.9651003110123469E-2</c:v>
                </c:pt>
                <c:pt idx="35">
                  <c:v>6.6220292295072411E-2</c:v>
                </c:pt>
                <c:pt idx="36">
                  <c:v>6.9274456084182784E-2</c:v>
                </c:pt>
                <c:pt idx="37">
                  <c:v>7.3171177032661072E-2</c:v>
                </c:pt>
                <c:pt idx="38">
                  <c:v>7.3804023115929776E-2</c:v>
                </c:pt>
                <c:pt idx="39">
                  <c:v>8.6734783772963175E-2</c:v>
                </c:pt>
                <c:pt idx="40">
                  <c:v>0.09</c:v>
                </c:pt>
              </c:numCache>
            </c:numRef>
          </c:val>
          <c:smooth val="0"/>
          <c:extLst>
            <c:ext xmlns:c16="http://schemas.microsoft.com/office/drawing/2014/chart" uri="{C3380CC4-5D6E-409C-BE32-E72D297353CC}">
              <c16:uniqueId val="{00000003-FCF3-904A-898A-BC1FFB4DD7BD}"/>
            </c:ext>
          </c:extLst>
        </c:ser>
        <c:ser>
          <c:idx val="2"/>
          <c:order val="4"/>
          <c:spPr>
            <a:ln>
              <a:solidFill>
                <a:schemeClr val="accent1"/>
              </a:solidFill>
            </a:ln>
          </c:spPr>
          <c:marker>
            <c:symbol val="none"/>
          </c:marker>
          <c:val>
            <c:numRef>
              <c:f>DataF3!$BC$5:$BC$45</c:f>
              <c:numCache>
                <c:formatCode>0%</c:formatCode>
                <c:ptCount val="41"/>
                <c:pt idx="0">
                  <c:v>9.6252731375034073E-4</c:v>
                </c:pt>
                <c:pt idx="1">
                  <c:v>0</c:v>
                </c:pt>
                <c:pt idx="2">
                  <c:v>7.4119500700103554E-4</c:v>
                </c:pt>
                <c:pt idx="3">
                  <c:v>4.2392132886974274E-3</c:v>
                </c:pt>
                <c:pt idx="4">
                  <c:v>8.0060687684707886E-3</c:v>
                </c:pt>
                <c:pt idx="5">
                  <c:v>1.1151953337356628E-2</c:v>
                </c:pt>
                <c:pt idx="6">
                  <c:v>9.2185544697347774E-3</c:v>
                </c:pt>
                <c:pt idx="7">
                  <c:v>1.1987046413581077E-2</c:v>
                </c:pt>
                <c:pt idx="8">
                  <c:v>1.0247086820033679E-2</c:v>
                </c:pt>
                <c:pt idx="9">
                  <c:v>1.006986301036455E-2</c:v>
                </c:pt>
                <c:pt idx="10">
                  <c:v>1.0522420486287645E-2</c:v>
                </c:pt>
                <c:pt idx="11">
                  <c:v>8.4282961638387065E-3</c:v>
                </c:pt>
                <c:pt idx="12">
                  <c:v>1.0839713461990978E-2</c:v>
                </c:pt>
                <c:pt idx="13">
                  <c:v>8.7647735980065505E-3</c:v>
                </c:pt>
                <c:pt idx="14">
                  <c:v>1.138733328580418E-2</c:v>
                </c:pt>
                <c:pt idx="15">
                  <c:v>1.3322334994237578E-2</c:v>
                </c:pt>
                <c:pt idx="16">
                  <c:v>1.2029579201404765E-2</c:v>
                </c:pt>
                <c:pt idx="17">
                  <c:v>1.0752049299310822E-2</c:v>
                </c:pt>
                <c:pt idx="18">
                  <c:v>1.0942536769010297E-2</c:v>
                </c:pt>
                <c:pt idx="19">
                  <c:v>1.1674517495381564E-2</c:v>
                </c:pt>
                <c:pt idx="20">
                  <c:v>1.4236481672577132E-2</c:v>
                </c:pt>
                <c:pt idx="21">
                  <c:v>1.4926718856458489E-2</c:v>
                </c:pt>
                <c:pt idx="22">
                  <c:v>1.9334367234486737E-2</c:v>
                </c:pt>
                <c:pt idx="23">
                  <c:v>2.2274635529004258E-2</c:v>
                </c:pt>
                <c:pt idx="24">
                  <c:v>2.4232285356937198E-2</c:v>
                </c:pt>
                <c:pt idx="25">
                  <c:v>2.9073921535488819E-2</c:v>
                </c:pt>
                <c:pt idx="26">
                  <c:v>2.9905445955370258E-2</c:v>
                </c:pt>
                <c:pt idx="27">
                  <c:v>2.9684573331813454E-2</c:v>
                </c:pt>
                <c:pt idx="28">
                  <c:v>3.11722651338508E-2</c:v>
                </c:pt>
                <c:pt idx="29">
                  <c:v>4.0157776980103504E-2</c:v>
                </c:pt>
                <c:pt idx="30">
                  <c:v>3.9323088078948208E-2</c:v>
                </c:pt>
                <c:pt idx="31">
                  <c:v>4.5072062664027773E-2</c:v>
                </c:pt>
                <c:pt idx="32">
                  <c:v>4.7652174852134591E-2</c:v>
                </c:pt>
                <c:pt idx="33">
                  <c:v>3.5659981219924669E-2</c:v>
                </c:pt>
                <c:pt idx="34">
                  <c:v>4.8720251225974148E-2</c:v>
                </c:pt>
                <c:pt idx="35">
                  <c:v>4.5347691078397312E-2</c:v>
                </c:pt>
                <c:pt idx="36">
                  <c:v>4.7625567210890195E-2</c:v>
                </c:pt>
                <c:pt idx="37">
                  <c:v>5.0724501069174539E-2</c:v>
                </c:pt>
                <c:pt idx="38">
                  <c:v>5.0398164368164168E-2</c:v>
                </c:pt>
                <c:pt idx="39">
                  <c:v>5.8391918347405425E-2</c:v>
                </c:pt>
                <c:pt idx="40">
                  <c:v>0.09</c:v>
                </c:pt>
              </c:numCache>
            </c:numRef>
          </c:val>
          <c:smooth val="0"/>
          <c:extLst>
            <c:ext xmlns:c16="http://schemas.microsoft.com/office/drawing/2014/chart" uri="{C3380CC4-5D6E-409C-BE32-E72D297353CC}">
              <c16:uniqueId val="{00000004-FCF3-904A-898A-BC1FFB4DD7BD}"/>
            </c:ext>
          </c:extLst>
        </c:ser>
        <c:dLbls>
          <c:showLegendKey val="0"/>
          <c:showVal val="0"/>
          <c:showCatName val="0"/>
          <c:showSerName val="0"/>
          <c:showPercent val="0"/>
          <c:showBubbleSize val="0"/>
        </c:dLbls>
        <c:marker val="1"/>
        <c:smooth val="0"/>
        <c:axId val="750701840"/>
        <c:axId val="750689360"/>
      </c:lineChart>
      <c:catAx>
        <c:axId val="1839106456"/>
        <c:scaling>
          <c:orientation val="minMax"/>
        </c:scaling>
        <c:delete val="0"/>
        <c:axPos val="b"/>
        <c:numFmt formatCode="General" sourceLinked="0"/>
        <c:majorTickMark val="none"/>
        <c:minorTickMark val="none"/>
        <c:tickLblPos val="nextTo"/>
        <c:txPr>
          <a:bodyPr rot="-5400000" vert="horz"/>
          <a:lstStyle/>
          <a:p>
            <a:pPr>
              <a:defRPr sz="1800"/>
            </a:pPr>
            <a:endParaRPr lang="en-US"/>
          </a:p>
        </c:txPr>
        <c:crossAx val="1839111368"/>
        <c:crosses val="autoZero"/>
        <c:auto val="1"/>
        <c:lblAlgn val="ctr"/>
        <c:lblOffset val="100"/>
        <c:tickLblSkip val="2"/>
        <c:noMultiLvlLbl val="0"/>
      </c:catAx>
      <c:valAx>
        <c:axId val="1839111368"/>
        <c:scaling>
          <c:orientation val="minMax"/>
          <c:max val="0.1"/>
          <c:min val="0"/>
        </c:scaling>
        <c:delete val="0"/>
        <c:axPos val="l"/>
        <c:majorGridlines>
          <c:spPr>
            <a:ln>
              <a:noFill/>
            </a:ln>
          </c:spPr>
        </c:majorGridlines>
        <c:title>
          <c:tx>
            <c:rich>
              <a:bodyPr/>
              <a:lstStyle/>
              <a:p>
                <a:pPr>
                  <a:defRPr sz="1800"/>
                </a:pPr>
                <a:r>
                  <a:rPr lang="en-US" sz="1800" b="0"/>
                  <a:t>% of corporate tax receipts</a:t>
                </a:r>
              </a:p>
            </c:rich>
          </c:tx>
          <c:layout>
            <c:manualLayout>
              <c:xMode val="edge"/>
              <c:yMode val="edge"/>
              <c:x val="2.1880678652844656E-5"/>
              <c:y val="0.29921005535384543"/>
            </c:manualLayout>
          </c:layout>
          <c:overlay val="0"/>
        </c:title>
        <c:numFmt formatCode="0%" sourceLinked="0"/>
        <c:majorTickMark val="none"/>
        <c:minorTickMark val="none"/>
        <c:tickLblPos val="nextTo"/>
        <c:txPr>
          <a:bodyPr/>
          <a:lstStyle/>
          <a:p>
            <a:pPr>
              <a:defRPr sz="1800"/>
            </a:pPr>
            <a:endParaRPr lang="en-US"/>
          </a:p>
        </c:txPr>
        <c:crossAx val="1839106456"/>
        <c:crosses val="autoZero"/>
        <c:crossBetween val="between"/>
        <c:majorUnit val="0.02"/>
      </c:valAx>
      <c:valAx>
        <c:axId val="750689360"/>
        <c:scaling>
          <c:orientation val="minMax"/>
          <c:min val="0"/>
        </c:scaling>
        <c:delete val="1"/>
        <c:axPos val="r"/>
        <c:numFmt formatCode="0%" sourceLinked="1"/>
        <c:majorTickMark val="none"/>
        <c:minorTickMark val="none"/>
        <c:tickLblPos val="nextTo"/>
        <c:crossAx val="750701840"/>
        <c:crosses val="max"/>
        <c:crossBetween val="between"/>
        <c:majorUnit val="1.0000000000000002E-2"/>
      </c:valAx>
      <c:catAx>
        <c:axId val="750701840"/>
        <c:scaling>
          <c:orientation val="minMax"/>
        </c:scaling>
        <c:delete val="1"/>
        <c:axPos val="b"/>
        <c:numFmt formatCode="General" sourceLinked="1"/>
        <c:majorTickMark val="out"/>
        <c:minorTickMark val="none"/>
        <c:tickLblPos val="nextTo"/>
        <c:crossAx val="750689360"/>
        <c:crosses val="autoZero"/>
        <c:auto val="1"/>
        <c:lblAlgn val="ctr"/>
        <c:lblOffset val="100"/>
        <c:noMultiLvlLbl val="0"/>
      </c:catAx>
    </c:plotArea>
    <c:plotVisOnly val="1"/>
    <c:dispBlanksAs val="gap"/>
    <c:showDLblsOverMax val="0"/>
  </c:chart>
  <c:spPr>
    <a:noFill/>
    <a:ln>
      <a:noFill/>
    </a:ln>
  </c:spPr>
  <c:txPr>
    <a:bodyPr/>
    <a:lstStyle/>
    <a:p>
      <a:pPr>
        <a:defRPr>
          <a:latin typeface="Garamond" panose="02020404030301010803" pitchFamily="18" charset="0"/>
        </a:defRPr>
      </a:pPr>
      <a:endParaRPr lang="en-US"/>
    </a:p>
  </c:txPr>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1103071081590121"/>
          <c:y val="3.9577777678845703E-2"/>
          <c:w val="0.84533489691487429"/>
          <c:h val="0.87438719616569671"/>
        </c:manualLayout>
      </c:layout>
      <c:areaChart>
        <c:grouping val="stacked"/>
        <c:varyColors val="0"/>
        <c:ser>
          <c:idx val="4"/>
          <c:order val="0"/>
          <c:tx>
            <c:v>Shifted profits</c:v>
          </c:tx>
          <c:spPr>
            <a:solidFill>
              <a:srgbClr val="0070C0"/>
            </a:solidFill>
            <a:ln w="25400">
              <a:noFill/>
            </a:ln>
          </c:spPr>
          <c:cat>
            <c:numRef>
              <c:f>DataF3!$A$5:$A$50</c:f>
              <c:numCache>
                <c:formatCode>General</c:formatCode>
                <c:ptCount val="46"/>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pt idx="45">
                  <c:v>2020</c:v>
                </c:pt>
              </c:numCache>
            </c:numRef>
          </c:cat>
          <c:val>
            <c:numRef>
              <c:f>DataF3!$AE$5:$AE$50</c:f>
              <c:numCache>
                <c:formatCode>0%</c:formatCode>
                <c:ptCount val="46"/>
                <c:pt idx="0">
                  <c:v>6.2675282359083853E-3</c:v>
                </c:pt>
                <c:pt idx="1">
                  <c:v>0</c:v>
                </c:pt>
                <c:pt idx="2">
                  <c:v>5.0643526999786135E-3</c:v>
                </c:pt>
                <c:pt idx="3">
                  <c:v>3.1327183888538404E-2</c:v>
                </c:pt>
                <c:pt idx="4">
                  <c:v>4.5586475626788331E-2</c:v>
                </c:pt>
                <c:pt idx="5">
                  <c:v>9.6180021782855118E-2</c:v>
                </c:pt>
                <c:pt idx="6">
                  <c:v>9.3983116884564899E-2</c:v>
                </c:pt>
                <c:pt idx="7">
                  <c:v>0.12628709732579524</c:v>
                </c:pt>
                <c:pt idx="8">
                  <c:v>0.11109247127944562</c:v>
                </c:pt>
                <c:pt idx="9">
                  <c:v>0.1026433267726666</c:v>
                </c:pt>
                <c:pt idx="10">
                  <c:v>0.11566276007109053</c:v>
                </c:pt>
                <c:pt idx="11">
                  <c:v>0.12169360673195538</c:v>
                </c:pt>
                <c:pt idx="12">
                  <c:v>0.14999303656927479</c:v>
                </c:pt>
                <c:pt idx="13">
                  <c:v>0.1094795789395418</c:v>
                </c:pt>
                <c:pt idx="14">
                  <c:v>0.14524816289176071</c:v>
                </c:pt>
                <c:pt idx="15">
                  <c:v>0.1807249080012531</c:v>
                </c:pt>
                <c:pt idx="16">
                  <c:v>0.19437578238718534</c:v>
                </c:pt>
                <c:pt idx="17">
                  <c:v>0.17871546274371625</c:v>
                </c:pt>
                <c:pt idx="18">
                  <c:v>0.17102129396251187</c:v>
                </c:pt>
                <c:pt idx="19">
                  <c:v>0.16370512782577151</c:v>
                </c:pt>
                <c:pt idx="20">
                  <c:v>0.18674859467254296</c:v>
                </c:pt>
                <c:pt idx="21">
                  <c:v>0.17069096226206415</c:v>
                </c:pt>
                <c:pt idx="22">
                  <c:v>0.20959162136074871</c:v>
                </c:pt>
                <c:pt idx="23">
                  <c:v>0.26047853882291788</c:v>
                </c:pt>
                <c:pt idx="24">
                  <c:v>0.23193555861316661</c:v>
                </c:pt>
                <c:pt idx="25">
                  <c:v>0.2345862454940322</c:v>
                </c:pt>
                <c:pt idx="26">
                  <c:v>0.27008648425334286</c:v>
                </c:pt>
                <c:pt idx="27">
                  <c:v>0.27331320725753555</c:v>
                </c:pt>
                <c:pt idx="28">
                  <c:v>0.25328005470856035</c:v>
                </c:pt>
                <c:pt idx="29">
                  <c:v>0.27472345611523219</c:v>
                </c:pt>
                <c:pt idx="30">
                  <c:v>0.2257359860860271</c:v>
                </c:pt>
                <c:pt idx="31">
                  <c:v>0.2479285821260129</c:v>
                </c:pt>
                <c:pt idx="32">
                  <c:v>0.25276180979399027</c:v>
                </c:pt>
                <c:pt idx="33">
                  <c:v>0.20887363476922563</c:v>
                </c:pt>
                <c:pt idx="34">
                  <c:v>0.3010260997876964</c:v>
                </c:pt>
                <c:pt idx="35">
                  <c:v>0.25286492209493283</c:v>
                </c:pt>
                <c:pt idx="36">
                  <c:v>0.26615979630502978</c:v>
                </c:pt>
                <c:pt idx="37">
                  <c:v>0.29864935285813921</c:v>
                </c:pt>
                <c:pt idx="38">
                  <c:v>0.29256931804332326</c:v>
                </c:pt>
                <c:pt idx="39">
                  <c:v>0.34037365856012092</c:v>
                </c:pt>
                <c:pt idx="40">
                  <c:v>0.4567110995991705</c:v>
                </c:pt>
                <c:pt idx="41">
                  <c:v>0.51831153382607476</c:v>
                </c:pt>
                <c:pt idx="42">
                  <c:v>0.47565247882238054</c:v>
                </c:pt>
                <c:pt idx="43">
                  <c:v>0.4956207305974113</c:v>
                </c:pt>
                <c:pt idx="44">
                  <c:v>0.46821727453681589</c:v>
                </c:pt>
                <c:pt idx="45">
                  <c:v>0.50887200386050091</c:v>
                </c:pt>
              </c:numCache>
            </c:numRef>
          </c:val>
          <c:extLst>
            <c:ext xmlns:c16="http://schemas.microsoft.com/office/drawing/2014/chart" uri="{C3380CC4-5D6E-409C-BE32-E72D297353CC}">
              <c16:uniqueId val="{00000003-EA98-41FA-93F9-248380846303}"/>
            </c:ext>
          </c:extLst>
        </c:ser>
        <c:ser>
          <c:idx val="1"/>
          <c:order val="1"/>
          <c:tx>
            <c:v>All profits</c:v>
          </c:tx>
          <c:spPr>
            <a:solidFill>
              <a:srgbClr val="FF0000"/>
            </a:solidFill>
            <a:ln w="25400">
              <a:noFill/>
            </a:ln>
          </c:spPr>
          <c:cat>
            <c:numRef>
              <c:f>DataF3!$A$5:$A$50</c:f>
              <c:numCache>
                <c:formatCode>General</c:formatCode>
                <c:ptCount val="46"/>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pt idx="45">
                  <c:v>2020</c:v>
                </c:pt>
              </c:numCache>
            </c:numRef>
          </c:cat>
          <c:val>
            <c:numRef>
              <c:f>DataF3!$AF$5:$AF$50</c:f>
              <c:numCache>
                <c:formatCode>0%</c:formatCode>
                <c:ptCount val="46"/>
                <c:pt idx="0">
                  <c:v>5.6462464397033993E-2</c:v>
                </c:pt>
                <c:pt idx="1">
                  <c:v>5.5480100420501902E-2</c:v>
                </c:pt>
                <c:pt idx="2">
                  <c:v>6.5327567763121513E-2</c:v>
                </c:pt>
                <c:pt idx="3">
                  <c:v>6.4045972540341944E-2</c:v>
                </c:pt>
                <c:pt idx="4">
                  <c:v>6.3472934697325539E-2</c:v>
                </c:pt>
                <c:pt idx="5">
                  <c:v>6.0695354207160018E-2</c:v>
                </c:pt>
                <c:pt idx="6">
                  <c:v>6.1096793855660386E-2</c:v>
                </c:pt>
                <c:pt idx="7">
                  <c:v>5.9394908569405352E-2</c:v>
                </c:pt>
                <c:pt idx="8">
                  <c:v>6.358975882130978E-2</c:v>
                </c:pt>
                <c:pt idx="9">
                  <c:v>6.3879688039156085E-2</c:v>
                </c:pt>
                <c:pt idx="10">
                  <c:v>5.9809351731781202E-2</c:v>
                </c:pt>
                <c:pt idx="11">
                  <c:v>6.2700908530235563E-2</c:v>
                </c:pt>
                <c:pt idx="12">
                  <c:v>6.4449700492958034E-2</c:v>
                </c:pt>
                <c:pt idx="13">
                  <c:v>6.6428086457277241E-2</c:v>
                </c:pt>
                <c:pt idx="14">
                  <c:v>6.5733941970255338E-2</c:v>
                </c:pt>
                <c:pt idx="15">
                  <c:v>6.3737201597492743E-2</c:v>
                </c:pt>
                <c:pt idx="16">
                  <c:v>6.519417226027957E-2</c:v>
                </c:pt>
                <c:pt idx="17">
                  <c:v>6.451572389749885E-2</c:v>
                </c:pt>
                <c:pt idx="18">
                  <c:v>7.007190025894372E-2</c:v>
                </c:pt>
                <c:pt idx="19">
                  <c:v>7.3780184844271041E-2</c:v>
                </c:pt>
                <c:pt idx="20">
                  <c:v>7.4317347374206977E-2</c:v>
                </c:pt>
                <c:pt idx="21">
                  <c:v>7.6362053517575051E-2</c:v>
                </c:pt>
                <c:pt idx="22">
                  <c:v>7.0898133186707568E-2</c:v>
                </c:pt>
                <c:pt idx="23">
                  <c:v>6.6393512660734066E-2</c:v>
                </c:pt>
                <c:pt idx="24">
                  <c:v>6.7620511593931287E-2</c:v>
                </c:pt>
                <c:pt idx="25">
                  <c:v>6.584901263655904E-2</c:v>
                </c:pt>
                <c:pt idx="26">
                  <c:v>6.3679364045266529E-2</c:v>
                </c:pt>
                <c:pt idx="27">
                  <c:v>6.5275667978437701E-2</c:v>
                </c:pt>
                <c:pt idx="28">
                  <c:v>6.6233894732113774E-2</c:v>
                </c:pt>
                <c:pt idx="29">
                  <c:v>6.6277377277721095E-2</c:v>
                </c:pt>
                <c:pt idx="30">
                  <c:v>7.0610985416159983E-2</c:v>
                </c:pt>
                <c:pt idx="31">
                  <c:v>7.0989061266774039E-2</c:v>
                </c:pt>
                <c:pt idx="32">
                  <c:v>7.1144061791727109E-2</c:v>
                </c:pt>
                <c:pt idx="33">
                  <c:v>8.2007618687384348E-2</c:v>
                </c:pt>
                <c:pt idx="34">
                  <c:v>7.1644625325805955E-2</c:v>
                </c:pt>
                <c:pt idx="35">
                  <c:v>7.5734849700946516E-2</c:v>
                </c:pt>
                <c:pt idx="36">
                  <c:v>7.4559774822571256E-2</c:v>
                </c:pt>
                <c:pt idx="37">
                  <c:v>7.2566187605075938E-2</c:v>
                </c:pt>
                <c:pt idx="38">
                  <c:v>7.5824054142955288E-2</c:v>
                </c:pt>
                <c:pt idx="39">
                  <c:v>7.3403990372512329E-2</c:v>
                </c:pt>
                <c:pt idx="40">
                  <c:v>6.2548696740545473E-2</c:v>
                </c:pt>
                <c:pt idx="41">
                  <c:v>5.727590655963144E-2</c:v>
                </c:pt>
                <c:pt idx="42">
                  <c:v>6.3565691068471708E-2</c:v>
                </c:pt>
                <c:pt idx="43">
                  <c:v>6.222744397556712E-2</c:v>
                </c:pt>
                <c:pt idx="44">
                  <c:v>6.6228004959555997E-2</c:v>
                </c:pt>
                <c:pt idx="45">
                  <c:v>6.2627401009911154E-2</c:v>
                </c:pt>
              </c:numCache>
            </c:numRef>
          </c:val>
          <c:extLst>
            <c:ext xmlns:c16="http://schemas.microsoft.com/office/drawing/2014/chart" uri="{C3380CC4-5D6E-409C-BE32-E72D297353CC}">
              <c16:uniqueId val="{00000004-EA98-41FA-93F9-248380846303}"/>
            </c:ext>
          </c:extLst>
        </c:ser>
        <c:dLbls>
          <c:showLegendKey val="0"/>
          <c:showVal val="0"/>
          <c:showCatName val="0"/>
          <c:showSerName val="0"/>
          <c:showPercent val="0"/>
          <c:showBubbleSize val="0"/>
        </c:dLbls>
        <c:axId val="-2045299224"/>
        <c:axId val="-2045296072"/>
      </c:areaChart>
      <c:catAx>
        <c:axId val="-2045299224"/>
        <c:scaling>
          <c:orientation val="minMax"/>
        </c:scaling>
        <c:delete val="0"/>
        <c:axPos val="b"/>
        <c:numFmt formatCode="General" sourceLinked="1"/>
        <c:majorTickMark val="out"/>
        <c:minorTickMark val="none"/>
        <c:tickLblPos val="nextTo"/>
        <c:txPr>
          <a:bodyPr rot="0" vert="horz"/>
          <a:lstStyle/>
          <a:p>
            <a:pPr>
              <a:defRPr sz="1800"/>
            </a:pPr>
            <a:endParaRPr lang="en-US"/>
          </a:p>
        </c:txPr>
        <c:crossAx val="-2045296072"/>
        <c:crosses val="autoZero"/>
        <c:auto val="1"/>
        <c:lblAlgn val="ctr"/>
        <c:lblOffset val="100"/>
        <c:tickLblSkip val="5"/>
        <c:tickMarkSkip val="5"/>
        <c:noMultiLvlLbl val="0"/>
      </c:catAx>
      <c:valAx>
        <c:axId val="-2045296072"/>
        <c:scaling>
          <c:orientation val="minMax"/>
          <c:max val="0.6"/>
          <c:min val="0"/>
        </c:scaling>
        <c:delete val="0"/>
        <c:axPos val="l"/>
        <c:title>
          <c:tx>
            <c:rich>
              <a:bodyPr/>
              <a:lstStyle/>
              <a:p>
                <a:pPr>
                  <a:defRPr/>
                </a:pPr>
                <a:r>
                  <a:rPr lang="en-US" b="0"/>
                  <a:t>% o foreign profits of US multinationals</a:t>
                </a:r>
              </a:p>
            </c:rich>
          </c:tx>
          <c:layout>
            <c:manualLayout>
              <c:xMode val="edge"/>
              <c:yMode val="edge"/>
              <c:x val="4.1508130572810225E-3"/>
              <c:y val="0.14044796302636084"/>
            </c:manualLayout>
          </c:layout>
          <c:overlay val="0"/>
        </c:title>
        <c:numFmt formatCode="0%" sourceLinked="0"/>
        <c:majorTickMark val="none"/>
        <c:minorTickMark val="none"/>
        <c:tickLblPos val="nextTo"/>
        <c:crossAx val="-2045299224"/>
        <c:crosses val="autoZero"/>
        <c:crossBetween val="midCat"/>
        <c:majorUnit val="5.000000000000001E-2"/>
      </c:valAx>
    </c:plotArea>
    <c:plotVisOnly val="1"/>
    <c:dispBlanksAs val="zero"/>
    <c:showDLblsOverMax val="0"/>
  </c:chart>
  <c:spPr>
    <a:ln>
      <a:noFill/>
    </a:ln>
  </c:spPr>
  <c:txPr>
    <a:bodyPr/>
    <a:lstStyle/>
    <a:p>
      <a:pPr>
        <a:defRPr sz="1800">
          <a:latin typeface="Garamond" panose="02020404030301010803" pitchFamily="18" charset="0"/>
        </a:defRPr>
      </a:pPr>
      <a:endParaRPr lang="en-US"/>
    </a:p>
  </c:txPr>
  <c:userShapes r:id="rId2"/>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2200"/>
              <a:t>Foreign pre-tax profits (%</a:t>
            </a:r>
            <a:r>
              <a:rPr lang="en-GB" sz="2200" baseline="0"/>
              <a:t> of </a:t>
            </a:r>
            <a:r>
              <a:rPr lang="en-GB" sz="2200"/>
              <a:t>global profits)</a:t>
            </a:r>
          </a:p>
        </c:rich>
      </c:tx>
      <c:layout>
        <c:manualLayout>
          <c:xMode val="edge"/>
          <c:yMode val="edge"/>
          <c:x val="0.30166537706523039"/>
          <c:y val="6.2576271665839792E-3"/>
        </c:manualLayout>
      </c:layout>
      <c:overlay val="0"/>
    </c:title>
    <c:autoTitleDeleted val="0"/>
    <c:plotArea>
      <c:layout>
        <c:manualLayout>
          <c:layoutTarget val="inner"/>
          <c:xMode val="edge"/>
          <c:yMode val="edge"/>
          <c:x val="7.30193759909704E-2"/>
          <c:y val="0.102088855081104"/>
          <c:w val="0.91935481242614503"/>
          <c:h val="0.774688462855186"/>
        </c:manualLayout>
      </c:layout>
      <c:lineChart>
        <c:grouping val="standard"/>
        <c:varyColors val="0"/>
        <c:ser>
          <c:idx val="0"/>
          <c:order val="0"/>
          <c:tx>
            <c:strRef>
              <c:f>DataAF3!$C$5</c:f>
              <c:strCache>
                <c:ptCount val="1"/>
                <c:pt idx="0">
                  <c:v>MNE profits/Global profits - Including imputations</c:v>
                </c:pt>
              </c:strCache>
            </c:strRef>
          </c:tx>
          <c:spPr>
            <a:ln>
              <a:solidFill>
                <a:schemeClr val="tx1"/>
              </a:solidFill>
            </a:ln>
          </c:spPr>
          <c:marker>
            <c:symbol val="circle"/>
            <c:size val="10"/>
            <c:spPr>
              <a:solidFill>
                <a:schemeClr val="bg1"/>
              </a:solidFill>
              <a:ln w="19050">
                <a:solidFill>
                  <a:schemeClr val="tx1"/>
                </a:solidFill>
              </a:ln>
            </c:spPr>
          </c:marker>
          <c:cat>
            <c:strRef>
              <c:f>DataAF3!$B$6:$B$15</c:f>
              <c:strCache>
                <c:ptCount val="10"/>
                <c:pt idx="0">
                  <c:v>1930-39</c:v>
                </c:pt>
                <c:pt idx="1">
                  <c:v>1940-49</c:v>
                </c:pt>
                <c:pt idx="2">
                  <c:v>1950-59</c:v>
                </c:pt>
                <c:pt idx="3">
                  <c:v>1960-69</c:v>
                </c:pt>
                <c:pt idx="4">
                  <c:v>1970-79</c:v>
                </c:pt>
                <c:pt idx="5">
                  <c:v>1980-89</c:v>
                </c:pt>
                <c:pt idx="6">
                  <c:v>1990-99</c:v>
                </c:pt>
                <c:pt idx="7">
                  <c:v>2000-09</c:v>
                </c:pt>
                <c:pt idx="8">
                  <c:v>2010-15</c:v>
                </c:pt>
                <c:pt idx="9">
                  <c:v>2016-19</c:v>
                </c:pt>
              </c:strCache>
            </c:strRef>
          </c:cat>
          <c:val>
            <c:numRef>
              <c:f>DataAF3!$C$6:$C$15</c:f>
              <c:numCache>
                <c:formatCode>0%</c:formatCode>
                <c:ptCount val="10"/>
                <c:pt idx="0">
                  <c:v>1.0425330907353418E-2</c:v>
                </c:pt>
                <c:pt idx="1">
                  <c:v>1.1057169144162717E-2</c:v>
                </c:pt>
                <c:pt idx="2">
                  <c:v>1.8323308867469645E-2</c:v>
                </c:pt>
                <c:pt idx="3">
                  <c:v>2.0218823577897539E-2</c:v>
                </c:pt>
                <c:pt idx="4">
                  <c:v>3.5067022142916043E-2</c:v>
                </c:pt>
                <c:pt idx="5">
                  <c:v>6.2135247922709726E-2</c:v>
                </c:pt>
                <c:pt idx="6">
                  <c:v>6.0251517832543809E-2</c:v>
                </c:pt>
                <c:pt idx="7">
                  <c:v>0.12580707992438631</c:v>
                </c:pt>
                <c:pt idx="8">
                  <c:v>0.15098080235395681</c:v>
                </c:pt>
                <c:pt idx="9">
                  <c:v>0.16767996329062376</c:v>
                </c:pt>
              </c:numCache>
            </c:numRef>
          </c:val>
          <c:smooth val="0"/>
          <c:extLst>
            <c:ext xmlns:c16="http://schemas.microsoft.com/office/drawing/2014/chart" uri="{C3380CC4-5D6E-409C-BE32-E72D297353CC}">
              <c16:uniqueId val="{00000000-B9B1-43CD-9752-090A025620F0}"/>
            </c:ext>
          </c:extLst>
        </c:ser>
        <c:dLbls>
          <c:showLegendKey val="0"/>
          <c:showVal val="0"/>
          <c:showCatName val="0"/>
          <c:showSerName val="0"/>
          <c:showPercent val="0"/>
          <c:showBubbleSize val="0"/>
        </c:dLbls>
        <c:marker val="1"/>
        <c:smooth val="0"/>
        <c:axId val="1839106456"/>
        <c:axId val="1839111368"/>
      </c:lineChart>
      <c:catAx>
        <c:axId val="1839106456"/>
        <c:scaling>
          <c:orientation val="minMax"/>
        </c:scaling>
        <c:delete val="0"/>
        <c:axPos val="b"/>
        <c:numFmt formatCode="General" sourceLinked="0"/>
        <c:majorTickMark val="none"/>
        <c:minorTickMark val="none"/>
        <c:tickLblPos val="nextTo"/>
        <c:txPr>
          <a:bodyPr/>
          <a:lstStyle/>
          <a:p>
            <a:pPr>
              <a:defRPr sz="1800"/>
            </a:pPr>
            <a:endParaRPr lang="en-US"/>
          </a:p>
        </c:txPr>
        <c:crossAx val="1839111368"/>
        <c:crosses val="autoZero"/>
        <c:auto val="1"/>
        <c:lblAlgn val="ctr"/>
        <c:lblOffset val="100"/>
        <c:noMultiLvlLbl val="0"/>
      </c:catAx>
      <c:valAx>
        <c:axId val="1839111368"/>
        <c:scaling>
          <c:orientation val="minMax"/>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1839106456"/>
        <c:crosses val="autoZero"/>
        <c:crossBetween val="between"/>
        <c:majorUnit val="0.02"/>
      </c:valAx>
    </c:plotArea>
    <c:plotVisOnly val="1"/>
    <c:dispBlanksAs val="gap"/>
    <c:showDLblsOverMax val="0"/>
  </c:chart>
  <c:spPr>
    <a:noFill/>
    <a:ln>
      <a:noFill/>
    </a:ln>
  </c:spPr>
  <c:txPr>
    <a:bodyPr/>
    <a:lstStyle/>
    <a:p>
      <a:pPr>
        <a:defRPr>
          <a:latin typeface="Garamond" panose="02020404030301010803" pitchFamily="18" charset="0"/>
        </a:defRPr>
      </a:pPr>
      <a:endParaRPr lang="en-US"/>
    </a:p>
  </c:txPr>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200" b="0"/>
            </a:pPr>
            <a:r>
              <a:rPr lang="en-US" sz="2200" b="1"/>
              <a:t>Pre-tax</a:t>
            </a:r>
            <a:r>
              <a:rPr lang="en-US" sz="2200" b="1" baseline="0"/>
              <a:t> </a:t>
            </a:r>
            <a:r>
              <a:rPr lang="en-US" sz="2200" b="1"/>
              <a:t>corporate</a:t>
            </a:r>
            <a:r>
              <a:rPr lang="en-US" sz="2200" b="1" baseline="0"/>
              <a:t> profits                                                             </a:t>
            </a:r>
            <a:r>
              <a:rPr lang="en-US" sz="2200" b="0" baseline="0"/>
              <a:t>(% of compensation of employees)</a:t>
            </a:r>
            <a:endParaRPr lang="en-US" sz="2200" b="0"/>
          </a:p>
        </c:rich>
      </c:tx>
      <c:layout>
        <c:manualLayout>
          <c:xMode val="edge"/>
          <c:yMode val="edge"/>
          <c:x val="0.33005346155500997"/>
          <c:y val="4.15774388034132E-3"/>
        </c:manualLayout>
      </c:layout>
      <c:overlay val="1"/>
    </c:title>
    <c:autoTitleDeleted val="0"/>
    <c:plotArea>
      <c:layout>
        <c:manualLayout>
          <c:layoutTarget val="inner"/>
          <c:xMode val="edge"/>
          <c:yMode val="edge"/>
          <c:x val="0.102983885032014"/>
          <c:y val="9.0193435851866496E-2"/>
          <c:w val="0.89564993372055801"/>
          <c:h val="0.70145389253121604"/>
        </c:manualLayout>
      </c:layout>
      <c:barChart>
        <c:barDir val="col"/>
        <c:grouping val="clustered"/>
        <c:varyColors val="0"/>
        <c:ser>
          <c:idx val="0"/>
          <c:order val="0"/>
          <c:tx>
            <c:v>Foreign firms (2015)</c:v>
          </c:tx>
          <c:spPr>
            <a:solidFill>
              <a:srgbClr val="EAA192"/>
            </a:solidFill>
            <a:ln>
              <a:noFill/>
            </a:ln>
          </c:spPr>
          <c:invertIfNegative val="0"/>
          <c:cat>
            <c:strRef>
              <c:f>DataF1!$A$2:$A$17</c:f>
              <c:strCache>
                <c:ptCount val="16"/>
                <c:pt idx="0">
                  <c:v>Puerto Rico</c:v>
                </c:pt>
                <c:pt idx="1">
                  <c:v>Ireland</c:v>
                </c:pt>
                <c:pt idx="2">
                  <c:v>Luxembourg</c:v>
                </c:pt>
                <c:pt idx="3">
                  <c:v>Switzerland</c:v>
                </c:pt>
                <c:pt idx="4">
                  <c:v>Singapore</c:v>
                </c:pt>
                <c:pt idx="5">
                  <c:v>Hong Kong</c:v>
                </c:pt>
                <c:pt idx="6">
                  <c:v>Netherlands</c:v>
                </c:pt>
                <c:pt idx="7">
                  <c:v>Belgium</c:v>
                </c:pt>
                <c:pt idx="8">
                  <c:v>US</c:v>
                </c:pt>
                <c:pt idx="9">
                  <c:v>Australia</c:v>
                </c:pt>
                <c:pt idx="10">
                  <c:v>UK</c:v>
                </c:pt>
                <c:pt idx="11">
                  <c:v>Spain</c:v>
                </c:pt>
                <c:pt idx="12">
                  <c:v>Japan</c:v>
                </c:pt>
                <c:pt idx="13">
                  <c:v>France</c:v>
                </c:pt>
                <c:pt idx="14">
                  <c:v>Germany</c:v>
                </c:pt>
                <c:pt idx="15">
                  <c:v>Italy</c:v>
                </c:pt>
              </c:strCache>
            </c:strRef>
          </c:cat>
          <c:val>
            <c:numRef>
              <c:f>DataF1!$F$2:$F$17</c:f>
              <c:numCache>
                <c:formatCode>0%</c:formatCode>
                <c:ptCount val="16"/>
                <c:pt idx="0">
                  <c:v>16.745534629218685</c:v>
                </c:pt>
                <c:pt idx="1">
                  <c:v>7.9996490577609283</c:v>
                </c:pt>
                <c:pt idx="2">
                  <c:v>4.6076539817790847</c:v>
                </c:pt>
                <c:pt idx="3">
                  <c:v>3.1934639833073937</c:v>
                </c:pt>
                <c:pt idx="4">
                  <c:v>2.1814755318098822</c:v>
                </c:pt>
                <c:pt idx="5">
                  <c:v>2.1348906384735855</c:v>
                </c:pt>
                <c:pt idx="6">
                  <c:v>1.1495705968665206</c:v>
                </c:pt>
                <c:pt idx="7">
                  <c:v>0.67980103327038299</c:v>
                </c:pt>
                <c:pt idx="8">
                  <c:v>0.28343272646330486</c:v>
                </c:pt>
                <c:pt idx="9">
                  <c:v>0.27383940346897767</c:v>
                </c:pt>
                <c:pt idx="10">
                  <c:v>0.25723407405999843</c:v>
                </c:pt>
                <c:pt idx="11">
                  <c:v>0.24643753940062663</c:v>
                </c:pt>
                <c:pt idx="12">
                  <c:v>0.23732566147384185</c:v>
                </c:pt>
                <c:pt idx="13">
                  <c:v>0.2071972615008727</c:v>
                </c:pt>
                <c:pt idx="14">
                  <c:v>0.18304850872360104</c:v>
                </c:pt>
                <c:pt idx="15">
                  <c:v>0.16233602672515596</c:v>
                </c:pt>
              </c:numCache>
            </c:numRef>
          </c:val>
          <c:extLst>
            <c:ext xmlns:c16="http://schemas.microsoft.com/office/drawing/2014/chart" uri="{C3380CC4-5D6E-409C-BE32-E72D297353CC}">
              <c16:uniqueId val="{00000010-96FE-4533-988B-76C3EC7C51D6}"/>
            </c:ext>
          </c:extLst>
        </c:ser>
        <c:ser>
          <c:idx val="1"/>
          <c:order val="1"/>
          <c:tx>
            <c:v>Foreign firms (2019)</c:v>
          </c:tx>
          <c:spPr>
            <a:solidFill>
              <a:srgbClr val="00B0F0"/>
            </a:solidFill>
          </c:spPr>
          <c:invertIfNegative val="0"/>
          <c:cat>
            <c:strRef>
              <c:f>DataF1!$A$2:$A$17</c:f>
              <c:strCache>
                <c:ptCount val="16"/>
                <c:pt idx="0">
                  <c:v>Puerto Rico</c:v>
                </c:pt>
                <c:pt idx="1">
                  <c:v>Ireland</c:v>
                </c:pt>
                <c:pt idx="2">
                  <c:v>Luxembourg</c:v>
                </c:pt>
                <c:pt idx="3">
                  <c:v>Switzerland</c:v>
                </c:pt>
                <c:pt idx="4">
                  <c:v>Singapore</c:v>
                </c:pt>
                <c:pt idx="5">
                  <c:v>Hong Kong</c:v>
                </c:pt>
                <c:pt idx="6">
                  <c:v>Netherlands</c:v>
                </c:pt>
                <c:pt idx="7">
                  <c:v>Belgium</c:v>
                </c:pt>
                <c:pt idx="8">
                  <c:v>US</c:v>
                </c:pt>
                <c:pt idx="9">
                  <c:v>Australia</c:v>
                </c:pt>
                <c:pt idx="10">
                  <c:v>UK</c:v>
                </c:pt>
                <c:pt idx="11">
                  <c:v>Spain</c:v>
                </c:pt>
                <c:pt idx="12">
                  <c:v>Japan</c:v>
                </c:pt>
                <c:pt idx="13">
                  <c:v>France</c:v>
                </c:pt>
                <c:pt idx="14">
                  <c:v>Germany</c:v>
                </c:pt>
                <c:pt idx="15">
                  <c:v>Italy</c:v>
                </c:pt>
              </c:strCache>
            </c:strRef>
          </c:cat>
          <c:val>
            <c:numRef>
              <c:f>DataF1!$H$2:$H$17</c:f>
              <c:numCache>
                <c:formatCode>0%</c:formatCode>
                <c:ptCount val="16"/>
                <c:pt idx="0">
                  <c:v>16.654233745069778</c:v>
                </c:pt>
                <c:pt idx="1">
                  <c:v>7.0052298608182202</c:v>
                </c:pt>
                <c:pt idx="2">
                  <c:v>-1.3227091633466135</c:v>
                </c:pt>
                <c:pt idx="3">
                  <c:v>3.0421533393231508</c:v>
                </c:pt>
                <c:pt idx="4">
                  <c:v>2.7743159203980099</c:v>
                </c:pt>
                <c:pt idx="5">
                  <c:v>0.69535519125683065</c:v>
                </c:pt>
                <c:pt idx="6">
                  <c:v>1.686507540197743</c:v>
                </c:pt>
                <c:pt idx="7">
                  <c:v>0.63722850475677617</c:v>
                </c:pt>
                <c:pt idx="8">
                  <c:v>0</c:v>
                </c:pt>
                <c:pt idx="9">
                  <c:v>0.18742839685328039</c:v>
                </c:pt>
                <c:pt idx="10">
                  <c:v>0.21898322383109015</c:v>
                </c:pt>
                <c:pt idx="11">
                  <c:v>0.43420249411354322</c:v>
                </c:pt>
                <c:pt idx="12">
                  <c:v>0.92648187960687955</c:v>
                </c:pt>
                <c:pt idx="13">
                  <c:v>0.26932070787262913</c:v>
                </c:pt>
                <c:pt idx="14">
                  <c:v>0.16135658988454149</c:v>
                </c:pt>
                <c:pt idx="15">
                  <c:v>0.4363469761759316</c:v>
                </c:pt>
              </c:numCache>
            </c:numRef>
          </c:val>
          <c:extLst>
            <c:ext xmlns:c16="http://schemas.microsoft.com/office/drawing/2014/chart" uri="{C3380CC4-5D6E-409C-BE32-E72D297353CC}">
              <c16:uniqueId val="{00000013-96FE-4533-988B-76C3EC7C51D6}"/>
            </c:ext>
          </c:extLst>
        </c:ser>
        <c:ser>
          <c:idx val="2"/>
          <c:order val="2"/>
          <c:tx>
            <c:v>Local firms (2019)</c:v>
          </c:tx>
          <c:spPr>
            <a:solidFill>
              <a:schemeClr val="tx1"/>
            </a:solidFill>
          </c:spPr>
          <c:invertIfNegative val="0"/>
          <c:cat>
            <c:strRef>
              <c:f>DataF1!$A$2:$A$17</c:f>
              <c:strCache>
                <c:ptCount val="16"/>
                <c:pt idx="0">
                  <c:v>Puerto Rico</c:v>
                </c:pt>
                <c:pt idx="1">
                  <c:v>Ireland</c:v>
                </c:pt>
                <c:pt idx="2">
                  <c:v>Luxembourg</c:v>
                </c:pt>
                <c:pt idx="3">
                  <c:v>Switzerland</c:v>
                </c:pt>
                <c:pt idx="4">
                  <c:v>Singapore</c:v>
                </c:pt>
                <c:pt idx="5">
                  <c:v>Hong Kong</c:v>
                </c:pt>
                <c:pt idx="6">
                  <c:v>Netherlands</c:v>
                </c:pt>
                <c:pt idx="7">
                  <c:v>Belgium</c:v>
                </c:pt>
                <c:pt idx="8">
                  <c:v>US</c:v>
                </c:pt>
                <c:pt idx="9">
                  <c:v>Australia</c:v>
                </c:pt>
                <c:pt idx="10">
                  <c:v>UK</c:v>
                </c:pt>
                <c:pt idx="11">
                  <c:v>Spain</c:v>
                </c:pt>
                <c:pt idx="12">
                  <c:v>Japan</c:v>
                </c:pt>
                <c:pt idx="13">
                  <c:v>France</c:v>
                </c:pt>
                <c:pt idx="14">
                  <c:v>Germany</c:v>
                </c:pt>
                <c:pt idx="15">
                  <c:v>Italy</c:v>
                </c:pt>
              </c:strCache>
            </c:strRef>
          </c:cat>
          <c:val>
            <c:numRef>
              <c:f>DataF1!$D$2:$D$17</c:f>
              <c:numCache>
                <c:formatCode>0%</c:formatCode>
                <c:ptCount val="16"/>
                <c:pt idx="0">
                  <c:v>16.654233745069778</c:v>
                </c:pt>
                <c:pt idx="1">
                  <c:v>5.3423277812786267</c:v>
                </c:pt>
                <c:pt idx="2">
                  <c:v>5.2388827520849048</c:v>
                </c:pt>
                <c:pt idx="3">
                  <c:v>3.0421533393231508</c:v>
                </c:pt>
                <c:pt idx="4">
                  <c:v>2.9046779941544374</c:v>
                </c:pt>
                <c:pt idx="5">
                  <c:v>3.1142590479285701</c:v>
                </c:pt>
                <c:pt idx="6">
                  <c:v>1.2939186557501796</c:v>
                </c:pt>
                <c:pt idx="7">
                  <c:v>1.0536073195309719</c:v>
                </c:pt>
                <c:pt idx="8">
                  <c:v>0.30475887656378614</c:v>
                </c:pt>
                <c:pt idx="9">
                  <c:v>0.18742839685328039</c:v>
                </c:pt>
                <c:pt idx="10">
                  <c:v>0.22022157122839656</c:v>
                </c:pt>
                <c:pt idx="11">
                  <c:v>0.3440982431314768</c:v>
                </c:pt>
                <c:pt idx="12">
                  <c:v>0.92648187960687955</c:v>
                </c:pt>
                <c:pt idx="13">
                  <c:v>0.24119237296273524</c:v>
                </c:pt>
                <c:pt idx="14">
                  <c:v>0.16135658988454149</c:v>
                </c:pt>
                <c:pt idx="15">
                  <c:v>0.19299421399367148</c:v>
                </c:pt>
              </c:numCache>
            </c:numRef>
          </c:val>
          <c:extLst>
            <c:ext xmlns:c16="http://schemas.microsoft.com/office/drawing/2014/chart" uri="{C3380CC4-5D6E-409C-BE32-E72D297353CC}">
              <c16:uniqueId val="{00000011-96FE-4533-988B-76C3EC7C51D6}"/>
            </c:ext>
          </c:extLst>
        </c:ser>
        <c:ser>
          <c:idx val="3"/>
          <c:order val="3"/>
          <c:tx>
            <c:v>Local firms (2015)</c:v>
          </c:tx>
          <c:spPr>
            <a:solidFill>
              <a:schemeClr val="accent3">
                <a:lumMod val="75000"/>
              </a:schemeClr>
            </a:solidFill>
            <a:ln>
              <a:noFill/>
            </a:ln>
          </c:spPr>
          <c:invertIfNegative val="0"/>
          <c:val>
            <c:numRef>
              <c:f>DataF1!$C$2:$C$17</c:f>
              <c:numCache>
                <c:formatCode>0%</c:formatCode>
                <c:ptCount val="16"/>
                <c:pt idx="0">
                  <c:v>0.47996308817683037</c:v>
                </c:pt>
                <c:pt idx="1">
                  <c:v>0.68416351867003244</c:v>
                </c:pt>
                <c:pt idx="2">
                  <c:v>0.40461450275815142</c:v>
                </c:pt>
                <c:pt idx="3">
                  <c:v>0.11438915202699569</c:v>
                </c:pt>
                <c:pt idx="4">
                  <c:v>0.47996308817683037</c:v>
                </c:pt>
                <c:pt idx="5">
                  <c:v>0.47996308817683037</c:v>
                </c:pt>
                <c:pt idx="6">
                  <c:v>0.41153378760859277</c:v>
                </c:pt>
                <c:pt idx="7">
                  <c:v>0.4031489417707429</c:v>
                </c:pt>
                <c:pt idx="8">
                  <c:v>0.3159171001923794</c:v>
                </c:pt>
                <c:pt idx="9">
                  <c:v>0.38244922547378107</c:v>
                </c:pt>
                <c:pt idx="10">
                  <c:v>0.48210280844721259</c:v>
                </c:pt>
                <c:pt idx="11">
                  <c:v>0.44755015816737814</c:v>
                </c:pt>
                <c:pt idx="12">
                  <c:v>0.43664443770241151</c:v>
                </c:pt>
                <c:pt idx="13">
                  <c:v>0.2171009289647885</c:v>
                </c:pt>
                <c:pt idx="14">
                  <c:v>0.51589201053413136</c:v>
                </c:pt>
                <c:pt idx="15">
                  <c:v>0.48415758018996907</c:v>
                </c:pt>
              </c:numCache>
            </c:numRef>
          </c:val>
          <c:extLst>
            <c:ext xmlns:c16="http://schemas.microsoft.com/office/drawing/2014/chart" uri="{C3380CC4-5D6E-409C-BE32-E72D297353CC}">
              <c16:uniqueId val="{00000000-0CDE-4DC3-BF5D-27671982D1E4}"/>
            </c:ext>
          </c:extLst>
        </c:ser>
        <c:dLbls>
          <c:showLegendKey val="0"/>
          <c:showVal val="0"/>
          <c:showCatName val="0"/>
          <c:showSerName val="0"/>
          <c:showPercent val="0"/>
          <c:showBubbleSize val="0"/>
        </c:dLbls>
        <c:gapWidth val="150"/>
        <c:axId val="-2139123768"/>
        <c:axId val="-2139120696"/>
      </c:barChart>
      <c:catAx>
        <c:axId val="-2139123768"/>
        <c:scaling>
          <c:orientation val="minMax"/>
        </c:scaling>
        <c:delete val="0"/>
        <c:axPos val="b"/>
        <c:numFmt formatCode="General" sourceLinked="1"/>
        <c:majorTickMark val="none"/>
        <c:minorTickMark val="none"/>
        <c:tickLblPos val="nextTo"/>
        <c:txPr>
          <a:bodyPr rot="-2700000" vert="horz"/>
          <a:lstStyle/>
          <a:p>
            <a:pPr>
              <a:defRPr sz="1800"/>
            </a:pPr>
            <a:endParaRPr lang="en-US"/>
          </a:p>
        </c:txPr>
        <c:crossAx val="-2139120696"/>
        <c:crosses val="autoZero"/>
        <c:auto val="1"/>
        <c:lblAlgn val="ctr"/>
        <c:lblOffset val="100"/>
        <c:noMultiLvlLbl val="0"/>
      </c:catAx>
      <c:valAx>
        <c:axId val="-2139120696"/>
        <c:scaling>
          <c:orientation val="minMax"/>
          <c:max val="17"/>
          <c:min val="0"/>
        </c:scaling>
        <c:delete val="0"/>
        <c:axPos val="l"/>
        <c:majorGridlines>
          <c:spPr>
            <a:ln>
              <a:noFill/>
            </a:ln>
          </c:spPr>
        </c:majorGridlines>
        <c:numFmt formatCode="0%" sourceLinked="0"/>
        <c:majorTickMark val="none"/>
        <c:minorTickMark val="none"/>
        <c:tickLblPos val="nextTo"/>
        <c:txPr>
          <a:bodyPr/>
          <a:lstStyle/>
          <a:p>
            <a:pPr>
              <a:defRPr sz="1800"/>
            </a:pPr>
            <a:endParaRPr lang="en-US"/>
          </a:p>
        </c:txPr>
        <c:crossAx val="-2139123768"/>
        <c:crosses val="autoZero"/>
        <c:crossBetween val="between"/>
        <c:majorUnit val="2"/>
        <c:minorUnit val="0.2"/>
      </c:valAx>
    </c:plotArea>
    <c:legend>
      <c:legendPos val="r"/>
      <c:layout>
        <c:manualLayout>
          <c:xMode val="edge"/>
          <c:yMode val="edge"/>
          <c:x val="0.67896174863388004"/>
          <c:y val="0.446236780548875"/>
          <c:w val="0.22972905035480667"/>
          <c:h val="0.21836212072054886"/>
        </c:manualLayout>
      </c:layout>
      <c:overlay val="0"/>
      <c:txPr>
        <a:bodyPr/>
        <a:lstStyle/>
        <a:p>
          <a:pPr>
            <a:defRPr sz="1800"/>
          </a:pPr>
          <a:endParaRPr lang="en-US"/>
        </a:p>
      </c:txPr>
    </c:legend>
    <c:plotVisOnly val="1"/>
    <c:dispBlanksAs val="gap"/>
    <c:showDLblsOverMax val="0"/>
  </c:chart>
  <c:spPr>
    <a:ln>
      <a:noFill/>
    </a:ln>
  </c:spPr>
  <c:txPr>
    <a:bodyPr/>
    <a:lstStyle/>
    <a:p>
      <a:pPr>
        <a:defRPr>
          <a:latin typeface="Garamond" panose="02020404030301010803" pitchFamily="18" charset="0"/>
        </a:defRPr>
      </a:pPr>
      <a:endParaRPr lang="en-US"/>
    </a:p>
  </c:txPr>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chartsheets/_rels/sheet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chartsheets/_rels/sheet1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23.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25.xml"/></Relationships>
</file>

<file path=xl/chart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8.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workbookViewId="0"/>
  </sheetViews>
  <pageMargins left="0.7" right="0.7" top="0.75" bottom="0.75" header="0.3" footer="0.3"/>
  <pageSetup paperSize="9"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 right="0.7" top="0.75" bottom="0.75" header="0.3" footer="0.3"/>
  <pageSetup paperSize="9"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 right="0.7" top="0.75" bottom="0.75" header="0.3" footer="0.3"/>
  <pageSetup paperSize="9"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sheetViews>
    <sheetView workbookViewId="0"/>
  </sheetViews>
  <pageMargins left="0.7" right="0.7" top="0.75" bottom="0.75" header="0.3" footer="0.3"/>
  <pageSetup paperSize="9"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87E7CC3-4A62-174D-871C-5E8C52CF6414}">
  <sheetPr/>
  <sheetViews>
    <sheetView workbookViewId="0"/>
  </sheetViews>
  <pageMargins left="0.7" right="0.7" top="0.75" bottom="0.75" header="0.3" footer="0.3"/>
  <pageSetup paperSize="9" orientation="landscape" r:id="rId1"/>
  <drawing r:id="rId2"/>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sheetViews>
    <sheetView workbookViewId="0"/>
  </sheetViews>
  <pageMargins left="0.7" right="0.7" top="0.75" bottom="0.75" header="0.3" footer="0.3"/>
  <pageSetup paperSize="9" orientation="landscape" r:id="rId1"/>
  <drawing r:id="rId2"/>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E00-000000000000}">
  <sheetPr/>
  <sheetViews>
    <sheetView workbookViewId="0"/>
  </sheetViews>
  <pageMargins left="0.7" right="0.7" top="0.75" bottom="0.75" header="0.3" footer="0.3"/>
  <pageSetup paperSize="9" orientation="landscape" r:id="rId1"/>
  <drawing r:id="rId2"/>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14B82C-1DBA-E641-8BC6-4084805768A6}">
  <sheetPr/>
  <sheetViews>
    <sheetView workbookViewId="0"/>
  </sheetViews>
  <pageMargins left="0.7" right="0.7" top="0.75" bottom="0.75" header="0.3" footer="0.3"/>
  <pageSetup paperSize="9" orientation="landscape" r:id="rId1"/>
  <drawing r:id="rId2"/>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F00-000000000000}">
  <sheetPr/>
  <sheetViews>
    <sheetView workbookViewId="0"/>
  </sheetViews>
  <pageMargins left="0.7" right="0.7" top="0.75" bottom="0.75" header="0.3" footer="0.3"/>
  <pageSetup paperSize="9" orientation="landscape" r:id="rId1"/>
  <drawing r:id="rId2"/>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1DC5EE9-1A67-1745-B614-ECA1CD58A6BC}">
  <sheetPr/>
  <sheetViews>
    <sheetView workbookViewId="0"/>
  </sheetViews>
  <pageMargins left="0.7" right="0.7" top="0.75" bottom="0.75" header="0.3" footer="0.3"/>
  <pageSetup paperSize="9" orientation="landscape" r:id="rId1"/>
  <drawing r:id="rId2"/>
</chartsheet>
</file>

<file path=xl/chartsheets/sheet1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000-000000000000}">
  <sheetPr/>
  <sheetViews>
    <sheetView zoomScale="85" workbookViewId="0"/>
  </sheetViews>
  <pageMargins left="0.75" right="0" top="1" bottom="1" header="0.5" footer="0.5"/>
  <pageSetup orientation="landscape" horizontalDpi="4294967292" verticalDpi="4294967292"/>
  <drawing r:id="rId1"/>
</chartsheet>
</file>

<file path=xl/chartsheets/sheet1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600-000000000000}">
  <sheetPr>
    <tabColor rgb="FFFFFF00"/>
  </sheetPr>
  <sheetViews>
    <sheetView zoomScale="85" workbookViewId="0"/>
  </sheetViews>
  <pageMargins left="0.7" right="0.7" top="0.75" bottom="0.75" header="0.3" footer="0.3"/>
  <pageSetup paperSize="9" orientation="landscape"/>
  <drawing r:id="rId1"/>
</chartsheet>
</file>

<file path=xl/chartsheets/sheet1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zoomScale="70" workbookViewId="0"/>
  </sheetViews>
  <pageMargins left="0.7" right="0.7" top="0.75" bottom="0.75" header="0.3" footer="0.3"/>
  <pageSetup paperSize="9"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0.10576</cdr:x>
      <cdr:y>0.12226</cdr:y>
    </cdr:from>
    <cdr:to>
      <cdr:x>0.13749</cdr:x>
      <cdr:y>0.1363</cdr:y>
    </cdr:to>
    <cdr:sp macro="" textlink="">
      <cdr:nvSpPr>
        <cdr:cNvPr id="4" name="Rectangle 3"/>
        <cdr:cNvSpPr/>
      </cdr:nvSpPr>
      <cdr:spPr>
        <a:xfrm xmlns:a="http://schemas.openxmlformats.org/drawingml/2006/main">
          <a:off x="984883" y="743927"/>
          <a:ext cx="295472" cy="85430"/>
        </a:xfrm>
        <a:prstGeom xmlns:a="http://schemas.openxmlformats.org/drawingml/2006/main" prst="rect">
          <a:avLst/>
        </a:prstGeom>
        <a:solidFill xmlns:a="http://schemas.openxmlformats.org/drawingml/2006/main">
          <a:schemeClr val="bg1"/>
        </a:solidFill>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0.09463</cdr:x>
      <cdr:y>0.12277</cdr:y>
    </cdr:from>
    <cdr:to>
      <cdr:x>0.10716</cdr:x>
      <cdr:y>0.13635</cdr:y>
    </cdr:to>
    <cdr:cxnSp macro="">
      <cdr:nvCxnSpPr>
        <cdr:cNvPr id="7" name="Straight Connector 6">
          <a:extLst xmlns:a="http://schemas.openxmlformats.org/drawingml/2006/main">
            <a:ext uri="{FF2B5EF4-FFF2-40B4-BE49-F238E27FC236}">
              <a16:creationId xmlns:a16="http://schemas.microsoft.com/office/drawing/2014/main" id="{28FDAF86-33B8-3F43-B7E7-A2917E2F919E}"/>
            </a:ext>
          </a:extLst>
        </cdr:cNvPr>
        <cdr:cNvCxnSpPr/>
      </cdr:nvCxnSpPr>
      <cdr:spPr>
        <a:xfrm xmlns:a="http://schemas.openxmlformats.org/drawingml/2006/main">
          <a:off x="881221" y="747015"/>
          <a:ext cx="116680" cy="82631"/>
        </a:xfrm>
        <a:prstGeom xmlns:a="http://schemas.openxmlformats.org/drawingml/2006/main" prst="line">
          <a:avLst/>
        </a:prstGeom>
        <a:ln xmlns:a="http://schemas.openxmlformats.org/drawingml/2006/main" w="9525">
          <a:solidFill>
            <a:schemeClr val="tx1"/>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0.0957</cdr:x>
      <cdr:y>0.10938</cdr:y>
    </cdr:from>
    <cdr:to>
      <cdr:x>0.10822</cdr:x>
      <cdr:y>0.12296</cdr:y>
    </cdr:to>
    <cdr:cxnSp macro="">
      <cdr:nvCxnSpPr>
        <cdr:cNvPr id="11" name="Straight Connector 10">
          <a:extLst xmlns:a="http://schemas.openxmlformats.org/drawingml/2006/main">
            <a:ext uri="{FF2B5EF4-FFF2-40B4-BE49-F238E27FC236}">
              <a16:creationId xmlns:a16="http://schemas.microsoft.com/office/drawing/2014/main" id="{EE6B6923-B984-4A43-9585-CD8198898AFD}"/>
            </a:ext>
          </a:extLst>
        </cdr:cNvPr>
        <cdr:cNvCxnSpPr/>
      </cdr:nvCxnSpPr>
      <cdr:spPr>
        <a:xfrm xmlns:a="http://schemas.openxmlformats.org/drawingml/2006/main">
          <a:off x="891178" y="665557"/>
          <a:ext cx="116587" cy="82632"/>
        </a:xfrm>
        <a:prstGeom xmlns:a="http://schemas.openxmlformats.org/drawingml/2006/main" prst="line">
          <a:avLst/>
        </a:prstGeom>
        <a:ln xmlns:a="http://schemas.openxmlformats.org/drawingml/2006/main" w="9525">
          <a:solidFill>
            <a:schemeClr val="tx1"/>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0.10576</cdr:x>
      <cdr:y>0.12226</cdr:y>
    </cdr:from>
    <cdr:to>
      <cdr:x>0.13749</cdr:x>
      <cdr:y>0.1363</cdr:y>
    </cdr:to>
    <cdr:sp macro="" textlink="">
      <cdr:nvSpPr>
        <cdr:cNvPr id="4" name="Rectangle 3"/>
        <cdr:cNvSpPr/>
      </cdr:nvSpPr>
      <cdr:spPr>
        <a:xfrm xmlns:a="http://schemas.openxmlformats.org/drawingml/2006/main">
          <a:off x="984883" y="743927"/>
          <a:ext cx="295472" cy="85430"/>
        </a:xfrm>
        <a:prstGeom xmlns:a="http://schemas.openxmlformats.org/drawingml/2006/main" prst="rect">
          <a:avLst/>
        </a:prstGeom>
        <a:solidFill xmlns:a="http://schemas.openxmlformats.org/drawingml/2006/main">
          <a:schemeClr val="bg1"/>
        </a:solidFill>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0.09463</cdr:x>
      <cdr:y>0.12277</cdr:y>
    </cdr:from>
    <cdr:to>
      <cdr:x>0.10716</cdr:x>
      <cdr:y>0.13635</cdr:y>
    </cdr:to>
    <cdr:cxnSp macro="">
      <cdr:nvCxnSpPr>
        <cdr:cNvPr id="7" name="Straight Connector 6">
          <a:extLst xmlns:a="http://schemas.openxmlformats.org/drawingml/2006/main">
            <a:ext uri="{FF2B5EF4-FFF2-40B4-BE49-F238E27FC236}">
              <a16:creationId xmlns:a16="http://schemas.microsoft.com/office/drawing/2014/main" id="{0EE372A0-F1F3-E34E-A344-CBB3B2C480F0}"/>
            </a:ext>
          </a:extLst>
        </cdr:cNvPr>
        <cdr:cNvCxnSpPr/>
      </cdr:nvCxnSpPr>
      <cdr:spPr>
        <a:xfrm xmlns:a="http://schemas.openxmlformats.org/drawingml/2006/main">
          <a:off x="881221" y="747015"/>
          <a:ext cx="116680" cy="82631"/>
        </a:xfrm>
        <a:prstGeom xmlns:a="http://schemas.openxmlformats.org/drawingml/2006/main" prst="line">
          <a:avLst/>
        </a:prstGeom>
        <a:ln xmlns:a="http://schemas.openxmlformats.org/drawingml/2006/main" w="9525">
          <a:solidFill>
            <a:schemeClr val="tx1"/>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0.0957</cdr:x>
      <cdr:y>0.10938</cdr:y>
    </cdr:from>
    <cdr:to>
      <cdr:x>0.10822</cdr:x>
      <cdr:y>0.12296</cdr:y>
    </cdr:to>
    <cdr:cxnSp macro="">
      <cdr:nvCxnSpPr>
        <cdr:cNvPr id="11" name="Straight Connector 10">
          <a:extLst xmlns:a="http://schemas.openxmlformats.org/drawingml/2006/main">
            <a:ext uri="{FF2B5EF4-FFF2-40B4-BE49-F238E27FC236}">
              <a16:creationId xmlns:a16="http://schemas.microsoft.com/office/drawing/2014/main" id="{6732FDC8-75ED-F545-8CD3-7D7C6DDFC83C}"/>
            </a:ext>
          </a:extLst>
        </cdr:cNvPr>
        <cdr:cNvCxnSpPr/>
      </cdr:nvCxnSpPr>
      <cdr:spPr>
        <a:xfrm xmlns:a="http://schemas.openxmlformats.org/drawingml/2006/main">
          <a:off x="891178" y="665557"/>
          <a:ext cx="116587" cy="82632"/>
        </a:xfrm>
        <a:prstGeom xmlns:a="http://schemas.openxmlformats.org/drawingml/2006/main" prst="line">
          <a:avLst/>
        </a:prstGeom>
        <a:ln xmlns:a="http://schemas.openxmlformats.org/drawingml/2006/main" w="9525">
          <a:solidFill>
            <a:schemeClr val="tx1"/>
          </a:solidFill>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cdr:x>
      <cdr:y>0.03994</cdr:y>
    </cdr:from>
    <cdr:to>
      <cdr:x>0.09811</cdr:x>
      <cdr:y>0.08558</cdr:y>
    </cdr:to>
    <cdr:sp macro="" textlink="">
      <cdr:nvSpPr>
        <cdr:cNvPr id="2" name="TextBox 1"/>
        <cdr:cNvSpPr txBox="1"/>
      </cdr:nvSpPr>
      <cdr:spPr>
        <a:xfrm xmlns:a="http://schemas.openxmlformats.org/drawingml/2006/main">
          <a:off x="0" y="251083"/>
          <a:ext cx="851016" cy="2869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a-DK" sz="1800">
              <a:latin typeface="Garamond" panose="02020404030301010803" pitchFamily="18" charset="0"/>
            </a:rPr>
            <a:t>1686%</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0.50728</cdr:x>
      <cdr:y>0.23888</cdr:y>
    </cdr:from>
    <cdr:to>
      <cdr:x>0.82332</cdr:x>
      <cdr:y>0.30823</cdr:y>
    </cdr:to>
    <cdr:sp macro="" textlink="">
      <cdr:nvSpPr>
        <cdr:cNvPr id="3" name="TextBox 2"/>
        <cdr:cNvSpPr txBox="1"/>
      </cdr:nvSpPr>
      <cdr:spPr>
        <a:xfrm xmlns:a="http://schemas.openxmlformats.org/drawingml/2006/main">
          <a:off x="4715891" y="1450124"/>
          <a:ext cx="2937976" cy="42099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da-DK" sz="2000">
            <a:solidFill>
              <a:srgbClr val="FF0000"/>
            </a:solidFill>
            <a:latin typeface="Garamond" panose="02020404030301010803" pitchFamily="18" charset="0"/>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E1938F8F-11E2-6A4E-A5AF-8FF157B8C2E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0.21604</cdr:x>
      <cdr:y>0.19466</cdr:y>
    </cdr:from>
    <cdr:to>
      <cdr:x>0.46794</cdr:x>
      <cdr:y>0.32274</cdr:y>
    </cdr:to>
    <cdr:sp macro="" textlink="">
      <cdr:nvSpPr>
        <cdr:cNvPr id="2" name="TextBox 1">
          <a:extLst xmlns:a="http://schemas.openxmlformats.org/drawingml/2006/main">
            <a:ext uri="{FF2B5EF4-FFF2-40B4-BE49-F238E27FC236}">
              <a16:creationId xmlns:a16="http://schemas.microsoft.com/office/drawing/2014/main" id="{4536E319-A116-F5DF-832F-896FD0E78EB0}"/>
            </a:ext>
          </a:extLst>
        </cdr:cNvPr>
        <cdr:cNvSpPr txBox="1"/>
      </cdr:nvSpPr>
      <cdr:spPr>
        <a:xfrm xmlns:a="http://schemas.openxmlformats.org/drawingml/2006/main">
          <a:off x="2011138" y="1181703"/>
          <a:ext cx="2344962" cy="777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600">
              <a:solidFill>
                <a:schemeClr val="accent1">
                  <a:lumMod val="75000"/>
                </a:schemeClr>
              </a:solidFill>
              <a:latin typeface="Garamond" panose="02020404030301010803" pitchFamily="18" charset="0"/>
            </a:rPr>
            <a:t>Corporate</a:t>
          </a:r>
          <a:r>
            <a:rPr lang="en-GB" sz="1600" baseline="0">
              <a:solidFill>
                <a:schemeClr val="accent1">
                  <a:lumMod val="75000"/>
                </a:schemeClr>
              </a:solidFill>
              <a:latin typeface="Garamond" panose="02020404030301010803" pitchFamily="18" charset="0"/>
            </a:rPr>
            <a:t> pre-tax profits </a:t>
          </a:r>
        </a:p>
        <a:p xmlns:a="http://schemas.openxmlformats.org/drawingml/2006/main">
          <a:pPr algn="ctr"/>
          <a:r>
            <a:rPr lang="en-GB" sz="1600" baseline="0">
              <a:solidFill>
                <a:schemeClr val="accent1">
                  <a:lumMod val="75000"/>
                </a:schemeClr>
              </a:solidFill>
              <a:latin typeface="Garamond" panose="02020404030301010803" pitchFamily="18" charset="0"/>
            </a:rPr>
            <a:t>(% of global income)</a:t>
          </a:r>
          <a:endParaRPr lang="en-DK" sz="1600">
            <a:solidFill>
              <a:schemeClr val="accent1">
                <a:lumMod val="75000"/>
              </a:schemeClr>
            </a:solidFill>
            <a:latin typeface="Garamond" panose="02020404030301010803" pitchFamily="18" charset="0"/>
          </a:endParaRPr>
        </a:p>
      </cdr:txBody>
    </cdr:sp>
  </cdr:relSizeAnchor>
  <cdr:relSizeAnchor xmlns:cdr="http://schemas.openxmlformats.org/drawingml/2006/chartDrawing">
    <cdr:from>
      <cdr:x>0.44656</cdr:x>
      <cdr:y>0.66997</cdr:y>
    </cdr:from>
    <cdr:to>
      <cdr:x>0.68708</cdr:x>
      <cdr:y>0.79805</cdr:y>
    </cdr:to>
    <cdr:sp macro="" textlink="">
      <cdr:nvSpPr>
        <cdr:cNvPr id="3" name="TextBox 1">
          <a:extLst xmlns:a="http://schemas.openxmlformats.org/drawingml/2006/main">
            <a:ext uri="{FF2B5EF4-FFF2-40B4-BE49-F238E27FC236}">
              <a16:creationId xmlns:a16="http://schemas.microsoft.com/office/drawing/2014/main" id="{5EA5B06F-0E4D-A107-25A1-69D414CD0EF0}"/>
            </a:ext>
          </a:extLst>
        </cdr:cNvPr>
        <cdr:cNvSpPr txBox="1"/>
      </cdr:nvSpPr>
      <cdr:spPr>
        <a:xfrm xmlns:a="http://schemas.openxmlformats.org/drawingml/2006/main">
          <a:off x="4157086" y="4067135"/>
          <a:ext cx="2239024" cy="77752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600" baseline="0">
              <a:solidFill>
                <a:sysClr val="windowText" lastClr="000000"/>
              </a:solidFill>
              <a:latin typeface="Garamond" panose="02020404030301010803" pitchFamily="18" charset="0"/>
            </a:rPr>
            <a:t>Foreign pre-tax profits</a:t>
          </a:r>
        </a:p>
        <a:p xmlns:a="http://schemas.openxmlformats.org/drawingml/2006/main">
          <a:pPr algn="ctr"/>
          <a:r>
            <a:rPr lang="en-GB" sz="1600" baseline="0">
              <a:solidFill>
                <a:sysClr val="windowText" lastClr="000000"/>
              </a:solidFill>
              <a:latin typeface="Garamond" panose="02020404030301010803" pitchFamily="18" charset="0"/>
            </a:rPr>
            <a:t>(% of corporate profits)</a:t>
          </a:r>
        </a:p>
        <a:p xmlns:a="http://schemas.openxmlformats.org/drawingml/2006/main">
          <a:endParaRPr lang="en-DK" sz="1600">
            <a:solidFill>
              <a:sysClr val="windowText" lastClr="000000"/>
            </a:solidFill>
            <a:latin typeface="Garamond" panose="02020404030301010803" pitchFamily="18" charset="0"/>
          </a:endParaRP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000CA0AB-2FEA-84CE-26B9-F50193BBE1A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0.21604</cdr:x>
      <cdr:y>0.19466</cdr:y>
    </cdr:from>
    <cdr:to>
      <cdr:x>0.46794</cdr:x>
      <cdr:y>0.32274</cdr:y>
    </cdr:to>
    <cdr:sp macro="" textlink="">
      <cdr:nvSpPr>
        <cdr:cNvPr id="2" name="TextBox 1">
          <a:extLst xmlns:a="http://schemas.openxmlformats.org/drawingml/2006/main">
            <a:ext uri="{FF2B5EF4-FFF2-40B4-BE49-F238E27FC236}">
              <a16:creationId xmlns:a16="http://schemas.microsoft.com/office/drawing/2014/main" id="{4536E319-A116-F5DF-832F-896FD0E78EB0}"/>
            </a:ext>
          </a:extLst>
        </cdr:cNvPr>
        <cdr:cNvSpPr txBox="1"/>
      </cdr:nvSpPr>
      <cdr:spPr>
        <a:xfrm xmlns:a="http://schemas.openxmlformats.org/drawingml/2006/main">
          <a:off x="2011138" y="1181703"/>
          <a:ext cx="2344962" cy="777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600" baseline="0">
              <a:solidFill>
                <a:schemeClr val="accent1">
                  <a:lumMod val="75000"/>
                </a:schemeClr>
              </a:solidFill>
              <a:latin typeface="Garamond" panose="02020404030301010803" pitchFamily="18" charset="0"/>
            </a:rPr>
            <a:t>Global pre-tax profits </a:t>
          </a:r>
        </a:p>
        <a:p xmlns:a="http://schemas.openxmlformats.org/drawingml/2006/main">
          <a:pPr algn="ctr"/>
          <a:r>
            <a:rPr lang="en-GB" sz="1600" baseline="0">
              <a:solidFill>
                <a:schemeClr val="accent1">
                  <a:lumMod val="75000"/>
                </a:schemeClr>
              </a:solidFill>
              <a:latin typeface="Garamond" panose="02020404030301010803" pitchFamily="18" charset="0"/>
            </a:rPr>
            <a:t>(% of global income)</a:t>
          </a:r>
          <a:endParaRPr lang="en-DK" sz="1600">
            <a:solidFill>
              <a:schemeClr val="accent1">
                <a:lumMod val="75000"/>
              </a:schemeClr>
            </a:solidFill>
            <a:latin typeface="Garamond" panose="02020404030301010803" pitchFamily="18" charset="0"/>
          </a:endParaRPr>
        </a:p>
      </cdr:txBody>
    </cdr:sp>
  </cdr:relSizeAnchor>
  <cdr:relSizeAnchor xmlns:cdr="http://schemas.openxmlformats.org/drawingml/2006/chartDrawing">
    <cdr:from>
      <cdr:x>0.1869</cdr:x>
      <cdr:y>0.52562</cdr:y>
    </cdr:from>
    <cdr:to>
      <cdr:x>0.48381</cdr:x>
      <cdr:y>0.6537</cdr:y>
    </cdr:to>
    <cdr:sp macro="" textlink="">
      <cdr:nvSpPr>
        <cdr:cNvPr id="3" name="TextBox 1">
          <a:extLst xmlns:a="http://schemas.openxmlformats.org/drawingml/2006/main">
            <a:ext uri="{FF2B5EF4-FFF2-40B4-BE49-F238E27FC236}">
              <a16:creationId xmlns:a16="http://schemas.microsoft.com/office/drawing/2014/main" id="{5EA5B06F-0E4D-A107-25A1-69D414CD0EF0}"/>
            </a:ext>
          </a:extLst>
        </cdr:cNvPr>
        <cdr:cNvSpPr txBox="1"/>
      </cdr:nvSpPr>
      <cdr:spPr>
        <a:xfrm xmlns:a="http://schemas.openxmlformats.org/drawingml/2006/main">
          <a:off x="1739900" y="3190820"/>
          <a:ext cx="2763896" cy="77752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600" baseline="0">
              <a:solidFill>
                <a:schemeClr val="bg1">
                  <a:lumMod val="65000"/>
                </a:schemeClr>
              </a:solidFill>
              <a:latin typeface="Garamond" panose="02020404030301010803" pitchFamily="18" charset="0"/>
            </a:rPr>
            <a:t>Foreign pre-tax profits</a:t>
          </a:r>
        </a:p>
        <a:p xmlns:a="http://schemas.openxmlformats.org/drawingml/2006/main">
          <a:pPr algn="ctr"/>
          <a:r>
            <a:rPr lang="en-GB" sz="1600" baseline="0">
              <a:solidFill>
                <a:schemeClr val="bg1">
                  <a:lumMod val="65000"/>
                </a:schemeClr>
              </a:solidFill>
              <a:latin typeface="Garamond" panose="02020404030301010803" pitchFamily="18" charset="0"/>
            </a:rPr>
            <a:t>(% of global pre-tax profits)</a:t>
          </a:r>
        </a:p>
        <a:p xmlns:a="http://schemas.openxmlformats.org/drawingml/2006/main">
          <a:endParaRPr lang="en-DK" sz="1600">
            <a:solidFill>
              <a:schemeClr val="bg1">
                <a:lumMod val="65000"/>
              </a:schemeClr>
            </a:solidFill>
            <a:latin typeface="Garamond" panose="02020404030301010803" pitchFamily="18" charset="0"/>
          </a:endParaRPr>
        </a:p>
      </cdr:txBody>
    </cdr:sp>
  </cdr:relSizeAnchor>
  <cdr:relSizeAnchor xmlns:cdr="http://schemas.openxmlformats.org/drawingml/2006/chartDrawing">
    <cdr:from>
      <cdr:x>0.39154</cdr:x>
      <cdr:y>0.73431</cdr:y>
    </cdr:from>
    <cdr:to>
      <cdr:x>0.68844</cdr:x>
      <cdr:y>0.86239</cdr:y>
    </cdr:to>
    <cdr:sp macro="" textlink="">
      <cdr:nvSpPr>
        <cdr:cNvPr id="4" name="TextBox 1">
          <a:extLst xmlns:a="http://schemas.openxmlformats.org/drawingml/2006/main">
            <a:ext uri="{FF2B5EF4-FFF2-40B4-BE49-F238E27FC236}">
              <a16:creationId xmlns:a16="http://schemas.microsoft.com/office/drawing/2014/main" id="{F97C3231-FBAC-7B1F-12A1-C8E2846B0612}"/>
            </a:ext>
          </a:extLst>
        </cdr:cNvPr>
        <cdr:cNvSpPr txBox="1"/>
      </cdr:nvSpPr>
      <cdr:spPr>
        <a:xfrm xmlns:a="http://schemas.openxmlformats.org/drawingml/2006/main">
          <a:off x="3644900" y="4457700"/>
          <a:ext cx="2763896" cy="77752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600" baseline="0">
              <a:solidFill>
                <a:schemeClr val="tx1"/>
              </a:solidFill>
              <a:latin typeface="Garamond" panose="02020404030301010803" pitchFamily="18" charset="0"/>
            </a:rPr>
            <a:t>Foreign post-tax profits</a:t>
          </a:r>
        </a:p>
        <a:p xmlns:a="http://schemas.openxmlformats.org/drawingml/2006/main">
          <a:pPr algn="ctr"/>
          <a:r>
            <a:rPr lang="en-GB" sz="1600" baseline="0">
              <a:solidFill>
                <a:schemeClr val="tx1"/>
              </a:solidFill>
              <a:latin typeface="Garamond" panose="02020404030301010803" pitchFamily="18" charset="0"/>
            </a:rPr>
            <a:t>(% of global post-tax profits)</a:t>
          </a:r>
        </a:p>
        <a:p xmlns:a="http://schemas.openxmlformats.org/drawingml/2006/main">
          <a:endParaRPr lang="en-DK" sz="1600">
            <a:solidFill>
              <a:schemeClr val="tx1"/>
            </a:solidFill>
            <a:latin typeface="Garamond" panose="02020404030301010803" pitchFamily="18" charset="0"/>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A970E022-248F-A6E4-FB44-8345DA3E23A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0.11159</cdr:x>
      <cdr:y>0.53264</cdr:y>
    </cdr:from>
    <cdr:to>
      <cdr:x>0.44105</cdr:x>
      <cdr:y>0.67427</cdr:y>
    </cdr:to>
    <cdr:sp macro="" textlink="">
      <cdr:nvSpPr>
        <cdr:cNvPr id="2" name="TextBox 1">
          <a:extLst xmlns:a="http://schemas.openxmlformats.org/drawingml/2006/main">
            <a:ext uri="{FF2B5EF4-FFF2-40B4-BE49-F238E27FC236}">
              <a16:creationId xmlns:a16="http://schemas.microsoft.com/office/drawing/2014/main" id="{4536E319-A116-F5DF-832F-896FD0E78EB0}"/>
            </a:ext>
          </a:extLst>
        </cdr:cNvPr>
        <cdr:cNvSpPr txBox="1"/>
      </cdr:nvSpPr>
      <cdr:spPr>
        <a:xfrm xmlns:a="http://schemas.openxmlformats.org/drawingml/2006/main">
          <a:off x="1038767" y="3233443"/>
          <a:ext cx="3066976" cy="8597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600" baseline="0">
              <a:solidFill>
                <a:schemeClr val="accent1">
                  <a:lumMod val="75000"/>
                </a:schemeClr>
              </a:solidFill>
              <a:latin typeface="Garamond" panose="02020404030301010803" pitchFamily="18" charset="0"/>
            </a:rPr>
            <a:t>Profits shifted to havens </a:t>
          </a:r>
        </a:p>
        <a:p xmlns:a="http://schemas.openxmlformats.org/drawingml/2006/main">
          <a:pPr algn="ctr"/>
          <a:r>
            <a:rPr lang="en-GB" sz="1600" baseline="0">
              <a:solidFill>
                <a:schemeClr val="accent1">
                  <a:lumMod val="75000"/>
                </a:schemeClr>
              </a:solidFill>
              <a:latin typeface="Garamond" panose="02020404030301010803" pitchFamily="18" charset="0"/>
            </a:rPr>
            <a:t>(left axis)</a:t>
          </a:r>
          <a:endParaRPr lang="en-DK" sz="1600">
            <a:solidFill>
              <a:schemeClr val="accent1">
                <a:lumMod val="75000"/>
              </a:schemeClr>
            </a:solidFill>
            <a:latin typeface="Garamond" panose="02020404030301010803" pitchFamily="18" charset="0"/>
          </a:endParaRPr>
        </a:p>
      </cdr:txBody>
    </cdr:sp>
  </cdr:relSizeAnchor>
  <cdr:relSizeAnchor xmlns:cdr="http://schemas.openxmlformats.org/drawingml/2006/chartDrawing">
    <cdr:from>
      <cdr:x>0.48583</cdr:x>
      <cdr:y>0.72229</cdr:y>
    </cdr:from>
    <cdr:to>
      <cdr:x>0.73916</cdr:x>
      <cdr:y>0.85037</cdr:y>
    </cdr:to>
    <cdr:sp macro="" textlink="">
      <cdr:nvSpPr>
        <cdr:cNvPr id="3" name="TextBox 1">
          <a:extLst xmlns:a="http://schemas.openxmlformats.org/drawingml/2006/main">
            <a:ext uri="{FF2B5EF4-FFF2-40B4-BE49-F238E27FC236}">
              <a16:creationId xmlns:a16="http://schemas.microsoft.com/office/drawing/2014/main" id="{5EA5B06F-0E4D-A107-25A1-69D414CD0EF0}"/>
            </a:ext>
          </a:extLst>
        </cdr:cNvPr>
        <cdr:cNvSpPr txBox="1"/>
      </cdr:nvSpPr>
      <cdr:spPr>
        <a:xfrm xmlns:a="http://schemas.openxmlformats.org/drawingml/2006/main">
          <a:off x="4522673" y="4384746"/>
          <a:ext cx="2358275" cy="77752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600">
              <a:solidFill>
                <a:sysClr val="windowText" lastClr="000000"/>
              </a:solidFill>
              <a:latin typeface="Garamond" panose="02020404030301010803" pitchFamily="18" charset="0"/>
            </a:rPr>
            <a:t>Corporate</a:t>
          </a:r>
          <a:r>
            <a:rPr lang="en-GB" sz="1600" baseline="0">
              <a:solidFill>
                <a:sysClr val="windowText" lastClr="000000"/>
              </a:solidFill>
              <a:latin typeface="Garamond" panose="02020404030301010803" pitchFamily="18" charset="0"/>
            </a:rPr>
            <a:t> tax revenue loss (right axis)</a:t>
          </a:r>
          <a:endParaRPr lang="en-DK" sz="1600">
            <a:solidFill>
              <a:sysClr val="windowText" lastClr="000000"/>
            </a:solidFill>
            <a:latin typeface="Garamond" panose="02020404030301010803" pitchFamily="18" charset="0"/>
          </a:endParaRPr>
        </a:p>
      </cdr:txBody>
    </cdr:sp>
  </cdr:relSizeAnchor>
  <cdr:relSizeAnchor xmlns:cdr="http://schemas.openxmlformats.org/drawingml/2006/chartDrawing">
    <cdr:from>
      <cdr:x>0.82637</cdr:x>
      <cdr:y>0.10591</cdr:y>
    </cdr:from>
    <cdr:to>
      <cdr:x>0.82878</cdr:x>
      <cdr:y>0.76724</cdr:y>
    </cdr:to>
    <cdr:cxnSp macro="">
      <cdr:nvCxnSpPr>
        <cdr:cNvPr id="5" name="Straight Connector 4">
          <a:extLst xmlns:a="http://schemas.openxmlformats.org/drawingml/2006/main">
            <a:ext uri="{FF2B5EF4-FFF2-40B4-BE49-F238E27FC236}">
              <a16:creationId xmlns:a16="http://schemas.microsoft.com/office/drawing/2014/main" id="{EE824E42-16A2-C07A-4212-8415DB0EFA97}"/>
            </a:ext>
          </a:extLst>
        </cdr:cNvPr>
        <cdr:cNvCxnSpPr/>
      </cdr:nvCxnSpPr>
      <cdr:spPr>
        <a:xfrm xmlns:a="http://schemas.openxmlformats.org/drawingml/2006/main" flipV="1">
          <a:off x="7679766" y="642471"/>
          <a:ext cx="22412" cy="4011705"/>
        </a:xfrm>
        <a:prstGeom xmlns:a="http://schemas.openxmlformats.org/drawingml/2006/main" prst="line">
          <a:avLst/>
        </a:prstGeom>
        <a:ln xmlns:a="http://schemas.openxmlformats.org/drawingml/2006/main">
          <a:solidFill>
            <a:schemeClr val="tx1">
              <a:lumMod val="50000"/>
              <a:lumOff val="50000"/>
            </a:schemeClr>
          </a:solidFill>
          <a:prstDash val="lg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0.79003</cdr:x>
      <cdr:y>0.76946</cdr:y>
    </cdr:from>
    <cdr:to>
      <cdr:x>0.98055</cdr:x>
      <cdr:y>0.89754</cdr:y>
    </cdr:to>
    <cdr:sp macro="" textlink="">
      <cdr:nvSpPr>
        <cdr:cNvPr id="7" name="TextBox 1">
          <a:extLst xmlns:a="http://schemas.openxmlformats.org/drawingml/2006/main">
            <a:ext uri="{FF2B5EF4-FFF2-40B4-BE49-F238E27FC236}">
              <a16:creationId xmlns:a16="http://schemas.microsoft.com/office/drawing/2014/main" id="{0FE57902-BCBB-77E1-7BF7-39BBFAA92486}"/>
            </a:ext>
          </a:extLst>
        </cdr:cNvPr>
        <cdr:cNvSpPr txBox="1"/>
      </cdr:nvSpPr>
      <cdr:spPr>
        <a:xfrm xmlns:a="http://schemas.openxmlformats.org/drawingml/2006/main">
          <a:off x="7342093" y="4667625"/>
          <a:ext cx="1770528" cy="7769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chemeClr val="accent3">
                  <a:lumMod val="75000"/>
                </a:schemeClr>
              </a:solidFill>
              <a:latin typeface="Garamond" panose="02020404030301010803" pitchFamily="18" charset="0"/>
            </a:rPr>
            <a:t>BEPS </a:t>
          </a:r>
        </a:p>
        <a:p xmlns:a="http://schemas.openxmlformats.org/drawingml/2006/main">
          <a:r>
            <a:rPr lang="en-GB" sz="1600">
              <a:solidFill>
                <a:schemeClr val="accent3">
                  <a:lumMod val="75000"/>
                </a:schemeClr>
              </a:solidFill>
              <a:latin typeface="Garamond" panose="02020404030301010803" pitchFamily="18" charset="0"/>
            </a:rPr>
            <a:t>initiated</a:t>
          </a:r>
          <a:endParaRPr lang="en-DK" sz="1600">
            <a:solidFill>
              <a:schemeClr val="accent3">
                <a:lumMod val="75000"/>
              </a:schemeClr>
            </a:solidFill>
            <a:latin typeface="Garamond" panose="02020404030301010803" pitchFamily="18" charset="0"/>
          </a:endParaRPr>
        </a:p>
      </cdr:txBody>
    </cdr:sp>
  </cdr:relSizeAnchor>
  <cdr:relSizeAnchor xmlns:cdr="http://schemas.openxmlformats.org/drawingml/2006/chartDrawing">
    <cdr:from>
      <cdr:x>0.85129</cdr:x>
      <cdr:y>0.11182</cdr:y>
    </cdr:from>
    <cdr:to>
      <cdr:x>0.85193</cdr:x>
      <cdr:y>0.60961</cdr:y>
    </cdr:to>
    <cdr:cxnSp macro="">
      <cdr:nvCxnSpPr>
        <cdr:cNvPr id="8" name="Straight Connector 7">
          <a:extLst xmlns:a="http://schemas.openxmlformats.org/drawingml/2006/main">
            <a:ext uri="{FF2B5EF4-FFF2-40B4-BE49-F238E27FC236}">
              <a16:creationId xmlns:a16="http://schemas.microsoft.com/office/drawing/2014/main" id="{7E6C8ADE-3BC4-97EE-569A-4D96A14F0813}"/>
            </a:ext>
          </a:extLst>
        </cdr:cNvPr>
        <cdr:cNvCxnSpPr/>
      </cdr:nvCxnSpPr>
      <cdr:spPr>
        <a:xfrm xmlns:a="http://schemas.openxmlformats.org/drawingml/2006/main" flipV="1">
          <a:off x="7911352" y="678328"/>
          <a:ext cx="5976" cy="3019612"/>
        </a:xfrm>
        <a:prstGeom xmlns:a="http://schemas.openxmlformats.org/drawingml/2006/main" prst="line">
          <a:avLst/>
        </a:prstGeom>
        <a:ln xmlns:a="http://schemas.openxmlformats.org/drawingml/2006/main">
          <a:solidFill>
            <a:srgbClr val="FF0000"/>
          </a:solidFill>
          <a:prstDash val="lg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0.82299</cdr:x>
      <cdr:y>0.60936</cdr:y>
    </cdr:from>
    <cdr:to>
      <cdr:x>0.9172</cdr:x>
      <cdr:y>0.73744</cdr:y>
    </cdr:to>
    <cdr:sp macro="" textlink="">
      <cdr:nvSpPr>
        <cdr:cNvPr id="10" name="TextBox 1">
          <a:extLst xmlns:a="http://schemas.openxmlformats.org/drawingml/2006/main">
            <a:ext uri="{FF2B5EF4-FFF2-40B4-BE49-F238E27FC236}">
              <a16:creationId xmlns:a16="http://schemas.microsoft.com/office/drawing/2014/main" id="{BC5A207B-A8B1-88CF-E6F2-B3B6CF2E0379}"/>
            </a:ext>
          </a:extLst>
        </cdr:cNvPr>
        <cdr:cNvSpPr txBox="1"/>
      </cdr:nvSpPr>
      <cdr:spPr>
        <a:xfrm xmlns:a="http://schemas.openxmlformats.org/drawingml/2006/main">
          <a:off x="7648387" y="3696446"/>
          <a:ext cx="875553" cy="77694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FF0000"/>
              </a:solidFill>
              <a:latin typeface="Garamond" panose="02020404030301010803" pitchFamily="18" charset="0"/>
            </a:rPr>
            <a:t>TCJA</a:t>
          </a:r>
          <a:endParaRPr lang="en-DK" sz="1600">
            <a:solidFill>
              <a:srgbClr val="FF0000"/>
            </a:solidFill>
            <a:latin typeface="Garamond" panose="02020404030301010803" pitchFamily="18" charset="0"/>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11</xdr:col>
      <xdr:colOff>52989</xdr:colOff>
      <xdr:row>52</xdr:row>
      <xdr:rowOff>45763</xdr:rowOff>
    </xdr:from>
    <xdr:to>
      <xdr:col>22</xdr:col>
      <xdr:colOff>2189</xdr:colOff>
      <xdr:row>66</xdr:row>
      <xdr:rowOff>139480</xdr:rowOff>
    </xdr:to>
    <xdr:graphicFrame macro="">
      <xdr:nvGraphicFramePr>
        <xdr:cNvPr id="8" name="Chart 7">
          <a:extLst>
            <a:ext uri="{FF2B5EF4-FFF2-40B4-BE49-F238E27FC236}">
              <a16:creationId xmlns:a16="http://schemas.microsoft.com/office/drawing/2014/main" id="{E4E58663-CE03-A7D5-9BCD-F70217E18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55</xdr:col>
      <xdr:colOff>50229</xdr:colOff>
      <xdr:row>53</xdr:row>
      <xdr:rowOff>1770</xdr:rowOff>
    </xdr:from>
    <xdr:to>
      <xdr:col>60</xdr:col>
      <xdr:colOff>52112</xdr:colOff>
      <xdr:row>69</xdr:row>
      <xdr:rowOff>37866</xdr:rowOff>
    </xdr:to>
    <xdr:graphicFrame macro="">
      <xdr:nvGraphicFramePr>
        <xdr:cNvPr id="2" name="Diagram 1">
          <a:extLst>
            <a:ext uri="{FF2B5EF4-FFF2-40B4-BE49-F238E27FC236}">
              <a16:creationId xmlns:a16="http://schemas.microsoft.com/office/drawing/2014/main" id="{C6FC6016-CED2-D242-9265-AE258B967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61</xdr:col>
      <xdr:colOff>26713</xdr:colOff>
      <xdr:row>52</xdr:row>
      <xdr:rowOff>191376</xdr:rowOff>
    </xdr:from>
    <xdr:to>
      <xdr:col>67</xdr:col>
      <xdr:colOff>459353</xdr:colOff>
      <xdr:row>69</xdr:row>
      <xdr:rowOff>162299</xdr:rowOff>
    </xdr:to>
    <xdr:graphicFrame macro="">
      <xdr:nvGraphicFramePr>
        <xdr:cNvPr id="3" name="Diagram 2">
          <a:extLst>
            <a:ext uri="{FF2B5EF4-FFF2-40B4-BE49-F238E27FC236}">
              <a16:creationId xmlns:a16="http://schemas.microsoft.com/office/drawing/2014/main" id="{ED307F83-A9F2-B048-940C-02ADCE23F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522234</xdr:colOff>
      <xdr:row>52</xdr:row>
      <xdr:rowOff>73571</xdr:rowOff>
    </xdr:from>
    <xdr:to>
      <xdr:col>28</xdr:col>
      <xdr:colOff>495959</xdr:colOff>
      <xdr:row>65</xdr:row>
      <xdr:rowOff>112547</xdr:rowOff>
    </xdr:to>
    <xdr:graphicFrame macro="">
      <xdr:nvGraphicFramePr>
        <xdr:cNvPr id="5" name="Chart 4">
          <a:extLst>
            <a:ext uri="{FF2B5EF4-FFF2-40B4-BE49-F238E27FC236}">
              <a16:creationId xmlns:a16="http://schemas.microsoft.com/office/drawing/2014/main" id="{2CA6C791-E847-15D4-7100-6B887C1F88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533181</xdr:colOff>
      <xdr:row>52</xdr:row>
      <xdr:rowOff>84522</xdr:rowOff>
    </xdr:from>
    <xdr:to>
      <xdr:col>9</xdr:col>
      <xdr:colOff>506905</xdr:colOff>
      <xdr:row>65</xdr:row>
      <xdr:rowOff>123498</xdr:rowOff>
    </xdr:to>
    <xdr:graphicFrame macro="">
      <xdr:nvGraphicFramePr>
        <xdr:cNvPr id="4" name="Chart 3">
          <a:extLst>
            <a:ext uri="{FF2B5EF4-FFF2-40B4-BE49-F238E27FC236}">
              <a16:creationId xmlns:a16="http://schemas.microsoft.com/office/drawing/2014/main" id="{ACF4F408-6C5F-736C-635D-428846678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720109</xdr:colOff>
      <xdr:row>233</xdr:row>
      <xdr:rowOff>75154</xdr:rowOff>
    </xdr:from>
    <xdr:to>
      <xdr:col>34</xdr:col>
      <xdr:colOff>225202</xdr:colOff>
      <xdr:row>248</xdr:row>
      <xdr:rowOff>68870</xdr:rowOff>
    </xdr:to>
    <xdr:graphicFrame macro="">
      <xdr:nvGraphicFramePr>
        <xdr:cNvPr id="2" name="Chart 1">
          <a:extLst>
            <a:ext uri="{FF2B5EF4-FFF2-40B4-BE49-F238E27FC236}">
              <a16:creationId xmlns:a16="http://schemas.microsoft.com/office/drawing/2014/main" id="{C6CD1BE9-C365-4582-5093-F7F5D02A3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0.57726</cdr:x>
      <cdr:y>0.53331</cdr:y>
    </cdr:from>
    <cdr:to>
      <cdr:x>0.76622</cdr:x>
      <cdr:y>0.6055</cdr:y>
    </cdr:to>
    <cdr:sp macro="" textlink="">
      <cdr:nvSpPr>
        <cdr:cNvPr id="4" name="Tekstfelt 5">
          <a:extLst xmlns:a="http://schemas.openxmlformats.org/drawingml/2006/main">
            <a:ext uri="{FF2B5EF4-FFF2-40B4-BE49-F238E27FC236}">
              <a16:creationId xmlns:a16="http://schemas.microsoft.com/office/drawing/2014/main" id="{D441729D-5548-20D0-A747-BCD67896AAE2}"/>
            </a:ext>
          </a:extLst>
        </cdr:cNvPr>
        <cdr:cNvSpPr txBox="1"/>
      </cdr:nvSpPr>
      <cdr:spPr>
        <a:xfrm xmlns:a="http://schemas.openxmlformats.org/drawingml/2006/main">
          <a:off x="5373741" y="3237541"/>
          <a:ext cx="1759048" cy="4382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a-DK" sz="1800">
              <a:latin typeface="Garamond" panose="02020404030301010803" pitchFamily="18" charset="0"/>
            </a:rPr>
            <a:t>Central scenario</a:t>
          </a:r>
        </a:p>
      </cdr:txBody>
    </cdr:sp>
  </cdr:relSizeAnchor>
  <cdr:relSizeAnchor xmlns:cdr="http://schemas.openxmlformats.org/drawingml/2006/chartDrawing">
    <cdr:from>
      <cdr:x>0.37166</cdr:x>
      <cdr:y>0.29696</cdr:y>
    </cdr:from>
    <cdr:to>
      <cdr:x>0.54536</cdr:x>
      <cdr:y>0.36552</cdr:y>
    </cdr:to>
    <cdr:sp macro="" textlink="">
      <cdr:nvSpPr>
        <cdr:cNvPr id="5" name="TextBox 1">
          <a:extLst xmlns:a="http://schemas.openxmlformats.org/drawingml/2006/main">
            <a:ext uri="{FF2B5EF4-FFF2-40B4-BE49-F238E27FC236}">
              <a16:creationId xmlns:a16="http://schemas.microsoft.com/office/drawing/2014/main" id="{0686B533-CBC6-8894-5B26-4E95E655FE28}"/>
            </a:ext>
          </a:extLst>
        </cdr:cNvPr>
        <cdr:cNvSpPr txBox="1"/>
      </cdr:nvSpPr>
      <cdr:spPr>
        <a:xfrm xmlns:a="http://schemas.openxmlformats.org/drawingml/2006/main">
          <a:off x="3467100" y="1803400"/>
          <a:ext cx="1620370" cy="4163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aseline="0">
              <a:solidFill>
                <a:schemeClr val="accent2"/>
              </a:solidFill>
              <a:latin typeface="Garamond" panose="02020404030301010803" pitchFamily="18" charset="0"/>
            </a:rPr>
            <a:t>Upper bound</a:t>
          </a:r>
        </a:p>
      </cdr:txBody>
    </cdr:sp>
  </cdr:relSizeAnchor>
  <cdr:relSizeAnchor xmlns:cdr="http://schemas.openxmlformats.org/drawingml/2006/chartDrawing">
    <cdr:from>
      <cdr:x>0.54843</cdr:x>
      <cdr:y>0.70476</cdr:y>
    </cdr:from>
    <cdr:to>
      <cdr:x>0.73752</cdr:x>
      <cdr:y>0.77508</cdr:y>
    </cdr:to>
    <cdr:sp macro="" textlink="">
      <cdr:nvSpPr>
        <cdr:cNvPr id="6" name="TextBox 1">
          <a:extLst xmlns:a="http://schemas.openxmlformats.org/drawingml/2006/main">
            <a:ext uri="{FF2B5EF4-FFF2-40B4-BE49-F238E27FC236}">
              <a16:creationId xmlns:a16="http://schemas.microsoft.com/office/drawing/2014/main" id="{9A58E287-45E3-BFAF-0CC9-37327943F773}"/>
            </a:ext>
          </a:extLst>
        </cdr:cNvPr>
        <cdr:cNvSpPr txBox="1"/>
      </cdr:nvSpPr>
      <cdr:spPr>
        <a:xfrm xmlns:a="http://schemas.openxmlformats.org/drawingml/2006/main">
          <a:off x="5105400" y="4278318"/>
          <a:ext cx="1760219" cy="42688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0070C0"/>
              </a:solidFill>
              <a:latin typeface="Garamond" panose="02020404030301010803" pitchFamily="18" charset="0"/>
            </a:rPr>
            <a:t>Lower bound</a:t>
          </a:r>
          <a:endParaRPr lang="en-DK" sz="1600">
            <a:solidFill>
              <a:srgbClr val="0070C0"/>
            </a:solidFill>
            <a:latin typeface="Garamond" panose="02020404030301010803" pitchFamily="18" charset="0"/>
          </a:endParaRP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C1B44862-03D0-4EA6-811B-016CE200590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c:userShapes xmlns:c="http://schemas.openxmlformats.org/drawingml/2006/chart">
  <cdr:relSizeAnchor xmlns:cdr="http://schemas.openxmlformats.org/drawingml/2006/chartDrawing">
    <cdr:from>
      <cdr:x>0.79127</cdr:x>
      <cdr:y>0.36402</cdr:y>
    </cdr:from>
    <cdr:to>
      <cdr:x>0.92447</cdr:x>
      <cdr:y>0.42768</cdr:y>
    </cdr:to>
    <cdr:sp macro="" textlink="">
      <cdr:nvSpPr>
        <cdr:cNvPr id="4" name="Tekstfelt 5">
          <a:extLst xmlns:a="http://schemas.openxmlformats.org/drawingml/2006/main">
            <a:ext uri="{FF2B5EF4-FFF2-40B4-BE49-F238E27FC236}">
              <a16:creationId xmlns:a16="http://schemas.microsoft.com/office/drawing/2014/main" id="{D441729D-5548-20D0-A747-BCD67896AAE2}"/>
            </a:ext>
          </a:extLst>
        </cdr:cNvPr>
        <cdr:cNvSpPr txBox="1"/>
      </cdr:nvSpPr>
      <cdr:spPr>
        <a:xfrm xmlns:a="http://schemas.openxmlformats.org/drawingml/2006/main">
          <a:off x="7366000" y="2209800"/>
          <a:ext cx="1240018" cy="38644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a-DK" sz="1800">
              <a:latin typeface="Garamond" panose="02020404030301010803" pitchFamily="18" charset="0"/>
            </a:rPr>
            <a:t>Central</a:t>
          </a:r>
        </a:p>
      </cdr:txBody>
    </cdr:sp>
  </cdr:relSizeAnchor>
  <cdr:relSizeAnchor xmlns:cdr="http://schemas.openxmlformats.org/drawingml/2006/chartDrawing">
    <cdr:from>
      <cdr:x>0.37166</cdr:x>
      <cdr:y>0.29696</cdr:y>
    </cdr:from>
    <cdr:to>
      <cdr:x>0.54536</cdr:x>
      <cdr:y>0.36552</cdr:y>
    </cdr:to>
    <cdr:sp macro="" textlink="">
      <cdr:nvSpPr>
        <cdr:cNvPr id="5" name="TextBox 1">
          <a:extLst xmlns:a="http://schemas.openxmlformats.org/drawingml/2006/main">
            <a:ext uri="{FF2B5EF4-FFF2-40B4-BE49-F238E27FC236}">
              <a16:creationId xmlns:a16="http://schemas.microsoft.com/office/drawing/2014/main" id="{0686B533-CBC6-8894-5B26-4E95E655FE28}"/>
            </a:ext>
          </a:extLst>
        </cdr:cNvPr>
        <cdr:cNvSpPr txBox="1"/>
      </cdr:nvSpPr>
      <cdr:spPr>
        <a:xfrm xmlns:a="http://schemas.openxmlformats.org/drawingml/2006/main">
          <a:off x="3467100" y="1803400"/>
          <a:ext cx="1620370" cy="4163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aseline="0">
              <a:solidFill>
                <a:schemeClr val="accent2"/>
              </a:solidFill>
              <a:latin typeface="Garamond" panose="02020404030301010803" pitchFamily="18" charset="0"/>
            </a:rPr>
            <a:t>Upper bound</a:t>
          </a:r>
        </a:p>
      </cdr:txBody>
    </cdr:sp>
  </cdr:relSizeAnchor>
  <cdr:relSizeAnchor xmlns:cdr="http://schemas.openxmlformats.org/drawingml/2006/chartDrawing">
    <cdr:from>
      <cdr:x>0.54843</cdr:x>
      <cdr:y>0.70476</cdr:y>
    </cdr:from>
    <cdr:to>
      <cdr:x>0.73752</cdr:x>
      <cdr:y>0.77508</cdr:y>
    </cdr:to>
    <cdr:sp macro="" textlink="">
      <cdr:nvSpPr>
        <cdr:cNvPr id="6" name="TextBox 1">
          <a:extLst xmlns:a="http://schemas.openxmlformats.org/drawingml/2006/main">
            <a:ext uri="{FF2B5EF4-FFF2-40B4-BE49-F238E27FC236}">
              <a16:creationId xmlns:a16="http://schemas.microsoft.com/office/drawing/2014/main" id="{9A58E287-45E3-BFAF-0CC9-37327943F773}"/>
            </a:ext>
          </a:extLst>
        </cdr:cNvPr>
        <cdr:cNvSpPr txBox="1"/>
      </cdr:nvSpPr>
      <cdr:spPr>
        <a:xfrm xmlns:a="http://schemas.openxmlformats.org/drawingml/2006/main">
          <a:off x="5105400" y="4278318"/>
          <a:ext cx="1760219" cy="42688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0070C0"/>
              </a:solidFill>
              <a:latin typeface="Garamond" panose="02020404030301010803" pitchFamily="18" charset="0"/>
            </a:rPr>
            <a:t>Lower bound</a:t>
          </a:r>
          <a:endParaRPr lang="en-DK" sz="1600">
            <a:solidFill>
              <a:srgbClr val="0070C0"/>
            </a:solidFill>
            <a:latin typeface="Garamond" panose="02020404030301010803" pitchFamily="18" charset="0"/>
          </a:endParaRPr>
        </a:p>
      </cdr:txBody>
    </cdr:sp>
  </cdr:relSizeAnchor>
  <cdr:relSizeAnchor xmlns:cdr="http://schemas.openxmlformats.org/drawingml/2006/chartDrawing">
    <cdr:from>
      <cdr:x>0.43793</cdr:x>
      <cdr:y>0.4477</cdr:y>
    </cdr:from>
    <cdr:to>
      <cdr:x>0.61163</cdr:x>
      <cdr:y>0.51626</cdr:y>
    </cdr:to>
    <cdr:sp macro="" textlink="">
      <cdr:nvSpPr>
        <cdr:cNvPr id="8" name="TextBox 1">
          <a:extLst xmlns:a="http://schemas.openxmlformats.org/drawingml/2006/main">
            <a:ext uri="{FF2B5EF4-FFF2-40B4-BE49-F238E27FC236}">
              <a16:creationId xmlns:a16="http://schemas.microsoft.com/office/drawing/2014/main" id="{AC5F3C5C-D3AA-8495-BB4F-03B1C3BD7DF9}"/>
            </a:ext>
          </a:extLst>
        </cdr:cNvPr>
        <cdr:cNvSpPr txBox="1"/>
      </cdr:nvSpPr>
      <cdr:spPr>
        <a:xfrm xmlns:a="http://schemas.openxmlformats.org/drawingml/2006/main">
          <a:off x="4076700" y="2717800"/>
          <a:ext cx="1616991" cy="41620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aseline="0">
              <a:solidFill>
                <a:schemeClr val="accent2"/>
              </a:solidFill>
              <a:latin typeface="Garamond" panose="02020404030301010803" pitchFamily="18" charset="0"/>
            </a:rPr>
            <a:t>High-end</a:t>
          </a:r>
        </a:p>
      </cdr:txBody>
    </cdr:sp>
  </cdr:relSizeAnchor>
  <cdr:relSizeAnchor xmlns:cdr="http://schemas.openxmlformats.org/drawingml/2006/chartDrawing">
    <cdr:from>
      <cdr:x>0.56617</cdr:x>
      <cdr:y>0.54393</cdr:y>
    </cdr:from>
    <cdr:to>
      <cdr:x>0.75526</cdr:x>
      <cdr:y>0.61425</cdr:y>
    </cdr:to>
    <cdr:sp macro="" textlink="">
      <cdr:nvSpPr>
        <cdr:cNvPr id="9" name="TextBox 1">
          <a:extLst xmlns:a="http://schemas.openxmlformats.org/drawingml/2006/main">
            <a:ext uri="{FF2B5EF4-FFF2-40B4-BE49-F238E27FC236}">
              <a16:creationId xmlns:a16="http://schemas.microsoft.com/office/drawing/2014/main" id="{60185A2E-D455-75B8-B01F-0069A7AFE5DF}"/>
            </a:ext>
          </a:extLst>
        </cdr:cNvPr>
        <cdr:cNvSpPr txBox="1"/>
      </cdr:nvSpPr>
      <cdr:spPr>
        <a:xfrm xmlns:a="http://schemas.openxmlformats.org/drawingml/2006/main">
          <a:off x="5270500" y="3302000"/>
          <a:ext cx="1760257" cy="4268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0070C0"/>
              </a:solidFill>
              <a:latin typeface="Garamond" panose="02020404030301010803" pitchFamily="18" charset="0"/>
            </a:rPr>
            <a:t>Low-end</a:t>
          </a:r>
          <a:endParaRPr lang="en-DK" sz="1600">
            <a:solidFill>
              <a:srgbClr val="0070C0"/>
            </a:solidFill>
            <a:latin typeface="Garamond" panose="02020404030301010803" pitchFamily="18" charset="0"/>
          </a:endParaRPr>
        </a:p>
      </cdr:txBody>
    </cdr:sp>
  </cdr:relSizeAnchor>
</c:userShapes>
</file>

<file path=xl/drawings/drawing19.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00000000-0008-0000-0F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c:userShapes xmlns:c="http://schemas.openxmlformats.org/drawingml/2006/chart">
  <cdr:relSizeAnchor xmlns:cdr="http://schemas.openxmlformats.org/drawingml/2006/chartDrawing">
    <cdr:from>
      <cdr:x>0.28661</cdr:x>
      <cdr:y>0.62904</cdr:y>
    </cdr:from>
    <cdr:to>
      <cdr:x>0.46041</cdr:x>
      <cdr:y>0.69751</cdr:y>
    </cdr:to>
    <cdr:sp macro="" textlink="">
      <cdr:nvSpPr>
        <cdr:cNvPr id="2" name="TextBox 1">
          <a:extLst xmlns:a="http://schemas.openxmlformats.org/drawingml/2006/main">
            <a:ext uri="{FF2B5EF4-FFF2-40B4-BE49-F238E27FC236}">
              <a16:creationId xmlns:a16="http://schemas.microsoft.com/office/drawing/2014/main" id="{4536E319-A116-F5DF-832F-896FD0E78EB0}"/>
            </a:ext>
          </a:extLst>
        </cdr:cNvPr>
        <cdr:cNvSpPr txBox="1"/>
      </cdr:nvSpPr>
      <cdr:spPr>
        <a:xfrm xmlns:a="http://schemas.openxmlformats.org/drawingml/2006/main">
          <a:off x="2668069" y="3818672"/>
          <a:ext cx="1617922" cy="4156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600" baseline="0">
              <a:solidFill>
                <a:schemeClr val="accent2"/>
              </a:solidFill>
              <a:latin typeface="Garamond" panose="02020404030301010803" pitchFamily="18" charset="0"/>
            </a:rPr>
            <a:t>Upper bound</a:t>
          </a:r>
        </a:p>
      </cdr:txBody>
    </cdr:sp>
  </cdr:relSizeAnchor>
  <cdr:relSizeAnchor xmlns:cdr="http://schemas.openxmlformats.org/drawingml/2006/chartDrawing">
    <cdr:from>
      <cdr:x>0.67021</cdr:x>
      <cdr:y>0.73594</cdr:y>
    </cdr:from>
    <cdr:to>
      <cdr:x>0.88807</cdr:x>
      <cdr:y>0.80616</cdr:y>
    </cdr:to>
    <cdr:sp macro="" textlink="">
      <cdr:nvSpPr>
        <cdr:cNvPr id="3" name="TextBox 1">
          <a:extLst xmlns:a="http://schemas.openxmlformats.org/drawingml/2006/main">
            <a:ext uri="{FF2B5EF4-FFF2-40B4-BE49-F238E27FC236}">
              <a16:creationId xmlns:a16="http://schemas.microsoft.com/office/drawing/2014/main" id="{5EA5B06F-0E4D-A107-25A1-69D414CD0EF0}"/>
            </a:ext>
          </a:extLst>
        </cdr:cNvPr>
        <cdr:cNvSpPr txBox="1"/>
      </cdr:nvSpPr>
      <cdr:spPr>
        <a:xfrm xmlns:a="http://schemas.openxmlformats.org/drawingml/2006/main">
          <a:off x="6239036" y="4467611"/>
          <a:ext cx="2028081" cy="4262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0070C0"/>
              </a:solidFill>
              <a:latin typeface="Garamond" panose="02020404030301010803" pitchFamily="18" charset="0"/>
            </a:rPr>
            <a:t>Lower bound</a:t>
          </a:r>
          <a:endParaRPr lang="en-DK" sz="1600">
            <a:solidFill>
              <a:srgbClr val="0070C0"/>
            </a:solidFill>
            <a:latin typeface="Garamond" panose="02020404030301010803" pitchFamily="18" charset="0"/>
          </a:endParaRPr>
        </a:p>
      </cdr:txBody>
    </cdr:sp>
  </cdr:relSizeAnchor>
  <cdr:relSizeAnchor xmlns:cdr="http://schemas.openxmlformats.org/drawingml/2006/chartDrawing">
    <cdr:from>
      <cdr:x>0.66888</cdr:x>
      <cdr:y>0.56427</cdr:y>
    </cdr:from>
    <cdr:to>
      <cdr:x>0.85794</cdr:x>
      <cdr:y>0.63636</cdr:y>
    </cdr:to>
    <cdr:sp macro="" textlink="">
      <cdr:nvSpPr>
        <cdr:cNvPr id="4" name="Tekstfelt 5">
          <a:extLst xmlns:a="http://schemas.openxmlformats.org/drawingml/2006/main">
            <a:ext uri="{FF2B5EF4-FFF2-40B4-BE49-F238E27FC236}">
              <a16:creationId xmlns:a16="http://schemas.microsoft.com/office/drawing/2014/main" id="{E7B7AEE9-F9F7-C07A-AB28-1DC1501DC7AC}"/>
            </a:ext>
          </a:extLst>
        </cdr:cNvPr>
        <cdr:cNvSpPr txBox="1"/>
      </cdr:nvSpPr>
      <cdr:spPr>
        <a:xfrm xmlns:a="http://schemas.openxmlformats.org/drawingml/2006/main">
          <a:off x="6226688" y="3425441"/>
          <a:ext cx="1759979" cy="4376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a-DK" sz="1800">
              <a:latin typeface="Garamond" panose="02020404030301010803" pitchFamily="18" charset="0"/>
            </a:rPr>
            <a:t>Central scenario</a:t>
          </a:r>
        </a:p>
      </cdr:txBody>
    </cdr:sp>
  </cdr:relSizeAnchor>
</c:userShapes>
</file>

<file path=xl/drawings/drawing21.xml><?xml version="1.0" encoding="utf-8"?>
<xdr:wsDr xmlns:xdr="http://schemas.openxmlformats.org/drawingml/2006/spreadsheetDrawing" xmlns:a="http://schemas.openxmlformats.org/drawingml/2006/main">
  <xdr:absoluteAnchor>
    <xdr:pos x="0" y="0"/>
    <xdr:ext cx="9309100" cy="6070600"/>
    <xdr:graphicFrame macro="">
      <xdr:nvGraphicFramePr>
        <xdr:cNvPr id="2" name="Chart 1">
          <a:extLst>
            <a:ext uri="{FF2B5EF4-FFF2-40B4-BE49-F238E27FC236}">
              <a16:creationId xmlns:a16="http://schemas.microsoft.com/office/drawing/2014/main" id="{AA205726-8E24-A19A-D06B-EA338CB245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0.29207</cdr:x>
      <cdr:y>0.62277</cdr:y>
    </cdr:from>
    <cdr:to>
      <cdr:x>0.46587</cdr:x>
      <cdr:y>0.69124</cdr:y>
    </cdr:to>
    <cdr:sp macro="" textlink="">
      <cdr:nvSpPr>
        <cdr:cNvPr id="2" name="TextBox 1">
          <a:extLst xmlns:a="http://schemas.openxmlformats.org/drawingml/2006/main">
            <a:ext uri="{FF2B5EF4-FFF2-40B4-BE49-F238E27FC236}">
              <a16:creationId xmlns:a16="http://schemas.microsoft.com/office/drawing/2014/main" id="{4536E319-A116-F5DF-832F-896FD0E78EB0}"/>
            </a:ext>
          </a:extLst>
        </cdr:cNvPr>
        <cdr:cNvSpPr txBox="1"/>
      </cdr:nvSpPr>
      <cdr:spPr>
        <a:xfrm xmlns:a="http://schemas.openxmlformats.org/drawingml/2006/main">
          <a:off x="2718869" y="3780572"/>
          <a:ext cx="1617922" cy="4156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600" baseline="0">
              <a:solidFill>
                <a:schemeClr val="accent2"/>
              </a:solidFill>
              <a:latin typeface="Garamond" panose="02020404030301010803" pitchFamily="18" charset="0"/>
            </a:rPr>
            <a:t>Upper bound</a:t>
          </a:r>
        </a:p>
      </cdr:txBody>
    </cdr:sp>
  </cdr:relSizeAnchor>
  <cdr:relSizeAnchor xmlns:cdr="http://schemas.openxmlformats.org/drawingml/2006/chartDrawing">
    <cdr:from>
      <cdr:x>0.67021</cdr:x>
      <cdr:y>0.73594</cdr:y>
    </cdr:from>
    <cdr:to>
      <cdr:x>0.88807</cdr:x>
      <cdr:y>0.80616</cdr:y>
    </cdr:to>
    <cdr:sp macro="" textlink="">
      <cdr:nvSpPr>
        <cdr:cNvPr id="3" name="TextBox 1">
          <a:extLst xmlns:a="http://schemas.openxmlformats.org/drawingml/2006/main">
            <a:ext uri="{FF2B5EF4-FFF2-40B4-BE49-F238E27FC236}">
              <a16:creationId xmlns:a16="http://schemas.microsoft.com/office/drawing/2014/main" id="{5EA5B06F-0E4D-A107-25A1-69D414CD0EF0}"/>
            </a:ext>
          </a:extLst>
        </cdr:cNvPr>
        <cdr:cNvSpPr txBox="1"/>
      </cdr:nvSpPr>
      <cdr:spPr>
        <a:xfrm xmlns:a="http://schemas.openxmlformats.org/drawingml/2006/main">
          <a:off x="6239036" y="4467611"/>
          <a:ext cx="2028081" cy="4262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0070C0"/>
              </a:solidFill>
              <a:latin typeface="Garamond" panose="02020404030301010803" pitchFamily="18" charset="0"/>
            </a:rPr>
            <a:t>Lower bound</a:t>
          </a:r>
          <a:endParaRPr lang="en-DK" sz="1600">
            <a:solidFill>
              <a:srgbClr val="0070C0"/>
            </a:solidFill>
            <a:latin typeface="Garamond" panose="02020404030301010803" pitchFamily="18" charset="0"/>
          </a:endParaRPr>
        </a:p>
      </cdr:txBody>
    </cdr:sp>
  </cdr:relSizeAnchor>
  <cdr:relSizeAnchor xmlns:cdr="http://schemas.openxmlformats.org/drawingml/2006/chartDrawing">
    <cdr:from>
      <cdr:x>0.78074</cdr:x>
      <cdr:y>0.31114</cdr:y>
    </cdr:from>
    <cdr:to>
      <cdr:x>0.9698</cdr:x>
      <cdr:y>0.38323</cdr:y>
    </cdr:to>
    <cdr:sp macro="" textlink="">
      <cdr:nvSpPr>
        <cdr:cNvPr id="4" name="Tekstfelt 5">
          <a:extLst xmlns:a="http://schemas.openxmlformats.org/drawingml/2006/main">
            <a:ext uri="{FF2B5EF4-FFF2-40B4-BE49-F238E27FC236}">
              <a16:creationId xmlns:a16="http://schemas.microsoft.com/office/drawing/2014/main" id="{E7B7AEE9-F9F7-C07A-AB28-1DC1501DC7AC}"/>
            </a:ext>
          </a:extLst>
        </cdr:cNvPr>
        <cdr:cNvSpPr txBox="1"/>
      </cdr:nvSpPr>
      <cdr:spPr>
        <a:xfrm xmlns:a="http://schemas.openxmlformats.org/drawingml/2006/main">
          <a:off x="7268026" y="1888777"/>
          <a:ext cx="1759979" cy="4376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da-DK" sz="1800">
              <a:latin typeface="Garamond" panose="02020404030301010803" pitchFamily="18" charset="0"/>
            </a:rPr>
            <a:t>Central</a:t>
          </a:r>
        </a:p>
      </cdr:txBody>
    </cdr:sp>
  </cdr:relSizeAnchor>
  <cdr:relSizeAnchor xmlns:cdr="http://schemas.openxmlformats.org/drawingml/2006/chartDrawing">
    <cdr:from>
      <cdr:x>0.72578</cdr:x>
      <cdr:y>0.23221</cdr:y>
    </cdr:from>
    <cdr:to>
      <cdr:x>0.89948</cdr:x>
      <cdr:y>0.30077</cdr:y>
    </cdr:to>
    <cdr:sp macro="" textlink="">
      <cdr:nvSpPr>
        <cdr:cNvPr id="5" name="TextBox 1">
          <a:extLst xmlns:a="http://schemas.openxmlformats.org/drawingml/2006/main">
            <a:ext uri="{FF2B5EF4-FFF2-40B4-BE49-F238E27FC236}">
              <a16:creationId xmlns:a16="http://schemas.microsoft.com/office/drawing/2014/main" id="{5FFBCFF0-D2C5-9BC9-9A6B-756AA89D4232}"/>
            </a:ext>
          </a:extLst>
        </cdr:cNvPr>
        <cdr:cNvSpPr txBox="1"/>
      </cdr:nvSpPr>
      <cdr:spPr>
        <a:xfrm xmlns:a="http://schemas.openxmlformats.org/drawingml/2006/main">
          <a:off x="6756361" y="1409674"/>
          <a:ext cx="1616990" cy="41620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aseline="0">
              <a:solidFill>
                <a:schemeClr val="accent2"/>
              </a:solidFill>
              <a:latin typeface="Garamond" panose="02020404030301010803" pitchFamily="18" charset="0"/>
            </a:rPr>
            <a:t>High-end</a:t>
          </a:r>
        </a:p>
      </cdr:txBody>
    </cdr:sp>
  </cdr:relSizeAnchor>
  <cdr:relSizeAnchor xmlns:cdr="http://schemas.openxmlformats.org/drawingml/2006/chartDrawing">
    <cdr:from>
      <cdr:x>0.67122</cdr:x>
      <cdr:y>0.5795</cdr:y>
    </cdr:from>
    <cdr:to>
      <cdr:x>0.86031</cdr:x>
      <cdr:y>0.64982</cdr:y>
    </cdr:to>
    <cdr:sp macro="" textlink="">
      <cdr:nvSpPr>
        <cdr:cNvPr id="6" name="TextBox 1">
          <a:extLst xmlns:a="http://schemas.openxmlformats.org/drawingml/2006/main">
            <a:ext uri="{FF2B5EF4-FFF2-40B4-BE49-F238E27FC236}">
              <a16:creationId xmlns:a16="http://schemas.microsoft.com/office/drawing/2014/main" id="{79FDA77E-713F-7018-5894-625419ABDE60}"/>
            </a:ext>
          </a:extLst>
        </cdr:cNvPr>
        <cdr:cNvSpPr txBox="1"/>
      </cdr:nvSpPr>
      <cdr:spPr>
        <a:xfrm xmlns:a="http://schemas.openxmlformats.org/drawingml/2006/main">
          <a:off x="6248408" y="3517900"/>
          <a:ext cx="1760258" cy="4268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rgbClr val="0070C0"/>
              </a:solidFill>
              <a:latin typeface="Garamond" panose="02020404030301010803" pitchFamily="18" charset="0"/>
            </a:rPr>
            <a:t>Low-end</a:t>
          </a:r>
          <a:endParaRPr lang="en-DK" sz="1600">
            <a:solidFill>
              <a:srgbClr val="0070C0"/>
            </a:solidFill>
            <a:latin typeface="Garamond" panose="02020404030301010803" pitchFamily="18" charset="0"/>
          </a:endParaRPr>
        </a:p>
      </cdr:txBody>
    </cdr:sp>
  </cdr:relSizeAnchor>
</c:userShapes>
</file>

<file path=xl/drawings/drawing23.xml><?xml version="1.0" encoding="utf-8"?>
<xdr:wsDr xmlns:xdr="http://schemas.openxmlformats.org/drawingml/2006/spreadsheetDrawing" xmlns:a="http://schemas.openxmlformats.org/drawingml/2006/main">
  <xdr:absoluteAnchor>
    <xdr:pos x="0" y="0"/>
    <xdr:ext cx="9114118" cy="5842000"/>
    <xdr:graphicFrame macro="">
      <xdr:nvGraphicFramePr>
        <xdr:cNvPr id="2" name="Diagram 1">
          <a:extLst>
            <a:ext uri="{FF2B5EF4-FFF2-40B4-BE49-F238E27FC236}">
              <a16:creationId xmlns:a16="http://schemas.microsoft.com/office/drawing/2014/main" id="{00000000-0008-0000-1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4.xml><?xml version="1.0" encoding="utf-8"?>
<c:userShapes xmlns:c="http://schemas.openxmlformats.org/drawingml/2006/chart">
  <cdr:relSizeAnchor xmlns:cdr="http://schemas.openxmlformats.org/drawingml/2006/chartDrawing">
    <cdr:from>
      <cdr:x>0.53559</cdr:x>
      <cdr:y>0.64512</cdr:y>
    </cdr:from>
    <cdr:to>
      <cdr:x>0.85583</cdr:x>
      <cdr:y>0.71786</cdr:y>
    </cdr:to>
    <cdr:sp macro="" textlink="">
      <cdr:nvSpPr>
        <cdr:cNvPr id="3" name="Rectangle 2"/>
        <cdr:cNvSpPr/>
      </cdr:nvSpPr>
      <cdr:spPr>
        <a:xfrm xmlns:a="http://schemas.openxmlformats.org/drawingml/2006/main">
          <a:off x="4887193" y="3766769"/>
          <a:ext cx="2922186" cy="42471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fr-FR" sz="1800" u="none" baseline="0">
              <a:ln>
                <a:noFill/>
              </a:ln>
              <a:solidFill>
                <a:schemeClr val="bg1"/>
              </a:solidFill>
              <a:effectLst/>
              <a:latin typeface="Garamond" panose="02020404030301010803" pitchFamily="18" charset="0"/>
              <a:cs typeface="Palatino"/>
            </a:rPr>
            <a:t>Profits shited to tax havens (not justified by wage bill)</a:t>
          </a:r>
        </a:p>
        <a:p xmlns:a="http://schemas.openxmlformats.org/drawingml/2006/main">
          <a:endParaRPr lang="fr-FR" sz="1800" u="none" baseline="0">
            <a:ln>
              <a:noFill/>
            </a:ln>
            <a:solidFill>
              <a:schemeClr val="bg1"/>
            </a:solidFill>
            <a:effectLst/>
            <a:latin typeface="Garamond" panose="02020404030301010803" pitchFamily="18" charset="0"/>
            <a:cs typeface="Palatino"/>
          </a:endParaRPr>
        </a:p>
      </cdr:txBody>
    </cdr:sp>
  </cdr:relSizeAnchor>
  <cdr:relSizeAnchor xmlns:cdr="http://schemas.openxmlformats.org/drawingml/2006/chartDrawing">
    <cdr:from>
      <cdr:x>0.13707</cdr:x>
      <cdr:y>0.37279</cdr:y>
    </cdr:from>
    <cdr:to>
      <cdr:x>0.54208</cdr:x>
      <cdr:y>0.44553</cdr:y>
    </cdr:to>
    <cdr:sp macro="" textlink="">
      <cdr:nvSpPr>
        <cdr:cNvPr id="7" name="Rectangle 6"/>
        <cdr:cNvSpPr/>
      </cdr:nvSpPr>
      <cdr:spPr>
        <a:xfrm xmlns:a="http://schemas.openxmlformats.org/drawingml/2006/main">
          <a:off x="1249317" y="2177813"/>
          <a:ext cx="3691309" cy="42494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fr-FR" sz="1800" u="none" baseline="0">
              <a:ln>
                <a:noFill/>
              </a:ln>
              <a:solidFill>
                <a:schemeClr val="tx1"/>
              </a:solidFill>
              <a:effectLst/>
              <a:latin typeface="Garamond" panose="02020404030301010803" pitchFamily="18" charset="0"/>
              <a:cs typeface="Palatino"/>
            </a:rPr>
            <a:t>Profits booked in tax havens that can be justified by real activity (wage bill) </a:t>
          </a:r>
        </a:p>
        <a:p xmlns:a="http://schemas.openxmlformats.org/drawingml/2006/main">
          <a:endParaRPr lang="fr-FR" sz="1800" u="none" baseline="0">
            <a:ln>
              <a:noFill/>
            </a:ln>
            <a:solidFill>
              <a:schemeClr val="tx1"/>
            </a:solidFill>
            <a:effectLst/>
            <a:latin typeface="Garamond" panose="02020404030301010803" pitchFamily="18" charset="0"/>
            <a:cs typeface="Palatino"/>
          </a:endParaRPr>
        </a:p>
      </cdr:txBody>
    </cdr:sp>
  </cdr:relSizeAnchor>
  <cdr:relSizeAnchor xmlns:cdr="http://schemas.openxmlformats.org/drawingml/2006/chartDrawing">
    <cdr:from>
      <cdr:x>0.34139</cdr:x>
      <cdr:y>0.49945</cdr:y>
    </cdr:from>
    <cdr:to>
      <cdr:x>0.42295</cdr:x>
      <cdr:y>0.6087</cdr:y>
    </cdr:to>
    <cdr:cxnSp macro="">
      <cdr:nvCxnSpPr>
        <cdr:cNvPr id="16" name="Connecteur droit avec flèche 7">
          <a:extLst xmlns:a="http://schemas.openxmlformats.org/drawingml/2006/main">
            <a:ext uri="{FF2B5EF4-FFF2-40B4-BE49-F238E27FC236}">
              <a16:creationId xmlns:a16="http://schemas.microsoft.com/office/drawing/2014/main" id="{2AB2A12D-1B44-3943-9000-70505307EA8D}"/>
            </a:ext>
          </a:extLst>
        </cdr:cNvPr>
        <cdr:cNvCxnSpPr/>
      </cdr:nvCxnSpPr>
      <cdr:spPr>
        <a:xfrm xmlns:a="http://schemas.openxmlformats.org/drawingml/2006/main">
          <a:off x="3111513" y="2917761"/>
          <a:ext cx="743311" cy="638239"/>
        </a:xfrm>
        <a:prstGeom xmlns:a="http://schemas.openxmlformats.org/drawingml/2006/main" prst="straightConnector1">
          <a:avLst/>
        </a:prstGeom>
        <a:ln xmlns:a="http://schemas.openxmlformats.org/drawingml/2006/main" w="12700">
          <a:solidFill>
            <a:schemeClr val="tx1"/>
          </a:solidFill>
          <a:tailEnd type="arrow"/>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0.82423</cdr:x>
      <cdr:y>0.03581</cdr:y>
    </cdr:from>
    <cdr:to>
      <cdr:x>0.89761</cdr:x>
      <cdr:y>0.06394</cdr:y>
    </cdr:to>
    <cdr:cxnSp macro="">
      <cdr:nvCxnSpPr>
        <cdr:cNvPr id="15" name="Connecteur droit avec flèche 7">
          <a:extLst xmlns:a="http://schemas.openxmlformats.org/drawingml/2006/main">
            <a:ext uri="{FF2B5EF4-FFF2-40B4-BE49-F238E27FC236}">
              <a16:creationId xmlns:a16="http://schemas.microsoft.com/office/drawing/2014/main" id="{55EAB25B-68E6-EC4F-97F5-09B72C3FC7E9}"/>
            </a:ext>
          </a:extLst>
        </cdr:cNvPr>
        <cdr:cNvCxnSpPr/>
      </cdr:nvCxnSpPr>
      <cdr:spPr>
        <a:xfrm xmlns:a="http://schemas.openxmlformats.org/drawingml/2006/main">
          <a:off x="7216588" y="209176"/>
          <a:ext cx="642471" cy="164353"/>
        </a:xfrm>
        <a:prstGeom xmlns:a="http://schemas.openxmlformats.org/drawingml/2006/main" prst="straightConnector1">
          <a:avLst/>
        </a:prstGeom>
        <a:ln xmlns:a="http://schemas.openxmlformats.org/drawingml/2006/main" w="12700">
          <a:solidFill>
            <a:schemeClr val="tx1"/>
          </a:solidFill>
          <a:tailEnd type="arrow"/>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0.90767</cdr:x>
      <cdr:y>0.03844</cdr:y>
    </cdr:from>
    <cdr:to>
      <cdr:x>0.9082</cdr:x>
      <cdr:y>0.91304</cdr:y>
    </cdr:to>
    <cdr:sp macro="" textlink="">
      <cdr:nvSpPr>
        <cdr:cNvPr id="12" name="Line 1">
          <a:extLst xmlns:a="http://schemas.openxmlformats.org/drawingml/2006/main">
            <a:ext uri="{FF2B5EF4-FFF2-40B4-BE49-F238E27FC236}">
              <a16:creationId xmlns:a16="http://schemas.microsoft.com/office/drawing/2014/main" id="{B4ED1484-54F9-DE49-A502-29F049E3601E}"/>
            </a:ext>
          </a:extLst>
        </cdr:cNvPr>
        <cdr:cNvSpPr>
          <a:spLocks xmlns:a="http://schemas.openxmlformats.org/drawingml/2006/main" noChangeShapeType="1"/>
        </cdr:cNvSpPr>
      </cdr:nvSpPr>
      <cdr:spPr bwMode="auto">
        <a:xfrm xmlns:a="http://schemas.openxmlformats.org/drawingml/2006/main">
          <a:off x="8272611" y="224566"/>
          <a:ext cx="4801" cy="5109434"/>
        </a:xfrm>
        <a:prstGeom xmlns:a="http://schemas.openxmlformats.org/drawingml/2006/main" prst="line">
          <a:avLst/>
        </a:prstGeom>
        <a:noFill xmlns:a="http://schemas.openxmlformats.org/drawingml/2006/main"/>
        <a:ln xmlns:a="http://schemas.openxmlformats.org/drawingml/2006/main" w="19050">
          <a:solidFill>
            <a:srgbClr xmlns:mc="http://schemas.openxmlformats.org/markup-compatibility/2006" xmlns:a14="http://schemas.microsoft.com/office/drawing/2010/main" val="000000" mc:Ignorable="a14" a14:legacySpreadsheetColorIndex="64"/>
          </a:solidFill>
          <a:prstDash val="dash"/>
          <a:round/>
          <a:headEnd/>
          <a:tailEnd type="none" w="med" len="med"/>
        </a:ln>
        <a:extLst xmlns:a="http://schemas.openxmlformats.org/drawingml/2006/main">
          <a:ext uri="{909E8E84-426E-40dd-AFC4-6F175D3DCCD1}">
            <a14:hiddenFill xmlns:a14="http://schemas.microsoft.com/office/drawing/2010/main" xmlns="" xmlns:lc="http://schemas.openxmlformats.org/drawingml/2006/lockedCanvas">
              <a:noFill/>
            </a14:hiddenFill>
          </a:ext>
        </a:extLst>
      </cdr:spPr>
      <cdr:txBody>
        <a:bodyPr xmlns:a="http://schemas.openxmlformats.org/drawingml/2006/main"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endParaRPr lang="fr-FR"/>
        </a:p>
      </cdr:txBody>
    </cdr:sp>
  </cdr:relSizeAnchor>
  <cdr:relSizeAnchor xmlns:cdr="http://schemas.openxmlformats.org/drawingml/2006/chartDrawing">
    <cdr:from>
      <cdr:x>0.56721</cdr:x>
      <cdr:y>0</cdr:y>
    </cdr:from>
    <cdr:to>
      <cdr:x>0.85832</cdr:x>
      <cdr:y>0.07504</cdr:y>
    </cdr:to>
    <cdr:sp macro="" textlink="">
      <cdr:nvSpPr>
        <cdr:cNvPr id="6" name="Tekstfelt 5"/>
        <cdr:cNvSpPr txBox="1"/>
      </cdr:nvSpPr>
      <cdr:spPr>
        <a:xfrm xmlns:a="http://schemas.openxmlformats.org/drawingml/2006/main">
          <a:off x="5169644" y="0"/>
          <a:ext cx="2653211" cy="4383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a-DK" sz="1800">
              <a:latin typeface="Garamond" panose="02020404030301010803" pitchFamily="18" charset="0"/>
            </a:rPr>
            <a:t>Tax Cuts and Jobs Act</a:t>
          </a:r>
        </a:p>
      </cdr:txBody>
    </cdr:sp>
  </cdr:relSizeAnchor>
</c:userShapes>
</file>

<file path=xl/drawings/drawing25.xml><?xml version="1.0" encoding="utf-8"?>
<xdr:wsDr xmlns:xdr="http://schemas.openxmlformats.org/drawingml/2006/spreadsheetDrawing" xmlns:a="http://schemas.openxmlformats.org/drawingml/2006/main">
  <xdr:absoluteAnchor>
    <xdr:pos x="0" y="0"/>
    <xdr:ext cx="9323294" cy="6081059"/>
    <xdr:graphicFrame macro="">
      <xdr:nvGraphicFramePr>
        <xdr:cNvPr id="2" name="Chart 1">
          <a:extLst>
            <a:ext uri="{FF2B5EF4-FFF2-40B4-BE49-F238E27FC236}">
              <a16:creationId xmlns:a16="http://schemas.microsoft.com/office/drawing/2014/main" id="{002EBAB8-9B64-0F89-D5CB-FF10784647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6.xml><?xml version="1.0" encoding="utf-8"?>
<xdr:wsDr xmlns:xdr="http://schemas.openxmlformats.org/drawingml/2006/spreadsheetDrawing" xmlns:a="http://schemas.openxmlformats.org/drawingml/2006/main">
  <xdr:absoluteAnchor>
    <xdr:pos x="0" y="0"/>
    <xdr:ext cx="9307286" cy="6059714"/>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c:userShapes xmlns:c="http://schemas.openxmlformats.org/drawingml/2006/chart">
  <cdr:relSizeAnchor xmlns:cdr="http://schemas.openxmlformats.org/drawingml/2006/chartDrawing">
    <cdr:from>
      <cdr:x>0.17202</cdr:x>
      <cdr:y>0.12226</cdr:y>
    </cdr:from>
    <cdr:to>
      <cdr:x>0.20375</cdr:x>
      <cdr:y>0.1363</cdr:y>
    </cdr:to>
    <cdr:sp macro="" textlink="">
      <cdr:nvSpPr>
        <cdr:cNvPr id="14" name="Rectangle 13"/>
        <cdr:cNvSpPr/>
      </cdr:nvSpPr>
      <cdr:spPr>
        <a:xfrm xmlns:a="http://schemas.openxmlformats.org/drawingml/2006/main">
          <a:off x="1599137" y="742192"/>
          <a:ext cx="294975" cy="85231"/>
        </a:xfrm>
        <a:prstGeom xmlns:a="http://schemas.openxmlformats.org/drawingml/2006/main" prst="rect">
          <a:avLst/>
        </a:prstGeom>
        <a:solidFill xmlns:a="http://schemas.openxmlformats.org/drawingml/2006/main">
          <a:schemeClr val="bg1"/>
        </a:solidFill>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0.17202</cdr:x>
      <cdr:y>0.08565</cdr:y>
    </cdr:from>
    <cdr:to>
      <cdr:x>0.20375</cdr:x>
      <cdr:y>0.09969</cdr:y>
    </cdr:to>
    <cdr:sp macro="" textlink="">
      <cdr:nvSpPr>
        <cdr:cNvPr id="15" name="Rectangle 14"/>
        <cdr:cNvSpPr/>
      </cdr:nvSpPr>
      <cdr:spPr>
        <a:xfrm xmlns:a="http://schemas.openxmlformats.org/drawingml/2006/main">
          <a:off x="1599137" y="519942"/>
          <a:ext cx="294975" cy="85231"/>
        </a:xfrm>
        <a:prstGeom xmlns:a="http://schemas.openxmlformats.org/drawingml/2006/main" prst="rect">
          <a:avLst/>
        </a:prstGeom>
        <a:solidFill xmlns:a="http://schemas.openxmlformats.org/drawingml/2006/main">
          <a:schemeClr val="bg1"/>
        </a:solidFill>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zucman/Dropbox/WrightZucman2018/WrightZucman2018Appendi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zucman/Dropbox/TorslovEtal17/Data%20update/raw/china-bop-1950-20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zucman/Dropbox/TorslovEtal17/PaperMissingProfits/TWZ2022ReplicationGuideTabl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gzucman/Dropbox/TorslovEtal17/Data%20update/Update%202019/RawData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1"/>
      <sheetName val="Assets(MOF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USD)"/>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F3"/>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growth"/>
      <sheetName val="OECDimp"/>
      <sheetName val="Eurostat personel cost"/>
      <sheetName val="globaltaxrev"/>
      <sheetName val="ROU_E_2018"/>
      <sheetName val="fdiinterest_net (2)"/>
      <sheetName val="SPE FDI income"/>
      <sheetName val="Table II.F 1"/>
      <sheetName val="US FATS"/>
      <sheetName val="TableA1"/>
      <sheetName val="OECD.Stat export"/>
      <sheetName val="IMF_fdi_credit_debitinc"/>
      <sheetName val="OECD_COUNTERDO_INCOME"/>
      <sheetName val="OECD_COUNTERDI_INCOME"/>
      <sheetName val="totaldisc_DO_less_DI"/>
      <sheetName val="Imputed DI income using stocks"/>
      <sheetName val="Singapore"/>
      <sheetName val="Disc_EU_DI_less_DO"/>
      <sheetName val="Disc_EXTEU_DI_less_DO"/>
      <sheetName val="Disc_nonEUcountries"/>
      <sheetName val="Interest shifted to EU"/>
      <sheetName val="Non-EU tax havens"/>
      <sheetName val="Non EU income shifted to EU"/>
      <sheetName val="Swiss pivot"/>
      <sheetName val="Breakdown non-EU havens"/>
      <sheetName val="CDIS Table-4"/>
      <sheetName val="Breakdown EU havens"/>
      <sheetName val="Data C 2,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persons/person.xml><?xml version="1.0" encoding="utf-8"?>
<personList xmlns="http://schemas.microsoft.com/office/spreadsheetml/2018/threadedcomments" xmlns:x="http://schemas.openxmlformats.org/spreadsheetml/2006/main">
  <person displayName="Gabriel Zucman" id="{7D04EC82-6622-E14C-9BD5-7F782F874D0B}" userId="S::zucman@BERKELEY.EDU::7fa3b0bc-bf52-426c-8906-b77895a9065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AO205" dT="2023-07-10T01:56:56.12" personId="{7D04EC82-6622-E14C-9BD5-7F782F874D0B}" id="{E359A151-CACA-E245-A8AA-E9ED6E39F7F9}">
    <text>Retrieved from ONS</text>
  </threadedComment>
  <threadedComment ref="AT206" dT="2023-07-12T23:33:10.26" personId="{7D04EC82-6622-E14C-9BD5-7F782F874D0B}" id="{AB2007F2-A2EC-6C4D-B685-D7301BD6D181}">
    <text>Replace by more up to date US numbers</text>
  </threadedComment>
</ThreadedComments>
</file>

<file path=xl/threadedComments/threadedComment2.xml><?xml version="1.0" encoding="utf-8"?>
<ThreadedComments xmlns="http://schemas.microsoft.com/office/spreadsheetml/2018/threadedcomments" xmlns:x="http://schemas.openxmlformats.org/spreadsheetml/2006/main">
  <threadedComment ref="T8" dT="2023-07-14T00:30:12.86" personId="{7D04EC82-6622-E14C-9BD5-7F782F874D0B}" id="{6C6359BA-02A8-1241-AFAF-6F517F2E7AB4}">
    <text>Total non-farm employment, BLS, retrieved from Fred: https://fred.stlouisfed.org/series/SMS72000000000000001#0</text>
  </threadedComment>
  <threadedComment ref="U8" dT="2023-07-14T00:32:30.50" personId="{7D04EC82-6622-E14C-9BD5-7F782F874D0B}" id="{BF77F5A8-B0D5-7647-AF9E-305C93CEE323}">
    <text>Average hourly earnings of all employees x 2080 hours/year, BLS, retrieved from Fred: https://fred.stlouisfed.org/series/SMU72000000500000003#0</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C35"/>
  <sheetViews>
    <sheetView workbookViewId="0">
      <selection activeCell="K9" sqref="K9"/>
    </sheetView>
  </sheetViews>
  <sheetFormatPr defaultColWidth="8.81640625" defaultRowHeight="15.5"/>
  <cols>
    <col min="1" max="1" width="8.81640625" style="306"/>
    <col min="2" max="2" width="29.453125" style="306" customWidth="1"/>
    <col min="3" max="16384" width="8.81640625" style="306"/>
  </cols>
  <sheetData>
    <row r="2" spans="2:3" ht="23">
      <c r="B2" s="425" t="s">
        <v>445</v>
      </c>
    </row>
    <row r="3" spans="2:3">
      <c r="B3" s="324" t="s">
        <v>446</v>
      </c>
    </row>
    <row r="4" spans="2:3">
      <c r="B4" s="325"/>
    </row>
    <row r="5" spans="2:3">
      <c r="B5" s="325" t="s">
        <v>459</v>
      </c>
    </row>
    <row r="6" spans="2:3">
      <c r="B6" s="326" t="s">
        <v>460</v>
      </c>
      <c r="C6" s="306" t="str">
        <f>Table1!B2</f>
        <v>Global profits: Comparing 2015 and 2019 estimates</v>
      </c>
    </row>
    <row r="8" spans="2:3">
      <c r="B8" s="327" t="s">
        <v>461</v>
      </c>
    </row>
    <row r="9" spans="2:3">
      <c r="B9" s="306" t="s">
        <v>484</v>
      </c>
      <c r="C9" s="306" t="s">
        <v>462</v>
      </c>
    </row>
    <row r="10" spans="2:3">
      <c r="B10" s="306" t="s">
        <v>485</v>
      </c>
      <c r="C10" s="306" t="s">
        <v>486</v>
      </c>
    </row>
    <row r="11" spans="2:3">
      <c r="B11" s="306" t="s">
        <v>487</v>
      </c>
      <c r="C11" s="306" t="s">
        <v>488</v>
      </c>
    </row>
    <row r="12" spans="2:3">
      <c r="B12" s="306" t="s">
        <v>490</v>
      </c>
      <c r="C12" s="306" t="s">
        <v>492</v>
      </c>
    </row>
    <row r="13" spans="2:3">
      <c r="B13" s="306" t="s">
        <v>491</v>
      </c>
      <c r="C13" s="306" t="s">
        <v>489</v>
      </c>
    </row>
    <row r="15" spans="2:3">
      <c r="B15" s="327" t="s">
        <v>483</v>
      </c>
    </row>
    <row r="16" spans="2:3">
      <c r="B16" s="326" t="s">
        <v>482</v>
      </c>
      <c r="C16" s="306" t="str">
        <f>TableA1!B2</f>
        <v>Profit shifting estimates: US vs. Non-US multinationals</v>
      </c>
    </row>
    <row r="17" spans="2:3">
      <c r="B17" s="326" t="s">
        <v>493</v>
      </c>
      <c r="C17" s="306" t="str">
        <f>TableA2!C2</f>
        <v>Shifted profits (billions of current US$)</v>
      </c>
    </row>
    <row r="18" spans="2:3">
      <c r="B18" s="326" t="s">
        <v>494</v>
      </c>
      <c r="C18" s="306" t="str">
        <f>TableA3!B2</f>
        <v>Corporate tax revenue loss (% of corporate tax revenue collected)</v>
      </c>
    </row>
    <row r="21" spans="2:3">
      <c r="B21" s="327" t="s">
        <v>497</v>
      </c>
    </row>
    <row r="25" spans="2:3">
      <c r="B25" s="327" t="s">
        <v>496</v>
      </c>
    </row>
    <row r="26" spans="2:3">
      <c r="B26" s="326" t="s">
        <v>463</v>
      </c>
      <c r="C26" s="306" t="s">
        <v>495</v>
      </c>
    </row>
    <row r="27" spans="2:3">
      <c r="B27" s="326" t="s">
        <v>464</v>
      </c>
      <c r="C27" s="306" t="s">
        <v>157</v>
      </c>
    </row>
    <row r="28" spans="2:3">
      <c r="B28" s="326" t="s">
        <v>465</v>
      </c>
      <c r="C28" s="306" t="s">
        <v>466</v>
      </c>
    </row>
    <row r="29" spans="2:3">
      <c r="B29" s="326" t="s">
        <v>467</v>
      </c>
      <c r="C29" s="306" t="s">
        <v>468</v>
      </c>
    </row>
    <row r="30" spans="2:3">
      <c r="B30" s="326" t="s">
        <v>469</v>
      </c>
      <c r="C30" s="306" t="s">
        <v>470</v>
      </c>
    </row>
    <row r="31" spans="2:3">
      <c r="B31" s="326" t="s">
        <v>471</v>
      </c>
      <c r="C31" s="306" t="s">
        <v>472</v>
      </c>
    </row>
    <row r="32" spans="2:3">
      <c r="B32" s="326" t="s">
        <v>473</v>
      </c>
      <c r="C32" s="306" t="s">
        <v>474</v>
      </c>
    </row>
    <row r="33" spans="2:3">
      <c r="B33" s="326" t="s">
        <v>475</v>
      </c>
      <c r="C33" s="306" t="s">
        <v>474</v>
      </c>
    </row>
    <row r="34" spans="2:3">
      <c r="B34" s="326" t="s">
        <v>476</v>
      </c>
      <c r="C34" s="306" t="s">
        <v>477</v>
      </c>
    </row>
    <row r="35" spans="2:3">
      <c r="B35" s="326" t="s">
        <v>478</v>
      </c>
      <c r="C35" s="306" t="s">
        <v>479</v>
      </c>
    </row>
  </sheetData>
  <hyperlinks>
    <hyperlink ref="B6" location="Table1!A1" display="Table 1" xr:uid="{357C3817-3F9E-E74E-B3F7-C9D35C7022A1}"/>
    <hyperlink ref="B16" location="TableA1!A1" display="Table 2" xr:uid="{22D6F58B-5AC7-CD4F-A515-B8C2860C5014}"/>
    <hyperlink ref="B26" location="'Table U1'!A1" display="Table U1" xr:uid="{97676474-EA66-2043-981B-5843DA79010A}"/>
    <hyperlink ref="B27" location="TableB10!A1" display="Table B10" xr:uid="{EBA0A654-FFB1-2E4D-B535-091E973AA30D}"/>
    <hyperlink ref="B28" location="TableB11!A1" display="Table B11" xr:uid="{6E684396-D359-4142-8D96-B41B418DB981}"/>
    <hyperlink ref="B29" location="TableC1!A1" display="Table C1" xr:uid="{EF9F4FBE-5DCF-2141-9CA5-6E93DE045EFE}"/>
    <hyperlink ref="B30" location="TableC2!A1" display="Table C2" xr:uid="{862DB642-25BB-AD43-8218-B33BBD683851}"/>
    <hyperlink ref="B31" location="TableC3!A1" display="Table C3" xr:uid="{18B17E85-C509-0F4B-9CCE-553DD0CD0A5F}"/>
    <hyperlink ref="B32" location="TableC4!A1" display="Table C4" xr:uid="{89F63199-1F4D-5C45-9D9E-D077C47254EA}"/>
    <hyperlink ref="B33" location="TableC4b!A1" display="Table C4b" xr:uid="{FC12E031-6672-9849-B358-868F193D19A4}"/>
    <hyperlink ref="B34" location="TableC4c!A1" display="Table C4c" xr:uid="{EAD591AF-4443-574F-B10A-781B61831111}"/>
    <hyperlink ref="B35" location="TableC4d!A1" display="Table C4d" xr:uid="{BFB3D2D9-AA35-A844-8D8B-BCD8073918D5}"/>
    <hyperlink ref="B17" location="TableA2!A1" display="Appendix Table A2" xr:uid="{3149C97A-F8D7-434D-ADEA-1C2CFB370395}"/>
    <hyperlink ref="B18" location="TableA3!A1" display="Appendix Table A2" xr:uid="{F34210E2-3FF7-FF45-B996-8C97859E562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DA16B-638D-4045-8DBA-B6E04445BDBA}">
  <sheetPr>
    <tabColor theme="1"/>
  </sheetPr>
  <dimension ref="A1"/>
  <sheetViews>
    <sheetView workbookViewId="0">
      <selection activeCell="G32" sqref="G32"/>
    </sheetView>
  </sheetViews>
  <sheetFormatPr defaultColWidth="10.81640625" defaultRowHeight="15.5"/>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K27"/>
  <sheetViews>
    <sheetView zoomScale="62" zoomScaleNormal="70" workbookViewId="0">
      <selection activeCell="J22" sqref="J22"/>
    </sheetView>
  </sheetViews>
  <sheetFormatPr defaultColWidth="8.6328125" defaultRowHeight="14.5" outlineLevelRow="1"/>
  <cols>
    <col min="1" max="1" width="8.6328125" style="350"/>
    <col min="2" max="2" width="67" style="350" customWidth="1"/>
    <col min="3" max="7" width="18.6328125" style="350" customWidth="1"/>
    <col min="8" max="8" width="31.6328125" style="350" customWidth="1"/>
    <col min="9" max="9" width="22.81640625" style="350" bestFit="1" customWidth="1"/>
    <col min="10" max="10" width="25.6328125" style="350" bestFit="1" customWidth="1"/>
    <col min="11" max="16384" width="8.6328125" style="350"/>
  </cols>
  <sheetData>
    <row r="2" spans="2:10" ht="31">
      <c r="B2" s="523" t="s">
        <v>453</v>
      </c>
    </row>
    <row r="3" spans="2:10" ht="15" thickBot="1">
      <c r="B3" s="349"/>
      <c r="C3" s="349"/>
      <c r="D3" s="349"/>
      <c r="E3" s="349"/>
      <c r="F3" s="349"/>
      <c r="G3" s="349"/>
      <c r="H3" s="349"/>
    </row>
    <row r="4" spans="2:10" ht="72.5" customHeight="1" thickTop="1">
      <c r="B4" s="351" t="s">
        <v>340</v>
      </c>
      <c r="C4" s="352">
        <v>2015</v>
      </c>
      <c r="D4" s="352">
        <v>2016</v>
      </c>
      <c r="E4" s="352">
        <v>2017</v>
      </c>
      <c r="F4" s="352">
        <v>2018</v>
      </c>
      <c r="G4" s="353">
        <v>2019</v>
      </c>
      <c r="H4" s="354" t="s">
        <v>451</v>
      </c>
    </row>
    <row r="5" spans="2:10" ht="28.5">
      <c r="B5" s="355" t="s">
        <v>498</v>
      </c>
      <c r="C5" s="356">
        <f t="array" ref="C5:G5">TRANSPOSE(DataF3!E45:E49)</f>
        <v>63098.894488914579</v>
      </c>
      <c r="D5" s="356">
        <v>63417.165129577952</v>
      </c>
      <c r="E5" s="356">
        <v>67615.173266327372</v>
      </c>
      <c r="F5" s="356">
        <v>71518.260431643765</v>
      </c>
      <c r="G5" s="357">
        <v>72371.297173928891</v>
      </c>
      <c r="H5" s="358">
        <f>+G5/C5-1</f>
        <v>0.14695031917941637</v>
      </c>
    </row>
    <row r="6" spans="2:10" ht="28.5">
      <c r="B6" s="355" t="s">
        <v>0</v>
      </c>
      <c r="C6" s="356">
        <f t="array" ref="C6:G6">TRANSPOSE(DataF3!F45:F49)</f>
        <v>11515</v>
      </c>
      <c r="D6" s="356">
        <v>12279.8850221475</v>
      </c>
      <c r="E6" s="356">
        <v>13063.237446786137</v>
      </c>
      <c r="F6" s="356">
        <v>13851.21014167017</v>
      </c>
      <c r="G6" s="357">
        <v>14027.937484487593</v>
      </c>
      <c r="H6" s="359">
        <f>+G6/C6-1</f>
        <v>0.21823165301672542</v>
      </c>
    </row>
    <row r="7" spans="2:10" ht="28.5">
      <c r="B7" s="360" t="s">
        <v>9</v>
      </c>
      <c r="C7" s="361">
        <f t="array" ref="C7:G7">TRANSPOSE(DataF3!N45:N49)</f>
        <v>1703.2290592571803</v>
      </c>
      <c r="D7" s="361">
        <v>1926.1365838676211</v>
      </c>
      <c r="E7" s="361">
        <v>2203.3700429687883</v>
      </c>
      <c r="F7" s="361">
        <v>2525.9911239733356</v>
      </c>
      <c r="G7" s="586">
        <v>2284.1866057484476</v>
      </c>
      <c r="H7" s="359">
        <f>+G7/C7-1</f>
        <v>0.34109184747272758</v>
      </c>
    </row>
    <row r="8" spans="2:10" ht="28.5">
      <c r="B8" s="355" t="s">
        <v>1</v>
      </c>
      <c r="C8" s="356">
        <f t="array" ref="C8:G8">TRANSPOSE(DataF3!I45:I49)</f>
        <v>616.46162984891726</v>
      </c>
      <c r="D8" s="356">
        <v>722.33729457760091</v>
      </c>
      <c r="E8" s="356">
        <v>837.05793155296919</v>
      </c>
      <c r="F8" s="356">
        <v>1010.7734836352899</v>
      </c>
      <c r="G8" s="357">
        <v>857.90031647234809</v>
      </c>
      <c r="H8" s="359">
        <f>+G8/C8-1</f>
        <v>0.39165241587315469</v>
      </c>
    </row>
    <row r="9" spans="2:10" ht="28.5">
      <c r="B9" s="355" t="s">
        <v>10</v>
      </c>
      <c r="C9" s="768">
        <f>C8/C7</f>
        <v>0.36193700811902024</v>
      </c>
      <c r="D9" s="768">
        <f t="shared" ref="D9:G9" si="0">D8/D7</f>
        <v>0.37501872952704662</v>
      </c>
      <c r="E9" s="768">
        <f t="shared" si="0"/>
        <v>0.37989893446364992</v>
      </c>
      <c r="F9" s="768">
        <f t="shared" si="0"/>
        <v>0.40014926182533955</v>
      </c>
      <c r="G9" s="364">
        <f t="shared" si="0"/>
        <v>0.37558241271239934</v>
      </c>
      <c r="H9" s="671" t="s">
        <v>2</v>
      </c>
    </row>
    <row r="10" spans="2:10" ht="28.5">
      <c r="B10" s="355" t="s">
        <v>3</v>
      </c>
      <c r="C10" s="589">
        <v>188</v>
      </c>
      <c r="D10" s="590">
        <v>194.55151429552814</v>
      </c>
      <c r="E10" s="590">
        <v>211.76910384387639</v>
      </c>
      <c r="F10" s="590">
        <v>242.88342258120588</v>
      </c>
      <c r="G10" s="588">
        <v>246.79318540986088</v>
      </c>
      <c r="H10" s="366">
        <f>+G10/C10-1</f>
        <v>0.31272970962691948</v>
      </c>
    </row>
    <row r="11" spans="2:10" ht="29" customHeight="1" thickBot="1">
      <c r="B11" s="367" t="s">
        <v>452</v>
      </c>
      <c r="C11" s="591">
        <v>0.09</v>
      </c>
      <c r="D11" s="591">
        <v>8.8279246563469235E-2</v>
      </c>
      <c r="E11" s="591">
        <v>8.9892875696098218E-2</v>
      </c>
      <c r="F11" s="591">
        <v>9.9017331291928773E-2</v>
      </c>
      <c r="G11" s="592">
        <v>0.10003235676728385</v>
      </c>
      <c r="H11" s="672" t="s">
        <v>4</v>
      </c>
    </row>
    <row r="12" spans="2:10" ht="15" thickTop="1"/>
    <row r="14" spans="2:10">
      <c r="H14" s="463"/>
      <c r="I14" s="463"/>
      <c r="J14" s="463"/>
    </row>
    <row r="15" spans="2:10" hidden="1" outlineLevel="1"/>
    <row r="16" spans="2:10" hidden="1" outlineLevel="1"/>
    <row r="17" spans="2:11" hidden="1" outlineLevel="1"/>
    <row r="18" spans="2:11" collapsed="1"/>
    <row r="19" spans="2:11">
      <c r="B19" s="463"/>
      <c r="C19" s="429"/>
      <c r="D19" s="429"/>
      <c r="E19" s="429"/>
      <c r="F19" s="429"/>
      <c r="G19" s="429"/>
    </row>
    <row r="20" spans="2:11">
      <c r="B20" s="463"/>
      <c r="C20" s="464"/>
      <c r="D20" s="464"/>
      <c r="E20" s="464"/>
      <c r="F20" s="464"/>
      <c r="G20" s="464"/>
    </row>
    <row r="21" spans="2:11">
      <c r="B21" s="463"/>
      <c r="C21" s="429"/>
      <c r="D21" s="429"/>
      <c r="E21" s="429"/>
      <c r="F21" s="429"/>
      <c r="G21" s="429"/>
    </row>
    <row r="22" spans="2:11">
      <c r="B22" s="463"/>
      <c r="C22" s="464"/>
      <c r="D22" s="464"/>
      <c r="E22" s="464"/>
      <c r="F22" s="464"/>
      <c r="G22" s="464"/>
    </row>
    <row r="23" spans="2:11">
      <c r="B23" s="463"/>
      <c r="C23" s="464"/>
      <c r="D23" s="464"/>
      <c r="E23" s="464"/>
      <c r="F23" s="464"/>
      <c r="G23" s="464"/>
      <c r="H23" s="465"/>
      <c r="I23" s="465"/>
      <c r="J23" s="446"/>
      <c r="K23" s="447"/>
    </row>
    <row r="24" spans="2:11">
      <c r="H24" s="447"/>
      <c r="I24" s="447"/>
      <c r="J24" s="445"/>
      <c r="K24" s="447"/>
    </row>
    <row r="25" spans="2:11">
      <c r="B25" s="463"/>
      <c r="C25" s="426"/>
      <c r="D25" s="426"/>
      <c r="E25" s="426"/>
      <c r="F25" s="426"/>
      <c r="G25" s="426"/>
      <c r="H25" s="447"/>
      <c r="I25" s="447"/>
      <c r="J25" s="447"/>
      <c r="K25" s="447"/>
    </row>
    <row r="26" spans="2:11">
      <c r="B26" s="463"/>
      <c r="C26" s="426"/>
      <c r="D26" s="426"/>
      <c r="E26" s="426"/>
      <c r="F26" s="426"/>
      <c r="G26" s="426"/>
      <c r="H26" s="447"/>
      <c r="I26" s="447"/>
      <c r="J26" s="447"/>
      <c r="K26" s="447"/>
    </row>
    <row r="27" spans="2:11">
      <c r="B27" s="463"/>
      <c r="C27" s="464"/>
      <c r="D27" s="464"/>
      <c r="E27" s="464"/>
      <c r="F27" s="464"/>
      <c r="G27" s="464"/>
      <c r="H27" s="465"/>
      <c r="I27" s="465"/>
      <c r="J27" s="447"/>
      <c r="K27" s="447"/>
    </row>
  </sheetData>
  <pageMargins left="0.7" right="0.7" top="0.75" bottom="0.75" header="0.3" footer="0.3"/>
  <pageSetup paperSize="9" scale="4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7"/>
  <sheetViews>
    <sheetView zoomScaleNormal="100" workbookViewId="0">
      <pane xSplit="2" ySplit="1" topLeftCell="C2" activePane="bottomRight" state="frozen"/>
      <selection activeCell="B5" sqref="B5"/>
      <selection pane="topRight" activeCell="B5" sqref="B5"/>
      <selection pane="bottomLeft" activeCell="B5" sqref="B5"/>
      <selection pane="bottomRight" activeCell="M2" sqref="L2:M17"/>
    </sheetView>
  </sheetViews>
  <sheetFormatPr defaultColWidth="12" defaultRowHeight="15.5"/>
  <cols>
    <col min="1" max="1" width="12" style="302" customWidth="1"/>
    <col min="2" max="2" width="18.81640625" style="302" customWidth="1"/>
    <col min="3" max="16384" width="12" style="302"/>
  </cols>
  <sheetData>
    <row r="1" spans="1:13" s="296" customFormat="1" ht="46.5">
      <c r="C1" s="297" t="s">
        <v>12</v>
      </c>
      <c r="D1" s="297" t="s">
        <v>13</v>
      </c>
      <c r="E1" s="297" t="s">
        <v>14</v>
      </c>
      <c r="F1" s="297" t="s">
        <v>15</v>
      </c>
      <c r="G1" s="297" t="s">
        <v>16</v>
      </c>
      <c r="H1" s="303" t="s">
        <v>17</v>
      </c>
      <c r="I1" s="297"/>
      <c r="J1" s="297"/>
      <c r="K1" s="297"/>
      <c r="L1" s="297" t="s">
        <v>13</v>
      </c>
      <c r="M1" s="303" t="s">
        <v>17</v>
      </c>
    </row>
    <row r="2" spans="1:13" s="296" customFormat="1">
      <c r="A2" s="296" t="str">
        <f>+B2</f>
        <v>Puerto Rico</v>
      </c>
      <c r="B2" s="298" t="s">
        <v>18</v>
      </c>
      <c r="C2" s="467">
        <v>0.47996308817683037</v>
      </c>
      <c r="D2" s="467">
        <f>+VLOOKUP(B2,'Table U1'!B:W,20,0)</f>
        <v>16.654233745069778</v>
      </c>
      <c r="E2" s="305">
        <f t="shared" ref="E2:E9" si="0">F2-C2</f>
        <v>16.265571541041854</v>
      </c>
      <c r="F2" s="467">
        <v>16.745534629218685</v>
      </c>
      <c r="G2" s="467">
        <v>0.36081676937669838</v>
      </c>
      <c r="H2" s="304">
        <f>+VLOOKUP(B2,'Table U1'!B:W,21,0)</f>
        <v>16.654233745069778</v>
      </c>
      <c r="J2" s="296" t="s">
        <v>18</v>
      </c>
      <c r="K2" s="302" t="str">
        <f>+J2</f>
        <v>Puerto Rico</v>
      </c>
      <c r="L2" s="467">
        <f>+VLOOKUP(J2,'Table U1'!B:W,19,0)</f>
        <v>0.47751526933837984</v>
      </c>
      <c r="M2" s="304">
        <f>+VLOOKUP(J2,'Table U1'!B:W,20,0)</f>
        <v>16.654233745069778</v>
      </c>
    </row>
    <row r="3" spans="1:13">
      <c r="A3" s="302" t="str">
        <f t="shared" ref="A3:A9" si="1">B3</f>
        <v>Ireland</v>
      </c>
      <c r="B3" s="298" t="s">
        <v>20</v>
      </c>
      <c r="C3" s="467">
        <v>0.68416351867003244</v>
      </c>
      <c r="D3" s="467">
        <f>+VLOOKUP(B3,'Table U1'!B:W,20,0)</f>
        <v>5.3423277812786267</v>
      </c>
      <c r="E3" s="305">
        <f t="shared" si="0"/>
        <v>7.3154855390908962</v>
      </c>
      <c r="F3" s="467">
        <v>7.9996490577609283</v>
      </c>
      <c r="G3" s="467">
        <v>0.36081676937669838</v>
      </c>
      <c r="H3" s="304">
        <f>+VLOOKUP(B3,'Table U1'!B:W,21,0)</f>
        <v>7.0052298608182202</v>
      </c>
      <c r="J3" s="302" t="s">
        <v>19</v>
      </c>
      <c r="K3" s="302" t="str">
        <f>+J3</f>
        <v>Luxembourg</v>
      </c>
      <c r="L3" s="467">
        <f>+VLOOKUP(J3,'Table U1'!B:W,19,0)</f>
        <v>0.22949857720544142</v>
      </c>
      <c r="M3" s="304">
        <f>+VLOOKUP(J3,'Table U1'!B:W,20,0)</f>
        <v>5.2388827520849048</v>
      </c>
    </row>
    <row r="4" spans="1:13">
      <c r="A4" s="302" t="str">
        <f t="shared" si="1"/>
        <v>Luxembourg</v>
      </c>
      <c r="B4" s="298" t="s">
        <v>19</v>
      </c>
      <c r="C4" s="467">
        <v>0.40461450275815142</v>
      </c>
      <c r="D4" s="467">
        <f>+VLOOKUP(B4,'Table U1'!B:W,20,0)</f>
        <v>5.2388827520849048</v>
      </c>
      <c r="E4" s="305">
        <f t="shared" si="0"/>
        <v>4.2030394790209336</v>
      </c>
      <c r="F4" s="467">
        <v>4.6076539817790847</v>
      </c>
      <c r="G4" s="467">
        <v>0.36081676937669838</v>
      </c>
      <c r="H4" s="304">
        <f>+VLOOKUP(B4,'Table U1'!B:W,21,0)</f>
        <v>-1.3227091633466135</v>
      </c>
      <c r="J4" s="302" t="s">
        <v>20</v>
      </c>
      <c r="K4" s="302" t="str">
        <f>+J4</f>
        <v>Ireland</v>
      </c>
      <c r="L4" s="467">
        <f>+VLOOKUP(J4,'Table U1'!B:W,19,0)</f>
        <v>0.55054245155533743</v>
      </c>
      <c r="M4" s="304">
        <f>+VLOOKUP(J4,'Table U1'!B:W,20,0)</f>
        <v>5.3423277812786267</v>
      </c>
    </row>
    <row r="5" spans="1:13">
      <c r="A5" s="302" t="str">
        <f t="shared" si="1"/>
        <v>Switzerland</v>
      </c>
      <c r="B5" s="302" t="s">
        <v>21</v>
      </c>
      <c r="C5" s="300">
        <v>0.11438915202699569</v>
      </c>
      <c r="D5" s="467">
        <f>+VLOOKUP(B5,'Table U1'!B:W,20,0)</f>
        <v>3.0421533393231508</v>
      </c>
      <c r="E5" s="305">
        <f t="shared" si="0"/>
        <v>3.0790748312803982</v>
      </c>
      <c r="F5" s="300">
        <v>3.1934639833073937</v>
      </c>
      <c r="G5" s="300"/>
      <c r="H5" s="304">
        <f>+VLOOKUP(B5,'Table U1'!B:W,21,0)</f>
        <v>3.0421533393231508</v>
      </c>
      <c r="J5" s="302" t="s">
        <v>22</v>
      </c>
      <c r="K5" s="302" t="str">
        <f t="shared" ref="K5:K17" si="2">+J5</f>
        <v>Singapore</v>
      </c>
      <c r="L5" s="467">
        <f>+VLOOKUP(J5,'Table U1'!B:W,19,0)</f>
        <v>0.47342973416788087</v>
      </c>
      <c r="M5" s="304">
        <f>+VLOOKUP(J5,'Table U1'!B:W,20,0)</f>
        <v>2.9046779941544374</v>
      </c>
    </row>
    <row r="6" spans="1:13">
      <c r="A6" s="302" t="str">
        <f t="shared" si="1"/>
        <v>Singapore</v>
      </c>
      <c r="B6" s="298" t="s">
        <v>22</v>
      </c>
      <c r="C6" s="467">
        <v>0.47996308817683037</v>
      </c>
      <c r="D6" s="467">
        <f>+VLOOKUP(B6,'Table U1'!B:W,20,0)</f>
        <v>2.9046779941544374</v>
      </c>
      <c r="E6" s="305">
        <f t="shared" si="0"/>
        <v>1.7015124436330518</v>
      </c>
      <c r="F6" s="467">
        <v>2.1814755318098822</v>
      </c>
      <c r="G6" s="467">
        <v>0.36081676937669838</v>
      </c>
      <c r="H6" s="304">
        <f>+VLOOKUP(B6,'Table U1'!B:W,21,0)</f>
        <v>2.7743159203980099</v>
      </c>
      <c r="J6" s="302" t="s">
        <v>21</v>
      </c>
      <c r="K6" s="302" t="str">
        <f t="shared" si="2"/>
        <v>Switzerland</v>
      </c>
      <c r="L6" s="467">
        <f>+VLOOKUP(J6,'Table U1'!B:W,19,0)</f>
        <v>-2.2324846880044238E-2</v>
      </c>
      <c r="M6" s="304">
        <f>+VLOOKUP(J6,'Table U1'!B:W,20,0)</f>
        <v>3.0421533393231508</v>
      </c>
    </row>
    <row r="7" spans="1:13">
      <c r="A7" s="302" t="str">
        <f t="shared" si="1"/>
        <v>Hong Kong</v>
      </c>
      <c r="B7" s="298" t="s">
        <v>24</v>
      </c>
      <c r="C7" s="467">
        <v>0.47996308817683037</v>
      </c>
      <c r="D7" s="467">
        <f>+VLOOKUP(B7,'Table U1'!B:W,20,0)</f>
        <v>3.1142590479285701</v>
      </c>
      <c r="E7" s="305">
        <f t="shared" si="0"/>
        <v>1.6549275502967551</v>
      </c>
      <c r="F7" s="467">
        <v>2.1348906384735855</v>
      </c>
      <c r="G7" s="467">
        <v>0.36081676937669838</v>
      </c>
      <c r="H7" s="304">
        <f>+VLOOKUP(B7,'Table U1'!B:W,21,0)</f>
        <v>0.69535519125683065</v>
      </c>
      <c r="J7" s="302" t="s">
        <v>23</v>
      </c>
      <c r="K7" s="302" t="str">
        <f t="shared" si="2"/>
        <v>Netherlands</v>
      </c>
      <c r="L7" s="467">
        <f>+VLOOKUP(J7,'Table U1'!B:W,19,0)</f>
        <v>0.23596948246444957</v>
      </c>
      <c r="M7" s="304">
        <f>+VLOOKUP(J7,'Table U1'!B:W,20,0)</f>
        <v>1.2939186557501796</v>
      </c>
    </row>
    <row r="8" spans="1:13">
      <c r="A8" s="302" t="str">
        <f t="shared" si="1"/>
        <v>Netherlands</v>
      </c>
      <c r="B8" s="298" t="s">
        <v>23</v>
      </c>
      <c r="C8" s="467">
        <v>0.41153378760859277</v>
      </c>
      <c r="D8" s="467">
        <f>+VLOOKUP(B8,'Table U1'!B:W,20,0)</f>
        <v>1.2939186557501796</v>
      </c>
      <c r="E8" s="305">
        <f t="shared" si="0"/>
        <v>0.73803680925792792</v>
      </c>
      <c r="F8" s="467">
        <v>1.1495705968665206</v>
      </c>
      <c r="G8" s="467">
        <v>0.36081676937669838</v>
      </c>
      <c r="H8" s="304">
        <f>+VLOOKUP(B8,'Table U1'!B:W,21,0)</f>
        <v>1.686507540197743</v>
      </c>
      <c r="J8" s="302" t="s">
        <v>24</v>
      </c>
      <c r="K8" s="302" t="str">
        <f t="shared" si="2"/>
        <v>Hong Kong</v>
      </c>
      <c r="L8" s="467">
        <f>+VLOOKUP(J8,'Table U1'!B:W,19,0)</f>
        <v>0.47342973416788087</v>
      </c>
      <c r="M8" s="304">
        <f>+VLOOKUP(J8,'Table U1'!B:W,20,0)</f>
        <v>3.1142590479285701</v>
      </c>
    </row>
    <row r="9" spans="1:13">
      <c r="A9" s="302" t="str">
        <f t="shared" si="1"/>
        <v>Belgium</v>
      </c>
      <c r="B9" s="298" t="s">
        <v>25</v>
      </c>
      <c r="C9" s="468">
        <v>0.4031489417707429</v>
      </c>
      <c r="D9" s="467">
        <f>+VLOOKUP(B9,'Table U1'!B:W,20,0)</f>
        <v>1.0536073195309719</v>
      </c>
      <c r="E9" s="305">
        <f t="shared" si="0"/>
        <v>0.2766520914996401</v>
      </c>
      <c r="F9" s="468">
        <v>0.67980103327038299</v>
      </c>
      <c r="G9" s="467">
        <v>0.36081676937669838</v>
      </c>
      <c r="H9" s="304">
        <f>+VLOOKUP(B9,'Table U1'!B:W,21,0)</f>
        <v>0.63722850475677617</v>
      </c>
      <c r="J9" s="302" t="s">
        <v>25</v>
      </c>
      <c r="K9" s="302" t="str">
        <f t="shared" si="2"/>
        <v>Belgium</v>
      </c>
      <c r="L9" s="467">
        <f>+VLOOKUP(J9,'Table U1'!B:W,19,0)</f>
        <v>0.21386278355354185</v>
      </c>
      <c r="M9" s="304">
        <f>+VLOOKUP(J9,'Table U1'!B:W,20,0)</f>
        <v>1.0536073195309719</v>
      </c>
    </row>
    <row r="10" spans="1:13">
      <c r="A10" s="302" t="s">
        <v>26</v>
      </c>
      <c r="B10" s="298" t="s">
        <v>11</v>
      </c>
      <c r="C10" s="301">
        <v>0.3159171001923794</v>
      </c>
      <c r="D10" s="467">
        <f>+VLOOKUP(B10,'Table U1'!B:W,20,0)</f>
        <v>0.30475887656378614</v>
      </c>
      <c r="E10" s="305"/>
      <c r="F10" s="301">
        <v>0.28343272646330486</v>
      </c>
      <c r="G10" s="467">
        <v>0.36081676937669838</v>
      </c>
      <c r="H10" s="304">
        <f>+VLOOKUP(B10,'Table U1'!B:W,21,0)</f>
        <v>0</v>
      </c>
      <c r="J10" s="302" t="s">
        <v>11</v>
      </c>
      <c r="K10" s="302" t="s">
        <v>26</v>
      </c>
      <c r="L10" s="467">
        <f>+VLOOKUP(J10,'Table U1'!B:W,19,0)</f>
        <v>0.28005328234679872</v>
      </c>
      <c r="M10" s="304">
        <f>+VLOOKUP(J10,'Table U1'!B:W,20,0)</f>
        <v>0.30475887656378614</v>
      </c>
    </row>
    <row r="11" spans="1:13">
      <c r="A11" s="302" t="str">
        <f>B11</f>
        <v>Australia</v>
      </c>
      <c r="B11" s="298" t="s">
        <v>27</v>
      </c>
      <c r="C11" s="301">
        <v>0.38244922547378107</v>
      </c>
      <c r="D11" s="467">
        <f>+VLOOKUP(B11,'Table U1'!B:W,20,0)</f>
        <v>0.18742839685328039</v>
      </c>
      <c r="E11" s="305"/>
      <c r="F11" s="301">
        <v>0.27383940346897767</v>
      </c>
      <c r="G11" s="467">
        <v>0.36081676937669838</v>
      </c>
      <c r="H11" s="304">
        <f>+VLOOKUP(B11,'Table U1'!B:W,21,0)</f>
        <v>0.18742839685328039</v>
      </c>
      <c r="J11" s="302" t="s">
        <v>28</v>
      </c>
      <c r="K11" s="302" t="s">
        <v>29</v>
      </c>
      <c r="L11" s="467">
        <f>+VLOOKUP(J11,'Table U1'!B:W,19,0)</f>
        <v>0.40693929678583579</v>
      </c>
      <c r="M11" s="304">
        <f>+VLOOKUP(J11,'Table U1'!B:W,20,0)</f>
        <v>0.22022157122839656</v>
      </c>
    </row>
    <row r="12" spans="1:13">
      <c r="A12" s="302" t="s">
        <v>29</v>
      </c>
      <c r="B12" s="298" t="s">
        <v>28</v>
      </c>
      <c r="C12" s="299">
        <v>0.48210280844721259</v>
      </c>
      <c r="D12" s="467">
        <f>+VLOOKUP(B12,'Table U1'!B:W,20,0)</f>
        <v>0.22022157122839656</v>
      </c>
      <c r="E12" s="305"/>
      <c r="F12" s="299">
        <v>0.25723407405999843</v>
      </c>
      <c r="G12" s="467">
        <v>0.36081676937669838</v>
      </c>
      <c r="H12" s="304">
        <f>+VLOOKUP(B12,'Table U1'!B:W,21,0)</f>
        <v>0.21898322383109015</v>
      </c>
      <c r="J12" s="302" t="s">
        <v>27</v>
      </c>
      <c r="K12" s="302" t="str">
        <f t="shared" si="2"/>
        <v>Australia</v>
      </c>
      <c r="L12" s="467">
        <f>+VLOOKUP(J12,'Table U1'!B:W,19,0)</f>
        <v>0.68183085720161707</v>
      </c>
      <c r="M12" s="304">
        <f>+VLOOKUP(J12,'Table U1'!B:W,20,0)</f>
        <v>0.18742839685328039</v>
      </c>
    </row>
    <row r="13" spans="1:13">
      <c r="A13" s="302" t="str">
        <f>B13</f>
        <v>Spain</v>
      </c>
      <c r="B13" s="298" t="s">
        <v>30</v>
      </c>
      <c r="C13" s="299">
        <v>0.44755015816737814</v>
      </c>
      <c r="D13" s="467">
        <f>+VLOOKUP(B13,'Table U1'!B:W,20,0)</f>
        <v>0.3440982431314768</v>
      </c>
      <c r="E13" s="305"/>
      <c r="F13" s="299">
        <v>0.24643753940062663</v>
      </c>
      <c r="G13" s="467">
        <v>0.36081676937669838</v>
      </c>
      <c r="H13" s="304">
        <f>+VLOOKUP(B13,'Table U1'!B:W,21,0)</f>
        <v>0.43420249411354322</v>
      </c>
      <c r="J13" s="302" t="s">
        <v>30</v>
      </c>
      <c r="K13" s="302" t="str">
        <f t="shared" si="2"/>
        <v>Spain</v>
      </c>
      <c r="L13" s="467">
        <f>+VLOOKUP(J13,'Table U1'!B:W,19,0)</f>
        <v>0.47173462255255755</v>
      </c>
      <c r="M13" s="304">
        <f>+VLOOKUP(J13,'Table U1'!B:W,20,0)</f>
        <v>0.3440982431314768</v>
      </c>
    </row>
    <row r="14" spans="1:13">
      <c r="A14" s="302" t="str">
        <f>B14</f>
        <v>Japan</v>
      </c>
      <c r="B14" s="296" t="s">
        <v>31</v>
      </c>
      <c r="C14" s="299">
        <v>0.43664443770241151</v>
      </c>
      <c r="D14" s="467">
        <f>+VLOOKUP(B14,'Table U1'!B:W,20,0)</f>
        <v>0.92648187960687955</v>
      </c>
      <c r="E14" s="305"/>
      <c r="F14" s="299">
        <v>0.23732566147384185</v>
      </c>
      <c r="G14" s="467">
        <v>0.36081676937669838</v>
      </c>
      <c r="H14" s="304">
        <f>+VLOOKUP(B14,'Table U1'!B:W,21,0)</f>
        <v>0.92648187960687955</v>
      </c>
      <c r="J14" s="302" t="s">
        <v>32</v>
      </c>
      <c r="K14" s="302" t="str">
        <f t="shared" si="2"/>
        <v>France</v>
      </c>
      <c r="L14" s="467">
        <f>+VLOOKUP(J14,'Table U1'!B:W,19,0)</f>
        <v>0.22290618377033919</v>
      </c>
      <c r="M14" s="304">
        <f>+VLOOKUP(J14,'Table U1'!B:W,20,0)</f>
        <v>0.24119237296273524</v>
      </c>
    </row>
    <row r="15" spans="1:13">
      <c r="A15" s="302" t="str">
        <f>B15</f>
        <v>France</v>
      </c>
      <c r="B15" s="298" t="s">
        <v>32</v>
      </c>
      <c r="C15" s="301">
        <v>0.2171009289647885</v>
      </c>
      <c r="D15" s="467">
        <f>+VLOOKUP(B15,'Table U1'!B:W,20,0)</f>
        <v>0.24119237296273524</v>
      </c>
      <c r="E15" s="305"/>
      <c r="F15" s="301">
        <v>0.2071972615008727</v>
      </c>
      <c r="G15" s="467">
        <v>0.36081676937669838</v>
      </c>
      <c r="H15" s="304">
        <f>+VLOOKUP(B15,'Table U1'!B:W,21,0)</f>
        <v>0.26932070787262913</v>
      </c>
      <c r="J15" s="302" t="s">
        <v>31</v>
      </c>
      <c r="K15" s="302" t="str">
        <f t="shared" si="2"/>
        <v>Japan</v>
      </c>
      <c r="L15" s="467">
        <f>+VLOOKUP(J15,'Table U1'!B:W,19,0)</f>
        <v>0.26359440548900392</v>
      </c>
      <c r="M15" s="304">
        <f>+VLOOKUP(J15,'Table U1'!B:W,20,0)</f>
        <v>0.92648187960687955</v>
      </c>
    </row>
    <row r="16" spans="1:13">
      <c r="A16" s="302" t="str">
        <f>B16</f>
        <v>Germany</v>
      </c>
      <c r="B16" s="298" t="s">
        <v>34</v>
      </c>
      <c r="C16" s="467">
        <v>0.51589201053413136</v>
      </c>
      <c r="D16" s="467">
        <f>+VLOOKUP(B16,'Table U1'!B:W,20,0)</f>
        <v>0.16135658988454149</v>
      </c>
      <c r="E16" s="305"/>
      <c r="F16" s="467">
        <v>0.18304850872360104</v>
      </c>
      <c r="G16" s="467">
        <v>0.36081676937669838</v>
      </c>
      <c r="H16" s="304">
        <f>+VLOOKUP(B16,'Table U1'!B:W,21,0)</f>
        <v>0.16135658988454149</v>
      </c>
      <c r="J16" s="302" t="s">
        <v>33</v>
      </c>
      <c r="K16" s="302" t="str">
        <f t="shared" si="2"/>
        <v>Italy</v>
      </c>
      <c r="L16" s="467">
        <f>+VLOOKUP(J16,'Table U1'!B:W,19,0)</f>
        <v>0.56662223058916417</v>
      </c>
      <c r="M16" s="304">
        <f>+VLOOKUP(J16,'Table U1'!B:W,20,0)</f>
        <v>0.19299421399367148</v>
      </c>
    </row>
    <row r="17" spans="1:13">
      <c r="A17" s="302" t="str">
        <f>B17</f>
        <v>Italy</v>
      </c>
      <c r="B17" s="298" t="s">
        <v>33</v>
      </c>
      <c r="C17" s="301">
        <v>0.48415758018996907</v>
      </c>
      <c r="D17" s="467">
        <f>+VLOOKUP(B17,'Table U1'!B:W,20,0)</f>
        <v>0.19299421399367148</v>
      </c>
      <c r="E17" s="305"/>
      <c r="F17" s="301">
        <v>0.16233602672515596</v>
      </c>
      <c r="G17" s="467">
        <v>0.36081676937669838</v>
      </c>
      <c r="H17" s="304">
        <f>+VLOOKUP(B17,'Table U1'!B:W,21,0)</f>
        <v>0.4363469761759316</v>
      </c>
      <c r="J17" s="302" t="s">
        <v>34</v>
      </c>
      <c r="K17" s="302" t="str">
        <f t="shared" si="2"/>
        <v>Germany</v>
      </c>
      <c r="L17" s="467">
        <f>+VLOOKUP(J17,'Table U1'!B:W,19,0)</f>
        <v>0.37573955201106979</v>
      </c>
      <c r="M17" s="304">
        <f>+VLOOKUP(J17,'Table U1'!B:W,20,0)</f>
        <v>0.16135658988454149</v>
      </c>
    </row>
  </sheetData>
  <sortState ref="J2:M17">
    <sortCondition descending="1" ref="M2:M17"/>
  </sortState>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24"/>
  <sheetViews>
    <sheetView workbookViewId="0">
      <selection activeCell="D22" sqref="D22"/>
    </sheetView>
  </sheetViews>
  <sheetFormatPr defaultColWidth="8.81640625" defaultRowHeight="15.5"/>
  <cols>
    <col min="2" max="2" width="15.81640625" bestFit="1" customWidth="1"/>
    <col min="3" max="5" width="16.453125" customWidth="1"/>
  </cols>
  <sheetData>
    <row r="1" spans="2:10" ht="16" thickBot="1"/>
    <row r="2" spans="2:10" ht="20" thickTop="1">
      <c r="C2" s="770" t="s">
        <v>481</v>
      </c>
      <c r="D2" s="770"/>
      <c r="E2" s="770"/>
    </row>
    <row r="3" spans="2:10" ht="39">
      <c r="C3" s="319">
        <v>2015</v>
      </c>
      <c r="D3" s="319">
        <v>2019</v>
      </c>
      <c r="E3" s="319" t="s">
        <v>455</v>
      </c>
      <c r="F3" t="s">
        <v>35</v>
      </c>
      <c r="G3" t="s">
        <v>36</v>
      </c>
    </row>
    <row r="4" spans="2:10" ht="19.5">
      <c r="B4" s="317" t="s">
        <v>28</v>
      </c>
      <c r="C4" s="318">
        <f>+VLOOKUP($B4,TableA3!$B:$H,MATCH(C$3,TableA3!$B$3:$H$3,0),0)</f>
        <v>0.17523172069902965</v>
      </c>
      <c r="D4" s="318">
        <f>+VLOOKUP($B4,TableA3!$B:$H,MATCH(D$3,TableA3!$B$3:$H$3,0),0)</f>
        <v>0.2831661356494643</v>
      </c>
      <c r="E4" s="318">
        <f>+VLOOKUP($B4,TableA3!$B:$H,MATCH(E$3,TableA3!$B$3:$H$3,0),0)</f>
        <v>0.10793441495043465</v>
      </c>
      <c r="F4" s="320">
        <v>0.1</v>
      </c>
      <c r="G4" s="320">
        <v>0.09</v>
      </c>
      <c r="H4" s="317"/>
      <c r="I4" s="317"/>
      <c r="J4" s="317"/>
    </row>
    <row r="5" spans="2:10" ht="19.5">
      <c r="B5" s="317" t="s">
        <v>34</v>
      </c>
      <c r="C5" s="318">
        <f>+VLOOKUP($B5,TableA3!$B:$H,MATCH(C$3,TableA3!$B$3:$H$3,0),0)</f>
        <v>0.27916595513803488</v>
      </c>
      <c r="D5" s="318">
        <f>+VLOOKUP($B5,TableA3!$B:$H,MATCH(D$3,TableA3!$B$3:$H$3,0),0)</f>
        <v>0.25808839233020486</v>
      </c>
      <c r="E5" s="318">
        <f>+VLOOKUP($B5,TableA3!$B:$H,MATCH(E$3,TableA3!$B$3:$H$3,0),0)</f>
        <v>-2.1077562807830019E-2</v>
      </c>
      <c r="F5" s="320">
        <v>0.1</v>
      </c>
      <c r="G5" s="320">
        <v>0.09</v>
      </c>
      <c r="H5" s="317"/>
      <c r="I5" s="317"/>
      <c r="J5" s="317"/>
    </row>
    <row r="6" spans="2:10" ht="19.5">
      <c r="B6" s="317" t="s">
        <v>32</v>
      </c>
      <c r="C6" s="318">
        <f>+VLOOKUP($B6,TableA3!$B:$H,MATCH(C$3,TableA3!$B$3:$H$3,0),0)</f>
        <v>0.20997996704769475</v>
      </c>
      <c r="D6" s="318">
        <f>+VLOOKUP($B6,TableA3!$B:$H,MATCH(D$3,TableA3!$B$3:$H$3,0),0)</f>
        <v>0.19228368641156302</v>
      </c>
      <c r="E6" s="318">
        <f>+VLOOKUP($B6,TableA3!$B:$H,MATCH(E$3,TableA3!$B$3:$H$3,0),0)</f>
        <v>-1.7696280636131739E-2</v>
      </c>
      <c r="F6" s="320">
        <v>0.1</v>
      </c>
      <c r="G6" s="320">
        <v>0.09</v>
      </c>
      <c r="H6" s="317"/>
      <c r="I6" s="317"/>
      <c r="J6" s="317"/>
    </row>
    <row r="7" spans="2:10" ht="19.5">
      <c r="B7" s="317" t="s">
        <v>30</v>
      </c>
      <c r="C7" s="318">
        <f>+VLOOKUP($B7,TableA3!$B:$H,MATCH(C$3,TableA3!$B$3:$H$3,0),0)</f>
        <v>0.14169566205750209</v>
      </c>
      <c r="D7" s="318">
        <f>+VLOOKUP($B7,TableA3!$B:$H,MATCH(D$3,TableA3!$B$3:$H$3,0),0)</f>
        <v>0.16207100530905744</v>
      </c>
      <c r="E7" s="318">
        <f>+VLOOKUP($B7,TableA3!$B:$H,MATCH(E$3,TableA3!$B$3:$H$3,0),0)</f>
        <v>2.037534325155535E-2</v>
      </c>
      <c r="F7" s="320">
        <v>0.1</v>
      </c>
      <c r="G7" s="320">
        <v>0.09</v>
      </c>
      <c r="H7" s="317"/>
      <c r="I7" s="317"/>
      <c r="J7" s="317"/>
    </row>
    <row r="8" spans="2:10" ht="19.5">
      <c r="B8" s="317" t="s">
        <v>33</v>
      </c>
      <c r="C8" s="318">
        <f>+VLOOKUP($B8,TableA3!$B:$H,MATCH(C$3,TableA3!$B$3:$H$3,0),0)</f>
        <v>0.19118227241411057</v>
      </c>
      <c r="D8" s="318">
        <f>+VLOOKUP($B8,TableA3!$B:$H,MATCH(D$3,TableA3!$B$3:$H$3,0),0)</f>
        <v>0.15568451750232418</v>
      </c>
      <c r="E8" s="318">
        <f>+VLOOKUP($B8,TableA3!$B:$H,MATCH(E$3,TableA3!$B$3:$H$3,0),0)</f>
        <v>-3.5497754911786389E-2</v>
      </c>
      <c r="F8" s="320">
        <v>0.1</v>
      </c>
      <c r="G8" s="320">
        <v>0.09</v>
      </c>
      <c r="H8" s="317"/>
      <c r="I8" s="317"/>
      <c r="J8" s="317"/>
    </row>
    <row r="9" spans="2:10" ht="19.5">
      <c r="B9" s="317" t="s">
        <v>37</v>
      </c>
      <c r="C9" s="318">
        <f>+VLOOKUP($B9,TableA3!$B:$H,MATCH(C$3,TableA3!$B$3:$H$3,0),0)</f>
        <v>9.0271246129663765E-2</v>
      </c>
      <c r="D9" s="318">
        <f>+VLOOKUP($B9,TableA3!$B:$H,MATCH(D$3,TableA3!$B$3:$H$3,0),0)</f>
        <v>0.15341345366150586</v>
      </c>
      <c r="E9" s="318">
        <f>+VLOOKUP($B9,TableA3!$B:$H,MATCH(E$3,TableA3!$B$3:$H$3,0),0)</f>
        <v>6.314220753184209E-2</v>
      </c>
      <c r="F9" s="320">
        <v>0.1</v>
      </c>
      <c r="G9" s="320">
        <v>0.09</v>
      </c>
      <c r="H9" s="317"/>
      <c r="I9" s="317"/>
      <c r="J9" s="317"/>
    </row>
    <row r="10" spans="2:10" ht="19.5">
      <c r="B10" s="317" t="s">
        <v>11</v>
      </c>
      <c r="C10" s="318">
        <f>+VLOOKUP($B10,TableA3!$B:$H,MATCH(C$3,TableA3!$B$3:$H$3,0),0)</f>
        <v>0.14080811485538131</v>
      </c>
      <c r="D10" s="318">
        <f>+VLOOKUP($B10,TableA3!$B:$H,MATCH(D$3,TableA3!$B$3:$H$3,0),0)</f>
        <v>0.13772366000947181</v>
      </c>
      <c r="E10" s="318">
        <f>+VLOOKUP($B10,TableA3!$B:$H,MATCH(E$3,TableA3!$B$3:$H$3,0),0)</f>
        <v>-3.0844548459094956E-3</v>
      </c>
      <c r="F10" s="320">
        <v>0.1</v>
      </c>
      <c r="G10" s="320">
        <v>0.09</v>
      </c>
      <c r="H10" s="317"/>
      <c r="I10" s="317"/>
      <c r="J10" s="317"/>
    </row>
    <row r="11" spans="2:10" ht="19.5">
      <c r="B11" s="317" t="s">
        <v>38</v>
      </c>
      <c r="C11" s="318">
        <f>+VLOOKUP($B11,TableA3!$B:$H,MATCH(C$3,TableA3!$B$3:$H$3,0),0)</f>
        <v>0.10509727731973387</v>
      </c>
      <c r="D11" s="318">
        <f>+VLOOKUP($B11,TableA3!$B:$H,MATCH(D$3,TableA3!$B$3:$H$3,0),0)</f>
        <v>0.1296052322814818</v>
      </c>
      <c r="E11" s="318">
        <f>+VLOOKUP($B11,TableA3!$B:$H,MATCH(E$3,TableA3!$B$3:$H$3,0),0)</f>
        <v>2.450795496174793E-2</v>
      </c>
      <c r="F11" s="320">
        <v>0.1</v>
      </c>
      <c r="G11" s="320">
        <v>0.09</v>
      </c>
      <c r="H11" s="317"/>
      <c r="I11" s="317"/>
      <c r="J11" s="317"/>
    </row>
    <row r="12" spans="2:10" ht="19.5">
      <c r="B12" s="317" t="s">
        <v>27</v>
      </c>
      <c r="C12" s="318">
        <f>+VLOOKUP($B12,TableA3!$B:$H,MATCH(C$3,TableA3!$B$3:$H$3,0),0)</f>
        <v>7.3234785047652198E-2</v>
      </c>
      <c r="D12" s="318">
        <f>+VLOOKUP($B12,TableA3!$B:$H,MATCH(D$3,TableA3!$B$3:$H$3,0),0)</f>
        <v>0.12212291708037933</v>
      </c>
      <c r="E12" s="318">
        <f>+VLOOKUP($B12,TableA3!$B:$H,MATCH(E$3,TableA3!$B$3:$H$3,0),0)</f>
        <v>4.8888132032727127E-2</v>
      </c>
      <c r="F12" s="320">
        <v>0.1</v>
      </c>
      <c r="G12" s="320">
        <v>0.09</v>
      </c>
      <c r="H12" s="317"/>
      <c r="I12" s="317"/>
      <c r="J12" s="317"/>
    </row>
    <row r="13" spans="2:10" ht="19.5">
      <c r="B13" s="317" t="s">
        <v>39</v>
      </c>
      <c r="C13" s="318">
        <f>+VLOOKUP($B13,TableA3!$B:$H,MATCH(C$3,TableA3!$B$3:$H$3,0),0)</f>
        <v>7.0004884806695672E-2</v>
      </c>
      <c r="D13" s="318">
        <f>+VLOOKUP($B13,TableA3!$B:$H,MATCH(D$3,TableA3!$B$3:$H$3,0),0)</f>
        <v>0.11642695001396279</v>
      </c>
      <c r="E13" s="318">
        <f>+VLOOKUP($B13,TableA3!$B:$H,MATCH(E$3,TableA3!$B$3:$H$3,0),0)</f>
        <v>4.6422065207267119E-2</v>
      </c>
      <c r="F13" s="320">
        <v>0.1</v>
      </c>
      <c r="G13" s="320">
        <v>0.09</v>
      </c>
      <c r="H13" s="317"/>
      <c r="I13" s="317"/>
      <c r="J13" s="317"/>
    </row>
    <row r="14" spans="2:10" ht="19.5">
      <c r="B14" s="317" t="s">
        <v>40</v>
      </c>
      <c r="C14" s="318">
        <f>+VLOOKUP($B14,TableA3!$B:$H,MATCH(C$3,TableA3!$B$3:$H$3,0),0)</f>
        <v>7.2011378873881565E-2</v>
      </c>
      <c r="D14" s="318">
        <f>+VLOOKUP($B14,TableA3!$B:$H,MATCH(D$3,TableA3!$B$3:$H$3,0),0)</f>
        <v>0.10451057884349915</v>
      </c>
      <c r="E14" s="318">
        <f>+VLOOKUP($B14,TableA3!$B:$H,MATCH(E$3,TableA3!$B$3:$H$3,0),0)</f>
        <v>3.2499199969617587E-2</v>
      </c>
      <c r="F14" s="320">
        <v>0.1</v>
      </c>
      <c r="G14" s="320">
        <v>0.09</v>
      </c>
      <c r="H14" s="317"/>
      <c r="I14" s="317"/>
      <c r="J14" s="317"/>
    </row>
    <row r="15" spans="2:10" ht="19.5">
      <c r="B15" s="317" t="s">
        <v>41</v>
      </c>
      <c r="C15" s="318">
        <f>+VLOOKUP($B15,TableA3!$B:$H,MATCH(C$3,TableA3!$B$3:$H$3,0),0)</f>
        <v>8.4310816146709378E-2</v>
      </c>
      <c r="D15" s="318">
        <f>+VLOOKUP($B15,TableA3!$B:$H,MATCH(D$3,TableA3!$B$3:$H$3,0),0)</f>
        <v>9.9857716236109298E-2</v>
      </c>
      <c r="E15" s="318">
        <f>+VLOOKUP($B15,TableA3!$B:$H,MATCH(E$3,TableA3!$B$3:$H$3,0),0)</f>
        <v>1.554690008939992E-2</v>
      </c>
      <c r="F15" s="320">
        <v>0.1</v>
      </c>
      <c r="G15" s="320">
        <v>0.09</v>
      </c>
      <c r="H15" s="317"/>
      <c r="I15" s="317"/>
      <c r="J15" s="317"/>
    </row>
    <row r="16" spans="2:10" ht="19.5">
      <c r="B16" s="317" t="s">
        <v>42</v>
      </c>
      <c r="C16" s="318">
        <f>+VLOOKUP($B16,TableA3!$B:$H,MATCH(C$3,TableA3!$B$3:$H$3,0),0)</f>
        <v>8.8987018527531159E-2</v>
      </c>
      <c r="D16" s="318">
        <f>+VLOOKUP($B16,TableA3!$B:$H,MATCH(D$3,TableA3!$B$3:$H$3,0),0)</f>
        <v>8.5984235308168386E-2</v>
      </c>
      <c r="E16" s="318">
        <f>+VLOOKUP($B16,TableA3!$B:$H,MATCH(E$3,TableA3!$B$3:$H$3,0),0)</f>
        <v>-3.0027832193627729E-3</v>
      </c>
      <c r="F16" s="320">
        <v>0.1</v>
      </c>
      <c r="G16" s="320">
        <v>0.09</v>
      </c>
      <c r="H16" s="317"/>
      <c r="I16" s="317"/>
      <c r="J16" s="317"/>
    </row>
    <row r="17" spans="2:10" ht="19.5">
      <c r="B17" s="317" t="s">
        <v>43</v>
      </c>
      <c r="C17" s="318">
        <f>+VLOOKUP($B17,TableA3!$B:$H,MATCH(C$3,TableA3!$B$3:$H$3,0),0)</f>
        <v>0.10131006286761744</v>
      </c>
      <c r="D17" s="318">
        <f>+VLOOKUP($B17,TableA3!$B:$H,MATCH(D$3,TableA3!$B$3:$H$3,0),0)</f>
        <v>8.354715933209389E-2</v>
      </c>
      <c r="E17" s="318">
        <f>+VLOOKUP($B17,TableA3!$B:$H,MATCH(E$3,TableA3!$B$3:$H$3,0),0)</f>
        <v>-1.7762903535523553E-2</v>
      </c>
      <c r="F17" s="320">
        <v>0.1</v>
      </c>
      <c r="G17" s="320">
        <v>0.09</v>
      </c>
      <c r="H17" s="317"/>
      <c r="I17" s="317"/>
      <c r="J17" s="317"/>
    </row>
    <row r="18" spans="2:10" ht="19.5">
      <c r="B18" s="317" t="s">
        <v>44</v>
      </c>
      <c r="C18" s="318">
        <f>+VLOOKUP($B18,TableA3!$B:$H,MATCH(C$3,TableA3!$B$3:$H$3,0),0)</f>
        <v>8.1066999260363509E-2</v>
      </c>
      <c r="D18" s="318">
        <f>+VLOOKUP($B18,TableA3!$B:$H,MATCH(D$3,TableA3!$B$3:$H$3,0),0)</f>
        <v>8.0354128022939536E-2</v>
      </c>
      <c r="E18" s="318">
        <f>+VLOOKUP($B18,TableA3!$B:$H,MATCH(E$3,TableA3!$B$3:$H$3,0),0)</f>
        <v>-7.1287123742397318E-4</v>
      </c>
      <c r="F18" s="320">
        <v>0.1</v>
      </c>
      <c r="G18" s="320">
        <v>0.09</v>
      </c>
      <c r="H18" s="317"/>
      <c r="I18" s="317"/>
      <c r="J18" s="317"/>
    </row>
    <row r="19" spans="2:10" ht="19.5">
      <c r="B19" s="317" t="s">
        <v>45</v>
      </c>
      <c r="C19" s="318">
        <f>+VLOOKUP($B19,TableA3!$B:$H,MATCH(C$3,TableA3!$B$3:$H$3,0),0)</f>
        <v>8.7746373397239688E-2</v>
      </c>
      <c r="D19" s="318">
        <f>+VLOOKUP($B19,TableA3!$B:$H,MATCH(D$3,TableA3!$B$3:$H$3,0),0)</f>
        <v>5.5699768396038747E-2</v>
      </c>
      <c r="E19" s="318">
        <f>+VLOOKUP($B19,TableA3!$B:$H,MATCH(E$3,TableA3!$B$3:$H$3,0),0)</f>
        <v>-3.2046605001200941E-2</v>
      </c>
      <c r="F19" s="320">
        <v>0.1</v>
      </c>
      <c r="G19" s="320">
        <v>0.09</v>
      </c>
      <c r="H19" s="317"/>
      <c r="I19" s="317"/>
      <c r="J19" s="317"/>
    </row>
    <row r="20" spans="2:10" ht="19.5">
      <c r="B20" s="317" t="s">
        <v>46</v>
      </c>
      <c r="C20" s="318">
        <f>+VLOOKUP($B20,TableA3!$B:$H,MATCH(C$3,TableA3!$B$3:$H$3,0),0)</f>
        <v>5.640790843651218E-2</v>
      </c>
      <c r="D20" s="318">
        <f>+VLOOKUP($B20,TableA3!$B:$H,MATCH(D$3,TableA3!$B$3:$H$3,0),0)</f>
        <v>5.0832713065595038E-2</v>
      </c>
      <c r="E20" s="318">
        <f>+VLOOKUP($B20,TableA3!$B:$H,MATCH(E$3,TableA3!$B$3:$H$3,0),0)</f>
        <v>-5.5751953709171423E-3</v>
      </c>
      <c r="F20" s="320">
        <v>0.1</v>
      </c>
      <c r="G20" s="320">
        <v>0.09</v>
      </c>
      <c r="H20" s="317"/>
      <c r="I20" s="317"/>
      <c r="J20" s="317"/>
    </row>
    <row r="21" spans="2:10" ht="19.5">
      <c r="B21" s="317" t="s">
        <v>47</v>
      </c>
      <c r="C21" s="318">
        <f>+VLOOKUP($B21,TableA3!$B:$H,MATCH(C$3,TableA3!$B$3:$H$3,0),0)</f>
        <v>3.5861224922702772E-2</v>
      </c>
      <c r="D21" s="318">
        <f>+VLOOKUP($B21,TableA3!$B:$H,MATCH(D$3,TableA3!$B$3:$H$3,0),0)</f>
        <v>3.8147870169244827E-2</v>
      </c>
      <c r="E21" s="318">
        <f>+VLOOKUP($B21,TableA3!$B:$H,MATCH(E$3,TableA3!$B$3:$H$3,0),0)</f>
        <v>2.2866452465420545E-3</v>
      </c>
      <c r="F21" s="320">
        <v>0.1</v>
      </c>
      <c r="G21" s="320">
        <v>0.09</v>
      </c>
      <c r="H21" s="317"/>
      <c r="I21" s="317"/>
      <c r="J21" s="317"/>
    </row>
    <row r="22" spans="2:10" ht="19.5">
      <c r="B22" s="317" t="s">
        <v>48</v>
      </c>
      <c r="C22" s="318">
        <f>+VLOOKUP($B22,TableA3!$B:$H,MATCH(C$3,TableA3!$B$3:$H$3,0),0)</f>
        <v>2.5672298890945015E-2</v>
      </c>
      <c r="D22" s="318">
        <f>+VLOOKUP($B22,TableA3!$B:$H,MATCH(D$3,TableA3!$B$3:$H$3,0),0)</f>
        <v>3.6838649547281221E-2</v>
      </c>
      <c r="E22" s="318">
        <f>+VLOOKUP($B22,TableA3!$B:$H,MATCH(E$3,TableA3!$B$3:$H$3,0),0)</f>
        <v>1.1166350656336206E-2</v>
      </c>
      <c r="F22" s="320">
        <v>0.1</v>
      </c>
      <c r="G22" s="320">
        <v>0.09</v>
      </c>
      <c r="H22" s="317"/>
      <c r="I22" s="317"/>
      <c r="J22" s="317"/>
    </row>
    <row r="23" spans="2:10" ht="19.5">
      <c r="B23" s="317" t="s">
        <v>31</v>
      </c>
      <c r="C23" s="318">
        <f>+VLOOKUP($B23,TableA3!$B:$H,MATCH(C$3,TableA3!$B$3:$H$3,0),0)</f>
        <v>1.7437633144078594E-2</v>
      </c>
      <c r="D23" s="318">
        <f>+VLOOKUP($B23,TableA3!$B:$H,MATCH(D$3,TableA3!$B$3:$H$3,0),0)</f>
        <v>2.47308978197079E-2</v>
      </c>
      <c r="E23" s="318">
        <f>+VLOOKUP($B23,TableA3!$B:$H,MATCH(E$3,TableA3!$B$3:$H$3,0),0)</f>
        <v>7.2932646756293067E-3</v>
      </c>
      <c r="F23" s="320">
        <v>0.1</v>
      </c>
      <c r="G23" s="320">
        <v>0.09</v>
      </c>
      <c r="H23" s="317"/>
      <c r="I23" s="317"/>
      <c r="J23" s="317"/>
    </row>
    <row r="24" spans="2:10" ht="19.5">
      <c r="H24" s="317"/>
      <c r="I24" s="317"/>
      <c r="J24" s="317"/>
    </row>
  </sheetData>
  <autoFilter ref="B3:F24" xr:uid="{00000000-0009-0000-0000-000008000000}">
    <sortState ref="B4:F24">
      <sortCondition descending="1" ref="D3:D24"/>
    </sortState>
  </autoFilter>
  <sortState ref="B4:E24">
    <sortCondition descending="1" ref="D4:D24"/>
  </sortState>
  <mergeCells count="1">
    <mergeCell ref="C2:E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53"/>
  <sheetViews>
    <sheetView zoomScale="116" zoomScaleNormal="116" workbookViewId="0">
      <pane xSplit="1" ySplit="4" topLeftCell="B39" activePane="bottomRight" state="frozen"/>
      <selection pane="topRight" activeCell="D1" sqref="D1"/>
      <selection pane="bottomLeft" activeCell="A4" sqref="A4"/>
      <selection pane="bottomRight" activeCell="L49" sqref="L49"/>
    </sheetView>
  </sheetViews>
  <sheetFormatPr defaultColWidth="8.6328125" defaultRowHeight="15.5"/>
  <cols>
    <col min="1" max="29" width="8.6328125" style="342"/>
    <col min="31" max="39" width="8.6328125" style="342"/>
    <col min="40" max="40" width="9.36328125" style="342" bestFit="1" customWidth="1"/>
    <col min="41" max="16384" width="8.6328125" style="342"/>
  </cols>
  <sheetData>
    <row r="1" spans="1:70">
      <c r="B1" s="536" t="s">
        <v>629</v>
      </c>
      <c r="C1" s="536"/>
      <c r="N1" s="536" t="s">
        <v>604</v>
      </c>
      <c r="O1" s="536"/>
      <c r="V1" s="536" t="s">
        <v>612</v>
      </c>
      <c r="AE1" s="536" t="s">
        <v>626</v>
      </c>
      <c r="AN1" s="536" t="s">
        <v>639</v>
      </c>
      <c r="AT1" s="536" t="s">
        <v>627</v>
      </c>
    </row>
    <row r="2" spans="1:70">
      <c r="B2" s="576" t="s">
        <v>711</v>
      </c>
      <c r="C2" s="576"/>
      <c r="N2" s="536"/>
      <c r="O2" s="536"/>
      <c r="V2" s="536"/>
      <c r="AE2" s="576" t="s">
        <v>625</v>
      </c>
      <c r="AN2" s="576" t="s">
        <v>638</v>
      </c>
      <c r="BR2" s="536"/>
    </row>
    <row r="3" spans="1:70" s="534" customFormat="1" ht="145">
      <c r="B3" s="535" t="s">
        <v>714</v>
      </c>
      <c r="C3" s="535" t="s">
        <v>950</v>
      </c>
      <c r="D3" s="535" t="s">
        <v>500</v>
      </c>
      <c r="E3" s="534" t="s">
        <v>498</v>
      </c>
      <c r="F3" s="533" t="s">
        <v>712</v>
      </c>
      <c r="G3" s="533" t="s">
        <v>713</v>
      </c>
      <c r="H3" s="533" t="s">
        <v>951</v>
      </c>
      <c r="I3" s="533" t="s">
        <v>630</v>
      </c>
      <c r="J3" s="533" t="s">
        <v>952</v>
      </c>
      <c r="K3" s="533" t="s">
        <v>953</v>
      </c>
      <c r="L3" s="533" t="s">
        <v>715</v>
      </c>
      <c r="M3" s="535"/>
      <c r="N3" s="535" t="s">
        <v>499</v>
      </c>
      <c r="O3" s="533" t="s">
        <v>502</v>
      </c>
      <c r="P3" s="533" t="s">
        <v>706</v>
      </c>
      <c r="Q3" s="533" t="s">
        <v>707</v>
      </c>
      <c r="R3" s="533" t="s">
        <v>971</v>
      </c>
      <c r="S3" s="533" t="s">
        <v>946</v>
      </c>
      <c r="T3" s="533" t="s">
        <v>968</v>
      </c>
      <c r="V3" s="535" t="s">
        <v>501</v>
      </c>
      <c r="W3" s="561" t="s">
        <v>64</v>
      </c>
      <c r="X3" s="561" t="s">
        <v>18</v>
      </c>
      <c r="Y3" s="533" t="s">
        <v>611</v>
      </c>
      <c r="Z3" s="557" t="s">
        <v>606</v>
      </c>
      <c r="AA3" s="533" t="s">
        <v>959</v>
      </c>
      <c r="AB3" s="535" t="s">
        <v>503</v>
      </c>
      <c r="AC3" s="535" t="s">
        <v>973</v>
      </c>
      <c r="AD3" s="533"/>
      <c r="AE3" s="535" t="s">
        <v>621</v>
      </c>
      <c r="AF3" s="534" t="s">
        <v>73</v>
      </c>
      <c r="AG3" s="533" t="s">
        <v>619</v>
      </c>
      <c r="AH3" s="534" t="s">
        <v>613</v>
      </c>
      <c r="AI3" s="533" t="s">
        <v>623</v>
      </c>
      <c r="AJ3" s="561" t="s">
        <v>616</v>
      </c>
      <c r="AK3" s="533" t="s">
        <v>617</v>
      </c>
      <c r="AL3" s="535" t="s">
        <v>624</v>
      </c>
      <c r="AM3" s="535"/>
      <c r="AN3" s="533" t="s">
        <v>637</v>
      </c>
      <c r="AO3" s="533" t="s">
        <v>632</v>
      </c>
      <c r="AP3" s="578" t="s">
        <v>633</v>
      </c>
      <c r="AQ3" s="578" t="s">
        <v>635</v>
      </c>
      <c r="AR3" s="578" t="s">
        <v>636</v>
      </c>
      <c r="AS3" s="535"/>
      <c r="AT3" s="580" t="s">
        <v>628</v>
      </c>
      <c r="AU3" s="583" t="s">
        <v>632</v>
      </c>
      <c r="AV3" s="583" t="s">
        <v>633</v>
      </c>
      <c r="AW3" s="583" t="s">
        <v>635</v>
      </c>
      <c r="AX3" s="583" t="s">
        <v>636</v>
      </c>
      <c r="AY3" s="578" t="s">
        <v>72</v>
      </c>
      <c r="AZ3" s="583" t="s">
        <v>632</v>
      </c>
      <c r="BA3" s="583" t="s">
        <v>633</v>
      </c>
      <c r="BB3" s="583" t="s">
        <v>635</v>
      </c>
      <c r="BC3" s="583" t="s">
        <v>636</v>
      </c>
      <c r="BE3" s="534" t="s">
        <v>74</v>
      </c>
    </row>
    <row r="4" spans="1:70" s="571" customFormat="1" ht="48" customHeight="1">
      <c r="C4" s="752"/>
      <c r="J4" s="571" t="s">
        <v>972</v>
      </c>
      <c r="N4" s="571" t="s">
        <v>969</v>
      </c>
      <c r="O4" s="571" t="s">
        <v>709</v>
      </c>
      <c r="P4" s="571" t="s">
        <v>710</v>
      </c>
      <c r="Q4" s="571" t="s">
        <v>708</v>
      </c>
      <c r="R4" s="571" t="s">
        <v>970</v>
      </c>
      <c r="V4" s="571" t="s">
        <v>608</v>
      </c>
      <c r="W4" s="571" t="s">
        <v>609</v>
      </c>
      <c r="Y4" s="571" t="s">
        <v>610</v>
      </c>
      <c r="Z4" s="558" t="s">
        <v>607</v>
      </c>
      <c r="AE4" s="573"/>
      <c r="AF4" s="572"/>
      <c r="AG4" s="572" t="s">
        <v>618</v>
      </c>
      <c r="AH4" s="572"/>
      <c r="AI4" s="572" t="s">
        <v>614</v>
      </c>
      <c r="AJ4" s="572" t="s">
        <v>622</v>
      </c>
      <c r="AK4" s="572" t="s">
        <v>614</v>
      </c>
      <c r="AL4" s="573"/>
      <c r="AM4" s="573"/>
      <c r="AN4" s="579" t="s">
        <v>631</v>
      </c>
      <c r="AO4" s="579" t="s">
        <v>642</v>
      </c>
      <c r="AP4" s="579" t="s">
        <v>634</v>
      </c>
      <c r="AQ4" s="579" t="s">
        <v>640</v>
      </c>
      <c r="AR4" s="579" t="s">
        <v>641</v>
      </c>
      <c r="AS4" s="573"/>
      <c r="AW4" s="579"/>
      <c r="AX4" s="579"/>
      <c r="AY4" s="579"/>
      <c r="BE4" s="572"/>
    </row>
    <row r="5" spans="1:70">
      <c r="A5" s="342">
        <v>1975</v>
      </c>
      <c r="B5" s="567">
        <f t="shared" ref="B5:B49" si="0">N5/F5</f>
        <v>9.9657517220842082E-2</v>
      </c>
      <c r="C5" s="567">
        <f>J5/H5</f>
        <v>4.4264970609858859E-2</v>
      </c>
      <c r="D5" s="567">
        <f t="shared" ref="D5:D49" si="1">F5/E5</f>
        <v>0.14470206791406698</v>
      </c>
      <c r="E5" s="556">
        <v>5127.5556209211045</v>
      </c>
      <c r="F5" s="556">
        <v>741.9679016916815</v>
      </c>
      <c r="G5" s="556">
        <f t="shared" ref="G5:G44" si="2">L5*F5</f>
        <v>171.39458529077842</v>
      </c>
      <c r="H5" s="556">
        <f t="shared" ref="H5:H49" si="3">F5-G5</f>
        <v>570.57331640090308</v>
      </c>
      <c r="I5" s="556"/>
      <c r="J5" s="556">
        <f>AA5+X5</f>
        <v>25.256411081255674</v>
      </c>
      <c r="K5" s="532">
        <f t="shared" ref="K5:K49" si="4">G5/F5</f>
        <v>0.23099999999999998</v>
      </c>
      <c r="L5" s="532">
        <v>0.23100000000000001</v>
      </c>
      <c r="N5" s="562">
        <f t="shared" ref="N5:N44" si="5">V5+((1-AC5)*J5)/(1-R5)</f>
        <v>73.942678940150813</v>
      </c>
      <c r="O5" s="553">
        <f>[1]T.A1!$L19</f>
        <v>0.72295059958701624</v>
      </c>
      <c r="P5" s="553">
        <f>[1]T.A1!$J19/([1]T.A1!$K19+MAX([1]T.A1!$H19,0))</f>
        <v>0.72295059958701624</v>
      </c>
      <c r="Q5" s="552">
        <f>[1]T.A1!$J19/([1]T.A1!$K19+MAX([1]T.A1!$H19,0)+X5)</f>
        <v>0.71899326248459061</v>
      </c>
      <c r="R5" s="552">
        <f t="shared" ref="R5:R49" si="6">(L5+Q5)/2</f>
        <v>0.4749966312422953</v>
      </c>
      <c r="S5" s="552">
        <f t="shared" ref="S5:S49" si="7">1-J5/N5</f>
        <v>0.65843256637079373</v>
      </c>
      <c r="V5" s="562">
        <f t="shared" ref="V5:V50" si="8">W5+X5</f>
        <v>61.617294460577575</v>
      </c>
      <c r="W5" s="564">
        <f t="shared" ref="W5:W50" si="9">Y5/(1-P5)+Z5</f>
        <v>61.294482848689213</v>
      </c>
      <c r="X5" s="556">
        <f>'Wright-Zucman'!P37</f>
        <v>0.32281161188835905</v>
      </c>
      <c r="Y5" s="556">
        <f>[1]T.A1!$B19</f>
        <v>16.414000000000001</v>
      </c>
      <c r="Z5" s="560">
        <f t="shared" ref="Z5:Z11" si="10">Z6*Y5/Y6</f>
        <v>2.048731096357439</v>
      </c>
      <c r="AA5" s="556">
        <f t="array" ref="AA5:AA51">TRANSPOSE(GlobalDIEquityIncome!$B$229:$AV$229)</f>
        <v>24.933599469367316</v>
      </c>
      <c r="AB5" s="567">
        <f t="shared" ref="AB5:AB11" si="11">V5/N5</f>
        <v>0.8333116319798286</v>
      </c>
      <c r="AC5" s="567">
        <f t="shared" ref="AC5:AC50" si="12">(Y5+Z5+X5)/J5</f>
        <v>0.74379303725332924</v>
      </c>
      <c r="AD5" s="751"/>
      <c r="AE5" s="577">
        <f t="shared" ref="AE5:AE50" si="13">+AG5*AH5</f>
        <v>6.2675282359083853E-3</v>
      </c>
      <c r="AF5" s="568">
        <f t="shared" ref="AF5:AF50" si="14">AG5-AE5</f>
        <v>5.6462464397033993E-2</v>
      </c>
      <c r="AG5" s="568">
        <f>+'Wright-Zucman'!H37*1.1</f>
        <v>6.2729992632942377E-2</v>
      </c>
      <c r="AH5" s="570">
        <f t="shared" ref="AH5:AH50" si="15">MAX(1-AK5/AJ5,0)</f>
        <v>9.9912784504569196E-2</v>
      </c>
      <c r="AI5" s="568">
        <f>'[1]Assets(MOFA)'!$AP20/'[1]Assets(MOFA)'!I20</f>
        <v>1.4222135252606467</v>
      </c>
      <c r="AJ5" s="568">
        <f>('[1]Assets(MOFA)'!$AP20+1000*'Wright-Zucman'!P37)/('[1]Assets(MOFA)'!$I20)</f>
        <v>1.5732222166250027</v>
      </c>
      <c r="AK5" s="569">
        <f>'[1]Assets(MOFA)'!$AS20/'[1]Assets(MOFA)'!J20</f>
        <v>1.4160372043175482</v>
      </c>
      <c r="AL5" s="574">
        <f t="shared" ref="AL5:AL50" si="16">+AE5*V5</f>
        <v>0.3861881328519513</v>
      </c>
      <c r="AM5" s="574"/>
      <c r="AN5" s="582">
        <f>1-(1-AN6)*(1-AE5)/(1-AE6)</f>
        <v>6.2675282359083706E-3</v>
      </c>
      <c r="AO5" s="575">
        <f t="shared" ref="AO5:AO44" si="17">I$45/N$45</f>
        <v>0.36193700811902024</v>
      </c>
      <c r="AP5" s="575">
        <v>0</v>
      </c>
      <c r="AQ5" s="575">
        <f>AE5</f>
        <v>6.2675282359083853E-3</v>
      </c>
      <c r="AR5" s="575">
        <f>AE5/2</f>
        <v>3.1337641179541927E-3</v>
      </c>
      <c r="AS5" s="574"/>
      <c r="AT5" s="581">
        <f t="shared" ref="AT5:AT43" si="18">AE5*AB5+(1-AB5)*AN5</f>
        <v>6.2675282359083827E-3</v>
      </c>
      <c r="AU5" s="389">
        <f>$AE5*$AB5+(1-$AB5)*AO5</f>
        <v>6.5553493392207479E-2</v>
      </c>
      <c r="AV5" s="389">
        <f>$AE5*$AB5+(1-$AB5)*AP5</f>
        <v>5.2228041827444725E-3</v>
      </c>
      <c r="AW5" s="389">
        <f>$AE5*$AB5+(1-$AB5)*AQ5</f>
        <v>6.2675282359083853E-3</v>
      </c>
      <c r="AX5" s="389">
        <f>$AE5*$AB5+(1-$AB5)*AR5</f>
        <v>5.7451662093264289E-3</v>
      </c>
      <c r="AY5" s="570">
        <f t="shared" ref="AY5:AY43" si="19">+$AY$45*(AT5*B5)/($AT$45*$B$45)</f>
        <v>1.050042226275397E-3</v>
      </c>
      <c r="AZ5" s="570">
        <f t="shared" ref="AZ5:BA43" si="20">+AZ$45*(AU5*$B5)/(AU$45*$B$45)</f>
        <v>1.0982628805294346E-2</v>
      </c>
      <c r="BA5" s="570">
        <f t="shared" si="20"/>
        <v>8.7501240122528389E-4</v>
      </c>
      <c r="BB5" s="570">
        <f t="shared" ref="BB5:BB43" si="21">+BB$45*(AW5*$B5)/(AW$45*$B$45)</f>
        <v>1.0500422262753975E-3</v>
      </c>
      <c r="BC5" s="570">
        <f t="shared" ref="BC5:BC43" si="22">+BC$45*(AX5*$B5)/(AX$45*$B$45)</f>
        <v>9.6252731375034073E-4</v>
      </c>
      <c r="BE5" s="368"/>
    </row>
    <row r="6" spans="1:70">
      <c r="A6" s="342">
        <v>1976</v>
      </c>
      <c r="B6" s="567">
        <f t="shared" si="0"/>
        <v>0.11722170787446358</v>
      </c>
      <c r="C6" s="567">
        <f t="shared" ref="C6:C49" si="23">J6/H6</f>
        <v>4.5874547181408702E-2</v>
      </c>
      <c r="D6" s="567">
        <f t="shared" si="1"/>
        <v>0.14397126261561582</v>
      </c>
      <c r="E6" s="556">
        <v>5573.985592279656</v>
      </c>
      <c r="F6" s="556">
        <v>802.49374352175323</v>
      </c>
      <c r="G6" s="556">
        <f t="shared" si="2"/>
        <v>163.70872367843765</v>
      </c>
      <c r="H6" s="556">
        <f t="shared" si="3"/>
        <v>638.78501984331558</v>
      </c>
      <c r="I6" s="556"/>
      <c r="J6" s="556">
        <f t="shared" ref="J6:J50" si="24">AA6+X6</f>
        <v>29.303973531579274</v>
      </c>
      <c r="K6" s="532">
        <f t="shared" si="4"/>
        <v>0.20399999999999999</v>
      </c>
      <c r="L6" s="532">
        <v>0.20399999999999999</v>
      </c>
      <c r="N6" s="562">
        <f t="shared" si="5"/>
        <v>94.069687174191657</v>
      </c>
      <c r="O6" s="553">
        <f>[1]T.A1!$L20</f>
        <v>0.75295590637735277</v>
      </c>
      <c r="P6" s="553">
        <f>[1]T.A1!$J20/([1]T.A1!$K20+MAX([1]T.A1!$H20,0))</f>
        <v>0.75295590637735277</v>
      </c>
      <c r="Q6" s="552">
        <f>[1]T.A1!$J20/([1]T.A1!$K20+MAX([1]T.A1!$H20,0)+X6)</f>
        <v>0.74849400064323557</v>
      </c>
      <c r="R6" s="552">
        <f t="shared" si="6"/>
        <v>0.47624700032161776</v>
      </c>
      <c r="S6" s="552">
        <f t="shared" si="7"/>
        <v>0.68848654213852933</v>
      </c>
      <c r="V6" s="562">
        <f t="shared" si="8"/>
        <v>79.852219712232611</v>
      </c>
      <c r="W6" s="564">
        <f t="shared" si="9"/>
        <v>79.397687734670001</v>
      </c>
      <c r="X6" s="556">
        <f>'Wright-Zucman'!P38</f>
        <v>0.45453197756260488</v>
      </c>
      <c r="Y6" s="556">
        <f>[1]T.A1!$B20</f>
        <v>19.027999999999999</v>
      </c>
      <c r="Z6" s="560">
        <f t="shared" si="10"/>
        <v>2.3750003229858256</v>
      </c>
      <c r="AA6" s="556">
        <v>28.849441554016668</v>
      </c>
      <c r="AB6" s="567">
        <f t="shared" si="11"/>
        <v>0.84886239245558315</v>
      </c>
      <c r="AC6" s="567">
        <f t="shared" si="12"/>
        <v>0.74588970935950971</v>
      </c>
      <c r="AD6" s="751"/>
      <c r="AE6" s="577">
        <f t="shared" si="13"/>
        <v>0</v>
      </c>
      <c r="AF6" s="568">
        <f t="shared" si="14"/>
        <v>5.5480100420501902E-2</v>
      </c>
      <c r="AG6" s="568">
        <f>+'Wright-Zucman'!H38*1.1</f>
        <v>5.5480100420501902E-2</v>
      </c>
      <c r="AH6" s="570">
        <f t="shared" si="15"/>
        <v>0</v>
      </c>
      <c r="AI6" s="568">
        <f>'[1]Assets(MOFA)'!$AP21/'[1]Assets(MOFA)'!I21</f>
        <v>1.2370968506375266</v>
      </c>
      <c r="AJ6" s="568">
        <f>('[1]Assets(MOFA)'!$AP21+1000*'Wright-Zucman'!P38)/('[1]Assets(MOFA)'!$I21)</f>
        <v>1.4017958940137816</v>
      </c>
      <c r="AK6" s="569">
        <f>'[1]Assets(MOFA)'!$AS21/'[1]Assets(MOFA)'!J21</f>
        <v>1.5550447238458842</v>
      </c>
      <c r="AL6" s="574">
        <f t="shared" si="16"/>
        <v>0</v>
      </c>
      <c r="AM6" s="574"/>
      <c r="AN6" s="582">
        <f t="shared" ref="AN6:AN44" si="25">AN7*AE6/AE7</f>
        <v>0</v>
      </c>
      <c r="AO6" s="575">
        <f t="shared" si="17"/>
        <v>0.36193700811902024</v>
      </c>
      <c r="AP6" s="575">
        <v>0</v>
      </c>
      <c r="AQ6" s="575">
        <f t="shared" ref="AQ6:AQ44" si="26">AE6</f>
        <v>0</v>
      </c>
      <c r="AR6" s="575">
        <f t="shared" ref="AR6:AR44" si="27">AE6/2</f>
        <v>0</v>
      </c>
      <c r="AS6" s="574"/>
      <c r="AT6" s="581">
        <f t="shared" si="18"/>
        <v>0</v>
      </c>
      <c r="AU6" s="389">
        <f t="shared" ref="AU6:AU44" si="28">$AE6*$AB6+(1-$AB6)*AO6</f>
        <v>5.4702293488892897E-2</v>
      </c>
      <c r="AV6" s="389">
        <f t="shared" ref="AV6:AV44" si="29">$AE6*$AB6+(1-$AB6)*AP6</f>
        <v>0</v>
      </c>
      <c r="AW6" s="389">
        <f t="shared" ref="AW6:AW44" si="30">$AE6*$AB6+(1-$AB6)*AQ6</f>
        <v>0</v>
      </c>
      <c r="AX6" s="389">
        <f t="shared" ref="AX6:AX44" si="31">$AE6*$AB6+(1-$AB6)*AR6</f>
        <v>0</v>
      </c>
      <c r="AY6" s="570">
        <f t="shared" si="19"/>
        <v>0</v>
      </c>
      <c r="AZ6" s="570">
        <f t="shared" si="20"/>
        <v>1.0779881366448512E-2</v>
      </c>
      <c r="BA6" s="570">
        <f t="shared" si="20"/>
        <v>0</v>
      </c>
      <c r="BB6" s="570">
        <f t="shared" si="21"/>
        <v>0</v>
      </c>
      <c r="BC6" s="570">
        <f t="shared" si="22"/>
        <v>0</v>
      </c>
      <c r="BE6" s="368"/>
    </row>
    <row r="7" spans="1:70">
      <c r="A7" s="342">
        <v>1977</v>
      </c>
      <c r="B7" s="567">
        <f t="shared" si="0"/>
        <v>9.4714857906828306E-2</v>
      </c>
      <c r="C7" s="567">
        <f t="shared" si="23"/>
        <v>4.0890859902648694E-2</v>
      </c>
      <c r="D7" s="567">
        <f t="shared" si="1"/>
        <v>0.1445614018544939</v>
      </c>
      <c r="E7" s="556">
        <v>6299.5227558302795</v>
      </c>
      <c r="F7" s="556">
        <v>910.66784059710983</v>
      </c>
      <c r="G7" s="556">
        <f t="shared" si="2"/>
        <v>198.52558925016993</v>
      </c>
      <c r="H7" s="556">
        <f t="shared" si="3"/>
        <v>712.14225134693993</v>
      </c>
      <c r="I7" s="556"/>
      <c r="J7" s="556">
        <f t="shared" si="24"/>
        <v>29.120109030584555</v>
      </c>
      <c r="K7" s="532">
        <f t="shared" si="4"/>
        <v>0.21799999999999997</v>
      </c>
      <c r="L7" s="532">
        <v>0.218</v>
      </c>
      <c r="N7" s="562">
        <f t="shared" si="5"/>
        <v>86.253775122473428</v>
      </c>
      <c r="O7" s="553">
        <f>[1]T.A1!$L21</f>
        <v>0.72876939648898076</v>
      </c>
      <c r="P7" s="553">
        <f>[1]T.A1!$J21/([1]T.A1!$K21+MAX([1]T.A1!$H21,0))</f>
        <v>0.72876939648898076</v>
      </c>
      <c r="Q7" s="552">
        <f>[1]T.A1!$J21/([1]T.A1!$K21+MAX([1]T.A1!$H21,0)+X7)</f>
        <v>0.72284329126015279</v>
      </c>
      <c r="R7" s="552">
        <f t="shared" si="6"/>
        <v>0.47042164563007638</v>
      </c>
      <c r="S7" s="552">
        <f t="shared" si="7"/>
        <v>0.66239032449030388</v>
      </c>
      <c r="V7" s="562">
        <f t="shared" si="8"/>
        <v>72.307867185275896</v>
      </c>
      <c r="W7" s="564">
        <f t="shared" si="9"/>
        <v>71.744658559101481</v>
      </c>
      <c r="X7" s="556">
        <f>'Wright-Zucman'!P39</f>
        <v>0.56320862617441159</v>
      </c>
      <c r="Y7" s="556">
        <f>[1]T.A1!$B21</f>
        <v>18.822143328158646</v>
      </c>
      <c r="Z7" s="560">
        <f t="shared" si="10"/>
        <v>2.3493061006759661</v>
      </c>
      <c r="AA7" s="556">
        <v>28.556900404410143</v>
      </c>
      <c r="AB7" s="567">
        <f t="shared" si="11"/>
        <v>0.83831539063194083</v>
      </c>
      <c r="AC7" s="567">
        <f t="shared" si="12"/>
        <v>0.74637969357124778</v>
      </c>
      <c r="AD7" s="751"/>
      <c r="AE7" s="577">
        <f t="shared" si="13"/>
        <v>5.0643526999786135E-3</v>
      </c>
      <c r="AF7" s="568">
        <f t="shared" si="14"/>
        <v>6.5327567763121513E-2</v>
      </c>
      <c r="AG7" s="568">
        <f>+'Wright-Zucman'!H39*1.1</f>
        <v>7.0391920463100124E-2</v>
      </c>
      <c r="AH7" s="570">
        <f t="shared" si="15"/>
        <v>7.1945084985049923E-2</v>
      </c>
      <c r="AI7" s="568">
        <f>'[1]Assets(MOFA)'!$AP22/'[1]Assets(MOFA)'!I22</f>
        <v>1.0892454954954955</v>
      </c>
      <c r="AJ7" s="568">
        <f>('[1]Assets(MOFA)'!$AP22+1000*'Wright-Zucman'!P39)/('[1]Assets(MOFA)'!$I22)</f>
        <v>1.2478064825941475</v>
      </c>
      <c r="AK7" s="569">
        <f>'[1]Assets(MOFA)'!$AS22/'[1]Assets(MOFA)'!J22</f>
        <v>1.1580329391590154</v>
      </c>
      <c r="AL7" s="574">
        <f t="shared" si="16"/>
        <v>0.36619254240944699</v>
      </c>
      <c r="AM7" s="574"/>
      <c r="AN7" s="582">
        <f t="shared" si="25"/>
        <v>3.4817498482114292E-3</v>
      </c>
      <c r="AO7" s="575">
        <f t="shared" si="17"/>
        <v>0.36193700811902024</v>
      </c>
      <c r="AP7" s="575">
        <v>0</v>
      </c>
      <c r="AQ7" s="575">
        <f t="shared" si="26"/>
        <v>5.0643526999786135E-3</v>
      </c>
      <c r="AR7" s="575">
        <f t="shared" si="27"/>
        <v>2.5321763499893068E-3</v>
      </c>
      <c r="AS7" s="574"/>
      <c r="AT7" s="581">
        <f t="shared" si="18"/>
        <v>4.8084701761058595E-3</v>
      </c>
      <c r="AU7" s="389">
        <f t="shared" si="28"/>
        <v>6.2765168585548342E-2</v>
      </c>
      <c r="AV7" s="389">
        <f t="shared" si="29"/>
        <v>4.2455248119804955E-3</v>
      </c>
      <c r="AW7" s="389">
        <f t="shared" si="30"/>
        <v>5.0643526999786135E-3</v>
      </c>
      <c r="AX7" s="389">
        <f t="shared" si="31"/>
        <v>4.6549387559795541E-3</v>
      </c>
      <c r="AY7" s="570">
        <f t="shared" si="19"/>
        <v>7.6564145581182108E-4</v>
      </c>
      <c r="AZ7" s="570">
        <f t="shared" si="20"/>
        <v>9.993950942840505E-3</v>
      </c>
      <c r="BA7" s="570">
        <f t="shared" si="20"/>
        <v>6.760049825997699E-4</v>
      </c>
      <c r="BB7" s="570">
        <f t="shared" si="21"/>
        <v>8.0638503140230107E-4</v>
      </c>
      <c r="BC7" s="570">
        <f t="shared" si="22"/>
        <v>7.4119500700103554E-4</v>
      </c>
      <c r="BE7" s="368"/>
    </row>
    <row r="8" spans="1:70">
      <c r="A8" s="342">
        <v>1978</v>
      </c>
      <c r="B8" s="567">
        <f t="shared" si="0"/>
        <v>8.8089685653665484E-2</v>
      </c>
      <c r="C8" s="567">
        <f t="shared" si="23"/>
        <v>4.4967256629543387E-2</v>
      </c>
      <c r="D8" s="567">
        <f t="shared" si="1"/>
        <v>0.14486121477397693</v>
      </c>
      <c r="E8" s="556">
        <v>7409.2004633803235</v>
      </c>
      <c r="F8" s="556">
        <v>1073.3057796291864</v>
      </c>
      <c r="G8" s="556">
        <f t="shared" si="2"/>
        <v>238.27388307767939</v>
      </c>
      <c r="H8" s="556">
        <f t="shared" si="3"/>
        <v>835.03189655150709</v>
      </c>
      <c r="I8" s="556"/>
      <c r="J8" s="556">
        <f t="shared" si="24"/>
        <v>37.549093586085945</v>
      </c>
      <c r="K8" s="532">
        <f t="shared" si="4"/>
        <v>0.222</v>
      </c>
      <c r="L8" s="532">
        <v>0.222</v>
      </c>
      <c r="N8" s="562">
        <f t="shared" si="5"/>
        <v>94.547168737797392</v>
      </c>
      <c r="O8" s="553">
        <f>[1]T.A1!$L22</f>
        <v>0.66921848108341808</v>
      </c>
      <c r="P8" s="553">
        <f>[1]T.A1!$J22/([1]T.A1!$K22+MAX([1]T.A1!$H22,0))</f>
        <v>0.66921848108341808</v>
      </c>
      <c r="Q8" s="552">
        <f>[1]T.A1!$J22/([1]T.A1!$K22+MAX([1]T.A1!$H22,0)+X8)</f>
        <v>0.66221465469567864</v>
      </c>
      <c r="R8" s="552">
        <f t="shared" si="6"/>
        <v>0.44210732734783931</v>
      </c>
      <c r="S8" s="552">
        <f t="shared" si="7"/>
        <v>0.60285332615068743</v>
      </c>
      <c r="V8" s="562">
        <f t="shared" si="8"/>
        <v>78.242182341081573</v>
      </c>
      <c r="W8" s="564">
        <f t="shared" si="9"/>
        <v>77.471222383930026</v>
      </c>
      <c r="X8" s="556">
        <f>'Wright-Zucman'!P40</f>
        <v>0.77095995715155363</v>
      </c>
      <c r="Y8" s="556">
        <f>[1]T.A1!$B22</f>
        <v>24.609980017026388</v>
      </c>
      <c r="Z8" s="560">
        <f t="shared" si="10"/>
        <v>3.0717211734870915</v>
      </c>
      <c r="AA8" s="556">
        <v>36.778133628934391</v>
      </c>
      <c r="AB8" s="567">
        <f t="shared" si="11"/>
        <v>0.82754653984474602</v>
      </c>
      <c r="AC8" s="567">
        <f t="shared" si="12"/>
        <v>0.75774561861084033</v>
      </c>
      <c r="AD8" s="751"/>
      <c r="AE8" s="577">
        <f t="shared" si="13"/>
        <v>3.1327183888538404E-2</v>
      </c>
      <c r="AF8" s="568">
        <f t="shared" si="14"/>
        <v>6.4045972540341944E-2</v>
      </c>
      <c r="AG8" s="568">
        <f>+'Wright-Zucman'!H40*1.1</f>
        <v>9.5373156428880349E-2</v>
      </c>
      <c r="AH8" s="570">
        <f t="shared" si="15"/>
        <v>0.32846961410886144</v>
      </c>
      <c r="AI8" s="568">
        <f>'[1]Assets(MOFA)'!$AP23/'[1]Assets(MOFA)'!I23</f>
        <v>1.3983769071073573</v>
      </c>
      <c r="AJ8" s="568">
        <f>('[1]Assets(MOFA)'!$AP23+1000*'Wright-Zucman'!P40)/('[1]Assets(MOFA)'!$I23)</f>
        <v>1.5903431262974899</v>
      </c>
      <c r="AK8" s="569">
        <f>'[1]Assets(MOFA)'!$AS23/'[1]Assets(MOFA)'!J23</f>
        <v>1.067963733301873</v>
      </c>
      <c r="AL8" s="574">
        <f t="shared" si="16"/>
        <v>2.4511072340396147</v>
      </c>
      <c r="AM8" s="574"/>
      <c r="AN8" s="582">
        <f t="shared" si="25"/>
        <v>2.1537484494172518E-2</v>
      </c>
      <c r="AO8" s="575">
        <f t="shared" si="17"/>
        <v>0.36193700811902024</v>
      </c>
      <c r="AP8" s="575">
        <v>0</v>
      </c>
      <c r="AQ8" s="575">
        <f t="shared" si="26"/>
        <v>3.1327183888538404E-2</v>
      </c>
      <c r="AR8" s="575">
        <f t="shared" si="27"/>
        <v>1.5663591944269202E-2</v>
      </c>
      <c r="AS8" s="574"/>
      <c r="AT8" s="581">
        <f t="shared" si="18"/>
        <v>2.9638916354100212E-2</v>
      </c>
      <c r="AU8" s="389">
        <f t="shared" si="28"/>
        <v>8.8341992038405329E-2</v>
      </c>
      <c r="AV8" s="389">
        <f t="shared" si="29"/>
        <v>2.5924702630040031E-2</v>
      </c>
      <c r="AW8" s="389">
        <f t="shared" si="30"/>
        <v>3.1327183888538404E-2</v>
      </c>
      <c r="AX8" s="389">
        <f t="shared" si="31"/>
        <v>2.8625943259289216E-2</v>
      </c>
      <c r="AY8" s="570">
        <f t="shared" si="19"/>
        <v>4.389224380584234E-3</v>
      </c>
      <c r="AZ8" s="570">
        <f t="shared" si="20"/>
        <v>1.3082557427262541E-2</v>
      </c>
      <c r="BA8" s="570">
        <f t="shared" si="20"/>
        <v>3.8391868138399881E-3</v>
      </c>
      <c r="BB8" s="570">
        <f t="shared" si="21"/>
        <v>4.6392397635548676E-3</v>
      </c>
      <c r="BC8" s="570">
        <f t="shared" si="22"/>
        <v>4.2392132886974274E-3</v>
      </c>
      <c r="BE8" s="368"/>
    </row>
    <row r="9" spans="1:70">
      <c r="A9" s="342">
        <v>1979</v>
      </c>
      <c r="B9" s="567">
        <f t="shared" si="0"/>
        <v>0.11666059102837449</v>
      </c>
      <c r="C9" s="567">
        <f t="shared" si="23"/>
        <v>6.3051408258244415E-2</v>
      </c>
      <c r="D9" s="567">
        <f t="shared" si="1"/>
        <v>0.14190607606739974</v>
      </c>
      <c r="E9" s="556">
        <v>8600.6876156961844</v>
      </c>
      <c r="F9" s="556">
        <v>1220.4898310249257</v>
      </c>
      <c r="G9" s="556">
        <f t="shared" si="2"/>
        <v>267.2872729944587</v>
      </c>
      <c r="H9" s="556">
        <f t="shared" si="3"/>
        <v>953.202558030467</v>
      </c>
      <c r="I9" s="556"/>
      <c r="J9" s="556">
        <f t="shared" si="24"/>
        <v>60.100763639181885</v>
      </c>
      <c r="K9" s="532">
        <f t="shared" si="4"/>
        <v>0.21899999999999997</v>
      </c>
      <c r="L9" s="532">
        <v>0.219</v>
      </c>
      <c r="N9" s="562">
        <f t="shared" si="5"/>
        <v>142.38306503148874</v>
      </c>
      <c r="O9" s="553">
        <f>[1]T.A1!$L23</f>
        <v>0.64980950301371143</v>
      </c>
      <c r="P9" s="553">
        <f>[1]T.A1!$J23/([1]T.A1!$K23+MAX([1]T.A1!$H23,0))</f>
        <v>0.64980950301371143</v>
      </c>
      <c r="Q9" s="552">
        <f>[1]T.A1!$J23/([1]T.A1!$K23+MAX([1]T.A1!$H23,0)+X9)</f>
        <v>0.64315839178004419</v>
      </c>
      <c r="R9" s="552">
        <f t="shared" si="6"/>
        <v>0.43107919589002208</v>
      </c>
      <c r="S9" s="552">
        <f t="shared" si="7"/>
        <v>0.57789387645300172</v>
      </c>
      <c r="V9" s="562">
        <f t="shared" si="8"/>
        <v>112.62097331257873</v>
      </c>
      <c r="W9" s="564">
        <f t="shared" si="9"/>
        <v>111.55301536169486</v>
      </c>
      <c r="X9" s="556">
        <f>'Wright-Zucman'!P41</f>
        <v>1.0679579508838724</v>
      </c>
      <c r="Y9" s="556">
        <f>[1]T.A1!$B23</f>
        <v>37.428814698783114</v>
      </c>
      <c r="Z9" s="560">
        <f t="shared" si="10"/>
        <v>4.6717178367976926</v>
      </c>
      <c r="AA9" s="556">
        <v>59.032805688298012</v>
      </c>
      <c r="AB9" s="567">
        <f t="shared" si="11"/>
        <v>0.79097168815457108</v>
      </c>
      <c r="AC9" s="567">
        <f t="shared" si="12"/>
        <v>0.71826858549799788</v>
      </c>
      <c r="AD9" s="751"/>
      <c r="AE9" s="577">
        <f t="shared" si="13"/>
        <v>4.5586475626788331E-2</v>
      </c>
      <c r="AF9" s="568">
        <f t="shared" si="14"/>
        <v>6.3472934697325539E-2</v>
      </c>
      <c r="AG9" s="568">
        <f>+'Wright-Zucman'!H41*1.1</f>
        <v>0.10905941032411387</v>
      </c>
      <c r="AH9" s="570">
        <f t="shared" si="15"/>
        <v>0.41799671840614028</v>
      </c>
      <c r="AI9" s="568">
        <f>'[1]Assets(MOFA)'!$AP24/'[1]Assets(MOFA)'!I24</f>
        <v>2.0637003050448337</v>
      </c>
      <c r="AJ9" s="568">
        <f>('[1]Assets(MOFA)'!$AP24+1000*'Wright-Zucman'!P41)/('[1]Assets(MOFA)'!$I24)</f>
        <v>2.3012786795964555</v>
      </c>
      <c r="AK9" s="569">
        <f>'[1]Assets(MOFA)'!$AS24/'[1]Assets(MOFA)'!J24</f>
        <v>1.3393517433871216</v>
      </c>
      <c r="AL9" s="574">
        <f t="shared" si="16"/>
        <v>5.1339932549790488</v>
      </c>
      <c r="AM9" s="574"/>
      <c r="AN9" s="582">
        <f t="shared" si="25"/>
        <v>3.1340768306823211E-2</v>
      </c>
      <c r="AO9" s="575">
        <f t="shared" si="17"/>
        <v>0.36193700811902024</v>
      </c>
      <c r="AP9" s="575">
        <v>0</v>
      </c>
      <c r="AQ9" s="575">
        <f t="shared" si="26"/>
        <v>4.5586475626788331E-2</v>
      </c>
      <c r="AR9" s="575">
        <f t="shared" si="27"/>
        <v>2.2793237813394165E-2</v>
      </c>
      <c r="AS9" s="574"/>
      <c r="AT9" s="581">
        <f t="shared" si="18"/>
        <v>4.2608719474651953E-2</v>
      </c>
      <c r="AU9" s="389">
        <f t="shared" si="28"/>
        <v>0.11171269338504208</v>
      </c>
      <c r="AV9" s="389">
        <f t="shared" si="29"/>
        <v>3.6057611583537978E-2</v>
      </c>
      <c r="AW9" s="389">
        <f t="shared" si="30"/>
        <v>4.5586475626788331E-2</v>
      </c>
      <c r="AX9" s="389">
        <f t="shared" si="31"/>
        <v>4.0822043605163158E-2</v>
      </c>
      <c r="AY9" s="570">
        <f t="shared" si="19"/>
        <v>8.3564738098363643E-3</v>
      </c>
      <c r="AZ9" s="570">
        <f t="shared" si="20"/>
        <v>2.1909229096963134E-2</v>
      </c>
      <c r="BA9" s="570">
        <f t="shared" si="20"/>
        <v>7.0716625741907187E-3</v>
      </c>
      <c r="BB9" s="570">
        <f t="shared" si="21"/>
        <v>8.9404749627508533E-3</v>
      </c>
      <c r="BC9" s="570">
        <f t="shared" si="22"/>
        <v>8.0060687684707886E-3</v>
      </c>
      <c r="BE9" s="368"/>
    </row>
    <row r="10" spans="1:70">
      <c r="A10" s="342">
        <v>1980</v>
      </c>
      <c r="B10" s="567">
        <f t="shared" si="0"/>
        <v>7.8654611006140102E-2</v>
      </c>
      <c r="C10" s="567">
        <f t="shared" si="23"/>
        <v>5.7286724201963353E-2</v>
      </c>
      <c r="D10" s="567">
        <f t="shared" si="1"/>
        <v>0.13893632482514331</v>
      </c>
      <c r="E10" s="556">
        <v>9673.7815953799436</v>
      </c>
      <c r="F10" s="556">
        <v>1344.0396620232009</v>
      </c>
      <c r="G10" s="556">
        <f t="shared" si="2"/>
        <v>318.53739989949861</v>
      </c>
      <c r="H10" s="556">
        <f t="shared" si="3"/>
        <v>1025.5022621237022</v>
      </c>
      <c r="I10" s="556"/>
      <c r="J10" s="556">
        <f t="shared" si="24"/>
        <v>58.747665258770056</v>
      </c>
      <c r="K10" s="532">
        <f t="shared" si="4"/>
        <v>0.23699999999999999</v>
      </c>
      <c r="L10" s="532">
        <v>0.23699999999999999</v>
      </c>
      <c r="N10" s="562">
        <f t="shared" si="5"/>
        <v>105.71491679325888</v>
      </c>
      <c r="O10" s="553">
        <f>[1]T.A1!$L24</f>
        <v>0.50571869430380745</v>
      </c>
      <c r="P10" s="553">
        <f>[1]T.A1!$J24/([1]T.A1!$K24+MAX([1]T.A1!$H24,0))</f>
        <v>0.50571869430380745</v>
      </c>
      <c r="Q10" s="552">
        <f>[1]T.A1!$J24/([1]T.A1!$K24+MAX([1]T.A1!$H24,0)+X10)</f>
        <v>0.49763924657811892</v>
      </c>
      <c r="R10" s="552">
        <f t="shared" si="6"/>
        <v>0.36731962328905943</v>
      </c>
      <c r="S10" s="552">
        <f t="shared" si="7"/>
        <v>0.4442821595966463</v>
      </c>
      <c r="V10" s="562">
        <f t="shared" si="8"/>
        <v>79.684238586781916</v>
      </c>
      <c r="W10" s="564">
        <f t="shared" si="9"/>
        <v>78.528613096733523</v>
      </c>
      <c r="X10" s="556">
        <f>'Wright-Zucman'!P42</f>
        <v>1.1556254900483982</v>
      </c>
      <c r="Y10" s="556">
        <f>[1]T.A1!$B24</f>
        <v>36.559701889929393</v>
      </c>
      <c r="Z10" s="560">
        <f t="shared" si="10"/>
        <v>4.563238585077138</v>
      </c>
      <c r="AA10" s="556">
        <v>57.592039768721655</v>
      </c>
      <c r="AB10" s="567">
        <f t="shared" si="11"/>
        <v>0.75376532474235591</v>
      </c>
      <c r="AC10" s="567">
        <f t="shared" si="12"/>
        <v>0.71966376499946849</v>
      </c>
      <c r="AD10" s="751"/>
      <c r="AE10" s="577">
        <f t="shared" si="13"/>
        <v>9.6180021782855118E-2</v>
      </c>
      <c r="AF10" s="568">
        <f t="shared" si="14"/>
        <v>6.0695354207160018E-2</v>
      </c>
      <c r="AG10" s="568">
        <f>+'Wright-Zucman'!H42*1.1</f>
        <v>0.15687537599001514</v>
      </c>
      <c r="AH10" s="570">
        <f t="shared" si="15"/>
        <v>0.61309827100574932</v>
      </c>
      <c r="AI10" s="568">
        <f>'[1]Assets(MOFA)'!$AP25/'[1]Assets(MOFA)'!I25</f>
        <v>1.8845977342004883</v>
      </c>
      <c r="AJ10" s="568">
        <f>('[1]Assets(MOFA)'!$AP25+1000*'Wright-Zucman'!P42)/('[1]Assets(MOFA)'!$I25)</f>
        <v>2.1223517965133638</v>
      </c>
      <c r="AK10" s="569">
        <f>'[1]Assets(MOFA)'!$AS25/'[1]Assets(MOFA)'!J25</f>
        <v>0.8211415796050745</v>
      </c>
      <c r="AL10" s="574">
        <f t="shared" si="16"/>
        <v>7.6640318030269095</v>
      </c>
      <c r="AM10" s="574"/>
      <c r="AN10" s="582">
        <f t="shared" si="25"/>
        <v>6.6123904886174686E-2</v>
      </c>
      <c r="AO10" s="575">
        <f t="shared" si="17"/>
        <v>0.36193700811902024</v>
      </c>
      <c r="AP10" s="575">
        <v>0</v>
      </c>
      <c r="AQ10" s="575">
        <f t="shared" si="26"/>
        <v>9.6180021782855118E-2</v>
      </c>
      <c r="AR10" s="575">
        <f t="shared" si="27"/>
        <v>4.8090010891427559E-2</v>
      </c>
      <c r="AS10" s="574"/>
      <c r="AT10" s="581">
        <f t="shared" si="18"/>
        <v>8.8779163599295219E-2</v>
      </c>
      <c r="AU10" s="389">
        <f t="shared" si="28"/>
        <v>0.16161860701079089</v>
      </c>
      <c r="AV10" s="389">
        <f t="shared" si="29"/>
        <v>7.2497165352880658E-2</v>
      </c>
      <c r="AW10" s="389">
        <f t="shared" si="30"/>
        <v>9.6180021782855118E-2</v>
      </c>
      <c r="AX10" s="389">
        <f t="shared" si="31"/>
        <v>8.4338593567867895E-2</v>
      </c>
      <c r="AY10" s="570">
        <f t="shared" si="19"/>
        <v>1.1739122599811686E-2</v>
      </c>
      <c r="AZ10" s="570">
        <f t="shared" si="20"/>
        <v>2.1370562248972574E-2</v>
      </c>
      <c r="BA10" s="570">
        <f t="shared" si="20"/>
        <v>9.5861807851391166E-3</v>
      </c>
      <c r="BB10" s="570">
        <f t="shared" si="21"/>
        <v>1.2717725889574137E-2</v>
      </c>
      <c r="BC10" s="570">
        <f t="shared" si="22"/>
        <v>1.1151953337356628E-2</v>
      </c>
      <c r="BE10" s="368"/>
    </row>
    <row r="11" spans="1:70">
      <c r="A11" s="342">
        <v>1981</v>
      </c>
      <c r="B11" s="567">
        <f t="shared" si="0"/>
        <v>6.6549746533489607E-2</v>
      </c>
      <c r="C11" s="567">
        <f t="shared" si="23"/>
        <v>4.700862141178519E-2</v>
      </c>
      <c r="D11" s="567">
        <f t="shared" si="1"/>
        <v>0.14441739244778107</v>
      </c>
      <c r="E11" s="556">
        <v>9918.0784691916797</v>
      </c>
      <c r="F11" s="556">
        <v>1432.3430306131424</v>
      </c>
      <c r="G11" s="556">
        <f t="shared" si="2"/>
        <v>322.27718188795706</v>
      </c>
      <c r="H11" s="556">
        <f t="shared" si="3"/>
        <v>1110.0658487251853</v>
      </c>
      <c r="I11" s="556"/>
      <c r="J11" s="556">
        <f t="shared" si="24"/>
        <v>52.182665224874249</v>
      </c>
      <c r="K11" s="532">
        <f t="shared" si="4"/>
        <v>0.22500000000000001</v>
      </c>
      <c r="L11" s="532">
        <v>0.22500000000000001</v>
      </c>
      <c r="N11" s="562">
        <f t="shared" si="5"/>
        <v>95.322065636314974</v>
      </c>
      <c r="O11" s="553">
        <f>[1]T.A1!$L25</f>
        <v>0.51758781050669933</v>
      </c>
      <c r="P11" s="553">
        <f>[1]T.A1!$J25/([1]T.A1!$K25+MAX([1]T.A1!$H25,0))</f>
        <v>0.51758781050669933</v>
      </c>
      <c r="Q11" s="552">
        <f>[1]T.A1!$J25/([1]T.A1!$K25+MAX([1]T.A1!$H25,0)+X11)</f>
        <v>0.50870789167691577</v>
      </c>
      <c r="R11" s="552">
        <f t="shared" si="6"/>
        <v>0.36685394583845787</v>
      </c>
      <c r="S11" s="552">
        <f t="shared" si="7"/>
        <v>0.4525646829353418</v>
      </c>
      <c r="V11" s="562">
        <f t="shared" si="8"/>
        <v>71.821481854180277</v>
      </c>
      <c r="W11" s="564">
        <f t="shared" si="9"/>
        <v>70.70597539232277</v>
      </c>
      <c r="X11" s="556">
        <f>'Wright-Zucman'!P43</f>
        <v>1.1155064618575015</v>
      </c>
      <c r="Y11" s="556">
        <f>[1]T.A1!$B25</f>
        <v>32.172243617607293</v>
      </c>
      <c r="Z11" s="560">
        <f t="shared" si="10"/>
        <v>4.0156132532581434</v>
      </c>
      <c r="AA11" s="556">
        <v>51.067158763016749</v>
      </c>
      <c r="AB11" s="567">
        <f t="shared" si="11"/>
        <v>0.75346124084430621</v>
      </c>
      <c r="AC11" s="567">
        <f t="shared" si="12"/>
        <v>0.71486121247293632</v>
      </c>
      <c r="AD11" s="751"/>
      <c r="AE11" s="577">
        <f t="shared" si="13"/>
        <v>9.3983116884564899E-2</v>
      </c>
      <c r="AF11" s="568">
        <f t="shared" si="14"/>
        <v>6.1096793855660386E-2</v>
      </c>
      <c r="AG11" s="568">
        <f>+'Wright-Zucman'!H43*1.1</f>
        <v>0.15507991074022529</v>
      </c>
      <c r="AH11" s="570">
        <f t="shared" si="15"/>
        <v>0.60603024876636813</v>
      </c>
      <c r="AI11" s="568">
        <f>'[1]Assets(MOFA)'!$AP26/'[1]Assets(MOFA)'!I26</f>
        <v>1.518019239465922</v>
      </c>
      <c r="AJ11" s="568">
        <f>('[1]Assets(MOFA)'!$AP26+1000*'Wright-Zucman'!P43)/('[1]Assets(MOFA)'!$I26)</f>
        <v>1.728345037748048</v>
      </c>
      <c r="AK11" s="569">
        <f>'[1]Assets(MOFA)'!$AS26/'[1]Assets(MOFA)'!J26</f>
        <v>0.68091566456748054</v>
      </c>
      <c r="AL11" s="574">
        <f t="shared" si="16"/>
        <v>6.7500067239240815</v>
      </c>
      <c r="AM11" s="574"/>
      <c r="AN11" s="582">
        <f t="shared" si="25"/>
        <v>6.4613529572822348E-2</v>
      </c>
      <c r="AO11" s="575">
        <f t="shared" si="17"/>
        <v>0.36193700811902024</v>
      </c>
      <c r="AP11" s="575">
        <v>0</v>
      </c>
      <c r="AQ11" s="575">
        <f t="shared" si="26"/>
        <v>9.3983116884564899E-2</v>
      </c>
      <c r="AR11" s="575">
        <f t="shared" si="27"/>
        <v>4.6991558442282449E-2</v>
      </c>
      <c r="AS11" s="574"/>
      <c r="AT11" s="581">
        <f t="shared" si="18"/>
        <v>8.6742375271813082E-2</v>
      </c>
      <c r="AU11" s="389">
        <f t="shared" si="28"/>
        <v>0.16004413674044726</v>
      </c>
      <c r="AV11" s="389">
        <f t="shared" si="29"/>
        <v>7.0812635866259729E-2</v>
      </c>
      <c r="AW11" s="389">
        <f t="shared" si="30"/>
        <v>9.3983116884564899E-2</v>
      </c>
      <c r="AX11" s="389">
        <f t="shared" si="31"/>
        <v>8.2397876375412307E-2</v>
      </c>
      <c r="AY11" s="570">
        <f t="shared" si="19"/>
        <v>9.7046106823694533E-3</v>
      </c>
      <c r="AZ11" s="570">
        <f t="shared" si="20"/>
        <v>1.7905505056726792E-2</v>
      </c>
      <c r="BA11" s="570">
        <f t="shared" si="20"/>
        <v>7.9224146251590001E-3</v>
      </c>
      <c r="BB11" s="570">
        <f t="shared" si="21"/>
        <v>1.0514694314310555E-2</v>
      </c>
      <c r="BC11" s="570">
        <f t="shared" si="22"/>
        <v>9.2185544697347774E-3</v>
      </c>
      <c r="BE11" s="368"/>
    </row>
    <row r="12" spans="1:70">
      <c r="A12" s="342">
        <v>1982</v>
      </c>
      <c r="B12" s="567">
        <f t="shared" si="0"/>
        <v>6.4912908121166582E-2</v>
      </c>
      <c r="C12" s="567">
        <f t="shared" si="23"/>
        <v>4.2305884277239678E-2</v>
      </c>
      <c r="D12" s="567">
        <f t="shared" si="1"/>
        <v>0.14516043068528164</v>
      </c>
      <c r="E12" s="556">
        <v>9821.5562272526768</v>
      </c>
      <c r="F12" s="556">
        <v>1425.7013319477085</v>
      </c>
      <c r="G12" s="556">
        <f t="shared" si="2"/>
        <v>303.6743837048619</v>
      </c>
      <c r="H12" s="556">
        <f t="shared" si="3"/>
        <v>1122.0269482428466</v>
      </c>
      <c r="I12" s="556"/>
      <c r="J12" s="556">
        <f t="shared" si="24"/>
        <v>47.468342228306263</v>
      </c>
      <c r="K12" s="532">
        <f t="shared" si="4"/>
        <v>0.21299999999999999</v>
      </c>
      <c r="L12" s="532">
        <v>0.21299999999999999</v>
      </c>
      <c r="N12" s="562">
        <f t="shared" si="5"/>
        <v>92.546419568946419</v>
      </c>
      <c r="O12" s="553">
        <f>[1]T.A1!$L26</f>
        <v>0.56287447503499766</v>
      </c>
      <c r="P12" s="553">
        <f>[1]T.A1!$J26/([1]T.A1!$K26+MAX([1]T.A1!$H26,0))</f>
        <v>0.56287447503499766</v>
      </c>
      <c r="Q12" s="552">
        <f>[1]T.A1!$J26/([1]T.A1!$K26+MAX([1]T.A1!$H26,0)+X12)</f>
        <v>0.55029994531811555</v>
      </c>
      <c r="R12" s="552">
        <f t="shared" si="6"/>
        <v>0.38164997265905776</v>
      </c>
      <c r="S12" s="552">
        <f t="shared" si="7"/>
        <v>0.48708612986434674</v>
      </c>
      <c r="V12" s="562">
        <f t="shared" si="8"/>
        <v>68.448197384006846</v>
      </c>
      <c r="W12" s="564">
        <f t="shared" si="9"/>
        <v>67.223991502626063</v>
      </c>
      <c r="X12" s="556">
        <f>'Wright-Zucman'!P44</f>
        <v>1.2242058813807779</v>
      </c>
      <c r="Y12" s="746">
        <v>27.864999999999998</v>
      </c>
      <c r="Z12" s="559">
        <v>3.4780000000000002</v>
      </c>
      <c r="AA12" s="556">
        <v>46.244136346925487</v>
      </c>
      <c r="AB12" s="567">
        <f t="shared" ref="AB12:AB49" si="32">V12/N12</f>
        <v>0.73960935174821574</v>
      </c>
      <c r="AC12" s="567">
        <f t="shared" si="12"/>
        <v>0.68608264693011212</v>
      </c>
      <c r="AD12" s="751"/>
      <c r="AE12" s="577">
        <f t="shared" si="13"/>
        <v>0.12628709732579524</v>
      </c>
      <c r="AF12" s="568">
        <f t="shared" si="14"/>
        <v>5.9394908569405352E-2</v>
      </c>
      <c r="AG12" s="568">
        <f>+'Wright-Zucman'!H44*1.1</f>
        <v>0.18568200589520059</v>
      </c>
      <c r="AH12" s="570">
        <f t="shared" si="15"/>
        <v>0.68012566278001119</v>
      </c>
      <c r="AI12" s="568">
        <f>'[1]Assets(MOFA)'!$AP27/'[1]Assets(MOFA)'!I27</f>
        <v>1.471041055718475</v>
      </c>
      <c r="AJ12" s="568">
        <f>('[1]Assets(MOFA)'!$AP27+1000*'Wright-Zucman'!P44)/('[1]Assets(MOFA)'!$I27)</f>
        <v>1.6954189665287349</v>
      </c>
      <c r="AK12" s="569">
        <f>'[1]Assets(MOFA)'!$AS27/'[1]Assets(MOFA)'!J27</f>
        <v>0.54232101822857759</v>
      </c>
      <c r="AL12" s="574">
        <f t="shared" si="16"/>
        <v>8.6441241648093161</v>
      </c>
      <c r="AM12" s="574"/>
      <c r="AN12" s="582">
        <f t="shared" si="25"/>
        <v>8.6822563117889953E-2</v>
      </c>
      <c r="AO12" s="575">
        <f t="shared" si="17"/>
        <v>0.36193700811902024</v>
      </c>
      <c r="AP12" s="575">
        <v>0</v>
      </c>
      <c r="AQ12" s="575">
        <f t="shared" si="26"/>
        <v>0.12628709732579524</v>
      </c>
      <c r="AR12" s="575">
        <f t="shared" si="27"/>
        <v>6.3143548662897619E-2</v>
      </c>
      <c r="AS12" s="574"/>
      <c r="AT12" s="581">
        <f t="shared" si="18"/>
        <v>0.11601090168044406</v>
      </c>
      <c r="AU12" s="389">
        <f t="shared" si="28"/>
        <v>0.18764813035771821</v>
      </c>
      <c r="AV12" s="389">
        <f t="shared" si="29"/>
        <v>9.3403118187295242E-2</v>
      </c>
      <c r="AW12" s="389">
        <f t="shared" si="30"/>
        <v>0.12628709732579524</v>
      </c>
      <c r="AX12" s="389">
        <f t="shared" si="31"/>
        <v>0.10984510775654524</v>
      </c>
      <c r="AY12" s="570">
        <f t="shared" si="19"/>
        <v>1.2659899847401367E-2</v>
      </c>
      <c r="AZ12" s="570">
        <f t="shared" si="20"/>
        <v>2.0477442227149627E-2</v>
      </c>
      <c r="BA12" s="570">
        <f t="shared" si="20"/>
        <v>1.019278451040158E-2</v>
      </c>
      <c r="BB12" s="570">
        <f t="shared" si="21"/>
        <v>1.3781308316760572E-2</v>
      </c>
      <c r="BC12" s="570">
        <f t="shared" si="22"/>
        <v>1.1987046413581077E-2</v>
      </c>
      <c r="BE12" s="368">
        <f>AE12-(0.0074*('Wright-Zucman'!A44-1981)+0.0805)</f>
        <v>3.8387097325795233E-2</v>
      </c>
    </row>
    <row r="13" spans="1:70">
      <c r="A13" s="342">
        <v>1983</v>
      </c>
      <c r="B13" s="567">
        <f t="shared" si="0"/>
        <v>6.2480143539153474E-2</v>
      </c>
      <c r="C13" s="567">
        <f t="shared" si="23"/>
        <v>4.2077444761486442E-2</v>
      </c>
      <c r="D13" s="567">
        <f t="shared" si="1"/>
        <v>0.15067141437877599</v>
      </c>
      <c r="E13" s="556">
        <v>10038.523062677599</v>
      </c>
      <c r="F13" s="556">
        <v>1512.518468127596</v>
      </c>
      <c r="G13" s="556">
        <f t="shared" si="2"/>
        <v>285.86599047611566</v>
      </c>
      <c r="H13" s="556">
        <f t="shared" si="3"/>
        <v>1226.6524776514802</v>
      </c>
      <c r="I13" s="556"/>
      <c r="J13" s="556">
        <f t="shared" si="24"/>
        <v>51.614401869920641</v>
      </c>
      <c r="K13" s="532">
        <f t="shared" si="4"/>
        <v>0.189</v>
      </c>
      <c r="L13" s="532">
        <v>0.189</v>
      </c>
      <c r="N13" s="562">
        <f t="shared" si="5"/>
        <v>94.50237099423272</v>
      </c>
      <c r="O13" s="553">
        <f>[1]T.A1!$L27</f>
        <v>0.51904056242892094</v>
      </c>
      <c r="P13" s="553">
        <f>[1]T.A1!$J27/([1]T.A1!$K27+MAX([1]T.A1!$H27,0))</f>
        <v>0.51904056242892094</v>
      </c>
      <c r="Q13" s="552">
        <f>[1]T.A1!$J27/([1]T.A1!$K27+MAX([1]T.A1!$H27,0)+X13)</f>
        <v>0.50769531210266405</v>
      </c>
      <c r="R13" s="552">
        <f t="shared" si="6"/>
        <v>0.348347656051332</v>
      </c>
      <c r="S13" s="552">
        <f t="shared" si="7"/>
        <v>0.45382955658254798</v>
      </c>
      <c r="V13" s="562">
        <f t="shared" si="8"/>
        <v>71.473924929511526</v>
      </c>
      <c r="W13" s="564">
        <f t="shared" si="9"/>
        <v>70.177063915161938</v>
      </c>
      <c r="X13" s="556">
        <f>'Wright-Zucman'!P45</f>
        <v>1.2968610143495936</v>
      </c>
      <c r="Y13" s="556">
        <v>32.308</v>
      </c>
      <c r="Z13" s="559">
        <v>3.0030000000000001</v>
      </c>
      <c r="AA13" s="556">
        <v>50.317540855571046</v>
      </c>
      <c r="AB13" s="567">
        <f t="shared" si="32"/>
        <v>0.75631885398804888</v>
      </c>
      <c r="AC13" s="567">
        <f t="shared" si="12"/>
        <v>0.7092567130121793</v>
      </c>
      <c r="AD13" s="751"/>
      <c r="AE13" s="577">
        <f t="shared" si="13"/>
        <v>0.11109247127944562</v>
      </c>
      <c r="AF13" s="568">
        <f t="shared" si="14"/>
        <v>6.358975882130978E-2</v>
      </c>
      <c r="AG13" s="568">
        <f>+'Wright-Zucman'!H45*1.1</f>
        <v>0.1746822301007554</v>
      </c>
      <c r="AH13" s="570">
        <f t="shared" si="15"/>
        <v>0.63596893178755687</v>
      </c>
      <c r="AI13" s="568">
        <f>'[1]Assets(MOFA)'!$AP28/'[1]Assets(MOFA)'!I28</f>
        <v>1.5399924184988627</v>
      </c>
      <c r="AJ13" s="568">
        <f>('[1]Assets(MOFA)'!$AP28+1000*'Wright-Zucman'!P45)/('[1]Assets(MOFA)'!$I28)</f>
        <v>1.7857962498767235</v>
      </c>
      <c r="AK13" s="569">
        <f>'[1]Assets(MOFA)'!$AS28/'[1]Assets(MOFA)'!J28</f>
        <v>0.65008531645239864</v>
      </c>
      <c r="AL13" s="574">
        <f t="shared" si="16"/>
        <v>7.9402149524610115</v>
      </c>
      <c r="AM13" s="574"/>
      <c r="AN13" s="582">
        <f t="shared" si="25"/>
        <v>7.6376235607815354E-2</v>
      </c>
      <c r="AO13" s="575">
        <f t="shared" si="17"/>
        <v>0.36193700811902024</v>
      </c>
      <c r="AP13" s="575">
        <v>0</v>
      </c>
      <c r="AQ13" s="575">
        <f t="shared" si="26"/>
        <v>0.11109247127944562</v>
      </c>
      <c r="AR13" s="575">
        <f t="shared" si="27"/>
        <v>5.5546235639722809E-2</v>
      </c>
      <c r="AS13" s="574"/>
      <c r="AT13" s="581">
        <f t="shared" si="18"/>
        <v>0.10263277918576177</v>
      </c>
      <c r="AU13" s="389">
        <f t="shared" si="28"/>
        <v>0.17221855548735027</v>
      </c>
      <c r="AV13" s="389">
        <f t="shared" si="29"/>
        <v>8.4021330564770541E-2</v>
      </c>
      <c r="AW13" s="389">
        <f t="shared" si="30"/>
        <v>0.11109247127944562</v>
      </c>
      <c r="AX13" s="389">
        <f t="shared" si="31"/>
        <v>9.7556900922108072E-2</v>
      </c>
      <c r="AY13" s="570">
        <f t="shared" si="19"/>
        <v>1.0780241981421081E-2</v>
      </c>
      <c r="AZ13" s="570">
        <f t="shared" si="20"/>
        <v>1.8089325034101669E-2</v>
      </c>
      <c r="BA13" s="570">
        <f t="shared" si="20"/>
        <v>8.8253507531914806E-3</v>
      </c>
      <c r="BB13" s="570">
        <f t="shared" si="21"/>
        <v>1.1668822886875881E-2</v>
      </c>
      <c r="BC13" s="570">
        <f t="shared" si="22"/>
        <v>1.0247086820033679E-2</v>
      </c>
      <c r="BE13" s="368">
        <f>AE13-(0.0074*('Wright-Zucman'!A45-1981)+0.0805)</f>
        <v>1.5792471279445622E-2</v>
      </c>
    </row>
    <row r="14" spans="1:70">
      <c r="A14" s="342">
        <v>1984</v>
      </c>
      <c r="B14" s="567">
        <f t="shared" si="0"/>
        <v>6.722703736105215E-2</v>
      </c>
      <c r="C14" s="567">
        <f t="shared" si="23"/>
        <v>4.5707216438508197E-2</v>
      </c>
      <c r="D14" s="567">
        <f t="shared" si="1"/>
        <v>0.15560705884144874</v>
      </c>
      <c r="E14" s="556">
        <v>10411.801014514353</v>
      </c>
      <c r="F14" s="556">
        <v>1620.1497331109906</v>
      </c>
      <c r="G14" s="556">
        <f t="shared" si="2"/>
        <v>314.30904822353222</v>
      </c>
      <c r="H14" s="556">
        <f t="shared" si="3"/>
        <v>1305.8406848874583</v>
      </c>
      <c r="I14" s="556"/>
      <c r="J14" s="556">
        <f t="shared" si="24"/>
        <v>59.686342818360835</v>
      </c>
      <c r="K14" s="532">
        <f t="shared" si="4"/>
        <v>0.19400000000000003</v>
      </c>
      <c r="L14" s="532">
        <v>0.19400000000000001</v>
      </c>
      <c r="N14" s="562">
        <f t="shared" si="5"/>
        <v>108.91786663835124</v>
      </c>
      <c r="O14" s="553">
        <f>[1]T.A1!$L28</f>
        <v>0.5210518150791188</v>
      </c>
      <c r="P14" s="553">
        <f>[1]T.A1!$J28/([1]T.A1!$K28+MAX([1]T.A1!$H28,0))</f>
        <v>0.51887841804418355</v>
      </c>
      <c r="Q14" s="552">
        <f>[1]T.A1!$J28/([1]T.A1!$K28+MAX([1]T.A1!$H28,0)+X14)</f>
        <v>0.50806386305888196</v>
      </c>
      <c r="R14" s="552">
        <f t="shared" si="6"/>
        <v>0.35103193152944101</v>
      </c>
      <c r="S14" s="552">
        <f t="shared" si="7"/>
        <v>0.45200595035025615</v>
      </c>
      <c r="V14" s="562">
        <f t="shared" si="8"/>
        <v>80.176064510791278</v>
      </c>
      <c r="W14" s="564">
        <f t="shared" si="9"/>
        <v>78.79823350351603</v>
      </c>
      <c r="X14" s="556">
        <f>'Wright-Zucman'!P46</f>
        <v>1.3778310072752502</v>
      </c>
      <c r="Y14" s="556">
        <v>36.293999999999997</v>
      </c>
      <c r="Z14" s="559">
        <v>3.3620000000000001</v>
      </c>
      <c r="AA14" s="556">
        <v>58.308511811085587</v>
      </c>
      <c r="AB14" s="567">
        <f t="shared" si="32"/>
        <v>0.73611490001917057</v>
      </c>
      <c r="AC14" s="567">
        <f t="shared" si="12"/>
        <v>0.68749112560222625</v>
      </c>
      <c r="AD14" s="751"/>
      <c r="AE14" s="577">
        <f t="shared" si="13"/>
        <v>0.1026433267726666</v>
      </c>
      <c r="AF14" s="568">
        <f t="shared" si="14"/>
        <v>6.3879688039156085E-2</v>
      </c>
      <c r="AG14" s="568">
        <f>+'Wright-Zucman'!H46*1.1</f>
        <v>0.16652301481182269</v>
      </c>
      <c r="AH14" s="570">
        <f t="shared" si="15"/>
        <v>0.61639123510139093</v>
      </c>
      <c r="AI14" s="568">
        <f>'[1]Assets(MOFA)'!$AP29/'[1]Assets(MOFA)'!I29</f>
        <v>1.6827978056426331</v>
      </c>
      <c r="AJ14" s="568">
        <f>('[1]Assets(MOFA)'!$AP29+1000*'Wright-Zucman'!P46)/('[1]Assets(MOFA)'!$I29)</f>
        <v>1.9527490218015773</v>
      </c>
      <c r="AK14" s="569">
        <f>'[1]Assets(MOFA)'!$AS29/'[1]Assets(MOFA)'!J29</f>
        <v>0.74909164041027021</v>
      </c>
      <c r="AL14" s="574">
        <f t="shared" si="16"/>
        <v>8.2295379889275466</v>
      </c>
      <c r="AM14" s="574"/>
      <c r="AN14" s="582">
        <f t="shared" si="25"/>
        <v>7.0567436468664063E-2</v>
      </c>
      <c r="AO14" s="575">
        <f t="shared" si="17"/>
        <v>0.36193700811902024</v>
      </c>
      <c r="AP14" s="575">
        <v>0</v>
      </c>
      <c r="AQ14" s="575">
        <f t="shared" si="26"/>
        <v>0.1026433267726666</v>
      </c>
      <c r="AR14" s="575">
        <f t="shared" si="27"/>
        <v>5.1321663386333302E-2</v>
      </c>
      <c r="AS14" s="574"/>
      <c r="AT14" s="581">
        <f t="shared" si="18"/>
        <v>9.4178977252820789E-2</v>
      </c>
      <c r="AU14" s="389">
        <f t="shared" si="28"/>
        <v>0.17106706579914646</v>
      </c>
      <c r="AV14" s="389">
        <f t="shared" si="29"/>
        <v>7.5557282224896535E-2</v>
      </c>
      <c r="AW14" s="389">
        <f t="shared" si="30"/>
        <v>0.1026433267726666</v>
      </c>
      <c r="AX14" s="389">
        <f t="shared" si="31"/>
        <v>8.9100304498781577E-2</v>
      </c>
      <c r="AY14" s="570">
        <f t="shared" si="19"/>
        <v>1.0643840161119907E-2</v>
      </c>
      <c r="AZ14" s="570">
        <f t="shared" si="20"/>
        <v>1.9333513256466817E-2</v>
      </c>
      <c r="BA14" s="570">
        <f t="shared" si="20"/>
        <v>8.5392691497543066E-3</v>
      </c>
      <c r="BB14" s="570">
        <f t="shared" si="21"/>
        <v>1.1600456870974789E-2</v>
      </c>
      <c r="BC14" s="570">
        <f t="shared" si="22"/>
        <v>1.006986301036455E-2</v>
      </c>
      <c r="BE14" s="368">
        <f>AE14-(0.0074*('Wright-Zucman'!A46-1981)+0.0805)</f>
        <v>-5.6673227333395304E-5</v>
      </c>
    </row>
    <row r="15" spans="1:70">
      <c r="A15" s="342">
        <v>1985</v>
      </c>
      <c r="B15" s="567">
        <f t="shared" si="0"/>
        <v>6.2779187718306456E-2</v>
      </c>
      <c r="C15" s="567">
        <f t="shared" si="23"/>
        <v>4.3490746703181059E-2</v>
      </c>
      <c r="D15" s="567">
        <f t="shared" si="1"/>
        <v>0.15787049636712966</v>
      </c>
      <c r="E15" s="556">
        <v>10940.754058728704</v>
      </c>
      <c r="F15" s="556">
        <v>1727.2222738821888</v>
      </c>
      <c r="G15" s="556">
        <f t="shared" si="2"/>
        <v>343.71723250255559</v>
      </c>
      <c r="H15" s="556">
        <f t="shared" si="3"/>
        <v>1383.5050413796332</v>
      </c>
      <c r="I15" s="556"/>
      <c r="J15" s="556">
        <f t="shared" si="24"/>
        <v>60.169667317215655</v>
      </c>
      <c r="K15" s="532">
        <f t="shared" si="4"/>
        <v>0.19900000000000001</v>
      </c>
      <c r="L15" s="532">
        <v>0.19900000000000001</v>
      </c>
      <c r="N15" s="562">
        <f t="shared" si="5"/>
        <v>108.43361136329005</v>
      </c>
      <c r="O15" s="553">
        <f>[1]T.A1!$L29</f>
        <v>0.52815047622086431</v>
      </c>
      <c r="P15" s="553">
        <f>[1]T.A1!$J29/([1]T.A1!$K29+MAX([1]T.A1!$H29,0))</f>
        <v>0.52551789824589246</v>
      </c>
      <c r="Q15" s="552">
        <f>[1]T.A1!$J29/([1]T.A1!$K29+MAX([1]T.A1!$H29,0)+X15)</f>
        <v>0.51389134404295223</v>
      </c>
      <c r="R15" s="552">
        <f t="shared" si="6"/>
        <v>0.35644567202147615</v>
      </c>
      <c r="S15" s="552">
        <f t="shared" si="7"/>
        <v>0.44510132457336971</v>
      </c>
      <c r="V15" s="562">
        <f t="shared" si="8"/>
        <v>78.505392853609123</v>
      </c>
      <c r="W15" s="564">
        <f t="shared" si="9"/>
        <v>77.0801600869856</v>
      </c>
      <c r="X15" s="556">
        <f>'Wright-Zucman'!P47</f>
        <v>1.4252327666235287</v>
      </c>
      <c r="Y15" s="556">
        <v>33.945</v>
      </c>
      <c r="Z15" s="559">
        <v>5.5389999999999997</v>
      </c>
      <c r="AA15" s="556">
        <v>58.744434550592125</v>
      </c>
      <c r="AB15" s="567">
        <f t="shared" si="32"/>
        <v>0.72399500363949831</v>
      </c>
      <c r="AC15" s="567">
        <f t="shared" si="12"/>
        <v>0.67989793845708435</v>
      </c>
      <c r="AD15" s="751"/>
      <c r="AE15" s="577">
        <f t="shared" si="13"/>
        <v>0.11566276007109053</v>
      </c>
      <c r="AF15" s="568">
        <f t="shared" si="14"/>
        <v>5.9809351731781202E-2</v>
      </c>
      <c r="AG15" s="568">
        <f>+'Wright-Zucman'!H47*1.1</f>
        <v>0.17547211180287173</v>
      </c>
      <c r="AH15" s="570">
        <f t="shared" si="15"/>
        <v>0.65915180983875077</v>
      </c>
      <c r="AI15" s="568">
        <f>'[1]Assets(MOFA)'!$AP30/'[1]Assets(MOFA)'!I30</f>
        <v>1.8023755887773909</v>
      </c>
      <c r="AJ15" s="568">
        <f>('[1]Assets(MOFA)'!$AP30+1000*'Wright-Zucman'!P47)/('[1]Assets(MOFA)'!$I30)</f>
        <v>2.0942520513257277</v>
      </c>
      <c r="AK15" s="569">
        <f>'[1]Assets(MOFA)'!$AS30/'[1]Assets(MOFA)'!J30</f>
        <v>0.71382202143585805</v>
      </c>
      <c r="AL15" s="574">
        <f t="shared" si="16"/>
        <v>9.0801504179136963</v>
      </c>
      <c r="AM15" s="574"/>
      <c r="AN15" s="582">
        <f t="shared" si="25"/>
        <v>7.9518315800346032E-2</v>
      </c>
      <c r="AO15" s="575">
        <f t="shared" si="17"/>
        <v>0.36193700811902024</v>
      </c>
      <c r="AP15" s="575">
        <v>0</v>
      </c>
      <c r="AQ15" s="575">
        <f t="shared" si="26"/>
        <v>0.11566276007109053</v>
      </c>
      <c r="AR15" s="575">
        <f t="shared" si="27"/>
        <v>5.7831380035545263E-2</v>
      </c>
      <c r="AS15" s="574"/>
      <c r="AT15" s="581">
        <f t="shared" si="18"/>
        <v>0.10568671286169133</v>
      </c>
      <c r="AU15" s="389">
        <f t="shared" si="28"/>
        <v>0.18363568300724464</v>
      </c>
      <c r="AV15" s="389">
        <f t="shared" si="29"/>
        <v>8.3739260398623602E-2</v>
      </c>
      <c r="AW15" s="389">
        <f t="shared" si="30"/>
        <v>0.11566276007109053</v>
      </c>
      <c r="AX15" s="389">
        <f t="shared" si="31"/>
        <v>9.9701010234857057E-2</v>
      </c>
      <c r="AY15" s="570">
        <f t="shared" si="19"/>
        <v>1.1154150092608187E-2</v>
      </c>
      <c r="AZ15" s="570">
        <f t="shared" si="20"/>
        <v>1.9380865533229017E-2</v>
      </c>
      <c r="BA15" s="570">
        <f t="shared" si="20"/>
        <v>8.837821272316377E-3</v>
      </c>
      <c r="BB15" s="570">
        <f t="shared" si="21"/>
        <v>1.2207019700258911E-2</v>
      </c>
      <c r="BC15" s="570">
        <f t="shared" si="22"/>
        <v>1.0522420486287645E-2</v>
      </c>
      <c r="BE15" s="368">
        <f>AE15-(0.0074*('Wright-Zucman'!A47-1981)+0.0805)</f>
        <v>5.5627600710905223E-3</v>
      </c>
    </row>
    <row r="16" spans="1:70">
      <c r="A16" s="342">
        <v>1986</v>
      </c>
      <c r="B16" s="567">
        <f t="shared" si="0"/>
        <v>4.8834205778680383E-2</v>
      </c>
      <c r="C16" s="567">
        <f t="shared" si="23"/>
        <v>3.8780782153167423E-2</v>
      </c>
      <c r="D16" s="567">
        <f t="shared" si="1"/>
        <v>0.15713913811353761</v>
      </c>
      <c r="E16" s="556">
        <v>12942.143409343862</v>
      </c>
      <c r="F16" s="556">
        <v>2033.7172606860956</v>
      </c>
      <c r="G16" s="556">
        <f t="shared" si="2"/>
        <v>410.81088665859136</v>
      </c>
      <c r="H16" s="556">
        <f t="shared" si="3"/>
        <v>1622.9063740275042</v>
      </c>
      <c r="I16" s="556"/>
      <c r="J16" s="556">
        <f t="shared" si="24"/>
        <v>62.937578546147492</v>
      </c>
      <c r="K16" s="532">
        <f t="shared" si="4"/>
        <v>0.20200000000000001</v>
      </c>
      <c r="L16" s="532">
        <v>0.20200000000000001</v>
      </c>
      <c r="N16" s="562">
        <f t="shared" si="5"/>
        <v>99.314967203998975</v>
      </c>
      <c r="O16" s="553">
        <f>[1]T.A1!$L30</f>
        <v>0.43388928317955999</v>
      </c>
      <c r="P16" s="553">
        <f>[1]T.A1!$J30/([1]T.A1!$K30+MAX([1]T.A1!$H30,0))</f>
        <v>0.42804880183444488</v>
      </c>
      <c r="Q16" s="552">
        <f>[1]T.A1!$J30/([1]T.A1!$K30+MAX([1]T.A1!$H30,0)+X16)</f>
        <v>0.41778949258721598</v>
      </c>
      <c r="R16" s="552">
        <f t="shared" si="6"/>
        <v>0.30989474629360803</v>
      </c>
      <c r="S16" s="552">
        <f t="shared" si="7"/>
        <v>0.3662830455668391</v>
      </c>
      <c r="V16" s="562">
        <f t="shared" si="8"/>
        <v>68.253460178439852</v>
      </c>
      <c r="W16" s="564">
        <f t="shared" si="9"/>
        <v>66.850590818668707</v>
      </c>
      <c r="X16" s="556">
        <f>'Wright-Zucman'!P48</f>
        <v>1.4028693597711464</v>
      </c>
      <c r="Y16" s="556">
        <v>35.744999999999997</v>
      </c>
      <c r="Z16" s="559">
        <v>4.3540000000000001</v>
      </c>
      <c r="AA16" s="556">
        <v>61.534709186376347</v>
      </c>
      <c r="AB16" s="567">
        <f t="shared" si="32"/>
        <v>0.68724243787185768</v>
      </c>
      <c r="AC16" s="567">
        <f t="shared" si="12"/>
        <v>0.6594131887254111</v>
      </c>
      <c r="AD16" s="751"/>
      <c r="AE16" s="577">
        <f t="shared" si="13"/>
        <v>0.12169360673195538</v>
      </c>
      <c r="AF16" s="568">
        <f t="shared" si="14"/>
        <v>6.2700908530235563E-2</v>
      </c>
      <c r="AG16" s="568">
        <f>+'Wright-Zucman'!H48*1.1</f>
        <v>0.18439451526219094</v>
      </c>
      <c r="AH16" s="570">
        <f t="shared" si="15"/>
        <v>0.65996326712277198</v>
      </c>
      <c r="AI16" s="568">
        <f>'[1]Assets(MOFA)'!$AP31/'[1]Assets(MOFA)'!I31</f>
        <v>1.4038657171922686</v>
      </c>
      <c r="AJ16" s="568">
        <f>('[1]Assets(MOFA)'!$AP31+1000*'Wright-Zucman'!P48)/('[1]Assets(MOFA)'!$I31)</f>
        <v>1.6417208137963966</v>
      </c>
      <c r="AK16" s="569">
        <f>'[1]Assets(MOFA)'!$AS31/'[1]Assets(MOFA)'!J31</f>
        <v>0.5582453818198706</v>
      </c>
      <c r="AL16" s="574">
        <f t="shared" si="16"/>
        <v>8.3060097410502358</v>
      </c>
      <c r="AM16" s="574"/>
      <c r="AN16" s="582">
        <f t="shared" si="25"/>
        <v>8.3664531652599225E-2</v>
      </c>
      <c r="AO16" s="575">
        <f t="shared" si="17"/>
        <v>0.36193700811902024</v>
      </c>
      <c r="AP16" s="575">
        <v>0</v>
      </c>
      <c r="AQ16" s="575">
        <f t="shared" si="26"/>
        <v>0.12169360673195538</v>
      </c>
      <c r="AR16" s="575">
        <f t="shared" si="27"/>
        <v>6.0846803365977691E-2</v>
      </c>
      <c r="AS16" s="574"/>
      <c r="AT16" s="581">
        <f t="shared" si="18"/>
        <v>0.10979972592014786</v>
      </c>
      <c r="AU16" s="389">
        <f t="shared" si="28"/>
        <v>0.19683154726714655</v>
      </c>
      <c r="AV16" s="389">
        <f t="shared" si="29"/>
        <v>8.363301096388813E-2</v>
      </c>
      <c r="AW16" s="389">
        <f t="shared" si="30"/>
        <v>0.12169360673195538</v>
      </c>
      <c r="AX16" s="389">
        <f t="shared" si="31"/>
        <v>0.10266330884792176</v>
      </c>
      <c r="AY16" s="570">
        <f t="shared" si="19"/>
        <v>9.0141708770967322E-3</v>
      </c>
      <c r="AZ16" s="570">
        <f t="shared" si="20"/>
        <v>1.6159176957870971E-2</v>
      </c>
      <c r="BA16" s="570">
        <f t="shared" si="20"/>
        <v>6.865975716030974E-3</v>
      </c>
      <c r="BB16" s="570">
        <f t="shared" si="21"/>
        <v>9.9906166116464357E-3</v>
      </c>
      <c r="BC16" s="570">
        <f t="shared" si="22"/>
        <v>8.4282961638387065E-3</v>
      </c>
      <c r="BE16" s="368">
        <f>AE16-(0.0074*('Wright-Zucman'!A48-1981)+0.0805)</f>
        <v>4.1936067319553738E-3</v>
      </c>
    </row>
    <row r="17" spans="1:57">
      <c r="A17" s="342">
        <v>1987</v>
      </c>
      <c r="B17" s="567">
        <f t="shared" si="0"/>
        <v>5.2269497892569433E-2</v>
      </c>
      <c r="C17" s="567">
        <f t="shared" si="23"/>
        <v>4.4259985650042834E-2</v>
      </c>
      <c r="D17" s="567">
        <f t="shared" si="1"/>
        <v>0.15835844691816678</v>
      </c>
      <c r="E17" s="556">
        <v>14713.104211341733</v>
      </c>
      <c r="F17" s="556">
        <v>2329.9443322532161</v>
      </c>
      <c r="G17" s="556">
        <f t="shared" si="2"/>
        <v>496.27814276993502</v>
      </c>
      <c r="H17" s="556">
        <f t="shared" si="3"/>
        <v>1833.666189483281</v>
      </c>
      <c r="I17" s="556"/>
      <c r="J17" s="556">
        <f t="shared" si="24"/>
        <v>81.158039233498741</v>
      </c>
      <c r="K17" s="532">
        <f t="shared" si="4"/>
        <v>0.21299999999999999</v>
      </c>
      <c r="L17" s="532">
        <v>0.21299999999999999</v>
      </c>
      <c r="N17" s="562">
        <f t="shared" si="5"/>
        <v>121.78502036451357</v>
      </c>
      <c r="O17" s="553">
        <f>[1]T.A1!$L31</f>
        <v>0.39543510888341404</v>
      </c>
      <c r="P17" s="553">
        <f>[1]T.A1!$J31/([1]T.A1!$K31+MAX([1]T.A1!$H31,0))</f>
        <v>0.38909942041908152</v>
      </c>
      <c r="Q17" s="552">
        <f>[1]T.A1!$J31/([1]T.A1!$K31+MAX([1]T.A1!$H31,0)+X17)</f>
        <v>0.37807839072384458</v>
      </c>
      <c r="R17" s="552">
        <f t="shared" si="6"/>
        <v>0.2955391953619223</v>
      </c>
      <c r="S17" s="552">
        <f t="shared" si="7"/>
        <v>0.33359588075294155</v>
      </c>
      <c r="V17" s="562">
        <f t="shared" si="8"/>
        <v>78.533841356719634</v>
      </c>
      <c r="W17" s="564">
        <f t="shared" si="9"/>
        <v>76.441562488596958</v>
      </c>
      <c r="X17" s="556">
        <f>'Wright-Zucman'!P49</f>
        <v>2.0922788681226812</v>
      </c>
      <c r="Y17" s="556">
        <v>43.716999999999999</v>
      </c>
      <c r="Z17" s="559">
        <v>4.88</v>
      </c>
      <c r="AA17" s="556">
        <v>79.065760365376065</v>
      </c>
      <c r="AB17" s="567">
        <f t="shared" si="32"/>
        <v>0.64485633061981473</v>
      </c>
      <c r="AC17" s="567">
        <f t="shared" si="12"/>
        <v>0.62457495704504662</v>
      </c>
      <c r="AD17" s="751"/>
      <c r="AE17" s="577">
        <f t="shared" si="13"/>
        <v>0.14999303656927479</v>
      </c>
      <c r="AF17" s="568">
        <f t="shared" si="14"/>
        <v>6.4449700492958034E-2</v>
      </c>
      <c r="AG17" s="568">
        <f>+'Wright-Zucman'!H49*1.1</f>
        <v>0.21444273706223282</v>
      </c>
      <c r="AH17" s="570">
        <f t="shared" si="15"/>
        <v>0.69945496230886905</v>
      </c>
      <c r="AI17" s="568">
        <f>'[1]Assets(MOFA)'!$AP32/'[1]Assets(MOFA)'!I32</f>
        <v>1.689124965054515</v>
      </c>
      <c r="AJ17" s="568">
        <f>('[1]Assets(MOFA)'!$AP32+1000*'Wright-Zucman'!P49)/('[1]Assets(MOFA)'!$I32)</f>
        <v>1.9815877646243614</v>
      </c>
      <c r="AK17" s="569">
        <f>'[1]Assets(MOFA)'!$AS32/'[1]Assets(MOFA)'!J32</f>
        <v>0.59555636940731249</v>
      </c>
      <c r="AL17" s="574">
        <f t="shared" si="16"/>
        <v>11.779529338544073</v>
      </c>
      <c r="AM17" s="574"/>
      <c r="AN17" s="582">
        <f t="shared" si="25"/>
        <v>0.10312043083216722</v>
      </c>
      <c r="AO17" s="575">
        <f t="shared" si="17"/>
        <v>0.36193700811902024</v>
      </c>
      <c r="AP17" s="575">
        <v>0</v>
      </c>
      <c r="AQ17" s="575">
        <f t="shared" si="26"/>
        <v>0.14999303656927479</v>
      </c>
      <c r="AR17" s="575">
        <f t="shared" si="27"/>
        <v>7.4996518284637395E-2</v>
      </c>
      <c r="AS17" s="574"/>
      <c r="AT17" s="581">
        <f t="shared" si="18"/>
        <v>0.13334652737438768</v>
      </c>
      <c r="AU17" s="389">
        <f t="shared" si="28"/>
        <v>0.22526359632846099</v>
      </c>
      <c r="AV17" s="389">
        <f t="shared" si="29"/>
        <v>9.6723959180586225E-2</v>
      </c>
      <c r="AW17" s="389">
        <f t="shared" si="30"/>
        <v>0.14999303656927479</v>
      </c>
      <c r="AX17" s="389">
        <f t="shared" si="31"/>
        <v>0.1233584978749305</v>
      </c>
      <c r="AY17" s="570">
        <f t="shared" si="19"/>
        <v>1.1717377990086951E-2</v>
      </c>
      <c r="AZ17" s="570">
        <f t="shared" si="20"/>
        <v>1.9794281542677188E-2</v>
      </c>
      <c r="BA17" s="570">
        <f t="shared" si="20"/>
        <v>8.4992928779812869E-3</v>
      </c>
      <c r="BB17" s="570">
        <f t="shared" si="21"/>
        <v>1.3180134046000672E-2</v>
      </c>
      <c r="BC17" s="570">
        <f t="shared" si="22"/>
        <v>1.0839713461990978E-2</v>
      </c>
      <c r="BE17" s="368">
        <f>AE17-(0.0074*('Wright-Zucman'!A49-1981)+0.0805)</f>
        <v>2.5093036569274779E-2</v>
      </c>
    </row>
    <row r="18" spans="1:57">
      <c r="A18" s="342">
        <v>1988</v>
      </c>
      <c r="B18" s="567">
        <f t="shared" si="0"/>
        <v>5.9345403197578035E-2</v>
      </c>
      <c r="C18" s="567">
        <f t="shared" si="23"/>
        <v>5.0637451372962904E-2</v>
      </c>
      <c r="D18" s="567">
        <f t="shared" si="1"/>
        <v>0.16198837717118159</v>
      </c>
      <c r="E18" s="556">
        <v>16461.563619493376</v>
      </c>
      <c r="F18" s="556">
        <v>2666.5819764218941</v>
      </c>
      <c r="G18" s="556">
        <f t="shared" si="2"/>
        <v>575.98170690712914</v>
      </c>
      <c r="H18" s="556">
        <f t="shared" si="3"/>
        <v>2090.6002695147649</v>
      </c>
      <c r="I18" s="556"/>
      <c r="J18" s="556">
        <f t="shared" si="24"/>
        <v>105.86266948785705</v>
      </c>
      <c r="K18" s="532">
        <f t="shared" si="4"/>
        <v>0.216</v>
      </c>
      <c r="L18" s="532">
        <v>0.216</v>
      </c>
      <c r="N18" s="562">
        <f t="shared" si="5"/>
        <v>158.24938255015184</v>
      </c>
      <c r="O18" s="553">
        <f>[1]T.A1!$L32</f>
        <v>0.38424259035469122</v>
      </c>
      <c r="P18" s="553">
        <f>[1]T.A1!$J32/([1]T.A1!$K32+MAX([1]T.A1!$H32,0))</f>
        <v>0.37896418258892917</v>
      </c>
      <c r="Q18" s="552">
        <f>[1]T.A1!$J32/([1]T.A1!$K32+MAX([1]T.A1!$H32,0)+X18)</f>
        <v>0.3702297661204923</v>
      </c>
      <c r="R18" s="552">
        <f t="shared" si="6"/>
        <v>0.29311488306024613</v>
      </c>
      <c r="S18" s="552">
        <f t="shared" si="7"/>
        <v>0.33103897290526596</v>
      </c>
      <c r="V18" s="562">
        <f t="shared" si="8"/>
        <v>95.726289024537238</v>
      </c>
      <c r="W18" s="564">
        <f t="shared" si="9"/>
        <v>93.806263814969441</v>
      </c>
      <c r="X18" s="556">
        <f>'Wright-Zucman'!P50</f>
        <v>1.9200252095678005</v>
      </c>
      <c r="Y18" s="556">
        <v>55.817</v>
      </c>
      <c r="Z18" s="559">
        <v>3.9289999999999998</v>
      </c>
      <c r="AA18" s="556">
        <v>103.94264427828925</v>
      </c>
      <c r="AB18" s="567">
        <f t="shared" si="32"/>
        <v>0.60490782006179389</v>
      </c>
      <c r="AC18" s="567">
        <f t="shared" si="12"/>
        <v>0.58250963732443184</v>
      </c>
      <c r="AE18" s="577">
        <f t="shared" si="13"/>
        <v>0.1094795789395418</v>
      </c>
      <c r="AF18" s="568">
        <f t="shared" si="14"/>
        <v>6.6428086457277241E-2</v>
      </c>
      <c r="AG18" s="568">
        <f>+'Wright-Zucman'!H50*1.1</f>
        <v>0.17590766539681904</v>
      </c>
      <c r="AH18" s="570">
        <f t="shared" si="15"/>
        <v>0.62236957492769684</v>
      </c>
      <c r="AI18" s="568">
        <f>'[1]Assets(MOFA)'!$AP33/'[1]Assets(MOFA)'!I33</f>
        <v>1.4252333481490889</v>
      </c>
      <c r="AJ18" s="568">
        <f>('[1]Assets(MOFA)'!$AP33+1000*'Wright-Zucman'!P50)/('[1]Assets(MOFA)'!$I33)</f>
        <v>1.6690615543295195</v>
      </c>
      <c r="AK18" s="569">
        <f>'[1]Assets(MOFA)'!$AS33/'[1]Assets(MOFA)'!J33</f>
        <v>0.63028842423329545</v>
      </c>
      <c r="AL18" s="574">
        <f t="shared" si="16"/>
        <v>10.480073815851219</v>
      </c>
      <c r="AM18" s="574"/>
      <c r="AN18" s="582">
        <f t="shared" si="25"/>
        <v>7.5267369777900855E-2</v>
      </c>
      <c r="AO18" s="575">
        <f t="shared" si="17"/>
        <v>0.36193700811902024</v>
      </c>
      <c r="AP18" s="575">
        <v>0</v>
      </c>
      <c r="AQ18" s="575">
        <f t="shared" si="26"/>
        <v>0.1094795789395418</v>
      </c>
      <c r="AR18" s="575">
        <f t="shared" si="27"/>
        <v>5.47397894697709E-2</v>
      </c>
      <c r="AS18" s="574"/>
      <c r="AT18" s="581">
        <f t="shared" si="18"/>
        <v>9.5962602641367217E-2</v>
      </c>
      <c r="AU18" s="389">
        <f t="shared" si="28"/>
        <v>0.20922353497565721</v>
      </c>
      <c r="AV18" s="389">
        <f t="shared" si="29"/>
        <v>6.6225053437601308E-2</v>
      </c>
      <c r="AW18" s="389">
        <f t="shared" si="30"/>
        <v>0.1094795789395418</v>
      </c>
      <c r="AX18" s="389">
        <f t="shared" si="31"/>
        <v>8.7852316188571561E-2</v>
      </c>
      <c r="AY18" s="570">
        <f t="shared" si="19"/>
        <v>9.5739136145446789E-3</v>
      </c>
      <c r="AZ18" s="570">
        <f t="shared" si="20"/>
        <v>2.0873631965491576E-2</v>
      </c>
      <c r="BA18" s="570">
        <f t="shared" si="20"/>
        <v>6.6070836271470944E-3</v>
      </c>
      <c r="BB18" s="570">
        <f t="shared" si="21"/>
        <v>1.0922463568866003E-2</v>
      </c>
      <c r="BC18" s="570">
        <f t="shared" si="22"/>
        <v>8.7647735980065505E-3</v>
      </c>
      <c r="BE18" s="368">
        <f>AE18-(0.0074*('Wright-Zucman'!A50-1981)+0.0805)</f>
        <v>-2.2820421060458201E-2</v>
      </c>
    </row>
    <row r="19" spans="1:57">
      <c r="A19" s="342">
        <v>1989</v>
      </c>
      <c r="B19" s="567">
        <f t="shared" si="0"/>
        <v>5.829973807896089E-2</v>
      </c>
      <c r="C19" s="567">
        <f t="shared" si="23"/>
        <v>5.0517108911763454E-2</v>
      </c>
      <c r="D19" s="567">
        <f t="shared" si="1"/>
        <v>0.16321954049849099</v>
      </c>
      <c r="E19" s="556">
        <v>17265.023362591011</v>
      </c>
      <c r="F19" s="556">
        <v>2817.989179937817</v>
      </c>
      <c r="G19" s="556">
        <f t="shared" si="2"/>
        <v>628.41158712613321</v>
      </c>
      <c r="H19" s="556">
        <f t="shared" si="3"/>
        <v>2189.5775928116836</v>
      </c>
      <c r="I19" s="556"/>
      <c r="J19" s="556">
        <f t="shared" si="24"/>
        <v>110.61112972682467</v>
      </c>
      <c r="K19" s="532">
        <f t="shared" si="4"/>
        <v>0.223</v>
      </c>
      <c r="L19" s="532">
        <v>0.223</v>
      </c>
      <c r="N19" s="562">
        <f t="shared" si="5"/>
        <v>164.28803109972051</v>
      </c>
      <c r="O19" s="553">
        <f>[1]T.A1!$L33</f>
        <v>0.38894081360843047</v>
      </c>
      <c r="P19" s="553">
        <f>[1]T.A1!$J33/([1]T.A1!$K33+MAX([1]T.A1!$H33,0))</f>
        <v>0.37950138504155123</v>
      </c>
      <c r="Q19" s="552">
        <f>[1]T.A1!$J33/([1]T.A1!$K33+MAX([1]T.A1!$H33,0)+X19)</f>
        <v>0.36887141974801491</v>
      </c>
      <c r="R19" s="552">
        <f t="shared" si="6"/>
        <v>0.29593570987400747</v>
      </c>
      <c r="S19" s="552">
        <f t="shared" si="7"/>
        <v>0.32672435729852234</v>
      </c>
      <c r="V19" s="562">
        <f t="shared" si="8"/>
        <v>98.545215145224063</v>
      </c>
      <c r="W19" s="564">
        <f t="shared" si="9"/>
        <v>96.017254464285713</v>
      </c>
      <c r="X19" s="556">
        <f>'Wright-Zucman'!P51</f>
        <v>2.5279606809383548</v>
      </c>
      <c r="Y19" s="556">
        <v>55.953000000000003</v>
      </c>
      <c r="Z19" s="559">
        <v>5.843</v>
      </c>
      <c r="AA19" s="556">
        <v>108.08316904588632</v>
      </c>
      <c r="AB19" s="567">
        <f t="shared" si="32"/>
        <v>0.59983198097619483</v>
      </c>
      <c r="AC19" s="567">
        <f t="shared" si="12"/>
        <v>0.58153244469881715</v>
      </c>
      <c r="AE19" s="577">
        <f t="shared" si="13"/>
        <v>0.14524816289176071</v>
      </c>
      <c r="AF19" s="568">
        <f t="shared" si="14"/>
        <v>6.5733941970255338E-2</v>
      </c>
      <c r="AG19" s="568">
        <f>+'Wright-Zucman'!H51*1.1</f>
        <v>0.21098210486201605</v>
      </c>
      <c r="AH19" s="570">
        <f t="shared" si="15"/>
        <v>0.68843830611489132</v>
      </c>
      <c r="AI19" s="568">
        <f>'[1]Assets(MOFA)'!$AP34/'[1]Assets(MOFA)'!I34</f>
        <v>1.5748876958474856</v>
      </c>
      <c r="AJ19" s="568">
        <f>('[1]Assets(MOFA)'!$AP34+1000*'Wright-Zucman'!P51)/('[1]Assets(MOFA)'!$I34)</f>
        <v>1.8518637757136358</v>
      </c>
      <c r="AK19" s="569">
        <f>'[1]Assets(MOFA)'!$AS34/'[1]Assets(MOFA)'!J34</f>
        <v>0.57696981480581344</v>
      </c>
      <c r="AL19" s="574">
        <f t="shared" si="16"/>
        <v>14.313511461617109</v>
      </c>
      <c r="AM19" s="574"/>
      <c r="AN19" s="582">
        <f t="shared" si="25"/>
        <v>9.9858323276637601E-2</v>
      </c>
      <c r="AO19" s="575">
        <f t="shared" si="17"/>
        <v>0.36193700811902024</v>
      </c>
      <c r="AP19" s="575">
        <v>0</v>
      </c>
      <c r="AQ19" s="575">
        <f t="shared" si="26"/>
        <v>0.14524816289176071</v>
      </c>
      <c r="AR19" s="575">
        <f t="shared" si="27"/>
        <v>7.2624081445880354E-2</v>
      </c>
      <c r="AS19" s="574"/>
      <c r="AT19" s="581">
        <f t="shared" si="18"/>
        <v>0.12708460068916866</v>
      </c>
      <c r="AU19" s="389">
        <f t="shared" si="28"/>
        <v>0.23196010883090906</v>
      </c>
      <c r="AV19" s="389">
        <f t="shared" si="29"/>
        <v>8.7124493280517856E-2</v>
      </c>
      <c r="AW19" s="389">
        <f t="shared" si="30"/>
        <v>0.14524816289176071</v>
      </c>
      <c r="AX19" s="389">
        <f t="shared" si="31"/>
        <v>0.11618632808613928</v>
      </c>
      <c r="AY19" s="570">
        <f t="shared" si="19"/>
        <v>1.2455464660764548E-2</v>
      </c>
      <c r="AZ19" s="570">
        <f t="shared" si="20"/>
        <v>2.2734233121737529E-2</v>
      </c>
      <c r="BA19" s="570">
        <f t="shared" si="20"/>
        <v>8.539005050633151E-3</v>
      </c>
      <c r="BB19" s="570">
        <f t="shared" si="21"/>
        <v>1.4235661520975211E-2</v>
      </c>
      <c r="BC19" s="570">
        <f t="shared" si="22"/>
        <v>1.138733328580418E-2</v>
      </c>
      <c r="BE19" s="368">
        <f>AE19-(0.0074*('Wright-Zucman'!A51-1981)+0.0805)</f>
        <v>5.5481628917607162E-3</v>
      </c>
    </row>
    <row r="20" spans="1:57">
      <c r="A20" s="342">
        <v>1990</v>
      </c>
      <c r="B20" s="567">
        <f t="shared" si="0"/>
        <v>5.4985262928575168E-2</v>
      </c>
      <c r="C20" s="567">
        <f t="shared" si="23"/>
        <v>4.785864588048834E-2</v>
      </c>
      <c r="D20" s="567">
        <f t="shared" si="1"/>
        <v>0.15992041882154995</v>
      </c>
      <c r="E20" s="556">
        <v>19397.835157959467</v>
      </c>
      <c r="F20" s="556">
        <v>3102.1099226922647</v>
      </c>
      <c r="G20" s="556">
        <f t="shared" si="2"/>
        <v>673.15785322422141</v>
      </c>
      <c r="H20" s="556">
        <f t="shared" si="3"/>
        <v>2428.9520694680432</v>
      </c>
      <c r="I20" s="556"/>
      <c r="J20" s="556">
        <f t="shared" si="24"/>
        <v>116.2463569533504</v>
      </c>
      <c r="K20" s="532">
        <f t="shared" si="4"/>
        <v>0.217</v>
      </c>
      <c r="L20" s="532">
        <v>0.217</v>
      </c>
      <c r="N20" s="562">
        <f t="shared" si="5"/>
        <v>170.57032973257617</v>
      </c>
      <c r="O20" s="553">
        <f>[1]T.A1!$L34</f>
        <v>0.37473248595920783</v>
      </c>
      <c r="P20" s="553">
        <f>[1]T.A1!$J34/([1]T.A1!$K34+MAX([1]T.A1!$H34,0))</f>
        <v>0.37227632058073834</v>
      </c>
      <c r="Q20" s="552">
        <f>[1]T.A1!$J34/([1]T.A1!$K34+MAX([1]T.A1!$H34,0)+X20)</f>
        <v>0.36001643646700465</v>
      </c>
      <c r="R20" s="552">
        <f t="shared" si="6"/>
        <v>0.28850821823350231</v>
      </c>
      <c r="S20" s="552">
        <f t="shared" si="7"/>
        <v>0.31848430418347706</v>
      </c>
      <c r="V20" s="562">
        <f t="shared" si="8"/>
        <v>101.47991102324218</v>
      </c>
      <c r="W20" s="564">
        <f t="shared" si="9"/>
        <v>98.580819180389199</v>
      </c>
      <c r="X20" s="556">
        <f>'Wright-Zucman'!P52</f>
        <v>2.8990918428529842</v>
      </c>
      <c r="Y20" s="556">
        <v>57.988999999999997</v>
      </c>
      <c r="Z20" s="559">
        <v>6.2009999999999996</v>
      </c>
      <c r="AA20" s="556">
        <v>113.34726511049742</v>
      </c>
      <c r="AB20" s="567">
        <f t="shared" si="32"/>
        <v>0.59494468459048278</v>
      </c>
      <c r="AC20" s="567">
        <f t="shared" si="12"/>
        <v>0.57712855354061376</v>
      </c>
      <c r="AE20" s="577">
        <f t="shared" si="13"/>
        <v>0.1807249080012531</v>
      </c>
      <c r="AF20" s="568">
        <f t="shared" si="14"/>
        <v>6.3737201597492743E-2</v>
      </c>
      <c r="AG20" s="568">
        <f>+'Wright-Zucman'!H52*1.1</f>
        <v>0.24446210959874584</v>
      </c>
      <c r="AH20" s="570">
        <f t="shared" si="15"/>
        <v>0.739275744195657</v>
      </c>
      <c r="AI20" s="568">
        <f>'[1]Assets(MOFA)'!$AP35/'[1]Assets(MOFA)'!I35</f>
        <v>1.5793946338202998</v>
      </c>
      <c r="AJ20" s="568">
        <f>('[1]Assets(MOFA)'!$AP35+1000*'Wright-Zucman'!P52)/('[1]Assets(MOFA)'!$I35)</f>
        <v>1.8562104309035601</v>
      </c>
      <c r="AK20" s="569">
        <f>'[1]Assets(MOFA)'!$AS35/'[1]Assets(MOFA)'!J35</f>
        <v>0.4839590832135896</v>
      </c>
      <c r="AL20" s="574">
        <f t="shared" si="16"/>
        <v>18.339947583650794</v>
      </c>
      <c r="AM20" s="574"/>
      <c r="AN20" s="582">
        <f t="shared" si="25"/>
        <v>0.12424863714646983</v>
      </c>
      <c r="AO20" s="575">
        <f t="shared" si="17"/>
        <v>0.36193700811902024</v>
      </c>
      <c r="AP20" s="575">
        <v>0</v>
      </c>
      <c r="AQ20" s="575">
        <f t="shared" si="26"/>
        <v>0.1807249080012531</v>
      </c>
      <c r="AR20" s="575">
        <f t="shared" si="27"/>
        <v>9.0362454000626549E-2</v>
      </c>
      <c r="AS20" s="574"/>
      <c r="AT20" s="581">
        <f t="shared" si="18"/>
        <v>0.15784889429701554</v>
      </c>
      <c r="AU20" s="389">
        <f t="shared" si="28"/>
        <v>0.25412583237047626</v>
      </c>
      <c r="AV20" s="389">
        <f t="shared" si="29"/>
        <v>0.10752132338844954</v>
      </c>
      <c r="AW20" s="389">
        <f t="shared" si="30"/>
        <v>0.1807249080012531</v>
      </c>
      <c r="AX20" s="389">
        <f t="shared" si="31"/>
        <v>0.14412311569485131</v>
      </c>
      <c r="AY20" s="570">
        <f t="shared" si="19"/>
        <v>1.4591107319295648E-2</v>
      </c>
      <c r="AZ20" s="570">
        <f t="shared" si="20"/>
        <v>2.349067637905565E-2</v>
      </c>
      <c r="BA20" s="570">
        <f t="shared" si="20"/>
        <v>9.9389683764368499E-3</v>
      </c>
      <c r="BB20" s="570">
        <f t="shared" si="21"/>
        <v>1.6705701612038305E-2</v>
      </c>
      <c r="BC20" s="570">
        <f t="shared" si="22"/>
        <v>1.3322334994237578E-2</v>
      </c>
      <c r="BE20" s="368">
        <f>AE20-(0.0074*('Wright-Zucman'!A52-1981)+0.0805)</f>
        <v>3.362490800125309E-2</v>
      </c>
    </row>
    <row r="21" spans="1:57">
      <c r="A21" s="342">
        <v>1991</v>
      </c>
      <c r="B21" s="567">
        <f t="shared" si="0"/>
        <v>4.5789556031087954E-2</v>
      </c>
      <c r="C21" s="567">
        <f t="shared" si="23"/>
        <v>4.0061503925254663E-2</v>
      </c>
      <c r="D21" s="567">
        <f t="shared" si="1"/>
        <v>0.1564549147222811</v>
      </c>
      <c r="E21" s="556">
        <v>20523.066794135091</v>
      </c>
      <c r="F21" s="556">
        <v>3210.9346651160845</v>
      </c>
      <c r="G21" s="556">
        <f t="shared" si="2"/>
        <v>671.08534500926169</v>
      </c>
      <c r="H21" s="556">
        <f t="shared" si="3"/>
        <v>2539.8493201068227</v>
      </c>
      <c r="I21" s="556"/>
      <c r="J21" s="556">
        <f t="shared" si="24"/>
        <v>101.75018350701487</v>
      </c>
      <c r="K21" s="532">
        <f t="shared" si="4"/>
        <v>0.20900000000000002</v>
      </c>
      <c r="L21" s="532">
        <v>0.20899999999999999</v>
      </c>
      <c r="N21" s="562">
        <f t="shared" si="5"/>
        <v>147.02727276049558</v>
      </c>
      <c r="O21" s="553">
        <f>[1]T.A1!$L35</f>
        <v>0.36666621192071047</v>
      </c>
      <c r="P21" s="553">
        <f>[1]T.A1!$J35/([1]T.A1!$K35+MAX([1]T.A1!$H35,0))</f>
        <v>0.35891032917139609</v>
      </c>
      <c r="Q21" s="552">
        <f>[1]T.A1!$J35/([1]T.A1!$K35+MAX([1]T.A1!$H35,0)+X21)</f>
        <v>0.34661208083879746</v>
      </c>
      <c r="R21" s="552">
        <f t="shared" si="6"/>
        <v>0.27780604041939871</v>
      </c>
      <c r="S21" s="552">
        <f t="shared" si="7"/>
        <v>0.30795027618607984</v>
      </c>
      <c r="V21" s="562">
        <f t="shared" si="8"/>
        <v>89.384633183241164</v>
      </c>
      <c r="W21" s="564">
        <f t="shared" si="9"/>
        <v>86.727615793201124</v>
      </c>
      <c r="X21" s="556">
        <f>'Wright-Zucman'!P53</f>
        <v>2.6570173900400404</v>
      </c>
      <c r="Y21" s="556">
        <v>52.271000000000001</v>
      </c>
      <c r="Z21" s="559">
        <v>5.1929999999999996</v>
      </c>
      <c r="AA21" s="556">
        <v>99.093166116974828</v>
      </c>
      <c r="AB21" s="567">
        <f t="shared" si="32"/>
        <v>0.60794593754620552</v>
      </c>
      <c r="AC21" s="567">
        <f t="shared" si="12"/>
        <v>0.59086888414206318</v>
      </c>
      <c r="AE21" s="577">
        <f t="shared" si="13"/>
        <v>0.19437578238718534</v>
      </c>
      <c r="AF21" s="568">
        <f t="shared" si="14"/>
        <v>6.519417226027957E-2</v>
      </c>
      <c r="AG21" s="568">
        <f>+'Wright-Zucman'!H53*1.1</f>
        <v>0.25956995464746491</v>
      </c>
      <c r="AH21" s="570">
        <f t="shared" si="15"/>
        <v>0.74883775609229086</v>
      </c>
      <c r="AI21" s="568">
        <f>'[1]Assets(MOFA)'!$AP36/'[1]Assets(MOFA)'!I36</f>
        <v>1.3248004165220411</v>
      </c>
      <c r="AJ21" s="568">
        <f>('[1]Assets(MOFA)'!$AP36+1000*'Wright-Zucman'!P53)/('[1]Assets(MOFA)'!$I36)</f>
        <v>1.5553642303054529</v>
      </c>
      <c r="AK21" s="569">
        <f>'[1]Assets(MOFA)'!$AS36/'[1]Assets(MOFA)'!J36</f>
        <v>0.39064877017730448</v>
      </c>
      <c r="AL21" s="574">
        <f t="shared" si="16"/>
        <v>17.37420800838407</v>
      </c>
      <c r="AM21" s="574"/>
      <c r="AN21" s="582">
        <f t="shared" si="25"/>
        <v>0.13363363314435395</v>
      </c>
      <c r="AO21" s="575">
        <f t="shared" si="17"/>
        <v>0.36193700811902024</v>
      </c>
      <c r="AP21" s="575">
        <v>0</v>
      </c>
      <c r="AQ21" s="575">
        <f t="shared" si="26"/>
        <v>0.19437578238718534</v>
      </c>
      <c r="AR21" s="575">
        <f t="shared" si="27"/>
        <v>9.7187891193592668E-2</v>
      </c>
      <c r="AS21" s="574"/>
      <c r="AT21" s="581">
        <f t="shared" si="18"/>
        <v>0.17056157601435862</v>
      </c>
      <c r="AU21" s="389">
        <f t="shared" si="28"/>
        <v>0.26006884164508848</v>
      </c>
      <c r="AV21" s="389">
        <f t="shared" si="29"/>
        <v>0.1181699672596546</v>
      </c>
      <c r="AW21" s="389">
        <f t="shared" si="30"/>
        <v>0.19437578238718534</v>
      </c>
      <c r="AX21" s="389">
        <f t="shared" si="31"/>
        <v>0.15627287482341998</v>
      </c>
      <c r="AY21" s="570">
        <f t="shared" si="19"/>
        <v>1.3129495375954099E-2</v>
      </c>
      <c r="AZ21" s="570">
        <f t="shared" si="20"/>
        <v>2.0019589016470357E-2</v>
      </c>
      <c r="BA21" s="570">
        <f t="shared" si="20"/>
        <v>9.0964921582435965E-3</v>
      </c>
      <c r="BB21" s="570">
        <f t="shared" si="21"/>
        <v>1.4962666244565931E-2</v>
      </c>
      <c r="BC21" s="570">
        <f t="shared" si="22"/>
        <v>1.2029579201404765E-2</v>
      </c>
      <c r="BE21" s="368">
        <f>AE21-(0.0074*('Wright-Zucman'!A53-1981)+0.0805)</f>
        <v>3.987578238718531E-2</v>
      </c>
    </row>
    <row r="22" spans="1:57">
      <c r="A22" s="342">
        <v>1992</v>
      </c>
      <c r="B22" s="567">
        <f t="shared" si="0"/>
        <v>4.479884307373886E-2</v>
      </c>
      <c r="C22" s="567">
        <f t="shared" si="23"/>
        <v>3.8074814789300429E-2</v>
      </c>
      <c r="D22" s="567">
        <f t="shared" si="1"/>
        <v>0.15479722044315622</v>
      </c>
      <c r="E22" s="556">
        <v>21774.922038703047</v>
      </c>
      <c r="F22" s="556">
        <v>3370.6974069576563</v>
      </c>
      <c r="G22" s="556">
        <f t="shared" si="2"/>
        <v>690.99296842631952</v>
      </c>
      <c r="H22" s="556">
        <f t="shared" si="3"/>
        <v>2679.7044385313366</v>
      </c>
      <c r="I22" s="556"/>
      <c r="J22" s="556">
        <f t="shared" si="24"/>
        <v>102.02925018714693</v>
      </c>
      <c r="K22" s="532">
        <f t="shared" si="4"/>
        <v>0.20499999999999999</v>
      </c>
      <c r="L22" s="532">
        <v>0.20499999999999999</v>
      </c>
      <c r="N22" s="562">
        <f t="shared" si="5"/>
        <v>151.00334418335453</v>
      </c>
      <c r="O22" s="553">
        <f>[1]T.A1!$L36</f>
        <v>0.38426425907526601</v>
      </c>
      <c r="P22" s="553">
        <f>[1]T.A1!$J36/([1]T.A1!$K36+MAX([1]T.A1!$H36,0))</f>
        <v>0.3830398024946533</v>
      </c>
      <c r="Q22" s="552">
        <f>[1]T.A1!$J36/([1]T.A1!$K36+MAX([1]T.A1!$H36,0)+X22)</f>
        <v>0.37029224282058071</v>
      </c>
      <c r="R22" s="552">
        <f t="shared" si="6"/>
        <v>0.28764612141029033</v>
      </c>
      <c r="S22" s="552">
        <f t="shared" si="7"/>
        <v>0.32432456553241118</v>
      </c>
      <c r="V22" s="562">
        <f t="shared" si="8"/>
        <v>90.25285306646029</v>
      </c>
      <c r="W22" s="564">
        <f t="shared" si="9"/>
        <v>87.85445085266268</v>
      </c>
      <c r="X22" s="556">
        <f>'Wright-Zucman'!P54</f>
        <v>2.3984022137976133</v>
      </c>
      <c r="Y22" s="556">
        <v>50.735999999999997</v>
      </c>
      <c r="Z22" s="559">
        <v>5.6189999999999998</v>
      </c>
      <c r="AA22" s="556">
        <v>99.630847973349319</v>
      </c>
      <c r="AB22" s="567">
        <f t="shared" si="32"/>
        <v>0.59768777674798734</v>
      </c>
      <c r="AC22" s="567">
        <f t="shared" si="12"/>
        <v>0.57584861307937985</v>
      </c>
      <c r="AE22" s="577">
        <f t="shared" si="13"/>
        <v>0.17871546274371625</v>
      </c>
      <c r="AF22" s="568">
        <f t="shared" si="14"/>
        <v>6.451572389749885E-2</v>
      </c>
      <c r="AG22" s="568">
        <f>+'Wright-Zucman'!H54*1.1</f>
        <v>0.2432311866412151</v>
      </c>
      <c r="AH22" s="570">
        <f t="shared" si="15"/>
        <v>0.73475554352878047</v>
      </c>
      <c r="AI22" s="568">
        <f>'[1]Assets(MOFA)'!$AP37/'[1]Assets(MOFA)'!I37</f>
        <v>1.1358315789473685</v>
      </c>
      <c r="AJ22" s="568">
        <f>('[1]Assets(MOFA)'!$AP37+1000*'Wright-Zucman'!P54)/('[1]Assets(MOFA)'!$I37)</f>
        <v>1.3378022916882202</v>
      </c>
      <c r="AK22" s="569">
        <f>'[1]Assets(MOFA)'!$AS37/'[1]Assets(MOFA)'!J37</f>
        <v>0.35484464172479391</v>
      </c>
      <c r="AL22" s="574">
        <f t="shared" si="16"/>
        <v>16.129580399713081</v>
      </c>
      <c r="AM22" s="574"/>
      <c r="AN22" s="582">
        <f t="shared" si="25"/>
        <v>0.12286714060882789</v>
      </c>
      <c r="AO22" s="575">
        <f t="shared" si="17"/>
        <v>0.36193700811902024</v>
      </c>
      <c r="AP22" s="575">
        <v>0</v>
      </c>
      <c r="AQ22" s="575">
        <f t="shared" si="26"/>
        <v>0.17871546274371625</v>
      </c>
      <c r="AR22" s="575">
        <f t="shared" si="27"/>
        <v>8.9357731371858123E-2</v>
      </c>
      <c r="AS22" s="574"/>
      <c r="AT22" s="581">
        <f t="shared" si="18"/>
        <v>0.15624700010073472</v>
      </c>
      <c r="AU22" s="389">
        <f t="shared" si="28"/>
        <v>0.25242773001132435</v>
      </c>
      <c r="AV22" s="389">
        <f t="shared" si="29"/>
        <v>0.10681604759777953</v>
      </c>
      <c r="AW22" s="389">
        <f t="shared" si="30"/>
        <v>0.17871546274371625</v>
      </c>
      <c r="AX22" s="389">
        <f t="shared" si="31"/>
        <v>0.14276575517074788</v>
      </c>
      <c r="AY22" s="570">
        <f t="shared" si="19"/>
        <v>1.1767355875666905E-2</v>
      </c>
      <c r="AZ22" s="570">
        <f t="shared" si="20"/>
        <v>1.9010969362707453E-2</v>
      </c>
      <c r="BA22" s="570">
        <f t="shared" si="20"/>
        <v>8.0445861008843541E-3</v>
      </c>
      <c r="BB22" s="570">
        <f t="shared" si="21"/>
        <v>1.3459512497737294E-2</v>
      </c>
      <c r="BC22" s="570">
        <f t="shared" si="22"/>
        <v>1.0752049299310822E-2</v>
      </c>
      <c r="BE22" s="368">
        <f>AE22-(0.0074*('Wright-Zucman'!A54-1981)+0.0805)</f>
        <v>1.6815462743716258E-2</v>
      </c>
    </row>
    <row r="23" spans="1:57">
      <c r="A23" s="342">
        <v>1993</v>
      </c>
      <c r="B23" s="567">
        <f t="shared" si="0"/>
        <v>4.8028050847168581E-2</v>
      </c>
      <c r="C23" s="567">
        <f t="shared" si="23"/>
        <v>4.3019473387257826E-2</v>
      </c>
      <c r="D23" s="567">
        <f t="shared" si="1"/>
        <v>0.15601794526942436</v>
      </c>
      <c r="E23" s="556">
        <v>22137.701975809512</v>
      </c>
      <c r="F23" s="556">
        <v>3453.878775252676</v>
      </c>
      <c r="G23" s="556">
        <f t="shared" si="2"/>
        <v>683.8679975000299</v>
      </c>
      <c r="H23" s="556">
        <f t="shared" si="3"/>
        <v>2770.0107777526459</v>
      </c>
      <c r="I23" s="556"/>
      <c r="J23" s="556">
        <f t="shared" si="24"/>
        <v>119.1644049359473</v>
      </c>
      <c r="K23" s="532">
        <f t="shared" si="4"/>
        <v>0.19800000000000001</v>
      </c>
      <c r="L23" s="532">
        <v>0.19800000000000001</v>
      </c>
      <c r="N23" s="562">
        <f t="shared" si="5"/>
        <v>165.88306543779186</v>
      </c>
      <c r="O23" s="553">
        <f>[1]T.A1!$L37</f>
        <v>0.32954314445634059</v>
      </c>
      <c r="P23" s="553">
        <f>[1]T.A1!$J37/([1]T.A1!$K37+MAX([1]T.A1!$H37,0))</f>
        <v>0.32954314445634059</v>
      </c>
      <c r="Q23" s="552">
        <f>[1]T.A1!$J37/([1]T.A1!$K37+MAX([1]T.A1!$H37,0)+X23)</f>
        <v>0.31862466820921931</v>
      </c>
      <c r="R23" s="552">
        <f t="shared" si="6"/>
        <v>0.25831233410460963</v>
      </c>
      <c r="S23" s="552">
        <f t="shared" si="7"/>
        <v>0.28163610540079276</v>
      </c>
      <c r="V23" s="562">
        <f t="shared" si="8"/>
        <v>97.025364272590409</v>
      </c>
      <c r="W23" s="564">
        <f t="shared" si="9"/>
        <v>94.496866992783666</v>
      </c>
      <c r="X23" s="556">
        <f>'Wright-Zucman'!P55</f>
        <v>2.5284972798067393</v>
      </c>
      <c r="Y23" s="556">
        <v>58.862000000000002</v>
      </c>
      <c r="Z23" s="559">
        <v>6.7030000000000003</v>
      </c>
      <c r="AA23" s="556">
        <v>116.63590765614056</v>
      </c>
      <c r="AB23" s="567">
        <f t="shared" si="32"/>
        <v>0.58490216597170419</v>
      </c>
      <c r="AC23" s="567">
        <f t="shared" si="12"/>
        <v>0.57142480857776312</v>
      </c>
      <c r="AE23" s="577">
        <f t="shared" si="13"/>
        <v>0.17102129396251187</v>
      </c>
      <c r="AF23" s="568">
        <f t="shared" si="14"/>
        <v>7.007190025894372E-2</v>
      </c>
      <c r="AG23" s="568">
        <f>+'Wright-Zucman'!H55*1.1</f>
        <v>0.24109319422145559</v>
      </c>
      <c r="AH23" s="570">
        <f t="shared" si="15"/>
        <v>0.70935761797332475</v>
      </c>
      <c r="AI23" s="568">
        <f>'[1]Assets(MOFA)'!$AP38/'[1]Assets(MOFA)'!I38</f>
        <v>1.1308641975308642</v>
      </c>
      <c r="AJ23" s="568">
        <f>('[1]Assets(MOFA)'!$AP38+1000*'Wright-Zucman'!P55)/('[1]Assets(MOFA)'!$I38)</f>
        <v>1.3322578478539817</v>
      </c>
      <c r="AK23" s="569">
        <f>'[1]Assets(MOFA)'!$AS38/'[1]Assets(MOFA)'!J38</f>
        <v>0.38721059437401312</v>
      </c>
      <c r="AL23" s="574">
        <f t="shared" si="16"/>
        <v>16.593403345082482</v>
      </c>
      <c r="AM23" s="574"/>
      <c r="AN23" s="582">
        <f t="shared" si="25"/>
        <v>0.11757738837925182</v>
      </c>
      <c r="AO23" s="575">
        <f t="shared" si="17"/>
        <v>0.36193700811902024</v>
      </c>
      <c r="AP23" s="575">
        <v>0</v>
      </c>
      <c r="AQ23" s="575">
        <f t="shared" si="26"/>
        <v>0.17102129396251187</v>
      </c>
      <c r="AR23" s="575">
        <f t="shared" si="27"/>
        <v>8.5510646981255933E-2</v>
      </c>
      <c r="AS23" s="574"/>
      <c r="AT23" s="581">
        <f t="shared" si="18"/>
        <v>0.14883684451288787</v>
      </c>
      <c r="AU23" s="389">
        <f t="shared" si="28"/>
        <v>0.25026999339084377</v>
      </c>
      <c r="AV23" s="389">
        <f t="shared" si="29"/>
        <v>0.10003072526595673</v>
      </c>
      <c r="AW23" s="389">
        <f t="shared" si="30"/>
        <v>0.17102129396251187</v>
      </c>
      <c r="AX23" s="389">
        <f t="shared" si="31"/>
        <v>0.13552600961423431</v>
      </c>
      <c r="AY23" s="570">
        <f t="shared" si="19"/>
        <v>1.2017269956531551E-2</v>
      </c>
      <c r="AZ23" s="570">
        <f t="shared" si="20"/>
        <v>2.0207107201447753E-2</v>
      </c>
      <c r="BA23" s="570">
        <f t="shared" si="20"/>
        <v>8.0766038369252911E-3</v>
      </c>
      <c r="BB23" s="570">
        <f t="shared" si="21"/>
        <v>1.38084697010953E-2</v>
      </c>
      <c r="BC23" s="570">
        <f t="shared" si="22"/>
        <v>1.0942536769010297E-2</v>
      </c>
      <c r="BE23" s="368">
        <f>AE23-(0.0074*('Wright-Zucman'!A55-1981)+0.0805)</f>
        <v>1.7212939625118606E-3</v>
      </c>
    </row>
    <row r="24" spans="1:57">
      <c r="A24" s="342">
        <v>1994</v>
      </c>
      <c r="B24" s="567">
        <f t="shared" si="0"/>
        <v>5.5139915750882611E-2</v>
      </c>
      <c r="C24" s="567">
        <f t="shared" si="23"/>
        <v>4.8140427153715727E-2</v>
      </c>
      <c r="D24" s="567">
        <f t="shared" si="1"/>
        <v>0.16120024399049293</v>
      </c>
      <c r="E24" s="556">
        <v>23750.763471994876</v>
      </c>
      <c r="F24" s="556">
        <v>3828.6288666460609</v>
      </c>
      <c r="G24" s="556">
        <f t="shared" si="2"/>
        <v>712.12496919616729</v>
      </c>
      <c r="H24" s="556">
        <f t="shared" si="3"/>
        <v>3116.5038974498939</v>
      </c>
      <c r="I24" s="556"/>
      <c r="J24" s="556">
        <f t="shared" si="24"/>
        <v>150.02982884945777</v>
      </c>
      <c r="K24" s="532">
        <f t="shared" si="4"/>
        <v>0.186</v>
      </c>
      <c r="L24" s="532">
        <v>0.186</v>
      </c>
      <c r="N24" s="562">
        <f t="shared" si="5"/>
        <v>211.11027314826097</v>
      </c>
      <c r="O24" s="553">
        <f>[1]T.A1!$L38</f>
        <v>0.34484098939929325</v>
      </c>
      <c r="P24" s="553">
        <f>[1]T.A1!$J38/([1]T.A1!$K38+MAX([1]T.A1!$H38,0))</f>
        <v>0.34447582068478644</v>
      </c>
      <c r="Q24" s="552">
        <f>[1]T.A1!$J38/([1]T.A1!$K38+MAX([1]T.A1!$H38,0)+X24)</f>
        <v>0.33318380159444094</v>
      </c>
      <c r="R24" s="552">
        <f t="shared" si="6"/>
        <v>0.2595919007972205</v>
      </c>
      <c r="S24" s="552">
        <f t="shared" si="7"/>
        <v>0.28932956879794725</v>
      </c>
      <c r="V24" s="562">
        <f t="shared" si="8"/>
        <v>113.71478182693505</v>
      </c>
      <c r="W24" s="564">
        <f t="shared" si="9"/>
        <v>110.834363577621</v>
      </c>
      <c r="X24" s="556">
        <f>'Wright-Zucman'!P56</f>
        <v>2.8804182493140544</v>
      </c>
      <c r="Y24" s="556">
        <v>68.120999999999995</v>
      </c>
      <c r="Z24" s="559">
        <v>6.9160000000000004</v>
      </c>
      <c r="AA24" s="556">
        <v>147.14941060014371</v>
      </c>
      <c r="AB24" s="567">
        <f t="shared" si="32"/>
        <v>0.53865110461523635</v>
      </c>
      <c r="AC24" s="567">
        <f t="shared" si="12"/>
        <v>0.51934617833562668</v>
      </c>
      <c r="AE24" s="577">
        <f t="shared" si="13"/>
        <v>0.16370512782577151</v>
      </c>
      <c r="AF24" s="568">
        <f t="shared" si="14"/>
        <v>7.3780184844271041E-2</v>
      </c>
      <c r="AG24" s="568">
        <f>+'Wright-Zucman'!H56*1.1</f>
        <v>0.23748531267004255</v>
      </c>
      <c r="AH24" s="570">
        <f t="shared" si="15"/>
        <v>0.6893273777028065</v>
      </c>
      <c r="AI24" s="568">
        <f>'[1]Assets(MOFA)'!$AP39/'[1]Assets(MOFA)'!I39</f>
        <v>1.1108730213589548</v>
      </c>
      <c r="AJ24" s="568">
        <f>('[1]Assets(MOFA)'!$AP39+1000*'Wright-Zucman'!P56)/('[1]Assets(MOFA)'!$I39)</f>
        <v>1.3099756859966858</v>
      </c>
      <c r="AK24" s="569">
        <f>'[1]Assets(MOFA)'!$AS39/'[1]Assets(MOFA)'!J39</f>
        <v>0.4069735815141553</v>
      </c>
      <c r="AL24" s="574">
        <f t="shared" si="16"/>
        <v>18.615692894658121</v>
      </c>
      <c r="AM24" s="574"/>
      <c r="AN24" s="582">
        <f t="shared" si="25"/>
        <v>0.11254751351761492</v>
      </c>
      <c r="AO24" s="575">
        <f t="shared" si="17"/>
        <v>0.36193700811902024</v>
      </c>
      <c r="AP24" s="575">
        <v>0</v>
      </c>
      <c r="AQ24" s="575">
        <f t="shared" si="26"/>
        <v>0.16370512782577151</v>
      </c>
      <c r="AR24" s="575">
        <f t="shared" si="27"/>
        <v>8.1852563912885756E-2</v>
      </c>
      <c r="AS24" s="574"/>
      <c r="AT24" s="581">
        <f t="shared" si="18"/>
        <v>0.14010361897418369</v>
      </c>
      <c r="AU24" s="389">
        <f t="shared" si="28"/>
        <v>0.25515918682910654</v>
      </c>
      <c r="AV24" s="389">
        <f t="shared" si="29"/>
        <v>8.8179947934530295E-2</v>
      </c>
      <c r="AW24" s="389">
        <f t="shared" si="30"/>
        <v>0.16370512782577151</v>
      </c>
      <c r="AX24" s="389">
        <f t="shared" si="31"/>
        <v>0.12594253788015092</v>
      </c>
      <c r="AY24" s="570">
        <f t="shared" si="19"/>
        <v>1.2987209710168658E-2</v>
      </c>
      <c r="AZ24" s="570">
        <f t="shared" si="20"/>
        <v>2.3652535838038079E-2</v>
      </c>
      <c r="BA24" s="570">
        <f t="shared" si="20"/>
        <v>8.1740320802742572E-3</v>
      </c>
      <c r="BB24" s="570">
        <f t="shared" si="21"/>
        <v>1.517500291048887E-2</v>
      </c>
      <c r="BC24" s="570">
        <f t="shared" si="22"/>
        <v>1.1674517495381564E-2</v>
      </c>
      <c r="BE24" s="368">
        <f>AE24-(0.0074*('Wright-Zucman'!A56-1981)+0.0805)</f>
        <v>-1.2994872174228511E-2</v>
      </c>
    </row>
    <row r="25" spans="1:57">
      <c r="A25" s="342">
        <v>1995</v>
      </c>
      <c r="B25" s="567">
        <f t="shared" si="0"/>
        <v>5.8153453238058359E-2</v>
      </c>
      <c r="C25" s="567">
        <f t="shared" si="23"/>
        <v>5.123316670441011E-2</v>
      </c>
      <c r="D25" s="567">
        <f t="shared" si="1"/>
        <v>0.16350535103761582</v>
      </c>
      <c r="E25" s="556">
        <v>26382.298008936275</v>
      </c>
      <c r="F25" s="556">
        <v>4313.6468971301183</v>
      </c>
      <c r="G25" s="556">
        <f t="shared" si="2"/>
        <v>810.96561666046227</v>
      </c>
      <c r="H25" s="556">
        <f t="shared" si="3"/>
        <v>3502.681280469656</v>
      </c>
      <c r="I25" s="556"/>
      <c r="J25" s="556">
        <f t="shared" si="24"/>
        <v>179.45345395471855</v>
      </c>
      <c r="K25" s="532">
        <f t="shared" si="4"/>
        <v>0.188</v>
      </c>
      <c r="L25" s="532">
        <v>0.188</v>
      </c>
      <c r="N25" s="562">
        <f t="shared" si="5"/>
        <v>250.85346311775186</v>
      </c>
      <c r="O25" s="553">
        <f>[1]T.A1!$L39</f>
        <v>0.33775243732590532</v>
      </c>
      <c r="P25" s="553">
        <f>[1]T.A1!$J39/([1]T.A1!$K39+MAX([1]T.A1!$H39,0))</f>
        <v>0.33414858894754523</v>
      </c>
      <c r="Q25" s="552">
        <f>[1]T.A1!$J39/([1]T.A1!$K39+MAX([1]T.A1!$H39,0)+X25)</f>
        <v>0.32209626954104059</v>
      </c>
      <c r="R25" s="552">
        <f t="shared" si="6"/>
        <v>0.2550481347705203</v>
      </c>
      <c r="S25" s="552">
        <f t="shared" si="7"/>
        <v>0.28462835743079928</v>
      </c>
      <c r="V25" s="562">
        <f t="shared" si="8"/>
        <v>140.36515727786633</v>
      </c>
      <c r="W25" s="564">
        <f t="shared" si="9"/>
        <v>136.02017284461573</v>
      </c>
      <c r="X25" s="556">
        <f>'Wright-Zucman'!P57</f>
        <v>4.3449844332506036</v>
      </c>
      <c r="Y25" s="556">
        <v>86.123999999999995</v>
      </c>
      <c r="Z25" s="559">
        <v>6.6760000000000002</v>
      </c>
      <c r="AA25" s="556">
        <v>175.10846952146795</v>
      </c>
      <c r="AB25" s="567">
        <f t="shared" si="32"/>
        <v>0.55955040657333177</v>
      </c>
      <c r="AC25" s="567">
        <f t="shared" si="12"/>
        <v>0.54133805893623632</v>
      </c>
      <c r="AE25" s="577">
        <f t="shared" si="13"/>
        <v>0.18674859467254296</v>
      </c>
      <c r="AF25" s="568">
        <f t="shared" si="14"/>
        <v>7.4317347374206977E-2</v>
      </c>
      <c r="AG25" s="568">
        <f>+'Wright-Zucman'!H57*1.1</f>
        <v>0.26106594204674993</v>
      </c>
      <c r="AH25" s="570">
        <f t="shared" si="15"/>
        <v>0.71533112748617844</v>
      </c>
      <c r="AI25" s="568">
        <f>'[1]Assets(MOFA)'!$AP40/'[1]Assets(MOFA)'!I40</f>
        <v>1.4738169958771767</v>
      </c>
      <c r="AJ25" s="568">
        <f>('[1]Assets(MOFA)'!$AP40+1000*'Wright-Zucman'!P57)/('[1]Assets(MOFA)'!$I40)</f>
        <v>1.7411841999415791</v>
      </c>
      <c r="AK25" s="569">
        <f>'[1]Assets(MOFA)'!$AS40/'[1]Assets(MOFA)'!J40</f>
        <v>0.49566094303624963</v>
      </c>
      <c r="AL25" s="574">
        <f t="shared" si="16"/>
        <v>26.212995862632003</v>
      </c>
      <c r="AM25" s="574"/>
      <c r="AN25" s="582">
        <f t="shared" si="25"/>
        <v>0.12838993049547479</v>
      </c>
      <c r="AO25" s="575">
        <f t="shared" si="17"/>
        <v>0.36193700811902024</v>
      </c>
      <c r="AP25" s="575">
        <v>0</v>
      </c>
      <c r="AQ25" s="575">
        <f t="shared" si="26"/>
        <v>0.18674859467254296</v>
      </c>
      <c r="AR25" s="575">
        <f t="shared" si="27"/>
        <v>9.3374297336271478E-2</v>
      </c>
      <c r="AS25" s="574"/>
      <c r="AT25" s="581">
        <f t="shared" si="18"/>
        <v>0.16104454476282981</v>
      </c>
      <c r="AU25" s="389">
        <f t="shared" si="28"/>
        <v>0.26391026014810692</v>
      </c>
      <c r="AV25" s="389">
        <f t="shared" si="29"/>
        <v>0.10449525207601976</v>
      </c>
      <c r="AW25" s="389">
        <f t="shared" si="30"/>
        <v>0.18674859467254296</v>
      </c>
      <c r="AX25" s="389">
        <f t="shared" si="31"/>
        <v>0.14562192337428137</v>
      </c>
      <c r="AY25" s="570">
        <f t="shared" si="19"/>
        <v>1.5744248234462438E-2</v>
      </c>
      <c r="AZ25" s="570">
        <f t="shared" si="20"/>
        <v>2.5800741363282576E-2</v>
      </c>
      <c r="BA25" s="570">
        <f t="shared" si="20"/>
        <v>1.0215802034340657E-2</v>
      </c>
      <c r="BB25" s="570">
        <f t="shared" si="21"/>
        <v>1.8257161310813605E-2</v>
      </c>
      <c r="BC25" s="570">
        <f t="shared" si="22"/>
        <v>1.4236481672577132E-2</v>
      </c>
      <c r="BE25" s="368">
        <f>AE25-(0.0074*('Wright-Zucman'!A57-1981)+0.0805)</f>
        <v>2.6485946725429699E-3</v>
      </c>
    </row>
    <row r="26" spans="1:57">
      <c r="A26" s="342">
        <v>1996</v>
      </c>
      <c r="B26" s="567">
        <f t="shared" si="0"/>
        <v>6.9749114371787255E-2</v>
      </c>
      <c r="C26" s="567">
        <f t="shared" si="23"/>
        <v>6.1622125252804215E-2</v>
      </c>
      <c r="D26" s="567">
        <f t="shared" si="1"/>
        <v>0.16612537731554916</v>
      </c>
      <c r="E26" s="556">
        <v>26939.676158338669</v>
      </c>
      <c r="F26" s="556">
        <v>4475.363866562715</v>
      </c>
      <c r="G26" s="556">
        <f t="shared" si="2"/>
        <v>877.17131784629214</v>
      </c>
      <c r="H26" s="556">
        <f t="shared" si="3"/>
        <v>3598.1925487164226</v>
      </c>
      <c r="I26" s="556"/>
      <c r="J26" s="556">
        <f t="shared" si="24"/>
        <v>221.72827192071023</v>
      </c>
      <c r="K26" s="532">
        <f t="shared" si="4"/>
        <v>0.19600000000000001</v>
      </c>
      <c r="L26" s="532">
        <v>0.19600000000000001</v>
      </c>
      <c r="N26" s="562">
        <f t="shared" si="5"/>
        <v>312.15266618424681</v>
      </c>
      <c r="O26" s="553">
        <f>[1]T.A1!$L40</f>
        <v>0.34686499804278248</v>
      </c>
      <c r="P26" s="553">
        <f>[1]T.A1!$J40/([1]T.A1!$K40+MAX([1]T.A1!$H40,0))</f>
        <v>0.34331555677104697</v>
      </c>
      <c r="Q26" s="552">
        <f>[1]T.A1!$J40/([1]T.A1!$K40+MAX([1]T.A1!$H40,0)+X26)</f>
        <v>0.33175550557276329</v>
      </c>
      <c r="R26" s="552">
        <f t="shared" si="6"/>
        <v>0.26387775278638165</v>
      </c>
      <c r="S26" s="552">
        <f t="shared" si="7"/>
        <v>0.28968003178984214</v>
      </c>
      <c r="V26" s="562">
        <f t="shared" si="8"/>
        <v>153.44604715617677</v>
      </c>
      <c r="W26" s="564">
        <f t="shared" si="9"/>
        <v>148.85924828208508</v>
      </c>
      <c r="X26" s="556">
        <f>'Wright-Zucman'!P58</f>
        <v>4.5867988740916914</v>
      </c>
      <c r="Y26" s="556">
        <v>92.855999999999995</v>
      </c>
      <c r="Z26" s="559">
        <v>7.4580000000000002</v>
      </c>
      <c r="AA26" s="556">
        <v>217.14147304661853</v>
      </c>
      <c r="AB26" s="567">
        <f t="shared" si="32"/>
        <v>0.49157371946202083</v>
      </c>
      <c r="AC26" s="567">
        <f t="shared" si="12"/>
        <v>0.47310520199067846</v>
      </c>
      <c r="AE26" s="577">
        <f t="shared" si="13"/>
        <v>0.17069096226206415</v>
      </c>
      <c r="AF26" s="568">
        <f t="shared" si="14"/>
        <v>7.6362053517575051E-2</v>
      </c>
      <c r="AG26" s="568">
        <f>+'Wright-Zucman'!H58*1.1</f>
        <v>0.2470530157796392</v>
      </c>
      <c r="AH26" s="570">
        <f t="shared" si="15"/>
        <v>0.69090823167410043</v>
      </c>
      <c r="AI26" s="568">
        <f>'[1]Assets(MOFA)'!$AP41/'[1]Assets(MOFA)'!I41</f>
        <v>1.4843795114627245</v>
      </c>
      <c r="AJ26" s="568">
        <f>('[1]Assets(MOFA)'!$AP41+1000*'Wright-Zucman'!P58)/('[1]Assets(MOFA)'!$I41)</f>
        <v>1.7492521149212734</v>
      </c>
      <c r="AK26" s="569">
        <f>'[1]Assets(MOFA)'!$AS41/'[1]Assets(MOFA)'!J41</f>
        <v>0.54067942944883596</v>
      </c>
      <c r="AL26" s="574">
        <f t="shared" si="16"/>
        <v>26.191853444397886</v>
      </c>
      <c r="AM26" s="574"/>
      <c r="AN26" s="582">
        <f t="shared" si="25"/>
        <v>0.11735028485466946</v>
      </c>
      <c r="AO26" s="575">
        <f t="shared" si="17"/>
        <v>0.36193700811902024</v>
      </c>
      <c r="AP26" s="575">
        <v>0</v>
      </c>
      <c r="AQ26" s="575">
        <f t="shared" si="26"/>
        <v>0.17069096226206415</v>
      </c>
      <c r="AR26" s="575">
        <f t="shared" si="27"/>
        <v>8.5345481131032075E-2</v>
      </c>
      <c r="AS26" s="574"/>
      <c r="AT26" s="581">
        <f t="shared" si="18"/>
        <v>0.14357116004644624</v>
      </c>
      <c r="AU26" s="389">
        <f t="shared" si="28"/>
        <v>0.26792547802471212</v>
      </c>
      <c r="AV26" s="389">
        <f t="shared" si="29"/>
        <v>8.3907191197714309E-2</v>
      </c>
      <c r="AW26" s="389">
        <f t="shared" si="30"/>
        <v>0.17069096226206415</v>
      </c>
      <c r="AX26" s="389">
        <f t="shared" si="31"/>
        <v>0.12729907672988922</v>
      </c>
      <c r="AY26" s="570">
        <f t="shared" si="19"/>
        <v>1.6834735938078736E-2</v>
      </c>
      <c r="AZ26" s="570">
        <f t="shared" si="20"/>
        <v>3.1416160962761494E-2</v>
      </c>
      <c r="BA26" s="570">
        <f t="shared" si="20"/>
        <v>9.8387127795194658E-3</v>
      </c>
      <c r="BB26" s="570">
        <f t="shared" si="21"/>
        <v>2.0014724933397517E-2</v>
      </c>
      <c r="BC26" s="570">
        <f t="shared" si="22"/>
        <v>1.4926718856458489E-2</v>
      </c>
      <c r="BE26" s="368">
        <f>AE26-(0.0074*('Wright-Zucman'!A58-1981)+0.0805)</f>
        <v>-2.0809037737935854E-2</v>
      </c>
    </row>
    <row r="27" spans="1:57">
      <c r="A27" s="342">
        <v>1997</v>
      </c>
      <c r="B27" s="567">
        <f t="shared" si="0"/>
        <v>7.2567227414628288E-2</v>
      </c>
      <c r="C27" s="567">
        <f t="shared" si="23"/>
        <v>6.5786503865238335E-2</v>
      </c>
      <c r="D27" s="567">
        <f t="shared" si="1"/>
        <v>0.16905658686298317</v>
      </c>
      <c r="E27" s="556">
        <v>26817.963156137979</v>
      </c>
      <c r="F27" s="556">
        <v>4533.7533177939222</v>
      </c>
      <c r="G27" s="556">
        <f t="shared" si="2"/>
        <v>906.75066355878448</v>
      </c>
      <c r="H27" s="556">
        <f t="shared" si="3"/>
        <v>3627.0026542351379</v>
      </c>
      <c r="I27" s="556"/>
      <c r="J27" s="556">
        <f t="shared" si="24"/>
        <v>238.60782413206962</v>
      </c>
      <c r="K27" s="532">
        <f t="shared" si="4"/>
        <v>0.2</v>
      </c>
      <c r="L27" s="532">
        <v>0.2</v>
      </c>
      <c r="N27" s="562">
        <f t="shared" si="5"/>
        <v>329.00190805417708</v>
      </c>
      <c r="O27" s="553">
        <f>[1]T.A1!$L41</f>
        <v>0.32978229378209972</v>
      </c>
      <c r="P27" s="553">
        <f>[1]T.A1!$J41/([1]T.A1!$K41+MAX([1]T.A1!$H41,0))</f>
        <v>0.32208931581405742</v>
      </c>
      <c r="Q27" s="552">
        <f>[1]T.A1!$J41/([1]T.A1!$K41+MAX([1]T.A1!$H41,0)+X27)</f>
        <v>0.30981470583878651</v>
      </c>
      <c r="R27" s="552">
        <f t="shared" si="6"/>
        <v>0.25490735291939326</v>
      </c>
      <c r="S27" s="552">
        <f t="shared" si="7"/>
        <v>0.27475246103199547</v>
      </c>
      <c r="V27" s="562">
        <f t="shared" si="8"/>
        <v>168.55587773962816</v>
      </c>
      <c r="W27" s="564">
        <f t="shared" si="9"/>
        <v>162.70321104820107</v>
      </c>
      <c r="X27" s="556">
        <f>'Wright-Zucman'!P59</f>
        <v>5.85266669142709</v>
      </c>
      <c r="Y27" s="556">
        <v>104.17400000000001</v>
      </c>
      <c r="Z27" s="559">
        <v>9.0340000000000007</v>
      </c>
      <c r="AA27" s="556">
        <v>232.75515744064253</v>
      </c>
      <c r="AB27" s="567">
        <f t="shared" si="32"/>
        <v>0.51232492460764667</v>
      </c>
      <c r="AC27" s="567">
        <f t="shared" si="12"/>
        <v>0.49898056413073416</v>
      </c>
      <c r="AE27" s="577">
        <f t="shared" si="13"/>
        <v>0.20959162136074871</v>
      </c>
      <c r="AF27" s="568">
        <f t="shared" si="14"/>
        <v>7.0898133186707568E-2</v>
      </c>
      <c r="AG27" s="568">
        <f>+'Wright-Zucman'!H59*1.1</f>
        <v>0.28048975454745628</v>
      </c>
      <c r="AH27" s="570">
        <f t="shared" si="15"/>
        <v>0.74723449952353871</v>
      </c>
      <c r="AI27" s="568">
        <f>'[1]Assets(MOFA)'!$AP42/'[1]Assets(MOFA)'!I42</f>
        <v>1.85882150636249</v>
      </c>
      <c r="AJ27" s="568">
        <f>('[1]Assets(MOFA)'!$AP42+1000*'Wright-Zucman'!P59)/('[1]Assets(MOFA)'!$I42)</f>
        <v>2.1942947776812503</v>
      </c>
      <c r="AK27" s="569">
        <f>'[1]Assets(MOFA)'!$AS42/'[1]Assets(MOFA)'!J42</f>
        <v>0.55464201767348675</v>
      </c>
      <c r="AL27" s="574">
        <f t="shared" si="16"/>
        <v>35.327899705332797</v>
      </c>
      <c r="AM27" s="574"/>
      <c r="AN27" s="582">
        <f t="shared" si="25"/>
        <v>0.14409454457274587</v>
      </c>
      <c r="AO27" s="575">
        <f t="shared" si="17"/>
        <v>0.36193700811902024</v>
      </c>
      <c r="AP27" s="575">
        <v>0</v>
      </c>
      <c r="AQ27" s="575">
        <f t="shared" si="26"/>
        <v>0.20959162136074871</v>
      </c>
      <c r="AR27" s="575">
        <f t="shared" si="27"/>
        <v>0.10479581068037436</v>
      </c>
      <c r="AS27" s="574"/>
      <c r="AT27" s="581">
        <f t="shared" si="18"/>
        <v>0.17765032950018067</v>
      </c>
      <c r="AU27" s="389">
        <f t="shared" si="28"/>
        <v>0.283886669333766</v>
      </c>
      <c r="AV27" s="389">
        <f t="shared" si="29"/>
        <v>0.10737901161204001</v>
      </c>
      <c r="AW27" s="389">
        <f t="shared" si="30"/>
        <v>0.20959162136074871</v>
      </c>
      <c r="AX27" s="389">
        <f t="shared" si="31"/>
        <v>0.15848531648639436</v>
      </c>
      <c r="AY27" s="570">
        <f t="shared" si="19"/>
        <v>2.1672397077737687E-2</v>
      </c>
      <c r="AZ27" s="570">
        <f t="shared" si="20"/>
        <v>3.4632666543247467E-2</v>
      </c>
      <c r="BA27" s="570">
        <f t="shared" si="20"/>
        <v>1.3099669356193177E-2</v>
      </c>
      <c r="BB27" s="570">
        <f t="shared" si="21"/>
        <v>2.5569065112780301E-2</v>
      </c>
      <c r="BC27" s="570">
        <f t="shared" si="22"/>
        <v>1.9334367234486737E-2</v>
      </c>
      <c r="BE27" s="368">
        <f>AE27-(0.0074*('Wright-Zucman'!A59-1981)+0.0805)</f>
        <v>1.0691621360748693E-2</v>
      </c>
    </row>
    <row r="28" spans="1:57">
      <c r="A28" s="342">
        <v>1998</v>
      </c>
      <c r="B28" s="567">
        <f t="shared" si="0"/>
        <v>6.8546909504774503E-2</v>
      </c>
      <c r="C28" s="567">
        <f t="shared" si="23"/>
        <v>6.2408702216915066E-2</v>
      </c>
      <c r="D28" s="567">
        <f t="shared" si="1"/>
        <v>0.16770399609041559</v>
      </c>
      <c r="E28" s="556">
        <v>26719.617030261143</v>
      </c>
      <c r="F28" s="556">
        <v>4480.9865499803163</v>
      </c>
      <c r="G28" s="556">
        <f t="shared" si="2"/>
        <v>860.34941759622075</v>
      </c>
      <c r="H28" s="556">
        <f t="shared" si="3"/>
        <v>3620.6371323840958</v>
      </c>
      <c r="I28" s="556"/>
      <c r="J28" s="556">
        <f t="shared" si="24"/>
        <v>225.95926463046433</v>
      </c>
      <c r="K28" s="532">
        <f t="shared" si="4"/>
        <v>0.192</v>
      </c>
      <c r="L28" s="532">
        <v>0.192</v>
      </c>
      <c r="N28" s="562">
        <f t="shared" si="5"/>
        <v>307.15777953361248</v>
      </c>
      <c r="O28" s="553">
        <f>[1]T.A1!$L42</f>
        <v>0.32643989176652494</v>
      </c>
      <c r="P28" s="553">
        <f>[1]T.A1!$J42/([1]T.A1!$K42+MAX([1]T.A1!$H42,0))</f>
        <v>0.31913335800155884</v>
      </c>
      <c r="Q28" s="552">
        <f>[1]T.A1!$J42/([1]T.A1!$K42+MAX([1]T.A1!$H42,0)+X28)</f>
        <v>0.30481134453165576</v>
      </c>
      <c r="R28" s="552">
        <f t="shared" si="6"/>
        <v>0.24840567226582788</v>
      </c>
      <c r="S28" s="552">
        <f t="shared" si="7"/>
        <v>0.2643544142897496</v>
      </c>
      <c r="V28" s="562">
        <f t="shared" si="8"/>
        <v>148.71314526705507</v>
      </c>
      <c r="W28" s="564">
        <f t="shared" si="9"/>
        <v>142.74496901125076</v>
      </c>
      <c r="X28" s="556">
        <f>'Wright-Zucman'!P60</f>
        <v>5.9681762558043117</v>
      </c>
      <c r="Y28" s="556">
        <v>89.265000000000001</v>
      </c>
      <c r="Z28" s="559">
        <v>11.64</v>
      </c>
      <c r="AA28" s="556">
        <v>219.99108837466002</v>
      </c>
      <c r="AB28" s="567">
        <f t="shared" si="32"/>
        <v>0.48415881080030171</v>
      </c>
      <c r="AC28" s="567">
        <f t="shared" si="12"/>
        <v>0.47297541187605474</v>
      </c>
      <c r="AE28" s="577">
        <f t="shared" si="13"/>
        <v>0.26047853882291788</v>
      </c>
      <c r="AF28" s="568">
        <f t="shared" si="14"/>
        <v>6.6393512660734066E-2</v>
      </c>
      <c r="AG28" s="568">
        <f>+'Wright-Zucman'!H60*1.1</f>
        <v>0.32687205148365195</v>
      </c>
      <c r="AH28" s="570">
        <f t="shared" si="15"/>
        <v>0.79688225909991983</v>
      </c>
      <c r="AI28" s="568">
        <f>'[1]Assets(MOFA)'!$AP43/'[1]Assets(MOFA)'!I43</f>
        <v>1.8416014415226083</v>
      </c>
      <c r="AJ28" s="568">
        <f>('[1]Assets(MOFA)'!$AP43+1000*'Wright-Zucman'!P60)/('[1]Assets(MOFA)'!$I43)</f>
        <v>2.1776663244441865</v>
      </c>
      <c r="AK28" s="569">
        <f>'[1]Assets(MOFA)'!$AS43/'[1]Assets(MOFA)'!J43</f>
        <v>0.44232266425528416</v>
      </c>
      <c r="AL28" s="574">
        <f t="shared" si="16"/>
        <v>38.736582782922831</v>
      </c>
      <c r="AM28" s="574"/>
      <c r="AN28" s="582">
        <f t="shared" si="25"/>
        <v>0.17907937435180199</v>
      </c>
      <c r="AO28" s="575">
        <f t="shared" si="17"/>
        <v>0.36193700811902024</v>
      </c>
      <c r="AP28" s="575">
        <v>0</v>
      </c>
      <c r="AQ28" s="575">
        <f t="shared" si="26"/>
        <v>0.26047853882291788</v>
      </c>
      <c r="AR28" s="575">
        <f t="shared" si="27"/>
        <v>0.13023926941145894</v>
      </c>
      <c r="AS28" s="574"/>
      <c r="AT28" s="581">
        <f t="shared" si="18"/>
        <v>0.21848949702227563</v>
      </c>
      <c r="AU28" s="389">
        <f t="shared" si="28"/>
        <v>0.31281499627900045</v>
      </c>
      <c r="AV28" s="389">
        <f t="shared" si="29"/>
        <v>0.12611297959550413</v>
      </c>
      <c r="AW28" s="389">
        <f t="shared" si="30"/>
        <v>0.26047853882291788</v>
      </c>
      <c r="AX28" s="389">
        <f t="shared" si="31"/>
        <v>0.19329575920921099</v>
      </c>
      <c r="AY28" s="570">
        <f t="shared" si="19"/>
        <v>2.5177861806161845E-2</v>
      </c>
      <c r="AZ28" s="570">
        <f t="shared" si="20"/>
        <v>3.604755768376694E-2</v>
      </c>
      <c r="BA28" s="570">
        <f t="shared" si="20"/>
        <v>1.4532758853370353E-2</v>
      </c>
      <c r="BB28" s="570">
        <f t="shared" si="21"/>
        <v>3.0016512204638166E-2</v>
      </c>
      <c r="BC28" s="570">
        <f t="shared" si="22"/>
        <v>2.2274635529004258E-2</v>
      </c>
      <c r="BE28" s="368">
        <f>AE28-(0.0074*('Wright-Zucman'!A60-1981)+0.0805)</f>
        <v>5.4178538822917899E-2</v>
      </c>
    </row>
    <row r="29" spans="1:57">
      <c r="A29" s="342">
        <v>1999</v>
      </c>
      <c r="B29" s="567">
        <f t="shared" si="0"/>
        <v>8.47568451647365E-2</v>
      </c>
      <c r="C29" s="567">
        <f t="shared" si="23"/>
        <v>7.801346136077969E-2</v>
      </c>
      <c r="D29" s="567">
        <f t="shared" si="1"/>
        <v>0.16603567419961138</v>
      </c>
      <c r="E29" s="556">
        <v>27695.356663308703</v>
      </c>
      <c r="F29" s="556">
        <v>4598.4172157911598</v>
      </c>
      <c r="G29" s="556">
        <f t="shared" si="2"/>
        <v>892.09293986348507</v>
      </c>
      <c r="H29" s="556">
        <f t="shared" si="3"/>
        <v>3706.3242759276745</v>
      </c>
      <c r="I29" s="556"/>
      <c r="J29" s="556">
        <f t="shared" si="24"/>
        <v>289.14318569060339</v>
      </c>
      <c r="K29" s="532">
        <f t="shared" si="4"/>
        <v>0.19400000000000001</v>
      </c>
      <c r="L29" s="532">
        <v>0.19400000000000001</v>
      </c>
      <c r="N29" s="562">
        <f t="shared" si="5"/>
        <v>389.74733596167005</v>
      </c>
      <c r="O29" s="553">
        <f>[1]T.A1!$L43</f>
        <v>0.31747865535799819</v>
      </c>
      <c r="P29" s="553">
        <f>[1]T.A1!$J43/([1]T.A1!$K43+MAX([1]T.A1!$H43,0))</f>
        <v>0.30860249659337569</v>
      </c>
      <c r="Q29" s="552">
        <f>[1]T.A1!$J43/([1]T.A1!$K43+MAX([1]T.A1!$H43,0)+X29)</f>
        <v>0.29608426338438543</v>
      </c>
      <c r="R29" s="552">
        <f t="shared" si="6"/>
        <v>0.24504213169219272</v>
      </c>
      <c r="S29" s="552">
        <f t="shared" si="7"/>
        <v>0.2581265886598918</v>
      </c>
      <c r="V29" s="562">
        <f t="shared" si="8"/>
        <v>181.81684517955756</v>
      </c>
      <c r="W29" s="564">
        <f t="shared" si="9"/>
        <v>175.64241956601398</v>
      </c>
      <c r="X29" s="556">
        <f>'Wright-Zucman'!P61</f>
        <v>6.174425613543586</v>
      </c>
      <c r="Y29" s="556">
        <v>111.242</v>
      </c>
      <c r="Z29" s="559">
        <v>14.747999999999999</v>
      </c>
      <c r="AA29" s="556">
        <v>282.96876007705981</v>
      </c>
      <c r="AB29" s="567">
        <f t="shared" si="32"/>
        <v>0.46649926350603321</v>
      </c>
      <c r="AC29" s="567">
        <f t="shared" si="12"/>
        <v>0.45708988540703721</v>
      </c>
      <c r="AE29" s="577">
        <f t="shared" si="13"/>
        <v>0.23193555861316661</v>
      </c>
      <c r="AF29" s="568">
        <f t="shared" si="14"/>
        <v>6.7620511593931287E-2</v>
      </c>
      <c r="AG29" s="568">
        <f>+'Wright-Zucman'!H61*1.1</f>
        <v>0.2995560702070979</v>
      </c>
      <c r="AH29" s="570">
        <f t="shared" si="15"/>
        <v>0.77426425861715342</v>
      </c>
      <c r="AI29" s="568">
        <f>'[1]Assets(MOFA)'!$AP44/'[1]Assets(MOFA)'!I44</f>
        <v>1.7204653036559574</v>
      </c>
      <c r="AJ29" s="568">
        <f>('[1]Assets(MOFA)'!$AP44+1000*'Wright-Zucman'!P61)/('[1]Assets(MOFA)'!$I44)</f>
        <v>2.0313941793505683</v>
      </c>
      <c r="AK29" s="569">
        <f>'[1]Assets(MOFA)'!$AS44/'[1]Assets(MOFA)'!J44</f>
        <v>0.45855827111649972</v>
      </c>
      <c r="AL29" s="574">
        <f t="shared" si="16"/>
        <v>42.169791552004313</v>
      </c>
      <c r="AM29" s="574"/>
      <c r="AN29" s="582">
        <f t="shared" si="25"/>
        <v>0.159456033936901</v>
      </c>
      <c r="AO29" s="575">
        <f t="shared" si="17"/>
        <v>0.36193700811902024</v>
      </c>
      <c r="AP29" s="575">
        <v>0</v>
      </c>
      <c r="AQ29" s="575">
        <f t="shared" si="26"/>
        <v>0.23193555861316661</v>
      </c>
      <c r="AR29" s="575">
        <f t="shared" si="27"/>
        <v>0.11596777930658331</v>
      </c>
      <c r="AS29" s="574"/>
      <c r="AT29" s="581">
        <f t="shared" si="18"/>
        <v>0.19326767881764628</v>
      </c>
      <c r="AU29" s="389">
        <f t="shared" si="28"/>
        <v>0.30129142766982275</v>
      </c>
      <c r="AV29" s="389">
        <f t="shared" si="29"/>
        <v>0.10819776727390262</v>
      </c>
      <c r="AW29" s="389">
        <f t="shared" si="30"/>
        <v>0.23193555861316661</v>
      </c>
      <c r="AX29" s="389">
        <f t="shared" si="31"/>
        <v>0.17006666294353462</v>
      </c>
      <c r="AY29" s="570">
        <f t="shared" si="19"/>
        <v>2.7538128062976355E-2</v>
      </c>
      <c r="AZ29" s="570">
        <f t="shared" si="20"/>
        <v>4.2930105903931412E-2</v>
      </c>
      <c r="BA29" s="570">
        <f t="shared" si="20"/>
        <v>1.541677320049023E-2</v>
      </c>
      <c r="BB29" s="570">
        <f t="shared" si="21"/>
        <v>3.3047797513384172E-2</v>
      </c>
      <c r="BC29" s="570">
        <f t="shared" si="22"/>
        <v>2.4232285356937198E-2</v>
      </c>
      <c r="BE29" s="368">
        <f>AE29-(0.0074*('Wright-Zucman'!A61-1981)+0.0805)</f>
        <v>1.8235558613166614E-2</v>
      </c>
    </row>
    <row r="30" spans="1:57">
      <c r="A30" s="342">
        <v>2000</v>
      </c>
      <c r="B30" s="567">
        <f t="shared" si="0"/>
        <v>0.10069157316144314</v>
      </c>
      <c r="C30" s="567">
        <f t="shared" si="23"/>
        <v>9.1272978802478755E-2</v>
      </c>
      <c r="D30" s="567">
        <f t="shared" si="1"/>
        <v>0.16173886106400437</v>
      </c>
      <c r="E30" s="556">
        <v>28572.111968914618</v>
      </c>
      <c r="F30" s="556">
        <v>4621.2208480454574</v>
      </c>
      <c r="G30" s="556">
        <f t="shared" si="2"/>
        <v>928.86539045713698</v>
      </c>
      <c r="H30" s="556">
        <f t="shared" si="3"/>
        <v>3692.3554575883204</v>
      </c>
      <c r="I30" s="556"/>
      <c r="J30" s="556">
        <f t="shared" si="24"/>
        <v>337.01228141167553</v>
      </c>
      <c r="K30" s="532">
        <f t="shared" si="4"/>
        <v>0.20100000000000001</v>
      </c>
      <c r="L30" s="532">
        <v>0.20100000000000001</v>
      </c>
      <c r="N30" s="562">
        <f t="shared" si="5"/>
        <v>465.31799711615548</v>
      </c>
      <c r="O30" s="553">
        <f>[1]T.A1!$L44</f>
        <v>0.34736719816444483</v>
      </c>
      <c r="P30" s="553">
        <f>[1]T.A1!$J44/([1]T.A1!$K44+MAX([1]T.A1!$H44,0))</f>
        <v>0.32943853154403824</v>
      </c>
      <c r="Q30" s="552">
        <f>[1]T.A1!$J44/([1]T.A1!$K44+MAX([1]T.A1!$H44,0)+X30)</f>
        <v>0.31650797045526546</v>
      </c>
      <c r="R30" s="552">
        <f t="shared" si="6"/>
        <v>0.25875398522763271</v>
      </c>
      <c r="S30" s="552">
        <f t="shared" si="7"/>
        <v>0.27573770303247369</v>
      </c>
      <c r="V30" s="562">
        <f t="shared" si="8"/>
        <v>216.05887384977075</v>
      </c>
      <c r="W30" s="564">
        <f t="shared" si="9"/>
        <v>208.64292420495715</v>
      </c>
      <c r="X30" s="556">
        <f>'Wright-Zucman'!P62</f>
        <v>7.4159496448136055</v>
      </c>
      <c r="Y30" s="556">
        <v>129.881</v>
      </c>
      <c r="Z30" s="559">
        <v>14.952999999999999</v>
      </c>
      <c r="AA30" s="556">
        <v>329.59633176686191</v>
      </c>
      <c r="AB30" s="567">
        <f t="shared" si="32"/>
        <v>0.46432520381505216</v>
      </c>
      <c r="AC30" s="567">
        <f t="shared" si="12"/>
        <v>0.45176380221833368</v>
      </c>
      <c r="AE30" s="577">
        <f t="shared" si="13"/>
        <v>0.2345862454940322</v>
      </c>
      <c r="AF30" s="568">
        <f t="shared" si="14"/>
        <v>6.584901263655904E-2</v>
      </c>
      <c r="AG30" s="568">
        <f>+'Wright-Zucman'!H62*1.1</f>
        <v>0.30043525813059124</v>
      </c>
      <c r="AH30" s="570">
        <f t="shared" si="15"/>
        <v>0.78082128893161995</v>
      </c>
      <c r="AI30" s="568">
        <f>'[1]Assets(MOFA)'!$AP45/'[1]Assets(MOFA)'!I45</f>
        <v>2.070476474684174</v>
      </c>
      <c r="AJ30" s="568">
        <f>('[1]Assets(MOFA)'!$AP45+1000*'Wright-Zucman'!P62)/('[1]Assets(MOFA)'!$I45)</f>
        <v>2.4393190910580724</v>
      </c>
      <c r="AK30" s="569">
        <f>'[1]Assets(MOFA)'!$AS45/'[1]Assets(MOFA)'!J45</f>
        <v>0.53464681426260063</v>
      </c>
      <c r="AL30" s="574">
        <f t="shared" si="16"/>
        <v>50.684440022086456</v>
      </c>
      <c r="AM30" s="574"/>
      <c r="AN30" s="582">
        <f t="shared" si="25"/>
        <v>0.16127838502337821</v>
      </c>
      <c r="AO30" s="575">
        <f t="shared" si="17"/>
        <v>0.36193700811902024</v>
      </c>
      <c r="AP30" s="575">
        <v>0</v>
      </c>
      <c r="AQ30" s="575">
        <f t="shared" si="26"/>
        <v>0.2345862454940322</v>
      </c>
      <c r="AR30" s="575">
        <f t="shared" si="27"/>
        <v>0.1172931227470161</v>
      </c>
      <c r="AS30" s="574"/>
      <c r="AT30" s="581">
        <f t="shared" si="18"/>
        <v>0.19531707227766004</v>
      </c>
      <c r="AU30" s="389">
        <f t="shared" si="28"/>
        <v>0.30280483930717034</v>
      </c>
      <c r="AV30" s="389">
        <f t="shared" si="29"/>
        <v>0.10892430625122436</v>
      </c>
      <c r="AW30" s="389">
        <f t="shared" si="30"/>
        <v>0.23458624549403218</v>
      </c>
      <c r="AX30" s="389">
        <f t="shared" si="31"/>
        <v>0.17175527587262829</v>
      </c>
      <c r="AY30" s="570">
        <f t="shared" si="19"/>
        <v>3.3062351098625313E-2</v>
      </c>
      <c r="AZ30" s="570">
        <f t="shared" si="20"/>
        <v>5.1257372408820258E-2</v>
      </c>
      <c r="BA30" s="570">
        <f t="shared" si="20"/>
        <v>1.8438191881826996E-2</v>
      </c>
      <c r="BB30" s="570">
        <f t="shared" si="21"/>
        <v>3.9709651189150624E-2</v>
      </c>
      <c r="BC30" s="570">
        <f t="shared" si="22"/>
        <v>2.9073921535488819E-2</v>
      </c>
      <c r="BE30" s="368">
        <f>AE30-(0.0074*('Wright-Zucman'!A62-1981)+0.0805)</f>
        <v>1.3486245494032184E-2</v>
      </c>
    </row>
    <row r="31" spans="1:57">
      <c r="A31" s="342">
        <v>2001</v>
      </c>
      <c r="B31" s="567">
        <f t="shared" si="0"/>
        <v>8.8629776188056036E-2</v>
      </c>
      <c r="C31" s="567">
        <f t="shared" si="23"/>
        <v>7.4887726447418659E-2</v>
      </c>
      <c r="D31" s="567">
        <f t="shared" si="1"/>
        <v>0.16097701760114649</v>
      </c>
      <c r="E31" s="556">
        <v>28371.359580837616</v>
      </c>
      <c r="F31" s="556">
        <v>4567.1368506129529</v>
      </c>
      <c r="G31" s="556">
        <f t="shared" si="2"/>
        <v>840.3531805127833</v>
      </c>
      <c r="H31" s="556">
        <f t="shared" si="3"/>
        <v>3726.7836701001697</v>
      </c>
      <c r="I31" s="556"/>
      <c r="J31" s="556">
        <f t="shared" si="24"/>
        <v>279.09035601516848</v>
      </c>
      <c r="K31" s="532">
        <f t="shared" si="4"/>
        <v>0.184</v>
      </c>
      <c r="L31" s="532">
        <v>0.184</v>
      </c>
      <c r="N31" s="562">
        <f t="shared" si="5"/>
        <v>404.78431689004913</v>
      </c>
      <c r="O31" s="553">
        <f>[1]T.A1!$L45</f>
        <v>0.39103953313786322</v>
      </c>
      <c r="P31" s="553">
        <f>[1]T.A1!$J45/([1]T.A1!$K45+MAX([1]T.A1!$H45,0))</f>
        <v>0.39103953313786322</v>
      </c>
      <c r="Q31" s="552">
        <f>[1]T.A1!$J45/([1]T.A1!$K45+MAX([1]T.A1!$H45,0)+X31)</f>
        <v>0.37306511490872935</v>
      </c>
      <c r="R31" s="552">
        <f t="shared" si="6"/>
        <v>0.27853255745436467</v>
      </c>
      <c r="S31" s="552">
        <f t="shared" si="7"/>
        <v>0.31052082709277173</v>
      </c>
      <c r="V31" s="562">
        <f t="shared" si="8"/>
        <v>196.83400040353257</v>
      </c>
      <c r="W31" s="564">
        <f t="shared" si="9"/>
        <v>190.03102740044662</v>
      </c>
      <c r="X31" s="556">
        <f>'Wright-Zucman'!P63</f>
        <v>6.802973003085965</v>
      </c>
      <c r="Y31" s="556">
        <v>105.542</v>
      </c>
      <c r="Z31" s="559">
        <v>16.716000000000001</v>
      </c>
      <c r="AA31" s="556">
        <v>272.2873830120825</v>
      </c>
      <c r="AB31" s="567">
        <f t="shared" si="32"/>
        <v>0.48626884044274438</v>
      </c>
      <c r="AC31" s="567">
        <f t="shared" si="12"/>
        <v>0.46243437016530781</v>
      </c>
      <c r="AE31" s="577">
        <f t="shared" si="13"/>
        <v>0.27008648425334286</v>
      </c>
      <c r="AF31" s="568">
        <f t="shared" si="14"/>
        <v>6.3679364045266529E-2</v>
      </c>
      <c r="AG31" s="568">
        <f>+'Wright-Zucman'!H63*1.1</f>
        <v>0.33376584829860939</v>
      </c>
      <c r="AH31" s="570">
        <f t="shared" si="15"/>
        <v>0.80920946714627717</v>
      </c>
      <c r="AI31" s="568">
        <f>'[1]Assets(MOFA)'!$AP46/'[1]Assets(MOFA)'!I46</f>
        <v>1.8760277682044213</v>
      </c>
      <c r="AJ31" s="568">
        <f>('[1]Assets(MOFA)'!$AP46+1000*'Wright-Zucman'!P63)/('[1]Assets(MOFA)'!$I46)</f>
        <v>2.2109680962574942</v>
      </c>
      <c r="AK31" s="569">
        <f>'[1]Assets(MOFA)'!$AS46/'[1]Assets(MOFA)'!J46</f>
        <v>0.42183178120754838</v>
      </c>
      <c r="AL31" s="574">
        <f t="shared" si="16"/>
        <v>53.162203150511182</v>
      </c>
      <c r="AM31" s="574"/>
      <c r="AN31" s="582">
        <f t="shared" si="25"/>
        <v>0.18568485081163608</v>
      </c>
      <c r="AO31" s="575">
        <f t="shared" si="17"/>
        <v>0.36193700811902024</v>
      </c>
      <c r="AP31" s="575">
        <v>0</v>
      </c>
      <c r="AQ31" s="575">
        <f t="shared" si="26"/>
        <v>0.27008648425334286</v>
      </c>
      <c r="AR31" s="575">
        <f t="shared" si="27"/>
        <v>0.13504324212667143</v>
      </c>
      <c r="AS31" s="574"/>
      <c r="AT31" s="581">
        <f t="shared" si="18"/>
        <v>0.22672673523680836</v>
      </c>
      <c r="AU31" s="389">
        <f t="shared" si="28"/>
        <v>0.31727296038479869</v>
      </c>
      <c r="AV31" s="389">
        <f t="shared" si="29"/>
        <v>0.13133464151713056</v>
      </c>
      <c r="AW31" s="389">
        <f t="shared" si="30"/>
        <v>0.27008648425334281</v>
      </c>
      <c r="AX31" s="389">
        <f t="shared" si="31"/>
        <v>0.2007105628852367</v>
      </c>
      <c r="AY31" s="570">
        <f t="shared" si="19"/>
        <v>3.378180016932554E-2</v>
      </c>
      <c r="AZ31" s="570">
        <f t="shared" si="20"/>
        <v>4.7272994672000052E-2</v>
      </c>
      <c r="BA31" s="570">
        <f t="shared" si="20"/>
        <v>1.9568581580851972E-2</v>
      </c>
      <c r="BB31" s="570">
        <f t="shared" si="21"/>
        <v>4.0242310329888537E-2</v>
      </c>
      <c r="BC31" s="570">
        <f t="shared" si="22"/>
        <v>2.9905445955370258E-2</v>
      </c>
      <c r="BE31" s="368">
        <f>AE31-(0.0074*('Wright-Zucman'!A63-1981)+0.0805)</f>
        <v>4.1586484253342826E-2</v>
      </c>
    </row>
    <row r="32" spans="1:57">
      <c r="A32" s="342">
        <v>2002</v>
      </c>
      <c r="B32" s="567">
        <f t="shared" si="0"/>
        <v>8.6758706606470351E-2</v>
      </c>
      <c r="C32" s="567">
        <f t="shared" si="23"/>
        <v>7.6598118182380534E-2</v>
      </c>
      <c r="D32" s="567">
        <f t="shared" si="1"/>
        <v>0.16562429479480884</v>
      </c>
      <c r="E32" s="556">
        <v>29432.495006957357</v>
      </c>
      <c r="F32" s="556">
        <v>4874.7362295790444</v>
      </c>
      <c r="G32" s="556">
        <f t="shared" si="2"/>
        <v>823.83042279885854</v>
      </c>
      <c r="H32" s="556">
        <f t="shared" si="3"/>
        <v>4050.9058067801861</v>
      </c>
      <c r="I32" s="556"/>
      <c r="J32" s="556">
        <f t="shared" si="24"/>
        <v>310.29176173344024</v>
      </c>
      <c r="K32" s="532">
        <f t="shared" si="4"/>
        <v>0.16900000000000001</v>
      </c>
      <c r="L32" s="532">
        <v>0.16900000000000001</v>
      </c>
      <c r="N32" s="562">
        <f t="shared" si="5"/>
        <v>422.9258103259798</v>
      </c>
      <c r="O32" s="553">
        <f>[1]T.A1!$L46</f>
        <v>0.33306513334772458</v>
      </c>
      <c r="P32" s="553">
        <f>[1]T.A1!$J46/([1]T.A1!$K46+MAX([1]T.A1!$H46,0))</f>
        <v>0.33306513334772458</v>
      </c>
      <c r="Q32" s="552">
        <f>[1]T.A1!$J46/([1]T.A1!$K46+MAX([1]T.A1!$H46,0)+X32)</f>
        <v>0.31741308418621311</v>
      </c>
      <c r="R32" s="552">
        <f t="shared" si="6"/>
        <v>0.24320654209310655</v>
      </c>
      <c r="S32" s="552">
        <f t="shared" si="7"/>
        <v>0.26632105641820314</v>
      </c>
      <c r="V32" s="562">
        <f t="shared" si="8"/>
        <v>206.94416624209731</v>
      </c>
      <c r="W32" s="564">
        <f t="shared" si="9"/>
        <v>199.40589977931441</v>
      </c>
      <c r="X32" s="556">
        <f>'Wright-Zucman'!P64</f>
        <v>7.538266462782893</v>
      </c>
      <c r="Y32" s="556">
        <v>120.357</v>
      </c>
      <c r="Z32" s="559">
        <v>18.943000000000001</v>
      </c>
      <c r="AA32" s="556">
        <v>302.75349527065737</v>
      </c>
      <c r="AB32" s="567">
        <f t="shared" si="32"/>
        <v>0.48931552813622403</v>
      </c>
      <c r="AC32" s="567">
        <f t="shared" si="12"/>
        <v>0.47322644224414195</v>
      </c>
      <c r="AE32" s="577">
        <f t="shared" si="13"/>
        <v>0.27331320725753555</v>
      </c>
      <c r="AF32" s="568">
        <f t="shared" si="14"/>
        <v>6.5275667978437701E-2</v>
      </c>
      <c r="AG32" s="568">
        <f>+'Wright-Zucman'!H64*1.1</f>
        <v>0.33858887523597325</v>
      </c>
      <c r="AH32" s="570">
        <f t="shared" si="15"/>
        <v>0.80721260279758145</v>
      </c>
      <c r="AI32" s="568">
        <f>'[1]Assets(MOFA)'!$AP47/'[1]Assets(MOFA)'!I47</f>
        <v>1.9702835075821796</v>
      </c>
      <c r="AJ32" s="568">
        <f>('[1]Assets(MOFA)'!$AP47+1000*'Wright-Zucman'!P64)/('[1]Assets(MOFA)'!$I47)</f>
        <v>2.3252927598560276</v>
      </c>
      <c r="AK32" s="569">
        <f>'[1]Assets(MOFA)'!$AS47/'[1]Assets(MOFA)'!J47</f>
        <v>0.44828713890627209</v>
      </c>
      <c r="AL32" s="574">
        <f t="shared" si="16"/>
        <v>56.560573798864233</v>
      </c>
      <c r="AM32" s="574"/>
      <c r="AN32" s="582">
        <f t="shared" si="25"/>
        <v>0.18790322757084474</v>
      </c>
      <c r="AO32" s="575">
        <f t="shared" si="17"/>
        <v>0.36193700811902024</v>
      </c>
      <c r="AP32" s="575">
        <v>0</v>
      </c>
      <c r="AQ32" s="575">
        <f t="shared" si="26"/>
        <v>0.27331320725753555</v>
      </c>
      <c r="AR32" s="575">
        <f t="shared" si="27"/>
        <v>0.13665660362876778</v>
      </c>
      <c r="AS32" s="574"/>
      <c r="AT32" s="581">
        <f t="shared" si="18"/>
        <v>0.22969565688934201</v>
      </c>
      <c r="AU32" s="389">
        <f t="shared" si="28"/>
        <v>0.31857200619504333</v>
      </c>
      <c r="AV32" s="389">
        <f t="shared" si="29"/>
        <v>0.13373639635582626</v>
      </c>
      <c r="AW32" s="389">
        <f t="shared" si="30"/>
        <v>0.27331320725753555</v>
      </c>
      <c r="AX32" s="389">
        <f t="shared" si="31"/>
        <v>0.20352480180668092</v>
      </c>
      <c r="AY32" s="570">
        <f t="shared" si="19"/>
        <v>3.3501654394962853E-2</v>
      </c>
      <c r="AZ32" s="570">
        <f t="shared" si="20"/>
        <v>4.6464479981865613E-2</v>
      </c>
      <c r="BA32" s="570">
        <f t="shared" si="20"/>
        <v>1.95057694665038E-2</v>
      </c>
      <c r="BB32" s="570">
        <f t="shared" si="21"/>
        <v>3.9863377197123101E-2</v>
      </c>
      <c r="BC32" s="570">
        <f t="shared" si="22"/>
        <v>2.9684573331813454E-2</v>
      </c>
      <c r="BE32" s="368">
        <f>AE32-(0.0074*('Wright-Zucman'!A64-1981)+0.0805)</f>
        <v>3.7413207257535552E-2</v>
      </c>
    </row>
    <row r="33" spans="1:57">
      <c r="A33" s="342">
        <v>2003</v>
      </c>
      <c r="B33" s="567">
        <f t="shared" si="0"/>
        <v>0.1016279832091007</v>
      </c>
      <c r="C33" s="567">
        <f t="shared" si="23"/>
        <v>9.3535672089371552E-2</v>
      </c>
      <c r="D33" s="567">
        <f t="shared" si="1"/>
        <v>0.17028752212635573</v>
      </c>
      <c r="E33" s="556">
        <v>33022.465257200194</v>
      </c>
      <c r="F33" s="556">
        <v>5623.3137831522918</v>
      </c>
      <c r="G33" s="556">
        <f t="shared" si="2"/>
        <v>955.96334313588966</v>
      </c>
      <c r="H33" s="556">
        <f t="shared" si="3"/>
        <v>4667.350440016402</v>
      </c>
      <c r="I33" s="556"/>
      <c r="J33" s="556">
        <f t="shared" si="24"/>
        <v>436.56376028355822</v>
      </c>
      <c r="K33" s="532">
        <f t="shared" si="4"/>
        <v>0.17</v>
      </c>
      <c r="L33" s="532">
        <v>0.17</v>
      </c>
      <c r="N33" s="562">
        <f t="shared" si="5"/>
        <v>571.48603873370564</v>
      </c>
      <c r="O33" s="553">
        <f>[1]T.A1!$L47</f>
        <v>0.2860219727151998</v>
      </c>
      <c r="P33" s="553">
        <f>[1]T.A1!$J47/([1]T.A1!$K47+MAX([1]T.A1!$H47,0))</f>
        <v>0.2860219727151998</v>
      </c>
      <c r="Q33" s="552">
        <f>[1]T.A1!$J47/([1]T.A1!$K47+MAX([1]T.A1!$H47,0)+X33)</f>
        <v>0.27335484498134482</v>
      </c>
      <c r="R33" s="552">
        <f t="shared" si="6"/>
        <v>0.2216774224906724</v>
      </c>
      <c r="S33" s="552">
        <f t="shared" si="7"/>
        <v>0.23609024421507685</v>
      </c>
      <c r="V33" s="562">
        <f t="shared" si="8"/>
        <v>251.87304685668951</v>
      </c>
      <c r="W33" s="564">
        <f t="shared" si="9"/>
        <v>242.27729421631824</v>
      </c>
      <c r="X33" s="556">
        <f>'Wright-Zucman'!P65</f>
        <v>9.5957526403712698</v>
      </c>
      <c r="Y33" s="556">
        <v>159.93700000000001</v>
      </c>
      <c r="Z33" s="559">
        <v>18.268999999999998</v>
      </c>
      <c r="AA33" s="556">
        <v>426.96800764318698</v>
      </c>
      <c r="AB33" s="567">
        <f t="shared" si="32"/>
        <v>0.44073350840693826</v>
      </c>
      <c r="AC33" s="567">
        <f t="shared" si="12"/>
        <v>0.43018172767796786</v>
      </c>
      <c r="AE33" s="577">
        <f t="shared" si="13"/>
        <v>0.25328005470856035</v>
      </c>
      <c r="AF33" s="568">
        <f t="shared" si="14"/>
        <v>6.6233894732113774E-2</v>
      </c>
      <c r="AG33" s="568">
        <f>+'Wright-Zucman'!H65*1.1</f>
        <v>0.31951394944067413</v>
      </c>
      <c r="AH33" s="570">
        <f t="shared" si="15"/>
        <v>0.7927042157374985</v>
      </c>
      <c r="AI33" s="568">
        <f>'[1]Assets(MOFA)'!$AP48/'[1]Assets(MOFA)'!I48</f>
        <v>2.3223615464994776</v>
      </c>
      <c r="AJ33" s="568">
        <f>('[1]Assets(MOFA)'!$AP48+1000*'Wright-Zucman'!P65)/('[1]Assets(MOFA)'!$I48)</f>
        <v>2.7401494531683763</v>
      </c>
      <c r="AK33" s="569">
        <f>'[1]Assets(MOFA)'!$AS48/'[1]Assets(MOFA)'!J48</f>
        <v>0.56802142989100313</v>
      </c>
      <c r="AL33" s="574">
        <f t="shared" si="16"/>
        <v>63.794419087474104</v>
      </c>
      <c r="AM33" s="574"/>
      <c r="AN33" s="582">
        <f t="shared" si="25"/>
        <v>0.17413040605174213</v>
      </c>
      <c r="AO33" s="575">
        <f t="shared" si="17"/>
        <v>0.36193700811902024</v>
      </c>
      <c r="AP33" s="575">
        <v>0</v>
      </c>
      <c r="AQ33" s="575">
        <f t="shared" si="26"/>
        <v>0.25328005470856035</v>
      </c>
      <c r="AR33" s="575">
        <f t="shared" si="27"/>
        <v>0.12664002735428018</v>
      </c>
      <c r="AS33" s="574"/>
      <c r="AT33" s="581">
        <f t="shared" si="18"/>
        <v>0.20901430839343813</v>
      </c>
      <c r="AU33" s="389">
        <f t="shared" si="28"/>
        <v>0.31404824782961904</v>
      </c>
      <c r="AV33" s="389">
        <f t="shared" si="29"/>
        <v>0.11162900712120506</v>
      </c>
      <c r="AW33" s="389">
        <f t="shared" si="30"/>
        <v>0.25328005470856035</v>
      </c>
      <c r="AX33" s="389">
        <f t="shared" si="31"/>
        <v>0.1824545309148827</v>
      </c>
      <c r="AY33" s="570">
        <f t="shared" si="19"/>
        <v>3.5709989800408126E-2</v>
      </c>
      <c r="AZ33" s="570">
        <f t="shared" si="20"/>
        <v>5.3654985694672253E-2</v>
      </c>
      <c r="BA33" s="570">
        <f t="shared" si="20"/>
        <v>1.9071759901835815E-2</v>
      </c>
      <c r="BB33" s="570">
        <f t="shared" si="21"/>
        <v>4.3272770365865784E-2</v>
      </c>
      <c r="BC33" s="570">
        <f t="shared" si="22"/>
        <v>3.11722651338508E-2</v>
      </c>
      <c r="BE33" s="368">
        <f>AE33-(0.0074*('Wright-Zucman'!A65-1981)+0.0805)</f>
        <v>9.9800547085603375E-3</v>
      </c>
    </row>
    <row r="34" spans="1:57">
      <c r="A34" s="342">
        <v>2004</v>
      </c>
      <c r="B34" s="567">
        <f t="shared" si="0"/>
        <v>0.12243583502610267</v>
      </c>
      <c r="C34" s="567">
        <f t="shared" si="23"/>
        <v>0.11398394672305596</v>
      </c>
      <c r="D34" s="567">
        <f t="shared" si="1"/>
        <v>0.17744971927147501</v>
      </c>
      <c r="E34" s="556">
        <v>37156.516274232425</v>
      </c>
      <c r="F34" s="556">
        <v>6593.4133819685367</v>
      </c>
      <c r="G34" s="556">
        <f t="shared" si="2"/>
        <v>1180.220995372368</v>
      </c>
      <c r="H34" s="556">
        <f t="shared" si="3"/>
        <v>5413.1923865961689</v>
      </c>
      <c r="I34" s="556"/>
      <c r="J34" s="556">
        <f t="shared" si="24"/>
        <v>617.0170325954299</v>
      </c>
      <c r="K34" s="532">
        <f t="shared" si="4"/>
        <v>0.17899999999999999</v>
      </c>
      <c r="L34" s="532">
        <v>0.17899999999999999</v>
      </c>
      <c r="N34" s="562">
        <f t="shared" si="5"/>
        <v>807.27007309359738</v>
      </c>
      <c r="O34" s="553">
        <f>[1]T.A1!$L48</f>
        <v>0.28623875901887058</v>
      </c>
      <c r="P34" s="553">
        <f>[1]T.A1!$J48/([1]T.A1!$K48+MAX([1]T.A1!$H48,0))</f>
        <v>0.27861662190323577</v>
      </c>
      <c r="Q34" s="552">
        <f>[1]T.A1!$J48/([1]T.A1!$K48+MAX([1]T.A1!$H48,0)+X34)</f>
        <v>0.26580156313714109</v>
      </c>
      <c r="R34" s="552">
        <f t="shared" si="6"/>
        <v>0.22240078156857054</v>
      </c>
      <c r="S34" s="552">
        <f t="shared" si="7"/>
        <v>0.2356745862869476</v>
      </c>
      <c r="V34" s="562">
        <f t="shared" si="8"/>
        <v>339.33490080044186</v>
      </c>
      <c r="W34" s="564">
        <f t="shared" si="9"/>
        <v>326.51789245674598</v>
      </c>
      <c r="X34" s="556">
        <f>'Wright-Zucman'!P66</f>
        <v>12.817008343695896</v>
      </c>
      <c r="Y34" s="556">
        <v>223.14400000000001</v>
      </c>
      <c r="Z34" s="559">
        <v>17.190000000000001</v>
      </c>
      <c r="AA34" s="556">
        <v>604.20002425173402</v>
      </c>
      <c r="AB34" s="567">
        <f t="shared" si="32"/>
        <v>0.4203486690644338</v>
      </c>
      <c r="AC34" s="567">
        <f t="shared" si="12"/>
        <v>0.4102820424240764</v>
      </c>
      <c r="AE34" s="577">
        <f t="shared" si="13"/>
        <v>0.27472345611523219</v>
      </c>
      <c r="AF34" s="568">
        <f t="shared" si="14"/>
        <v>6.6277377277721095E-2</v>
      </c>
      <c r="AG34" s="568">
        <f>+'Wright-Zucman'!H66*1.1</f>
        <v>0.34100083339295328</v>
      </c>
      <c r="AH34" s="570">
        <f t="shared" si="15"/>
        <v>0.8056386648142112</v>
      </c>
      <c r="AI34" s="568">
        <f>'[1]Assets(MOFA)'!$AP49/'[1]Assets(MOFA)'!I49</f>
        <v>2.680172737514082</v>
      </c>
      <c r="AJ34" s="568">
        <f>('[1]Assets(MOFA)'!$AP49+1000*'Wright-Zucman'!P66)/('[1]Assets(MOFA)'!$I49)</f>
        <v>3.1614723373524556</v>
      </c>
      <c r="AK34" s="569">
        <f>'[1]Assets(MOFA)'!$AS49/'[1]Assets(MOFA)'!J49</f>
        <v>0.61446798464075969</v>
      </c>
      <c r="AL34" s="574">
        <f t="shared" si="16"/>
        <v>93.223256728416857</v>
      </c>
      <c r="AM34" s="574"/>
      <c r="AN34" s="582">
        <f t="shared" si="25"/>
        <v>0.18887277571196182</v>
      </c>
      <c r="AO34" s="575">
        <f t="shared" si="17"/>
        <v>0.36193700811902024</v>
      </c>
      <c r="AP34" s="575">
        <v>0</v>
      </c>
      <c r="AQ34" s="575">
        <f t="shared" si="26"/>
        <v>0.27472345611523219</v>
      </c>
      <c r="AR34" s="575">
        <f t="shared" si="27"/>
        <v>0.13736172805761609</v>
      </c>
      <c r="AS34" s="574"/>
      <c r="AT34" s="581">
        <f t="shared" si="18"/>
        <v>0.2249599949577526</v>
      </c>
      <c r="AU34" s="389">
        <f t="shared" si="28"/>
        <v>0.32527690760984618</v>
      </c>
      <c r="AV34" s="389">
        <f t="shared" si="29"/>
        <v>0.11547963913881924</v>
      </c>
      <c r="AW34" s="389">
        <f t="shared" si="30"/>
        <v>0.27472345611523219</v>
      </c>
      <c r="AX34" s="389">
        <f t="shared" si="31"/>
        <v>0.19510154762702572</v>
      </c>
      <c r="AY34" s="570">
        <f t="shared" si="19"/>
        <v>4.6303545086319189E-2</v>
      </c>
      <c r="AZ34" s="570">
        <f t="shared" si="20"/>
        <v>6.6951788294089959E-2</v>
      </c>
      <c r="BA34" s="570">
        <f t="shared" si="20"/>
        <v>2.3769189177037339E-2</v>
      </c>
      <c r="BB34" s="570">
        <f t="shared" si="21"/>
        <v>5.6546364783169656E-2</v>
      </c>
      <c r="BC34" s="570">
        <f t="shared" si="22"/>
        <v>4.0157776980103504E-2</v>
      </c>
      <c r="BE34" s="368">
        <f>AE34-(0.0074*('Wright-Zucman'!A66-1981)+0.0805)</f>
        <v>2.4023456115232156E-2</v>
      </c>
    </row>
    <row r="35" spans="1:57">
      <c r="A35" s="342">
        <v>2005</v>
      </c>
      <c r="B35" s="567">
        <f t="shared" si="0"/>
        <v>0.15161514442956117</v>
      </c>
      <c r="C35" s="567">
        <f t="shared" si="23"/>
        <v>0.14116572344549966</v>
      </c>
      <c r="D35" s="567">
        <f t="shared" si="1"/>
        <v>0.18059534068314209</v>
      </c>
      <c r="E35" s="556">
        <v>40190.654364303598</v>
      </c>
      <c r="F35" s="556">
        <v>7258.2449171998196</v>
      </c>
      <c r="G35" s="556">
        <f t="shared" si="2"/>
        <v>1429.8742486883646</v>
      </c>
      <c r="H35" s="556">
        <f t="shared" si="3"/>
        <v>5828.3706685114548</v>
      </c>
      <c r="I35" s="556"/>
      <c r="J35" s="556">
        <f t="shared" si="24"/>
        <v>822.76616192895005</v>
      </c>
      <c r="K35" s="532">
        <f t="shared" si="4"/>
        <v>0.19700000000000001</v>
      </c>
      <c r="L35" s="532">
        <v>0.19700000000000001</v>
      </c>
      <c r="N35" s="562">
        <f t="shared" si="5"/>
        <v>1100.4598514263789</v>
      </c>
      <c r="O35" s="553">
        <f>[1]T.A1!$L49</f>
        <v>0.30826320098995885</v>
      </c>
      <c r="P35" s="553">
        <f>[1]T.A1!$J49/([1]T.A1!$K49+MAX([1]T.A1!$H49,0))</f>
        <v>0.29309259915065988</v>
      </c>
      <c r="Q35" s="552">
        <f>[1]T.A1!$J49/([1]T.A1!$K49+MAX([1]T.A1!$H49,0)+X35)</f>
        <v>0.28174188690012847</v>
      </c>
      <c r="R35" s="552">
        <f t="shared" si="6"/>
        <v>0.23937094345006424</v>
      </c>
      <c r="S35" s="552">
        <f t="shared" si="7"/>
        <v>0.25234331733001591</v>
      </c>
      <c r="V35" s="562">
        <f t="shared" si="8"/>
        <v>403.74862064770537</v>
      </c>
      <c r="W35" s="564">
        <f t="shared" si="9"/>
        <v>389.98326487368234</v>
      </c>
      <c r="X35" s="556">
        <f>'Wright-Zucman'!P67</f>
        <v>13.765355774023046</v>
      </c>
      <c r="Y35" s="556">
        <v>267.52999999999997</v>
      </c>
      <c r="Z35" s="559">
        <v>11.532</v>
      </c>
      <c r="AA35" s="556">
        <v>809.00080615492698</v>
      </c>
      <c r="AB35" s="567">
        <f t="shared" si="32"/>
        <v>0.36689082307217297</v>
      </c>
      <c r="AC35" s="567">
        <f t="shared" si="12"/>
        <v>0.35590592968419876</v>
      </c>
      <c r="AE35" s="577">
        <f t="shared" si="13"/>
        <v>0.2257359860860271</v>
      </c>
      <c r="AF35" s="568">
        <f t="shared" si="14"/>
        <v>7.0610985416159983E-2</v>
      </c>
      <c r="AG35" s="568">
        <f>+'Wright-Zucman'!H67*1.1</f>
        <v>0.29634697150218708</v>
      </c>
      <c r="AH35" s="570">
        <f t="shared" si="15"/>
        <v>0.76172867548390366</v>
      </c>
      <c r="AI35" s="568">
        <f>'[1]Assets(MOFA)'!$AP50/'[1]Assets(MOFA)'!I50</f>
        <v>2.6579398847104034</v>
      </c>
      <c r="AJ35" s="568">
        <f>('[1]Assets(MOFA)'!$AP50+1000*'Wright-Zucman'!P67)/('[1]Assets(MOFA)'!$I50)</f>
        <v>3.1302620015791605</v>
      </c>
      <c r="AK35" s="569">
        <f>'[1]Assets(MOFA)'!$AS50/'[1]Assets(MOFA)'!J50</f>
        <v>0.74585167319867351</v>
      </c>
      <c r="AL35" s="574">
        <f t="shared" si="16"/>
        <v>91.140593012783057</v>
      </c>
      <c r="AM35" s="574"/>
      <c r="AN35" s="582">
        <f t="shared" si="25"/>
        <v>0.15519381880614302</v>
      </c>
      <c r="AO35" s="575">
        <f t="shared" si="17"/>
        <v>0.36193700811902024</v>
      </c>
      <c r="AP35" s="575">
        <v>0</v>
      </c>
      <c r="AQ35" s="575">
        <f t="shared" si="26"/>
        <v>0.2257359860860271</v>
      </c>
      <c r="AR35" s="575">
        <f t="shared" si="27"/>
        <v>0.11286799304301355</v>
      </c>
      <c r="AS35" s="574"/>
      <c r="AT35" s="581">
        <f t="shared" si="18"/>
        <v>0.18107509262075461</v>
      </c>
      <c r="AU35" s="389">
        <f t="shared" si="28"/>
        <v>0.31196610304206418</v>
      </c>
      <c r="AV35" s="389">
        <f t="shared" si="29"/>
        <v>8.2820461732111064E-2</v>
      </c>
      <c r="AW35" s="389">
        <f t="shared" si="30"/>
        <v>0.22573598608602707</v>
      </c>
      <c r="AX35" s="389">
        <f t="shared" si="31"/>
        <v>0.15427822390906909</v>
      </c>
      <c r="AY35" s="570">
        <f t="shared" si="19"/>
        <v>4.615318763473962E-2</v>
      </c>
      <c r="AZ35" s="570">
        <f t="shared" si="20"/>
        <v>7.9515243543377287E-2</v>
      </c>
      <c r="BA35" s="570">
        <f t="shared" si="20"/>
        <v>2.1109630568151218E-2</v>
      </c>
      <c r="BB35" s="570">
        <f t="shared" si="21"/>
        <v>5.7536545589745185E-2</v>
      </c>
      <c r="BC35" s="570">
        <f t="shared" si="22"/>
        <v>3.9323088078948208E-2</v>
      </c>
      <c r="BE35" s="368">
        <f>AE35-(0.0074*('Wright-Zucman'!A67-1981)+0.0805)</f>
        <v>-3.2364013913972894E-2</v>
      </c>
    </row>
    <row r="36" spans="1:57">
      <c r="A36" s="342">
        <v>2006</v>
      </c>
      <c r="B36" s="567">
        <f t="shared" si="0"/>
        <v>0.15988041687071738</v>
      </c>
      <c r="C36" s="567">
        <f t="shared" si="23"/>
        <v>0.14934320718795099</v>
      </c>
      <c r="D36" s="567">
        <f t="shared" si="1"/>
        <v>0.18359636090393244</v>
      </c>
      <c r="E36" s="556">
        <v>43479.059218583978</v>
      </c>
      <c r="F36" s="556">
        <v>7982.5970480585947</v>
      </c>
      <c r="G36" s="556">
        <f t="shared" si="2"/>
        <v>1644.4149919000704</v>
      </c>
      <c r="H36" s="556">
        <f t="shared" si="3"/>
        <v>6338.1820561585246</v>
      </c>
      <c r="I36" s="556"/>
      <c r="J36" s="556">
        <f t="shared" si="24"/>
        <v>946.56443600783575</v>
      </c>
      <c r="K36" s="532">
        <f t="shared" si="4"/>
        <v>0.20599999999999999</v>
      </c>
      <c r="L36" s="532">
        <v>0.20599999999999999</v>
      </c>
      <c r="N36" s="562">
        <f t="shared" si="5"/>
        <v>1276.2609437545661</v>
      </c>
      <c r="O36" s="553">
        <f>[1]T.A1!$L50</f>
        <v>0.31223079892990435</v>
      </c>
      <c r="P36" s="553">
        <f>[1]T.A1!$J50/([1]T.A1!$K50+MAX([1]T.A1!$H50,0))</f>
        <v>0.29805136247794545</v>
      </c>
      <c r="Q36" s="552">
        <f>[1]T.A1!$J50/([1]T.A1!$K50+MAX([1]T.A1!$H50,0)+X36)</f>
        <v>0.2855471556432605</v>
      </c>
      <c r="R36" s="552">
        <f t="shared" si="6"/>
        <v>0.24577357782163023</v>
      </c>
      <c r="S36" s="552">
        <f t="shared" si="7"/>
        <v>0.25833001421857604</v>
      </c>
      <c r="V36" s="562">
        <f t="shared" si="8"/>
        <v>450.19157171275145</v>
      </c>
      <c r="W36" s="564">
        <f t="shared" si="9"/>
        <v>433.43848265114616</v>
      </c>
      <c r="X36" s="556">
        <f>'Wright-Zucman'!P68</f>
        <v>16.75308906160528</v>
      </c>
      <c r="Y36" s="556">
        <v>298.32499999999999</v>
      </c>
      <c r="Z36" s="559">
        <v>8.4429999999999996</v>
      </c>
      <c r="AA36" s="556">
        <v>929.81134694623051</v>
      </c>
      <c r="AB36" s="567">
        <f t="shared" si="32"/>
        <v>0.3527425750319963</v>
      </c>
      <c r="AC36" s="567">
        <f t="shared" si="12"/>
        <v>0.34178453864806635</v>
      </c>
      <c r="AE36" s="577">
        <f t="shared" si="13"/>
        <v>0.2479285821260129</v>
      </c>
      <c r="AF36" s="568">
        <f t="shared" si="14"/>
        <v>7.0989061266774039E-2</v>
      </c>
      <c r="AG36" s="568">
        <f>+'Wright-Zucman'!H68*1.1</f>
        <v>0.31891764339278694</v>
      </c>
      <c r="AH36" s="570">
        <f t="shared" si="15"/>
        <v>0.77740629050321264</v>
      </c>
      <c r="AI36" s="568">
        <f>'[1]Assets(MOFA)'!$AP51/'[1]Assets(MOFA)'!I51</f>
        <v>2.8853651797500999</v>
      </c>
      <c r="AJ36" s="568">
        <f>('[1]Assets(MOFA)'!$AP51+1000*'Wright-Zucman'!P68)/('[1]Assets(MOFA)'!$I51)</f>
        <v>3.3996895914286456</v>
      </c>
      <c r="AK36" s="569">
        <f>'[1]Assets(MOFA)'!$AS51/'[1]Assets(MOFA)'!J51</f>
        <v>0.75674951729371975</v>
      </c>
      <c r="AL36" s="574">
        <f t="shared" si="16"/>
        <v>111.61535805982372</v>
      </c>
      <c r="AM36" s="574"/>
      <c r="AN36" s="582">
        <f t="shared" si="25"/>
        <v>0.17045126086659912</v>
      </c>
      <c r="AO36" s="575">
        <f t="shared" si="17"/>
        <v>0.36193700811902024</v>
      </c>
      <c r="AP36" s="575">
        <v>0</v>
      </c>
      <c r="AQ36" s="575">
        <f t="shared" si="26"/>
        <v>0.2479285821260129</v>
      </c>
      <c r="AR36" s="575">
        <f t="shared" si="27"/>
        <v>0.12396429106300645</v>
      </c>
      <c r="AS36" s="574"/>
      <c r="AT36" s="581">
        <f t="shared" si="18"/>
        <v>0.19778081067422595</v>
      </c>
      <c r="AU36" s="389">
        <f t="shared" si="28"/>
        <v>0.32172138235890202</v>
      </c>
      <c r="AV36" s="389">
        <f t="shared" si="29"/>
        <v>8.7454966483161561E-2</v>
      </c>
      <c r="AW36" s="389">
        <f t="shared" si="30"/>
        <v>0.24792858212601288</v>
      </c>
      <c r="AX36" s="389">
        <f t="shared" si="31"/>
        <v>0.1676917743045872</v>
      </c>
      <c r="AY36" s="570">
        <f t="shared" si="19"/>
        <v>5.3159370096825739E-2</v>
      </c>
      <c r="AZ36" s="570">
        <f t="shared" si="20"/>
        <v>8.647201907292007E-2</v>
      </c>
      <c r="BA36" s="570">
        <f t="shared" si="20"/>
        <v>2.3506076824316116E-2</v>
      </c>
      <c r="BB36" s="570">
        <f t="shared" si="21"/>
        <v>6.663804850373943E-2</v>
      </c>
      <c r="BC36" s="570">
        <f t="shared" si="22"/>
        <v>4.5072062664027773E-2</v>
      </c>
      <c r="BE36" s="368">
        <f>AE36-(0.0074*('Wright-Zucman'!A68-1981)+0.0805)</f>
        <v>-1.7571417873987111E-2</v>
      </c>
    </row>
    <row r="37" spans="1:57">
      <c r="A37" s="342">
        <v>2007</v>
      </c>
      <c r="B37" s="567">
        <f t="shared" si="0"/>
        <v>0.16676020115694903</v>
      </c>
      <c r="C37" s="567">
        <f t="shared" si="23"/>
        <v>0.15602848655054885</v>
      </c>
      <c r="D37" s="567">
        <f t="shared" si="1"/>
        <v>0.18348428437183417</v>
      </c>
      <c r="E37" s="556">
        <v>48933.927132049415</v>
      </c>
      <c r="F37" s="556">
        <v>8978.6066013275668</v>
      </c>
      <c r="G37" s="556">
        <f t="shared" si="2"/>
        <v>1813.6785334681686</v>
      </c>
      <c r="H37" s="556">
        <f t="shared" si="3"/>
        <v>7164.9280678593987</v>
      </c>
      <c r="I37" s="556"/>
      <c r="J37" s="556">
        <f t="shared" si="24"/>
        <v>1117.9328826716501</v>
      </c>
      <c r="K37" s="532">
        <f t="shared" si="4"/>
        <v>0.20200000000000001</v>
      </c>
      <c r="L37" s="532">
        <v>0.20200000000000001</v>
      </c>
      <c r="N37" s="562">
        <f t="shared" si="5"/>
        <v>1497.2742429464956</v>
      </c>
      <c r="O37" s="553">
        <f>[1]T.A1!$L51</f>
        <v>0.29836968180193063</v>
      </c>
      <c r="P37" s="553">
        <f>[1]T.A1!$J51/([1]T.A1!$K51+MAX([1]T.A1!$H51,0))</f>
        <v>0.29372317785385288</v>
      </c>
      <c r="Q37" s="552">
        <f>[1]T.A1!$J51/([1]T.A1!$K51+MAX([1]T.A1!$H51,0)+X37)</f>
        <v>0.28080537346248274</v>
      </c>
      <c r="R37" s="552">
        <f t="shared" si="6"/>
        <v>0.24140268673124138</v>
      </c>
      <c r="S37" s="552">
        <f t="shared" si="7"/>
        <v>0.25335462896118299</v>
      </c>
      <c r="V37" s="562">
        <f t="shared" si="8"/>
        <v>516.49548402695211</v>
      </c>
      <c r="W37" s="564">
        <f t="shared" si="9"/>
        <v>496.88973278273522</v>
      </c>
      <c r="X37" s="556">
        <f>'Wright-Zucman'!P69</f>
        <v>19.605751244216865</v>
      </c>
      <c r="Y37" s="556">
        <v>342.84</v>
      </c>
      <c r="Z37" s="559">
        <v>11.471</v>
      </c>
      <c r="AA37" s="556">
        <v>1098.3271314274332</v>
      </c>
      <c r="AB37" s="567">
        <f t="shared" si="32"/>
        <v>0.34495716897562956</v>
      </c>
      <c r="AC37" s="567">
        <f t="shared" si="12"/>
        <v>0.33447155642351795</v>
      </c>
      <c r="AE37" s="577">
        <f t="shared" si="13"/>
        <v>0.25276180979399027</v>
      </c>
      <c r="AF37" s="568">
        <f t="shared" si="14"/>
        <v>7.1144061791727109E-2</v>
      </c>
      <c r="AG37" s="568">
        <f>+'Wright-Zucman'!H69*1.1</f>
        <v>0.32390587158571738</v>
      </c>
      <c r="AH37" s="570">
        <f t="shared" si="15"/>
        <v>0.78035575136865099</v>
      </c>
      <c r="AI37" s="568">
        <f>'[1]Assets(MOFA)'!$AP52/'[1]Assets(MOFA)'!I52</f>
        <v>3.0598538517320244</v>
      </c>
      <c r="AJ37" s="568">
        <f>('[1]Assets(MOFA)'!$AP52+1000*'Wright-Zucman'!P69)/('[1]Assets(MOFA)'!$I52)</f>
        <v>3.6066757194236869</v>
      </c>
      <c r="AK37" s="569">
        <f>'[1]Assets(MOFA)'!$AS52/'[1]Assets(MOFA)'!J52</f>
        <v>0.79218557844974602</v>
      </c>
      <c r="AL37" s="574">
        <f t="shared" si="16"/>
        <v>130.5503332930754</v>
      </c>
      <c r="AM37" s="574"/>
      <c r="AN37" s="582">
        <f t="shared" si="25"/>
        <v>0.17377411191909839</v>
      </c>
      <c r="AO37" s="575">
        <f t="shared" si="17"/>
        <v>0.36193700811902024</v>
      </c>
      <c r="AP37" s="575">
        <v>0</v>
      </c>
      <c r="AQ37" s="575">
        <f t="shared" si="26"/>
        <v>0.25276180979399027</v>
      </c>
      <c r="AR37" s="575">
        <f t="shared" si="27"/>
        <v>0.12638090489699513</v>
      </c>
      <c r="AS37" s="574"/>
      <c r="AT37" s="581">
        <f t="shared" si="18"/>
        <v>0.20102148456192345</v>
      </c>
      <c r="AU37" s="389">
        <f t="shared" si="28"/>
        <v>0.32427624078246498</v>
      </c>
      <c r="AV37" s="389">
        <f t="shared" si="29"/>
        <v>8.7191998331691445E-2</v>
      </c>
      <c r="AW37" s="389">
        <f t="shared" si="30"/>
        <v>0.25276180979399027</v>
      </c>
      <c r="AX37" s="389">
        <f t="shared" si="31"/>
        <v>0.16997690406284086</v>
      </c>
      <c r="AY37" s="570">
        <f t="shared" si="19"/>
        <v>5.6355367714186817E-2</v>
      </c>
      <c r="AZ37" s="570">
        <f t="shared" si="20"/>
        <v>9.0909222116706559E-2</v>
      </c>
      <c r="BA37" s="570">
        <f t="shared" si="20"/>
        <v>2.4443840609502554E-2</v>
      </c>
      <c r="BB37" s="570">
        <f t="shared" si="21"/>
        <v>7.0860509094766641E-2</v>
      </c>
      <c r="BC37" s="570">
        <f t="shared" si="22"/>
        <v>4.7652174852134591E-2</v>
      </c>
      <c r="BE37" s="368">
        <f>AE37-(0.0074*('Wright-Zucman'!A69-1981)+0.0805)</f>
        <v>-2.0138190206009765E-2</v>
      </c>
    </row>
    <row r="38" spans="1:57">
      <c r="A38" s="342">
        <v>2008</v>
      </c>
      <c r="B38" s="567">
        <f t="shared" si="0"/>
        <v>0.14203808468671716</v>
      </c>
      <c r="C38" s="567">
        <f t="shared" si="23"/>
        <v>0.12781478449533362</v>
      </c>
      <c r="D38" s="567">
        <f t="shared" si="1"/>
        <v>0.18055457048188797</v>
      </c>
      <c r="E38" s="556">
        <v>53623.433660212278</v>
      </c>
      <c r="F38" s="556">
        <v>9681.9560322836423</v>
      </c>
      <c r="G38" s="556">
        <f t="shared" si="2"/>
        <v>1781.4799099401901</v>
      </c>
      <c r="H38" s="556">
        <f t="shared" si="3"/>
        <v>7900.4761223434525</v>
      </c>
      <c r="I38" s="556"/>
      <c r="J38" s="556">
        <f t="shared" si="24"/>
        <v>1009.7976529878574</v>
      </c>
      <c r="K38" s="532">
        <f t="shared" si="4"/>
        <v>0.184</v>
      </c>
      <c r="L38" s="532">
        <v>0.184</v>
      </c>
      <c r="N38" s="562">
        <f t="shared" si="5"/>
        <v>1375.2064908465761</v>
      </c>
      <c r="O38" s="553">
        <f>[1]T.A1!$L52</f>
        <v>0.31312811972624333</v>
      </c>
      <c r="P38" s="553">
        <f>[1]T.A1!$J52/([1]T.A1!$K52+MAX([1]T.A1!$H52,0))</f>
        <v>0.31312811972624333</v>
      </c>
      <c r="Q38" s="552">
        <f>[1]T.A1!$J52/([1]T.A1!$K52+MAX([1]T.A1!$H52,0)+X38)</f>
        <v>0.3007574774998158</v>
      </c>
      <c r="R38" s="552">
        <f t="shared" si="6"/>
        <v>0.2423787387499079</v>
      </c>
      <c r="S38" s="552">
        <f t="shared" si="7"/>
        <v>0.26571197873984242</v>
      </c>
      <c r="V38" s="562">
        <f t="shared" si="8"/>
        <v>591.27646239547073</v>
      </c>
      <c r="W38" s="564">
        <f t="shared" si="9"/>
        <v>572.80186629456034</v>
      </c>
      <c r="X38" s="556">
        <f>'Wright-Zucman'!P70</f>
        <v>18.474596100910393</v>
      </c>
      <c r="Y38" s="556">
        <v>384.75599999999997</v>
      </c>
      <c r="Z38" s="559">
        <v>12.645</v>
      </c>
      <c r="AA38" s="556">
        <v>991.32305688694703</v>
      </c>
      <c r="AB38" s="567">
        <f t="shared" si="32"/>
        <v>0.42995467686564026</v>
      </c>
      <c r="AC38" s="567">
        <f t="shared" si="12"/>
        <v>0.41184052554528083</v>
      </c>
      <c r="AE38" s="577">
        <f t="shared" si="13"/>
        <v>0.20887363476922563</v>
      </c>
      <c r="AF38" s="568">
        <f t="shared" si="14"/>
        <v>8.2007618687384348E-2</v>
      </c>
      <c r="AG38" s="568">
        <f>+'Wright-Zucman'!H70*1.1</f>
        <v>0.29088125345660998</v>
      </c>
      <c r="AH38" s="570">
        <f t="shared" si="15"/>
        <v>0.71807183270537844</v>
      </c>
      <c r="AI38" s="568">
        <f>'[1]Assets(MOFA)'!$AP53/'[1]Assets(MOFA)'!I53</f>
        <v>2.6132919254658384</v>
      </c>
      <c r="AJ38" s="568">
        <f>('[1]Assets(MOFA)'!$AP53+1000*'Wright-Zucman'!P70)/('[1]Assets(MOFA)'!$I53)</f>
        <v>3.0722881018859725</v>
      </c>
      <c r="AK38" s="569">
        <f>'[1]Assets(MOFA)'!$AS53/'[1]Assets(MOFA)'!J53</f>
        <v>0.86616455396578385</v>
      </c>
      <c r="AL38" s="574">
        <f t="shared" si="16"/>
        <v>123.50206385403132</v>
      </c>
      <c r="AM38" s="574"/>
      <c r="AN38" s="582">
        <f t="shared" si="25"/>
        <v>0.14360092774663816</v>
      </c>
      <c r="AO38" s="575">
        <f t="shared" si="17"/>
        <v>0.36193700811902024</v>
      </c>
      <c r="AP38" s="575">
        <v>0</v>
      </c>
      <c r="AQ38" s="575">
        <f t="shared" si="26"/>
        <v>0.20887363476922563</v>
      </c>
      <c r="AR38" s="575">
        <f t="shared" si="27"/>
        <v>0.10443681738461282</v>
      </c>
      <c r="AS38" s="574"/>
      <c r="AT38" s="581">
        <f t="shared" si="18"/>
        <v>0.17166523340268036</v>
      </c>
      <c r="AU38" s="389">
        <f t="shared" si="28"/>
        <v>0.29612669489044446</v>
      </c>
      <c r="AV38" s="389">
        <f t="shared" si="29"/>
        <v>8.9806196142954167E-2</v>
      </c>
      <c r="AW38" s="389">
        <f t="shared" si="30"/>
        <v>0.20887363476922563</v>
      </c>
      <c r="AX38" s="389">
        <f t="shared" si="31"/>
        <v>0.14933991545608991</v>
      </c>
      <c r="AY38" s="570">
        <f t="shared" si="19"/>
        <v>4.0990909768215865E-2</v>
      </c>
      <c r="AZ38" s="570">
        <f t="shared" si="20"/>
        <v>7.0710314427735885E-2</v>
      </c>
      <c r="BA38" s="570">
        <f t="shared" si="20"/>
        <v>2.1444282046833199E-2</v>
      </c>
      <c r="BB38" s="570">
        <f t="shared" si="21"/>
        <v>4.9875680393016132E-2</v>
      </c>
      <c r="BC38" s="570">
        <f t="shared" si="22"/>
        <v>3.5659981219924669E-2</v>
      </c>
      <c r="BE38" s="368">
        <f>AE38-(0.0074*('Wright-Zucman'!A70-1981)+0.0805)</f>
        <v>-7.1426365230774364E-2</v>
      </c>
    </row>
    <row r="39" spans="1:57">
      <c r="A39" s="342">
        <v>2009</v>
      </c>
      <c r="B39" s="567">
        <f t="shared" si="0"/>
        <v>0.1376330779087456</v>
      </c>
      <c r="C39" s="567">
        <f t="shared" si="23"/>
        <v>0.12768812707296648</v>
      </c>
      <c r="D39" s="567">
        <f t="shared" si="1"/>
        <v>0.17855281871926884</v>
      </c>
      <c r="E39" s="556">
        <v>50788.499298718016</v>
      </c>
      <c r="F39" s="556">
        <v>9068.4297083077108</v>
      </c>
      <c r="G39" s="556">
        <f t="shared" si="2"/>
        <v>1460.0171830375414</v>
      </c>
      <c r="H39" s="556">
        <f t="shared" si="3"/>
        <v>7608.4125252701697</v>
      </c>
      <c r="I39" s="556"/>
      <c r="J39" s="556">
        <f t="shared" si="24"/>
        <v>971.50394535024725</v>
      </c>
      <c r="K39" s="532">
        <f t="shared" si="4"/>
        <v>0.161</v>
      </c>
      <c r="L39" s="532">
        <v>0.161</v>
      </c>
      <c r="N39" s="562">
        <f t="shared" si="5"/>
        <v>1248.1158925534983</v>
      </c>
      <c r="O39" s="553">
        <f>[1]T.A1!$L53</f>
        <v>0.27446642536978377</v>
      </c>
      <c r="P39" s="553">
        <f>[1]T.A1!$J53/([1]T.A1!$K53+MAX([1]T.A1!$H53,0))</f>
        <v>0.26665691900915067</v>
      </c>
      <c r="Q39" s="552">
        <f>[1]T.A1!$J53/([1]T.A1!$K53+MAX([1]T.A1!$H53,0)+X39)</f>
        <v>0.25317378110434563</v>
      </c>
      <c r="R39" s="552">
        <f t="shared" si="6"/>
        <v>0.20708689055217283</v>
      </c>
      <c r="S39" s="552">
        <f t="shared" si="7"/>
        <v>0.22162360791459479</v>
      </c>
      <c r="V39" s="562">
        <f t="shared" si="8"/>
        <v>497.97582555699461</v>
      </c>
      <c r="W39" s="564">
        <f t="shared" si="9"/>
        <v>476.12177325034645</v>
      </c>
      <c r="X39" s="556">
        <f>'Wright-Zucman'!P71</f>
        <v>21.854052306648168</v>
      </c>
      <c r="Y39" s="556">
        <v>333.50299999999999</v>
      </c>
      <c r="Z39" s="559">
        <v>21.350999999999999</v>
      </c>
      <c r="AA39" s="556">
        <v>949.64989304359904</v>
      </c>
      <c r="AB39" s="567">
        <f t="shared" si="32"/>
        <v>0.39898204047237523</v>
      </c>
      <c r="AC39" s="567">
        <f t="shared" si="12"/>
        <v>0.38775761447972001</v>
      </c>
      <c r="AE39" s="577">
        <f t="shared" si="13"/>
        <v>0.3010260997876964</v>
      </c>
      <c r="AF39" s="568">
        <f t="shared" si="14"/>
        <v>7.1644625325805955E-2</v>
      </c>
      <c r="AG39" s="568">
        <f>+'Wright-Zucman'!H71*1.1</f>
        <v>0.37267072511350235</v>
      </c>
      <c r="AH39" s="570">
        <f t="shared" si="15"/>
        <v>0.80775354623311091</v>
      </c>
      <c r="AI39" s="568">
        <f>'[1]Assets(MOFA)'!$AP54/'[1]Assets(MOFA)'!I54</f>
        <v>2.7904916136495084</v>
      </c>
      <c r="AJ39" s="568">
        <f>('[1]Assets(MOFA)'!$AP54+1000*'Wright-Zucman'!P71)/('[1]Assets(MOFA)'!$I54)</f>
        <v>3.296079868285672</v>
      </c>
      <c r="AK39" s="569">
        <f>'[1]Assets(MOFA)'!$AS54/'[1]Assets(MOFA)'!J54</f>
        <v>0.63365966601035517</v>
      </c>
      <c r="AL39" s="574">
        <f t="shared" si="16"/>
        <v>149.90372055598036</v>
      </c>
      <c r="AM39" s="574"/>
      <c r="AN39" s="582">
        <f t="shared" si="25"/>
        <v>0.20695588149852132</v>
      </c>
      <c r="AO39" s="575">
        <f t="shared" si="17"/>
        <v>0.36193700811902024</v>
      </c>
      <c r="AP39" s="575">
        <v>0</v>
      </c>
      <c r="AQ39" s="575">
        <f t="shared" si="26"/>
        <v>0.3010260997876964</v>
      </c>
      <c r="AR39" s="575">
        <f t="shared" si="27"/>
        <v>0.1505130498938482</v>
      </c>
      <c r="AS39" s="574"/>
      <c r="AT39" s="581">
        <f t="shared" si="18"/>
        <v>0.24448820913921815</v>
      </c>
      <c r="AU39" s="389">
        <f t="shared" si="28"/>
        <v>0.3376346496259629</v>
      </c>
      <c r="AV39" s="389">
        <f t="shared" si="29"/>
        <v>0.12010400752873596</v>
      </c>
      <c r="AW39" s="389">
        <f t="shared" si="30"/>
        <v>0.30102609978769646</v>
      </c>
      <c r="AX39" s="389">
        <f t="shared" si="31"/>
        <v>0.21056505365821621</v>
      </c>
      <c r="AY39" s="570">
        <f t="shared" si="19"/>
        <v>5.6569344077321122E-2</v>
      </c>
      <c r="AZ39" s="570">
        <f t="shared" si="20"/>
        <v>7.8121438798060536E-2</v>
      </c>
      <c r="BA39" s="570">
        <f t="shared" si="20"/>
        <v>2.7789499341824817E-2</v>
      </c>
      <c r="BB39" s="570">
        <f t="shared" si="21"/>
        <v>6.9651003110123469E-2</v>
      </c>
      <c r="BC39" s="570">
        <f t="shared" si="22"/>
        <v>4.8720251225974148E-2</v>
      </c>
      <c r="BE39" s="368">
        <f>AE39-(0.0074*('Wright-Zucman'!A71-1981)+0.0805)</f>
        <v>1.3326099787696388E-2</v>
      </c>
    </row>
    <row r="40" spans="1:57">
      <c r="A40" s="342">
        <v>2010</v>
      </c>
      <c r="B40" s="567">
        <f t="shared" si="0"/>
        <v>0.15577655832657195</v>
      </c>
      <c r="C40" s="567">
        <f t="shared" si="23"/>
        <v>0.14457874806048046</v>
      </c>
      <c r="D40" s="567">
        <f t="shared" si="1"/>
        <v>0.18674684834289276</v>
      </c>
      <c r="E40" s="556">
        <v>55659.165884362948</v>
      </c>
      <c r="F40" s="556">
        <v>10394.173810299038</v>
      </c>
      <c r="G40" s="556">
        <f t="shared" si="2"/>
        <v>1652.6736358375472</v>
      </c>
      <c r="H40" s="556">
        <f t="shared" si="3"/>
        <v>8741.500174461491</v>
      </c>
      <c r="I40" s="556"/>
      <c r="J40" s="556">
        <f t="shared" si="24"/>
        <v>1263.8351513941138</v>
      </c>
      <c r="K40" s="532">
        <f t="shared" si="4"/>
        <v>0.159</v>
      </c>
      <c r="L40" s="532">
        <v>0.159</v>
      </c>
      <c r="N40" s="562">
        <f t="shared" si="5"/>
        <v>1619.1686228165747</v>
      </c>
      <c r="O40" s="553">
        <f>[1]T.A1!$L54</f>
        <v>0.28250245016548126</v>
      </c>
      <c r="P40" s="553">
        <f>[1]T.A1!$J54/([1]T.A1!$K54+MAX([1]T.A1!$H54,0))</f>
        <v>0.26194678853237258</v>
      </c>
      <c r="Q40" s="552">
        <f>[1]T.A1!$J54/([1]T.A1!$K54+MAX([1]T.A1!$H54,0)+X40)</f>
        <v>0.25086146519201136</v>
      </c>
      <c r="R40" s="552">
        <f t="shared" si="6"/>
        <v>0.20493073259600569</v>
      </c>
      <c r="S40" s="552">
        <f t="shared" si="7"/>
        <v>0.21945427203520751</v>
      </c>
      <c r="V40" s="562">
        <f t="shared" si="8"/>
        <v>598.44643041035852</v>
      </c>
      <c r="W40" s="564">
        <f t="shared" si="9"/>
        <v>576.516124755654</v>
      </c>
      <c r="X40" s="556">
        <f>'Wright-Zucman'!P72</f>
        <v>21.930305654704512</v>
      </c>
      <c r="Y40" s="556">
        <v>411.80500000000001</v>
      </c>
      <c r="Z40" s="559">
        <v>18.555</v>
      </c>
      <c r="AA40" s="556">
        <v>1241.9048457394094</v>
      </c>
      <c r="AB40" s="567">
        <f t="shared" si="32"/>
        <v>0.36960105450249492</v>
      </c>
      <c r="AC40" s="567">
        <f t="shared" si="12"/>
        <v>0.35787128183275424</v>
      </c>
      <c r="AE40" s="577">
        <f t="shared" si="13"/>
        <v>0.25286492209493283</v>
      </c>
      <c r="AF40" s="568">
        <f t="shared" si="14"/>
        <v>7.5734849700946516E-2</v>
      </c>
      <c r="AG40" s="568">
        <f>+'Wright-Zucman'!H72*1.1</f>
        <v>0.32859977179587935</v>
      </c>
      <c r="AH40" s="570">
        <f t="shared" si="15"/>
        <v>0.76952251279105655</v>
      </c>
      <c r="AI40" s="568">
        <f>'[1]Assets(MOFA)'!$AP55/'[1]Assets(MOFA)'!I55</f>
        <v>2.7664680156805872</v>
      </c>
      <c r="AJ40" s="568">
        <f>('[1]Assets(MOFA)'!$AP55+1000*'Wright-Zucman'!P72)/('[1]Assets(MOFA)'!$I55)</f>
        <v>3.2634045377332148</v>
      </c>
      <c r="AK40" s="569">
        <f>'[1]Assets(MOFA)'!$AS55/'[1]Assets(MOFA)'!J55</f>
        <v>0.75214127760301497</v>
      </c>
      <c r="AL40" s="574">
        <f t="shared" si="16"/>
        <v>151.32611000370594</v>
      </c>
      <c r="AM40" s="574"/>
      <c r="AN40" s="582">
        <f t="shared" si="25"/>
        <v>0.17384500177599105</v>
      </c>
      <c r="AO40" s="575">
        <f t="shared" si="17"/>
        <v>0.36193700811902024</v>
      </c>
      <c r="AP40" s="575">
        <v>0</v>
      </c>
      <c r="AQ40" s="575">
        <f t="shared" si="26"/>
        <v>0.25286492209493283</v>
      </c>
      <c r="AR40" s="575">
        <f t="shared" si="27"/>
        <v>0.12643246104746642</v>
      </c>
      <c r="AS40" s="574"/>
      <c r="AT40" s="581">
        <f t="shared" si="18"/>
        <v>0.20305084765257506</v>
      </c>
      <c r="AU40" s="389">
        <f t="shared" si="28"/>
        <v>0.3216238501077307</v>
      </c>
      <c r="AV40" s="389">
        <f t="shared" si="29"/>
        <v>9.3459141852978406E-2</v>
      </c>
      <c r="AW40" s="389">
        <f t="shared" si="30"/>
        <v>0.25286492209493283</v>
      </c>
      <c r="AX40" s="389">
        <f t="shared" si="31"/>
        <v>0.17316203197395563</v>
      </c>
      <c r="AY40" s="570">
        <f t="shared" si="19"/>
        <v>5.3174977260261068E-2</v>
      </c>
      <c r="AZ40" s="570">
        <f t="shared" si="20"/>
        <v>8.42268875680771E-2</v>
      </c>
      <c r="BA40" s="570">
        <f t="shared" si="20"/>
        <v>2.4475089861722202E-2</v>
      </c>
      <c r="BB40" s="570">
        <f t="shared" si="21"/>
        <v>6.6220292295072411E-2</v>
      </c>
      <c r="BC40" s="570">
        <f t="shared" si="22"/>
        <v>4.5347691078397312E-2</v>
      </c>
      <c r="BE40" s="368">
        <f>AE40-(0.0074*('Wright-Zucman'!A72-1981)+0.0805)</f>
        <v>-4.2235077905067198E-2</v>
      </c>
    </row>
    <row r="41" spans="1:57">
      <c r="A41" s="342">
        <v>2011</v>
      </c>
      <c r="B41" s="567">
        <f t="shared" si="0"/>
        <v>0.15482114232117231</v>
      </c>
      <c r="C41" s="567">
        <f t="shared" si="23"/>
        <v>0.141690394007632</v>
      </c>
      <c r="D41" s="567">
        <f t="shared" si="1"/>
        <v>0.18506273739029191</v>
      </c>
      <c r="E41" s="556">
        <v>61800.893926615259</v>
      </c>
      <c r="F41" s="556">
        <v>11437.042603226486</v>
      </c>
      <c r="G41" s="556">
        <f t="shared" si="2"/>
        <v>1898.5490721355968</v>
      </c>
      <c r="H41" s="556">
        <f t="shared" si="3"/>
        <v>9538.4935310908895</v>
      </c>
      <c r="I41" s="556"/>
      <c r="J41" s="556">
        <f t="shared" si="24"/>
        <v>1351.5129066595173</v>
      </c>
      <c r="K41" s="532">
        <f t="shared" si="4"/>
        <v>0.16600000000000001</v>
      </c>
      <c r="L41" s="532">
        <v>0.16600000000000001</v>
      </c>
      <c r="N41" s="562">
        <f t="shared" si="5"/>
        <v>1770.6960006074387</v>
      </c>
      <c r="O41" s="553">
        <f>[1]T.A1!$L55</f>
        <v>0.29207183186951063</v>
      </c>
      <c r="P41" s="553">
        <f>[1]T.A1!$J55/([1]T.A1!$K55+MAX([1]T.A1!$H55,0))</f>
        <v>0.28579251363756852</v>
      </c>
      <c r="Q41" s="552">
        <f>[1]T.A1!$J55/([1]T.A1!$K55+MAX([1]T.A1!$H55,0)+X41)</f>
        <v>0.27259652577231258</v>
      </c>
      <c r="R41" s="552">
        <f t="shared" si="6"/>
        <v>0.21929826288615628</v>
      </c>
      <c r="S41" s="552">
        <f t="shared" si="7"/>
        <v>0.23673351823470568</v>
      </c>
      <c r="V41" s="562">
        <f t="shared" si="8"/>
        <v>663.97923623614372</v>
      </c>
      <c r="W41" s="564">
        <f t="shared" si="9"/>
        <v>636.22103001430878</v>
      </c>
      <c r="X41" s="556">
        <f>'Wright-Zucman'!P73</f>
        <v>27.758206221834989</v>
      </c>
      <c r="Y41" s="556">
        <v>441.036</v>
      </c>
      <c r="Z41" s="559">
        <v>18.702999999999999</v>
      </c>
      <c r="AA41" s="556">
        <v>1323.7547004376822</v>
      </c>
      <c r="AB41" s="567">
        <f t="shared" si="32"/>
        <v>0.37498206129587752</v>
      </c>
      <c r="AC41" s="567">
        <f t="shared" si="12"/>
        <v>0.36070481000937177</v>
      </c>
      <c r="AE41" s="577">
        <f t="shared" si="13"/>
        <v>0.26615979630502978</v>
      </c>
      <c r="AF41" s="568">
        <f t="shared" si="14"/>
        <v>7.4559774822571256E-2</v>
      </c>
      <c r="AG41" s="568">
        <f>+'Wright-Zucman'!H73*1.1</f>
        <v>0.34071957112760104</v>
      </c>
      <c r="AH41" s="570">
        <f t="shared" si="15"/>
        <v>0.78116967400546444</v>
      </c>
      <c r="AI41" s="568">
        <f>'[1]Assets(MOFA)'!$AP56/'[1]Assets(MOFA)'!I56</f>
        <v>3.2101056652342694</v>
      </c>
      <c r="AJ41" s="568">
        <f>('[1]Assets(MOFA)'!$AP56+1000*'Wright-Zucman'!P73)/('[1]Assets(MOFA)'!$I56)</f>
        <v>3.7863487621563801</v>
      </c>
      <c r="AK41" s="569">
        <f>'[1]Assets(MOFA)'!$AS56/'[1]Assets(MOFA)'!J56</f>
        <v>0.82856793395168693</v>
      </c>
      <c r="AL41" s="574">
        <f t="shared" si="16"/>
        <v>176.72457826738128</v>
      </c>
      <c r="AM41" s="574"/>
      <c r="AN41" s="582">
        <f t="shared" si="25"/>
        <v>0.18298524713512462</v>
      </c>
      <c r="AO41" s="575">
        <f t="shared" si="17"/>
        <v>0.36193700811902024</v>
      </c>
      <c r="AP41" s="575">
        <v>0</v>
      </c>
      <c r="AQ41" s="575">
        <f t="shared" si="26"/>
        <v>0.26615979630502978</v>
      </c>
      <c r="AR41" s="575">
        <f t="shared" si="27"/>
        <v>0.13307989815251489</v>
      </c>
      <c r="AS41" s="574"/>
      <c r="AT41" s="581">
        <f t="shared" si="18"/>
        <v>0.214174211030211</v>
      </c>
      <c r="AU41" s="389">
        <f t="shared" si="28"/>
        <v>0.32602227180783822</v>
      </c>
      <c r="AV41" s="389">
        <f t="shared" si="29"/>
        <v>9.9805149052550959E-2</v>
      </c>
      <c r="AW41" s="389">
        <f t="shared" si="30"/>
        <v>0.26615979630502978</v>
      </c>
      <c r="AX41" s="389">
        <f t="shared" si="31"/>
        <v>0.18298247267879036</v>
      </c>
      <c r="AY41" s="570">
        <f t="shared" si="19"/>
        <v>5.5743963522474592E-2</v>
      </c>
      <c r="AZ41" s="570">
        <f t="shared" si="20"/>
        <v>8.4855097818508474E-2</v>
      </c>
      <c r="BA41" s="570">
        <f t="shared" si="20"/>
        <v>2.5976678337597606E-2</v>
      </c>
      <c r="BB41" s="570">
        <f t="shared" si="21"/>
        <v>6.9274456084182784E-2</v>
      </c>
      <c r="BC41" s="570">
        <f t="shared" si="22"/>
        <v>4.7625567210890195E-2</v>
      </c>
      <c r="BE41" s="368">
        <f>AE41-(0.0074*('Wright-Zucman'!A73-1981)+0.0805)</f>
        <v>-3.6340203694970208E-2</v>
      </c>
    </row>
    <row r="42" spans="1:57">
      <c r="A42" s="342">
        <v>2012</v>
      </c>
      <c r="B42" s="567">
        <f t="shared" si="0"/>
        <v>0.14573976388269586</v>
      </c>
      <c r="C42" s="567">
        <f t="shared" si="23"/>
        <v>0.1348872731894839</v>
      </c>
      <c r="D42" s="567">
        <f t="shared" si="1"/>
        <v>0.18147799881404808</v>
      </c>
      <c r="E42" s="556">
        <v>63063.239975448443</v>
      </c>
      <c r="F42" s="556">
        <v>11444.590589474463</v>
      </c>
      <c r="G42" s="556">
        <f t="shared" si="2"/>
        <v>1968.4695813896074</v>
      </c>
      <c r="H42" s="556">
        <f t="shared" si="3"/>
        <v>9476.1210080848559</v>
      </c>
      <c r="I42" s="556"/>
      <c r="J42" s="556">
        <f t="shared" si="24"/>
        <v>1278.2081231941495</v>
      </c>
      <c r="K42" s="532">
        <f t="shared" si="4"/>
        <v>0.17199999999999999</v>
      </c>
      <c r="L42" s="532">
        <v>0.17199999999999999</v>
      </c>
      <c r="N42" s="562">
        <f t="shared" si="5"/>
        <v>1667.9319302441313</v>
      </c>
      <c r="O42" s="553">
        <f>[1]T.A1!$L56</f>
        <v>0.28095807722036142</v>
      </c>
      <c r="P42" s="553">
        <f>[1]T.A1!$J56/([1]T.A1!$K56+MAX([1]T.A1!$H56,0))</f>
        <v>0.27930347475937567</v>
      </c>
      <c r="Q42" s="552">
        <f>[1]T.A1!$J56/([1]T.A1!$K56+MAX([1]T.A1!$H56,0)+X42)</f>
        <v>0.26496449821471685</v>
      </c>
      <c r="R42" s="552">
        <f t="shared" si="6"/>
        <v>0.21848224910735842</v>
      </c>
      <c r="S42" s="552">
        <f t="shared" si="7"/>
        <v>0.23365690168959041</v>
      </c>
      <c r="V42" s="562">
        <f t="shared" si="8"/>
        <v>644.59107157157109</v>
      </c>
      <c r="W42" s="564">
        <f t="shared" si="9"/>
        <v>615.01099464374568</v>
      </c>
      <c r="X42" s="556">
        <f>'Wright-Zucman'!P74</f>
        <v>29.580076927825459</v>
      </c>
      <c r="Y42" s="556">
        <v>428.702</v>
      </c>
      <c r="Z42" s="559">
        <v>20.167000000000002</v>
      </c>
      <c r="AA42" s="556">
        <v>1248.628046266324</v>
      </c>
      <c r="AB42" s="567">
        <f t="shared" si="32"/>
        <v>0.38646125773083784</v>
      </c>
      <c r="AC42" s="567">
        <f t="shared" si="12"/>
        <v>0.3743123426036567</v>
      </c>
      <c r="AE42" s="577">
        <f t="shared" si="13"/>
        <v>0.29864935285813921</v>
      </c>
      <c r="AF42" s="568">
        <f t="shared" si="14"/>
        <v>7.2566187605075938E-2</v>
      </c>
      <c r="AG42" s="568">
        <f>+'Wright-Zucman'!H74*1.1</f>
        <v>0.37121554046321514</v>
      </c>
      <c r="AH42" s="570">
        <f t="shared" si="15"/>
        <v>0.80451737684654734</v>
      </c>
      <c r="AI42" s="568">
        <f>'[1]Assets(MOFA)'!$AP57/'[1]Assets(MOFA)'!I57</f>
        <v>3.2536554354736174</v>
      </c>
      <c r="AJ42" s="568">
        <f>('[1]Assets(MOFA)'!$AP57+1000*'Wright-Zucman'!P74)/('[1]Assets(MOFA)'!$I57)</f>
        <v>3.8413079491383</v>
      </c>
      <c r="AK42" s="569">
        <f>'[1]Assets(MOFA)'!$AS57/'[1]Assets(MOFA)'!J57</f>
        <v>0.75090895423776427</v>
      </c>
      <c r="AL42" s="574">
        <f t="shared" si="16"/>
        <v>192.50670638298419</v>
      </c>
      <c r="AM42" s="574"/>
      <c r="AN42" s="582">
        <f t="shared" si="25"/>
        <v>0.20532186452706161</v>
      </c>
      <c r="AO42" s="575">
        <f t="shared" si="17"/>
        <v>0.36193700811902024</v>
      </c>
      <c r="AP42" s="575">
        <v>0</v>
      </c>
      <c r="AQ42" s="575">
        <f t="shared" si="26"/>
        <v>0.29864935285813921</v>
      </c>
      <c r="AR42" s="575">
        <f t="shared" si="27"/>
        <v>0.1493246764290696</v>
      </c>
      <c r="AS42" s="574"/>
      <c r="AT42" s="581">
        <f t="shared" si="18"/>
        <v>0.24138932304834992</v>
      </c>
      <c r="AU42" s="389">
        <f t="shared" si="28"/>
        <v>0.33747878126806446</v>
      </c>
      <c r="AV42" s="389">
        <f t="shared" si="29"/>
        <v>0.11541640452605727</v>
      </c>
      <c r="AW42" s="389">
        <f t="shared" si="30"/>
        <v>0.29864935285813921</v>
      </c>
      <c r="AX42" s="389">
        <f t="shared" si="31"/>
        <v>0.20703287869209824</v>
      </c>
      <c r="AY42" s="570">
        <f t="shared" si="19"/>
        <v>5.9142069860620018E-2</v>
      </c>
      <c r="AZ42" s="570">
        <f t="shared" si="20"/>
        <v>8.268465815381143E-2</v>
      </c>
      <c r="BA42" s="570">
        <f t="shared" si="20"/>
        <v>2.8277825105687996E-2</v>
      </c>
      <c r="BB42" s="570">
        <f t="shared" si="21"/>
        <v>7.3171177032661072E-2</v>
      </c>
      <c r="BC42" s="570">
        <f t="shared" si="22"/>
        <v>5.0724501069174539E-2</v>
      </c>
      <c r="BE42" s="368">
        <f>AE42-(0.0074*('Wright-Zucman'!A74-1981)+0.0805)</f>
        <v>-1.1250647141860803E-2</v>
      </c>
    </row>
    <row r="43" spans="1:57">
      <c r="A43" s="342">
        <v>2013</v>
      </c>
      <c r="B43" s="567">
        <f t="shared" si="0"/>
        <v>0.15005513269809706</v>
      </c>
      <c r="C43" s="567">
        <f t="shared" si="23"/>
        <v>0.14089205226216006</v>
      </c>
      <c r="D43" s="567">
        <f t="shared" si="1"/>
        <v>0.18181728523860391</v>
      </c>
      <c r="E43" s="556">
        <v>64796.532728916034</v>
      </c>
      <c r="F43" s="556">
        <v>11781.129673645861</v>
      </c>
      <c r="G43" s="556">
        <f t="shared" si="2"/>
        <v>2073.4788225616712</v>
      </c>
      <c r="H43" s="556">
        <f t="shared" si="3"/>
        <v>9707.6508510841886</v>
      </c>
      <c r="I43" s="556"/>
      <c r="J43" s="556">
        <f t="shared" si="24"/>
        <v>1367.7308510537562</v>
      </c>
      <c r="K43" s="532">
        <f t="shared" si="4"/>
        <v>0.17599999999999999</v>
      </c>
      <c r="L43" s="532">
        <v>0.17599999999999999</v>
      </c>
      <c r="N43" s="562">
        <f t="shared" si="5"/>
        <v>1767.8189765124187</v>
      </c>
      <c r="O43" s="553">
        <f>[1]T.A1!$L57</f>
        <v>0.27086175023352344</v>
      </c>
      <c r="P43" s="553">
        <f>[1]T.A1!$J57/([1]T.A1!$K57+MAX([1]T.A1!$H57,0))</f>
        <v>0.26608525048376691</v>
      </c>
      <c r="Q43" s="552">
        <f>[1]T.A1!$J57/([1]T.A1!$K57+MAX([1]T.A1!$H57,0)+X43)</f>
        <v>0.2526763478980425</v>
      </c>
      <c r="R43" s="552">
        <f t="shared" si="6"/>
        <v>0.21433817394902124</v>
      </c>
      <c r="S43" s="552">
        <f t="shared" si="7"/>
        <v>0.22631736098226685</v>
      </c>
      <c r="V43" s="562">
        <f t="shared" si="8"/>
        <v>646.54348206207851</v>
      </c>
      <c r="W43" s="564">
        <f t="shared" si="9"/>
        <v>618.89998348439076</v>
      </c>
      <c r="X43" s="556">
        <f>'Wright-Zucman'!P75</f>
        <v>27.643498577687772</v>
      </c>
      <c r="Y43" s="556">
        <v>440.63799999999998</v>
      </c>
      <c r="Z43" s="559">
        <v>18.506</v>
      </c>
      <c r="AA43" s="556">
        <v>1340.0873524760684</v>
      </c>
      <c r="AB43" s="567">
        <f t="shared" si="32"/>
        <v>0.36572946136011603</v>
      </c>
      <c r="AC43" s="567">
        <f t="shared" si="12"/>
        <v>0.35590883849892441</v>
      </c>
      <c r="AE43" s="577">
        <f t="shared" si="13"/>
        <v>0.29256931804332326</v>
      </c>
      <c r="AF43" s="568">
        <f t="shared" si="14"/>
        <v>7.5824054142955288E-2</v>
      </c>
      <c r="AG43" s="568">
        <f>+'Wright-Zucman'!H75*1.1</f>
        <v>0.36839337218627854</v>
      </c>
      <c r="AH43" s="570">
        <f t="shared" si="15"/>
        <v>0.79417638896984621</v>
      </c>
      <c r="AI43" s="568">
        <f>'[1]Assets(MOFA)'!$AP58/'[1]Assets(MOFA)'!I58</f>
        <v>2.8909695583983672</v>
      </c>
      <c r="AJ43" s="568">
        <f>('[1]Assets(MOFA)'!$AP58+1000*'Wright-Zucman'!P75)/('[1]Assets(MOFA)'!$I58)</f>
        <v>3.4133236064641217</v>
      </c>
      <c r="AK43" s="569">
        <f>'[1]Assets(MOFA)'!$AS58/'[1]Assets(MOFA)'!J58</f>
        <v>0.70254259029691302</v>
      </c>
      <c r="AL43" s="574">
        <f t="shared" si="16"/>
        <v>189.15878563225792</v>
      </c>
      <c r="AM43" s="574"/>
      <c r="AN43" s="582">
        <f t="shared" si="25"/>
        <v>0.20114183174741435</v>
      </c>
      <c r="AO43" s="575">
        <f t="shared" si="17"/>
        <v>0.36193700811902024</v>
      </c>
      <c r="AP43" s="575">
        <v>0</v>
      </c>
      <c r="AQ43" s="575">
        <f t="shared" si="26"/>
        <v>0.29256931804332326</v>
      </c>
      <c r="AR43" s="575">
        <f t="shared" si="27"/>
        <v>0.14628465902166163</v>
      </c>
      <c r="AS43" s="574"/>
      <c r="AT43" s="581">
        <f t="shared" si="18"/>
        <v>0.2345795570639265</v>
      </c>
      <c r="AU43" s="389">
        <f t="shared" si="28"/>
        <v>0.33656720019184011</v>
      </c>
      <c r="AV43" s="389">
        <f t="shared" si="29"/>
        <v>0.10700121909848109</v>
      </c>
      <c r="AW43" s="389">
        <f t="shared" si="30"/>
        <v>0.29256931804332326</v>
      </c>
      <c r="AX43" s="389">
        <f t="shared" si="31"/>
        <v>0.19978526857090217</v>
      </c>
      <c r="AY43" s="570">
        <f t="shared" si="19"/>
        <v>5.9175429494308519E-2</v>
      </c>
      <c r="AZ43" s="570">
        <f t="shared" si="20"/>
        <v>8.4903002095879587E-2</v>
      </c>
      <c r="BA43" s="570">
        <f t="shared" si="20"/>
        <v>2.699230562039855E-2</v>
      </c>
      <c r="BB43" s="570">
        <f t="shared" si="21"/>
        <v>7.3804023115929776E-2</v>
      </c>
      <c r="BC43" s="570">
        <f t="shared" si="22"/>
        <v>5.0398164368164168E-2</v>
      </c>
      <c r="BE43" s="368">
        <f>AE43-(0.0074*('Wright-Zucman'!A75-1981)+0.0805)</f>
        <v>-2.473068195667677E-2</v>
      </c>
    </row>
    <row r="44" spans="1:57">
      <c r="A44" s="342">
        <v>2014</v>
      </c>
      <c r="B44" s="567">
        <f t="shared" si="0"/>
        <v>0.15157827340782384</v>
      </c>
      <c r="C44" s="567">
        <f t="shared" si="23"/>
        <v>0.14589214277606952</v>
      </c>
      <c r="D44" s="567">
        <f t="shared" si="1"/>
        <v>0.18215657166315974</v>
      </c>
      <c r="E44" s="556">
        <v>66377.861107373581</v>
      </c>
      <c r="F44" s="556">
        <v>12091.163613652559</v>
      </c>
      <c r="G44" s="556">
        <f t="shared" si="2"/>
        <v>2103.862468775545</v>
      </c>
      <c r="H44" s="556">
        <f t="shared" si="3"/>
        <v>9987.3011448770139</v>
      </c>
      <c r="I44" s="556"/>
      <c r="J44" s="556">
        <f t="shared" si="24"/>
        <v>1457.0687645759999</v>
      </c>
      <c r="K44" s="532">
        <f t="shared" si="4"/>
        <v>0.17399999999999999</v>
      </c>
      <c r="L44" s="532">
        <v>0.17399999999999999</v>
      </c>
      <c r="N44" s="562">
        <f t="shared" si="5"/>
        <v>1832.7577040489591</v>
      </c>
      <c r="O44" s="553">
        <f>[1]T.A1!$L58</f>
        <v>0.2402702146777668</v>
      </c>
      <c r="P44" s="553">
        <f>[1]T.A1!$J58/([1]T.A1!$K58+MAX([1]T.A1!$H58,0))</f>
        <v>0.23590686600162628</v>
      </c>
      <c r="Q44" s="552">
        <f>[1]T.A1!$J58/([1]T.A1!$K58+MAX([1]T.A1!$H58,0)+X44)</f>
        <v>0.22242914521698015</v>
      </c>
      <c r="R44" s="552">
        <f t="shared" si="6"/>
        <v>0.19821457260849007</v>
      </c>
      <c r="S44" s="552">
        <f t="shared" si="7"/>
        <v>0.20498560101151442</v>
      </c>
      <c r="V44" s="562">
        <f t="shared" si="8"/>
        <v>634.95440751947012</v>
      </c>
      <c r="W44" s="564">
        <f t="shared" si="9"/>
        <v>600.75087098232609</v>
      </c>
      <c r="X44" s="556">
        <f>'Wright-Zucman'!P76</f>
        <v>34.203536537144039</v>
      </c>
      <c r="Y44" s="556">
        <v>447.84100000000001</v>
      </c>
      <c r="Z44" s="559">
        <v>14.643000000000001</v>
      </c>
      <c r="AA44" s="556">
        <v>1422.8652280388558</v>
      </c>
      <c r="AB44" s="567">
        <f t="shared" si="32"/>
        <v>0.34644754520290283</v>
      </c>
      <c r="AC44" s="567">
        <f t="shared" si="12"/>
        <v>0.34088132874200883</v>
      </c>
      <c r="AE44" s="577">
        <f t="shared" si="13"/>
        <v>0.34037365856012092</v>
      </c>
      <c r="AF44" s="568">
        <f t="shared" si="14"/>
        <v>7.3403990372512329E-2</v>
      </c>
      <c r="AG44" s="568">
        <f>+'Wright-Zucman'!H76*1.1</f>
        <v>0.41377764893263325</v>
      </c>
      <c r="AH44" s="570">
        <f t="shared" si="15"/>
        <v>0.82260039767284976</v>
      </c>
      <c r="AI44" s="568">
        <f>'[1]Assets(MOFA)'!$AP59/'[1]Assets(MOFA)'!I59</f>
        <v>3.0616615404750998</v>
      </c>
      <c r="AJ44" s="568">
        <f>('[1]Assets(MOFA)'!$AP59+1000*'Wright-Zucman'!P76)/('[1]Assets(MOFA)'!$I59)</f>
        <v>3.6212377550085733</v>
      </c>
      <c r="AK44" s="569">
        <f>'[1]Assets(MOFA)'!$AS59/'[1]Assets(MOFA)'!J59</f>
        <v>0.64240613767058319</v>
      </c>
      <c r="AL44" s="574">
        <f t="shared" si="16"/>
        <v>216.12175470627599</v>
      </c>
      <c r="AM44" s="574"/>
      <c r="AN44" s="582">
        <f t="shared" si="25"/>
        <v>0.23400738539238669</v>
      </c>
      <c r="AO44" s="575">
        <f t="shared" si="17"/>
        <v>0.36193700811902024</v>
      </c>
      <c r="AP44" s="575">
        <v>0</v>
      </c>
      <c r="AQ44" s="575">
        <f t="shared" si="26"/>
        <v>0.34037365856012092</v>
      </c>
      <c r="AR44" s="575">
        <f t="shared" si="27"/>
        <v>0.17018682928006046</v>
      </c>
      <c r="AS44" s="574"/>
      <c r="AT44" s="581">
        <f>AE44*AB44+(1-AB44)*AN44</f>
        <v>0.27085771962372962</v>
      </c>
      <c r="AU44" s="389">
        <f t="shared" si="28"/>
        <v>0.35446643859798749</v>
      </c>
      <c r="AV44" s="389">
        <f t="shared" si="29"/>
        <v>0.1179216184598849</v>
      </c>
      <c r="AW44" s="389">
        <f t="shared" si="30"/>
        <v>0.34037365856012092</v>
      </c>
      <c r="AX44" s="389">
        <f t="shared" si="31"/>
        <v>0.22914763851000292</v>
      </c>
      <c r="AY44" s="570">
        <f>+AY$45*(AT44*$B44)/(AT$45*$B$45)</f>
        <v>6.9020575341180501E-2</v>
      </c>
      <c r="AZ44" s="570">
        <f>+AZ$45*(AU44*$B44)/(AU$45*$B$45)</f>
        <v>9.0325937784454871E-2</v>
      </c>
      <c r="BA44" s="570">
        <f t="shared" ref="BA44" si="33">+BA$45*(AV44*$B44)/(AV$45*$B$45)</f>
        <v>3.004905292184766E-2</v>
      </c>
      <c r="BB44" s="570">
        <f>+BB$45*(AW44*$B44)/(AW$45*$B$45)</f>
        <v>8.6734783772963175E-2</v>
      </c>
      <c r="BC44" s="570">
        <f t="shared" ref="BC44" si="34">+BC$45*(AX44*$B44)/(AX$45*$B$45)</f>
        <v>5.8391918347405425E-2</v>
      </c>
      <c r="BE44" s="368">
        <f>AE44-(0.0074*('Wright-Zucman'!A76-1981)+0.0805)</f>
        <v>1.5673658560120929E-2</v>
      </c>
    </row>
    <row r="45" spans="1:57">
      <c r="A45" s="342">
        <v>2015</v>
      </c>
      <c r="B45" s="567">
        <f t="shared" si="0"/>
        <v>0.14791394348737996</v>
      </c>
      <c r="C45" s="567">
        <f t="shared" si="23"/>
        <v>0.13690285762308796</v>
      </c>
      <c r="D45" s="567">
        <f t="shared" si="1"/>
        <v>0.18249131134972568</v>
      </c>
      <c r="E45" s="556">
        <v>63098.894488914579</v>
      </c>
      <c r="F45" s="556">
        <v>11515</v>
      </c>
      <c r="G45" s="556">
        <v>2154</v>
      </c>
      <c r="H45" s="556">
        <f t="shared" si="3"/>
        <v>9361</v>
      </c>
      <c r="I45" s="556">
        <v>616.46162984891726</v>
      </c>
      <c r="J45" s="556">
        <f t="shared" si="24"/>
        <v>1281.5476502097263</v>
      </c>
      <c r="K45" s="532">
        <f t="shared" si="4"/>
        <v>0.18706035605731655</v>
      </c>
      <c r="L45" s="532">
        <v>0.17299999999999999</v>
      </c>
      <c r="N45" s="755">
        <v>1703.2290592571803</v>
      </c>
      <c r="O45" s="553">
        <f>[1]T.A1!$L59</f>
        <v>0.19118422043213129</v>
      </c>
      <c r="P45" s="553">
        <f>[1]T.A1!$J59/([1]T.A1!$K59+MAX([1]T.A1!$H59,0))</f>
        <v>0.19118422043213129</v>
      </c>
      <c r="Q45" s="552">
        <f>[1]T.A1!$J59/([1]T.A1!$K59+MAX([1]T.A1!$H59,0)+X45)</f>
        <v>0.17706584052741292</v>
      </c>
      <c r="R45" s="552">
        <f t="shared" si="6"/>
        <v>0.17503292026370645</v>
      </c>
      <c r="S45" s="754">
        <f t="shared" si="7"/>
        <v>0.2475776271873612</v>
      </c>
      <c r="V45" s="562">
        <f t="shared" si="8"/>
        <v>572.20167161985535</v>
      </c>
      <c r="W45" s="564">
        <f t="shared" si="9"/>
        <v>534.073256620282</v>
      </c>
      <c r="X45" s="556">
        <f>'Wright-Zucman'!P77</f>
        <v>38.128414999573373</v>
      </c>
      <c r="Y45" s="556">
        <v>423.77600000000001</v>
      </c>
      <c r="Z45" s="559">
        <v>10.127000000000001</v>
      </c>
      <c r="AA45" s="556">
        <v>1243.4192352101529</v>
      </c>
      <c r="AB45" s="567">
        <f t="shared" si="32"/>
        <v>0.33595109742280138</v>
      </c>
      <c r="AC45" s="567">
        <f t="shared" si="12"/>
        <v>0.36832919550227028</v>
      </c>
      <c r="AE45" s="577">
        <f t="shared" si="13"/>
        <v>0.4567110995991705</v>
      </c>
      <c r="AF45" s="568">
        <f t="shared" si="14"/>
        <v>6.2548696740545473E-2</v>
      </c>
      <c r="AG45" s="568">
        <f>+'Wright-Zucman'!H77*1.1</f>
        <v>0.51925979633971597</v>
      </c>
      <c r="AH45" s="570">
        <f t="shared" si="15"/>
        <v>0.87954257737368879</v>
      </c>
      <c r="AI45" s="568">
        <f>'[1]Assets(MOFA)'!$AP60/'[1]Assets(MOFA)'!I60</f>
        <v>3.4575709673079511</v>
      </c>
      <c r="AJ45" s="568">
        <f>('[1]Assets(MOFA)'!$AP60+1000*'Wright-Zucman'!P77)/('[1]Assets(MOFA)'!$I60)</f>
        <v>4.0987726187201226</v>
      </c>
      <c r="AK45" s="569">
        <f>'[1]Assets(MOFA)'!$AS60/'[1]Assets(MOFA)'!J60</f>
        <v>0.49372758558232205</v>
      </c>
      <c r="AL45" s="574">
        <f t="shared" si="16"/>
        <v>261.33085463798761</v>
      </c>
      <c r="AM45" s="574"/>
      <c r="AN45" s="577">
        <f>(I45-AL45)/(N45*(1-AB45))</f>
        <v>0.31398954533964457</v>
      </c>
      <c r="AO45" s="568">
        <f>AP45</f>
        <v>0.31398954533964457</v>
      </c>
      <c r="AP45" s="568">
        <f>AN45</f>
        <v>0.31398954533964457</v>
      </c>
      <c r="AQ45" s="568">
        <f>AP45</f>
        <v>0.31398954533964457</v>
      </c>
      <c r="AR45" s="568">
        <f>AQ45</f>
        <v>0.31398954533964457</v>
      </c>
      <c r="AS45" s="574"/>
      <c r="AT45" s="581">
        <v>0.3619370081190203</v>
      </c>
      <c r="AU45" s="389">
        <f>$AT45</f>
        <v>0.3619370081190203</v>
      </c>
      <c r="AV45" s="389">
        <f>$AT45</f>
        <v>0.3619370081190203</v>
      </c>
      <c r="AW45" s="389">
        <f>$AT45</f>
        <v>0.3619370081190203</v>
      </c>
      <c r="AX45" s="389">
        <f>$AT45</f>
        <v>0.3619370081190203</v>
      </c>
      <c r="AY45" s="570">
        <v>0.09</v>
      </c>
      <c r="AZ45" s="585">
        <f>$AY45</f>
        <v>0.09</v>
      </c>
      <c r="BA45" s="585">
        <f>$AY45</f>
        <v>0.09</v>
      </c>
      <c r="BB45" s="585">
        <f>$AY45</f>
        <v>0.09</v>
      </c>
      <c r="BC45" s="585">
        <f>$AY45</f>
        <v>0.09</v>
      </c>
      <c r="BE45" s="368">
        <f>AE45-(0.0074*('Wright-Zucman'!A77-1981)+0.0805)</f>
        <v>0.12461109959917049</v>
      </c>
    </row>
    <row r="46" spans="1:57">
      <c r="A46" s="342">
        <v>2016</v>
      </c>
      <c r="B46" s="584">
        <f t="shared" si="0"/>
        <v>0.1568529819614532</v>
      </c>
      <c r="C46" s="567">
        <f t="shared" si="23"/>
        <v>0.13259291538159557</v>
      </c>
      <c r="D46" s="567">
        <f t="shared" si="1"/>
        <v>0.1936366123754738</v>
      </c>
      <c r="E46" s="556">
        <v>63417.165129577952</v>
      </c>
      <c r="F46" s="556">
        <v>12279.8850221475</v>
      </c>
      <c r="G46" s="556">
        <v>2237.3325841331371</v>
      </c>
      <c r="H46" s="556">
        <f t="shared" si="3"/>
        <v>10042.552438014363</v>
      </c>
      <c r="I46" s="756">
        <v>722.33729457760091</v>
      </c>
      <c r="J46" s="556">
        <f t="shared" si="24"/>
        <v>1331.5713056288746</v>
      </c>
      <c r="K46" s="532">
        <f t="shared" si="4"/>
        <v>0.18219491307108945</v>
      </c>
      <c r="L46" s="532">
        <v>0.183</v>
      </c>
      <c r="N46" s="755">
        <v>1926.1365838676211</v>
      </c>
      <c r="O46" s="553">
        <f>[1]T.A1!$L60</f>
        <v>0.20028335137874634</v>
      </c>
      <c r="P46" s="553">
        <f>[1]T.A1!$J60/([1]T.A1!$K60+MAX([1]T.A1!$H60,0))</f>
        <v>0.20028335137874634</v>
      </c>
      <c r="Q46" s="552">
        <f>[1]T.A1!$J60/([1]T.A1!$K60+MAX([1]T.A1!$H60,0)+X46)</f>
        <v>0.18380141680158801</v>
      </c>
      <c r="R46" s="552">
        <f t="shared" si="6"/>
        <v>0.183400708400794</v>
      </c>
      <c r="S46" s="754">
        <f t="shared" si="7"/>
        <v>0.30868282302435601</v>
      </c>
      <c r="V46" s="562">
        <f t="shared" si="8"/>
        <v>585.14997857434764</v>
      </c>
      <c r="W46" s="564">
        <f t="shared" si="9"/>
        <v>546.22403825734762</v>
      </c>
      <c r="X46" s="556">
        <f>'Wright-Zucman'!P78</f>
        <v>38.925940317000027</v>
      </c>
      <c r="Y46" s="556">
        <v>420.05200000000002</v>
      </c>
      <c r="Z46" s="559">
        <v>20.972999999999999</v>
      </c>
      <c r="AA46" s="556">
        <v>1292.6453653118747</v>
      </c>
      <c r="AB46" s="567">
        <f t="shared" si="32"/>
        <v>0.30379464440646525</v>
      </c>
      <c r="AC46" s="567">
        <f t="shared" si="12"/>
        <v>0.36043953357070035</v>
      </c>
      <c r="AE46" s="577">
        <f t="shared" si="13"/>
        <v>0.51831153382607476</v>
      </c>
      <c r="AF46" s="568">
        <f t="shared" si="14"/>
        <v>5.727590655963144E-2</v>
      </c>
      <c r="AG46" s="568">
        <f>+'Wright-Zucman'!H78*1.1</f>
        <v>0.57558744038570619</v>
      </c>
      <c r="AH46" s="570">
        <f t="shared" si="15"/>
        <v>0.90049138924704408</v>
      </c>
      <c r="AI46" s="568">
        <f>'[1]Assets(MOFA)'!$AP61/'[1]Assets(MOFA)'!I61</f>
        <v>3.5296556392249769</v>
      </c>
      <c r="AJ46" s="568">
        <f>('[1]Assets(MOFA)'!$AP61+1000*'Wright-Zucman'!P78)/('[1]Assets(MOFA)'!$I61)</f>
        <v>4.1883567191302147</v>
      </c>
      <c r="AK46" s="569">
        <f>'[1]Assets(MOFA)'!$AS61/'[1]Assets(MOFA)'!J61</f>
        <v>0.41677755845845627</v>
      </c>
      <c r="AL46" s="574">
        <f t="shared" si="16"/>
        <v>303.28998291316492</v>
      </c>
      <c r="AM46" s="574"/>
      <c r="AN46" s="577">
        <f>(I46-AL46)/(N46*(1-AB46))</f>
        <v>0.31249179522773118</v>
      </c>
      <c r="AO46" s="568">
        <f>AP46</f>
        <v>0.31249179522773118</v>
      </c>
      <c r="AP46" s="568">
        <f>AN46</f>
        <v>0.31249179522773118</v>
      </c>
      <c r="AQ46" s="568">
        <f t="shared" ref="AQ46:AR46" si="35">AP46</f>
        <v>0.31249179522773118</v>
      </c>
      <c r="AR46" s="568">
        <f t="shared" si="35"/>
        <v>0.31249179522773118</v>
      </c>
      <c r="AS46" s="574"/>
      <c r="AT46" s="581">
        <v>0.36224558978351656</v>
      </c>
      <c r="AU46" s="389"/>
      <c r="AV46" s="389"/>
      <c r="AW46" s="389"/>
      <c r="AX46" s="389"/>
      <c r="AY46" s="570">
        <v>8.8279246563469235E-2</v>
      </c>
      <c r="AZ46" s="570"/>
      <c r="BA46" s="570"/>
      <c r="BB46" s="570"/>
      <c r="BC46" s="570"/>
      <c r="BE46" s="368"/>
    </row>
    <row r="47" spans="1:57">
      <c r="A47" s="342">
        <v>2017</v>
      </c>
      <c r="B47" s="584">
        <f t="shared" si="0"/>
        <v>0.16866952407045691</v>
      </c>
      <c r="C47" s="567">
        <f t="shared" si="23"/>
        <v>0.14944661209810853</v>
      </c>
      <c r="D47" s="567">
        <f t="shared" si="1"/>
        <v>0.1931997925278065</v>
      </c>
      <c r="E47" s="556">
        <v>67615.173266327372</v>
      </c>
      <c r="F47" s="556">
        <v>13063.237446786137</v>
      </c>
      <c r="G47" s="556">
        <v>2393.1255351608634</v>
      </c>
      <c r="H47" s="556">
        <f t="shared" si="3"/>
        <v>10670.111911625274</v>
      </c>
      <c r="I47" s="756">
        <v>837.05793155296919</v>
      </c>
      <c r="J47" s="556">
        <f t="shared" si="24"/>
        <v>1594.6120759000696</v>
      </c>
      <c r="K47" s="532">
        <f t="shared" si="4"/>
        <v>0.18319544025050455</v>
      </c>
      <c r="L47" s="532">
        <v>0.185</v>
      </c>
      <c r="N47" s="755">
        <v>2203.3700429687883</v>
      </c>
      <c r="O47" s="553">
        <f>[1]T.A1!$L61</f>
        <v>0.1959159888128604</v>
      </c>
      <c r="P47" s="553">
        <f>[1]T.A1!$J61/([1]T.A1!$K61+MAX([1]T.A1!$H61,0))</f>
        <v>0.17540425758169895</v>
      </c>
      <c r="Q47" s="552">
        <f>[1]T.A1!$J61/([1]T.A1!$K61+MAX([1]T.A1!$H61,0)+X47)</f>
        <v>0.16593757417330657</v>
      </c>
      <c r="R47" s="552">
        <f t="shared" si="6"/>
        <v>0.17546878708665328</v>
      </c>
      <c r="S47" s="754">
        <f t="shared" si="7"/>
        <v>0.2762849431539367</v>
      </c>
      <c r="V47" s="562">
        <f t="shared" si="8"/>
        <v>677.21730502661819</v>
      </c>
      <c r="W47" s="564">
        <f t="shared" si="9"/>
        <v>642.88230502661816</v>
      </c>
      <c r="X47" s="556">
        <f>'Wright-Zucman'!P79</f>
        <v>34.335000000000001</v>
      </c>
      <c r="Y47" s="556">
        <v>508.77499999999998</v>
      </c>
      <c r="Z47" s="559">
        <v>25.882999999999999</v>
      </c>
      <c r="AA47" s="556">
        <v>1560.2770759000696</v>
      </c>
      <c r="AB47" s="567">
        <f t="shared" si="32"/>
        <v>0.3073552294076512</v>
      </c>
      <c r="AC47" s="567">
        <f t="shared" si="12"/>
        <v>0.35682220685481464</v>
      </c>
      <c r="AE47" s="577">
        <f t="shared" si="13"/>
        <v>0.47565247882238054</v>
      </c>
      <c r="AF47" s="568">
        <f t="shared" si="14"/>
        <v>6.3565691068471708E-2</v>
      </c>
      <c r="AG47" s="568">
        <f>+'Wright-Zucman'!H79*1.1</f>
        <v>0.53921816989085225</v>
      </c>
      <c r="AH47" s="570">
        <f t="shared" si="15"/>
        <v>0.88211507953944024</v>
      </c>
      <c r="AI47" s="568">
        <f>'[1]Assets(MOFA)'!$AP62/'[1]Assets(MOFA)'!I62</f>
        <v>3.9495716230282647</v>
      </c>
      <c r="AJ47" s="568">
        <f>('[1]Assets(MOFA)'!$AP62+1000*'Wright-Zucman'!P79)/('[1]Assets(MOFA)'!$I62)</f>
        <v>4.4994154856273525</v>
      </c>
      <c r="AK47" s="569">
        <f>'[1]Assets(MOFA)'!$AS62/'[1]Assets(MOFA)'!J62</f>
        <v>0.53041323664219131</v>
      </c>
      <c r="AL47" s="574">
        <f t="shared" si="16"/>
        <v>322.12008983732312</v>
      </c>
      <c r="AM47" s="574"/>
      <c r="AN47" s="577">
        <f>(I47-AL47)/(N47*(1-AB47))</f>
        <v>0.33740911306818255</v>
      </c>
      <c r="AO47" s="568">
        <f>AP47</f>
        <v>0.33740911306818255</v>
      </c>
      <c r="AP47" s="568">
        <f>AN47</f>
        <v>0.33740911306818255</v>
      </c>
      <c r="AQ47" s="568">
        <f t="shared" ref="AQ47:AR47" si="36">AP47</f>
        <v>0.33740911306818255</v>
      </c>
      <c r="AR47" s="568">
        <f t="shared" si="36"/>
        <v>0.33740911306818255</v>
      </c>
      <c r="AS47" s="574"/>
      <c r="AT47" s="581">
        <v>0.35975842449750389</v>
      </c>
      <c r="AU47" s="389"/>
      <c r="AV47" s="389"/>
      <c r="AW47" s="389"/>
      <c r="AX47" s="389"/>
      <c r="AY47" s="570">
        <v>8.9892875696098218E-2</v>
      </c>
      <c r="AZ47" s="570"/>
      <c r="BA47" s="570"/>
      <c r="BB47" s="570"/>
      <c r="BC47" s="570"/>
      <c r="BE47" s="368"/>
    </row>
    <row r="48" spans="1:57">
      <c r="A48" s="342">
        <v>2018</v>
      </c>
      <c r="B48" s="567">
        <f t="shared" si="0"/>
        <v>0.1823660964015057</v>
      </c>
      <c r="C48" s="567">
        <f t="shared" si="23"/>
        <v>0.15375411650756851</v>
      </c>
      <c r="D48" s="567">
        <f t="shared" si="1"/>
        <v>0.19367375629765182</v>
      </c>
      <c r="E48" s="556">
        <v>71518.260431643765</v>
      </c>
      <c r="F48" s="556">
        <v>13851.21014167017</v>
      </c>
      <c r="G48" s="556">
        <v>2487.0199731625944</v>
      </c>
      <c r="H48" s="556">
        <f t="shared" si="3"/>
        <v>11364.190168507575</v>
      </c>
      <c r="I48" s="756">
        <v>1010.7734836352899</v>
      </c>
      <c r="J48" s="556">
        <f t="shared" si="24"/>
        <v>1747.2910191828782</v>
      </c>
      <c r="K48" s="532">
        <f t="shared" si="4"/>
        <v>0.17955254073292914</v>
      </c>
      <c r="L48" s="532">
        <v>0.17599999999999999</v>
      </c>
      <c r="N48" s="755">
        <v>2525.9911239733356</v>
      </c>
      <c r="O48" s="553">
        <f>[1]T.A1!$L62</f>
        <v>0.21233547811798295</v>
      </c>
      <c r="P48" s="553">
        <f>[1]T.A1!$J62/([1]T.A1!$K62+MAX([1]T.A1!$H62,0))</f>
        <v>0.19261648757210401</v>
      </c>
      <c r="Q48" s="552">
        <f>[1]T.A1!$J62/([1]T.A1!$K62+MAX([1]T.A1!$H62,0)+X48)</f>
        <v>0.18144166454154137</v>
      </c>
      <c r="R48" s="552">
        <f t="shared" si="6"/>
        <v>0.17872083227077068</v>
      </c>
      <c r="S48" s="754">
        <f t="shared" si="7"/>
        <v>0.30827507563271916</v>
      </c>
      <c r="V48" s="562">
        <f t="shared" si="8"/>
        <v>723.00117322837832</v>
      </c>
      <c r="W48" s="564">
        <f t="shared" si="9"/>
        <v>685.23617322837833</v>
      </c>
      <c r="X48" s="556">
        <f>'Wright-Zucman'!P80</f>
        <v>37.765000000000001</v>
      </c>
      <c r="Y48" s="556">
        <v>530.33000000000004</v>
      </c>
      <c r="Z48" s="559">
        <v>28.385999999999999</v>
      </c>
      <c r="AA48" s="556">
        <v>1709.5260191828781</v>
      </c>
      <c r="AB48" s="567">
        <f t="shared" si="32"/>
        <v>0.28622474812623699</v>
      </c>
      <c r="AC48" s="567">
        <f t="shared" si="12"/>
        <v>0.3413747300543814</v>
      </c>
      <c r="AE48" s="577">
        <f t="shared" si="13"/>
        <v>0.4956207305974113</v>
      </c>
      <c r="AF48" s="568">
        <f t="shared" si="14"/>
        <v>6.222744397556712E-2</v>
      </c>
      <c r="AG48" s="568">
        <f>+'Wright-Zucman'!H80*1.1</f>
        <v>0.55784817457297842</v>
      </c>
      <c r="AH48" s="570">
        <f t="shared" si="15"/>
        <v>0.8884509319705115</v>
      </c>
      <c r="AI48" s="568">
        <f>'[1]Assets(MOFA)'!$AP63/'[1]Assets(MOFA)'!I63</f>
        <v>4.0991365227537919</v>
      </c>
      <c r="AJ48" s="568">
        <f>('[1]Assets(MOFA)'!$AP63+1000*'Wright-Zucman'!P80)/('[1]Assets(MOFA)'!$I63)</f>
        <v>4.6866900038895372</v>
      </c>
      <c r="AK48" s="569">
        <f>'[1]Assets(MOFA)'!$AS63/'[1]Assets(MOFA)'!J63</f>
        <v>0.52279590207699767</v>
      </c>
      <c r="AL48" s="574">
        <f t="shared" si="16"/>
        <v>358.33436969823441</v>
      </c>
      <c r="AM48" s="574"/>
      <c r="AN48" s="577">
        <f>(I48-AL48)/(N48*(1-AB48))</f>
        <v>0.36186508619611635</v>
      </c>
      <c r="AO48" s="568">
        <f>AP48</f>
        <v>0.36186508619611635</v>
      </c>
      <c r="AP48" s="568">
        <f>AN48</f>
        <v>0.36186508619611635</v>
      </c>
      <c r="AQ48" s="568">
        <f t="shared" ref="AQ48:AR48" si="37">AP48</f>
        <v>0.36186508619611635</v>
      </c>
      <c r="AR48" s="568">
        <f t="shared" si="37"/>
        <v>0.36186508619611635</v>
      </c>
      <c r="AS48" s="574"/>
      <c r="AT48" s="581">
        <v>0.35639008352064244</v>
      </c>
      <c r="AU48" s="389"/>
      <c r="AV48" s="389"/>
      <c r="AW48" s="389"/>
      <c r="AX48" s="389"/>
      <c r="AY48" s="570">
        <v>9.9017331291928773E-2</v>
      </c>
      <c r="AZ48" s="570"/>
      <c r="BA48" s="570"/>
      <c r="BB48" s="570"/>
      <c r="BC48" s="570"/>
      <c r="BE48" s="368"/>
    </row>
    <row r="49" spans="1:57">
      <c r="A49" s="342">
        <v>2019</v>
      </c>
      <c r="B49" s="567">
        <f t="shared" si="0"/>
        <v>0.1628312507290792</v>
      </c>
      <c r="C49" s="567">
        <f t="shared" si="23"/>
        <v>0.15583916555804697</v>
      </c>
      <c r="D49" s="567">
        <f t="shared" si="1"/>
        <v>0.19383288723945977</v>
      </c>
      <c r="E49" s="556">
        <v>72371.297173928891</v>
      </c>
      <c r="F49" s="556">
        <f>'Table U1'!G90</f>
        <v>14027.937484487593</v>
      </c>
      <c r="G49" s="556">
        <f>'Table U1'!J90</f>
        <v>2453.9526975661565</v>
      </c>
      <c r="H49" s="556">
        <f t="shared" si="3"/>
        <v>11573.984786921435</v>
      </c>
      <c r="I49" s="556">
        <f>'Table U1'!W90</f>
        <v>857.90031647234809</v>
      </c>
      <c r="J49" s="556">
        <f t="shared" si="24"/>
        <v>1803.6801313753667</v>
      </c>
      <c r="K49" s="532">
        <f t="shared" si="4"/>
        <v>0.17493325018590883</v>
      </c>
      <c r="L49" s="753">
        <f>L48</f>
        <v>0.17599999999999999</v>
      </c>
      <c r="N49" s="562">
        <f>'Table U1'!M90</f>
        <v>2284.1866057484476</v>
      </c>
      <c r="O49" s="553">
        <f>[1]T.A1!$L63</f>
        <v>0.21544611204528949</v>
      </c>
      <c r="P49" s="553">
        <f>[1]T.A1!$J63/([1]T.A1!$K63+MAX([1]T.A1!$H63,0))</f>
        <v>0.19670923993665843</v>
      </c>
      <c r="Q49" s="532">
        <f>[1]T.A1!$J63/([1]T.A1!$K63+MAX([1]T.A1!$H63,0)+X49)</f>
        <v>0.18563934758041392</v>
      </c>
      <c r="R49" s="552">
        <f t="shared" si="6"/>
        <v>0.18081967379020697</v>
      </c>
      <c r="S49" s="552">
        <f t="shared" si="7"/>
        <v>0.2103621802018385</v>
      </c>
      <c r="V49" s="562">
        <f t="shared" si="8"/>
        <v>729.49899780618819</v>
      </c>
      <c r="W49" s="564">
        <f t="shared" si="9"/>
        <v>696.13499780618815</v>
      </c>
      <c r="X49" s="556">
        <f>'Wright-Zucman'!P81</f>
        <v>33.363999999999997</v>
      </c>
      <c r="Y49" s="556">
        <v>540.10699999999997</v>
      </c>
      <c r="Z49" s="559">
        <v>23.766999999999999</v>
      </c>
      <c r="AA49" s="556">
        <v>1770.3161313753667</v>
      </c>
      <c r="AB49" s="567">
        <f t="shared" si="32"/>
        <v>0.31936926517750813</v>
      </c>
      <c r="AC49" s="567">
        <f t="shared" si="12"/>
        <v>0.33112190438367028</v>
      </c>
      <c r="AE49" s="577">
        <f t="shared" si="13"/>
        <v>0.46821727453681589</v>
      </c>
      <c r="AF49" s="568">
        <f t="shared" si="14"/>
        <v>6.6228004959555997E-2</v>
      </c>
      <c r="AG49" s="568">
        <f>+'Wright-Zucman'!H81*1.1</f>
        <v>0.53444527949637188</v>
      </c>
      <c r="AH49" s="570">
        <f t="shared" si="15"/>
        <v>0.87608084962044164</v>
      </c>
      <c r="AI49" s="568">
        <f>'[1]Assets(MOFA)'!$AP64/'[1]Assets(MOFA)'!I64</f>
        <v>3.4611040371507751</v>
      </c>
      <c r="AJ49" s="568">
        <f>('[1]Assets(MOFA)'!$AP64+1000*'Wright-Zucman'!P81)/('[1]Assets(MOFA)'!$I64)</f>
        <v>3.9609018051082314</v>
      </c>
      <c r="AK49" s="569">
        <f>'[1]Assets(MOFA)'!$AS64/'[1]Assets(MOFA)'!J64</f>
        <v>0.49083158642587121</v>
      </c>
      <c r="AL49" s="574">
        <f t="shared" si="16"/>
        <v>341.56403253015208</v>
      </c>
      <c r="AM49" s="574"/>
      <c r="AN49" s="577">
        <f>(I49-AL49)/(N49*(1-AB49))</f>
        <v>0.33211577766777478</v>
      </c>
      <c r="AO49" s="568">
        <f>AP49</f>
        <v>0.33211577766777478</v>
      </c>
      <c r="AP49" s="568">
        <f>AN49</f>
        <v>0.33211577766777478</v>
      </c>
      <c r="AQ49" s="568">
        <f t="shared" ref="AQ49:AR49" si="38">AP49</f>
        <v>0.33211577766777478</v>
      </c>
      <c r="AR49" s="568">
        <f t="shared" si="38"/>
        <v>0.33211577766777478</v>
      </c>
      <c r="AS49" s="574"/>
      <c r="AT49" s="581">
        <v>0.37420932775225652</v>
      </c>
      <c r="AU49" s="389"/>
      <c r="AV49" s="389"/>
      <c r="AW49" s="389"/>
      <c r="AX49" s="389"/>
      <c r="AY49" s="570">
        <v>0.10003235676728385</v>
      </c>
      <c r="AZ49" s="570"/>
      <c r="BA49" s="570"/>
      <c r="BB49" s="570"/>
      <c r="BC49" s="570"/>
      <c r="BE49" s="368"/>
    </row>
    <row r="50" spans="1:57">
      <c r="A50" s="342">
        <v>2020</v>
      </c>
      <c r="B50" s="532"/>
      <c r="C50" s="532"/>
      <c r="D50" s="532"/>
      <c r="E50" s="532"/>
      <c r="F50" s="532"/>
      <c r="G50" s="532"/>
      <c r="H50" s="532"/>
      <c r="I50" s="532"/>
      <c r="J50" s="556">
        <f t="shared" si="24"/>
        <v>1411.1262049899492</v>
      </c>
      <c r="N50" s="566"/>
      <c r="O50" s="553">
        <f>[1]T.A1!$L64</f>
        <v>0.193379087605975</v>
      </c>
      <c r="P50" s="553">
        <f>[1]T.A1!$J64/([1]T.A1!$K64+MAX([1]T.A1!$H64,0))</f>
        <v>0.193379087605975</v>
      </c>
      <c r="Q50" s="552">
        <f>[1]T.A1!$J64/([1]T.A1!$K64+MAX([1]T.A1!$H64,0)+X50)</f>
        <v>0.18030906521666298</v>
      </c>
      <c r="R50" s="552"/>
      <c r="S50" s="552"/>
      <c r="V50" s="562">
        <f t="shared" si="8"/>
        <v>621.91878778778778</v>
      </c>
      <c r="W50" s="564">
        <f t="shared" si="9"/>
        <v>587.6247877877878</v>
      </c>
      <c r="X50" s="556">
        <f>'Wright-Zucman'!P82</f>
        <v>34.293999999999997</v>
      </c>
      <c r="Y50" s="556">
        <v>446.06200000000001</v>
      </c>
      <c r="Z50" s="559">
        <v>34.624000000000002</v>
      </c>
      <c r="AA50" s="556">
        <v>1376.8322049899491</v>
      </c>
      <c r="AB50" s="567"/>
      <c r="AC50" s="567">
        <f t="shared" si="12"/>
        <v>0.3649425531032981</v>
      </c>
      <c r="AE50" s="577">
        <f t="shared" si="13"/>
        <v>0.50887200386050091</v>
      </c>
      <c r="AF50" s="568">
        <f t="shared" si="14"/>
        <v>6.2627401009911154E-2</v>
      </c>
      <c r="AG50" s="568">
        <f>+'Wright-Zucman'!H82*1.1</f>
        <v>0.57149940487041206</v>
      </c>
      <c r="AH50" s="570">
        <f t="shared" si="15"/>
        <v>0.8904156321490625</v>
      </c>
      <c r="AI50" s="568">
        <f>'[1]Assets(MOFA)'!$AP65/'[1]Assets(MOFA)'!I65</f>
        <v>3.1259319384319384</v>
      </c>
      <c r="AJ50" s="568">
        <f>('[1]Assets(MOFA)'!$AP65+1000*'Wright-Zucman'!P82)/('[1]Assets(MOFA)'!$I65)</f>
        <v>3.6414141414141414</v>
      </c>
      <c r="AK50" s="569">
        <f>'[1]Assets(MOFA)'!$AS65/'[1]Assets(MOFA)'!J65</f>
        <v>0.39904206677033294</v>
      </c>
      <c r="AL50" s="574">
        <f t="shared" si="16"/>
        <v>316.47705978006519</v>
      </c>
      <c r="AM50" s="574"/>
      <c r="AO50" s="574"/>
      <c r="AP50" s="574"/>
      <c r="AQ50" s="574"/>
      <c r="AR50" s="574"/>
      <c r="AS50" s="574"/>
      <c r="AT50" s="574"/>
      <c r="AU50" s="574"/>
      <c r="AV50" s="574"/>
      <c r="AW50" s="574"/>
      <c r="AX50" s="574"/>
      <c r="AY50" s="574"/>
      <c r="BE50" s="368"/>
    </row>
    <row r="51" spans="1:57">
      <c r="A51" s="342">
        <v>2021</v>
      </c>
      <c r="N51" s="536"/>
      <c r="O51" s="536"/>
      <c r="V51" s="536"/>
      <c r="X51" s="556">
        <f>X50</f>
        <v>34.293999999999997</v>
      </c>
      <c r="Y51" s="556">
        <v>567.52200000000005</v>
      </c>
      <c r="Z51" s="559">
        <v>35.279000000000003</v>
      </c>
      <c r="AA51" s="556">
        <v>2108.3634198793443</v>
      </c>
      <c r="AB51" s="563"/>
      <c r="AC51" s="567"/>
      <c r="AF51" s="368"/>
      <c r="AG51" s="368"/>
      <c r="AH51" s="368"/>
      <c r="AI51" s="368"/>
      <c r="AJ51" s="368"/>
      <c r="AK51" s="368"/>
      <c r="AL51" s="368"/>
      <c r="AM51" s="368"/>
      <c r="AN51" s="368"/>
      <c r="AO51" s="368"/>
      <c r="AP51" s="368"/>
      <c r="AQ51" s="368"/>
      <c r="AR51" s="368"/>
      <c r="AS51" s="368"/>
      <c r="AT51" s="368"/>
      <c r="AU51" s="368"/>
      <c r="AV51" s="368"/>
      <c r="AW51" s="368"/>
      <c r="AX51" s="368"/>
      <c r="AY51" s="368"/>
      <c r="BE51" s="368"/>
    </row>
    <row r="52" spans="1:57">
      <c r="A52" s="342">
        <v>2022</v>
      </c>
      <c r="V52" s="536"/>
      <c r="Y52" s="556">
        <v>587.42399999999998</v>
      </c>
      <c r="Z52" s="559">
        <v>36.356000000000002</v>
      </c>
      <c r="AF52" s="416"/>
      <c r="AG52" s="416"/>
      <c r="AH52" s="416"/>
      <c r="AI52" s="416"/>
      <c r="AJ52" s="416"/>
      <c r="AK52" s="416"/>
      <c r="AL52" s="416"/>
      <c r="AM52" s="416"/>
      <c r="AN52" s="416"/>
      <c r="AO52" s="416"/>
      <c r="AP52" s="416"/>
      <c r="AQ52" s="416"/>
      <c r="AR52" s="416"/>
      <c r="AS52" s="416"/>
      <c r="AT52" s="416"/>
      <c r="AU52" s="416"/>
      <c r="AV52" s="416"/>
      <c r="AW52" s="416"/>
      <c r="AX52" s="416"/>
      <c r="AY52" s="416"/>
      <c r="BE52" s="416">
        <f>+_xlfn.STDEV.S(BE12:BE45)</f>
        <v>3.4335642648567179E-2</v>
      </c>
    </row>
    <row r="53" spans="1:57">
      <c r="Z53" s="559"/>
    </row>
  </sheetData>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932AF-03DA-A949-9AF8-90C8301F7A91}">
  <dimension ref="A1:AW232"/>
  <sheetViews>
    <sheetView showGridLines="0" showRowColHeaders="0" zoomScale="243" zoomScaleNormal="243" workbookViewId="0">
      <pane xSplit="1" ySplit="5" topLeftCell="AR201" activePane="bottomRight" state="frozen"/>
      <selection pane="topRight"/>
      <selection pane="bottomLeft"/>
      <selection pane="bottomRight" activeCell="AT206" sqref="AT206"/>
    </sheetView>
  </sheetViews>
  <sheetFormatPr defaultColWidth="10.1796875" defaultRowHeight="14.5" customHeight="1"/>
  <cols>
    <col min="1" max="1" width="34" style="537" customWidth="1"/>
    <col min="2" max="2" width="10.36328125" style="537" customWidth="1"/>
    <col min="3" max="4" width="9.6328125" style="537" customWidth="1"/>
    <col min="5" max="5" width="11.1796875" style="537" customWidth="1"/>
    <col min="6" max="6" width="9.6328125" style="537" customWidth="1"/>
    <col min="7" max="9" width="10.36328125" style="537" customWidth="1"/>
    <col min="10" max="10" width="9.6328125" style="537" customWidth="1"/>
    <col min="11" max="11" width="10.36328125" style="537" customWidth="1"/>
    <col min="12" max="19" width="9.6328125" style="537" customWidth="1"/>
    <col min="20" max="21" width="10.36328125" style="537" customWidth="1"/>
    <col min="22" max="22" width="9.453125" style="537" customWidth="1"/>
    <col min="23" max="25" width="10.36328125" style="537" customWidth="1"/>
    <col min="26" max="28" width="11.453125" style="537" customWidth="1"/>
    <col min="29" max="29" width="10.36328125" style="537" customWidth="1"/>
    <col min="30" max="33" width="11.453125" style="537" customWidth="1"/>
    <col min="34" max="16384" width="10.1796875" style="537"/>
  </cols>
  <sheetData>
    <row r="1" spans="1:49" ht="19.5" customHeight="1">
      <c r="A1" s="771" t="s">
        <v>601</v>
      </c>
      <c r="B1" s="771"/>
      <c r="C1" s="771"/>
      <c r="D1" s="771"/>
      <c r="E1" s="771"/>
      <c r="F1" s="771"/>
      <c r="G1" s="771"/>
      <c r="H1" s="771"/>
      <c r="I1" s="771"/>
      <c r="J1" s="771"/>
      <c r="K1" s="771"/>
      <c r="L1" s="771"/>
      <c r="M1" s="771"/>
      <c r="N1" s="539"/>
      <c r="O1" s="539"/>
      <c r="P1" s="539"/>
      <c r="Q1" s="539"/>
      <c r="R1" s="539"/>
      <c r="S1" s="539"/>
      <c r="T1" s="539"/>
      <c r="U1" s="539"/>
      <c r="V1" s="539"/>
      <c r="W1" s="539"/>
      <c r="X1" s="539"/>
      <c r="Y1" s="539"/>
      <c r="Z1" s="539"/>
      <c r="AA1" s="539"/>
      <c r="AB1" s="539"/>
      <c r="AC1" s="539"/>
      <c r="AD1" s="539"/>
      <c r="AE1" s="539"/>
      <c r="AF1" s="539"/>
      <c r="AG1" s="539"/>
    </row>
    <row r="2" spans="1:49" ht="16.5" customHeight="1">
      <c r="A2" s="551" t="s">
        <v>600</v>
      </c>
      <c r="B2" s="539"/>
      <c r="C2" s="539"/>
      <c r="D2" s="539"/>
      <c r="E2" s="539"/>
      <c r="F2" s="539"/>
      <c r="G2" s="539"/>
      <c r="H2" s="539"/>
      <c r="I2" s="539"/>
      <c r="J2" s="539"/>
      <c r="K2" s="539"/>
      <c r="L2" s="539"/>
      <c r="M2" s="539"/>
      <c r="N2" s="539"/>
      <c r="O2" s="539"/>
      <c r="P2" s="539"/>
      <c r="Q2" s="539"/>
      <c r="R2" s="539"/>
      <c r="S2" s="539"/>
      <c r="T2" s="539"/>
      <c r="U2" s="539"/>
      <c r="V2" s="539"/>
      <c r="W2" s="539"/>
      <c r="X2" s="539"/>
      <c r="Y2" s="539"/>
      <c r="Z2" s="539"/>
      <c r="AA2" s="539"/>
      <c r="AB2" s="539"/>
      <c r="AC2" s="539"/>
      <c r="AD2" s="539"/>
      <c r="AE2" s="539"/>
      <c r="AF2" s="539"/>
      <c r="AG2" s="539"/>
    </row>
    <row r="3" spans="1:49" ht="11.25" customHeight="1">
      <c r="A3" s="551"/>
      <c r="B3" s="539"/>
      <c r="C3" s="539"/>
      <c r="D3" s="539"/>
      <c r="E3" s="539"/>
      <c r="F3" s="539"/>
      <c r="G3" s="539"/>
      <c r="H3" s="539"/>
      <c r="I3" s="539"/>
      <c r="J3" s="539"/>
      <c r="K3" s="539"/>
      <c r="L3" s="539"/>
      <c r="M3" s="539"/>
      <c r="N3" s="539"/>
      <c r="O3" s="539"/>
      <c r="P3" s="539"/>
      <c r="Q3" s="539"/>
      <c r="R3" s="539"/>
      <c r="S3" s="539"/>
      <c r="T3" s="539"/>
      <c r="U3" s="539"/>
      <c r="V3" s="539"/>
      <c r="W3" s="539"/>
      <c r="X3" s="539"/>
      <c r="Y3" s="539"/>
      <c r="Z3" s="539"/>
      <c r="AA3" s="539"/>
      <c r="AB3" s="539"/>
      <c r="AC3" s="539"/>
      <c r="AD3" s="539"/>
      <c r="AE3" s="539"/>
      <c r="AF3" s="539"/>
      <c r="AG3" s="539"/>
    </row>
    <row r="4" spans="1:49" ht="17.25" customHeight="1">
      <c r="A4" s="774" t="s">
        <v>599</v>
      </c>
      <c r="B4" s="774"/>
      <c r="C4" s="550"/>
      <c r="D4" s="549"/>
      <c r="E4" s="549"/>
      <c r="F4" s="549"/>
      <c r="G4" s="549"/>
      <c r="H4" s="549"/>
      <c r="I4" s="549"/>
      <c r="J4" s="549"/>
      <c r="K4" s="549"/>
      <c r="L4" s="549"/>
      <c r="M4" s="549"/>
      <c r="N4" s="549"/>
      <c r="O4" s="549"/>
      <c r="P4" s="549"/>
      <c r="Q4" s="549"/>
      <c r="R4" s="549"/>
      <c r="S4" s="549"/>
      <c r="T4" s="549"/>
      <c r="U4" s="549"/>
      <c r="V4" s="549"/>
      <c r="W4" s="549"/>
      <c r="X4" s="549"/>
      <c r="Y4" s="549"/>
      <c r="Z4" s="549"/>
      <c r="AA4" s="549"/>
      <c r="AB4" s="549"/>
      <c r="AC4" s="549"/>
      <c r="AD4" s="549"/>
      <c r="AE4" s="549"/>
      <c r="AF4" s="549"/>
      <c r="AG4" s="549"/>
    </row>
    <row r="5" spans="1:49" ht="14.25" customHeight="1">
      <c r="A5" s="548"/>
      <c r="B5" s="738" t="s">
        <v>916</v>
      </c>
      <c r="C5" s="739" t="s">
        <v>917</v>
      </c>
      <c r="D5" s="739" t="s">
        <v>918</v>
      </c>
      <c r="E5" s="739" t="s">
        <v>919</v>
      </c>
      <c r="F5" s="739" t="s">
        <v>920</v>
      </c>
      <c r="G5" s="739" t="s">
        <v>921</v>
      </c>
      <c r="H5" s="739" t="s">
        <v>922</v>
      </c>
      <c r="I5" s="739" t="s">
        <v>923</v>
      </c>
      <c r="J5" s="739" t="s">
        <v>924</v>
      </c>
      <c r="K5" s="739" t="s">
        <v>925</v>
      </c>
      <c r="L5" s="739" t="s">
        <v>926</v>
      </c>
      <c r="M5" s="739" t="s">
        <v>927</v>
      </c>
      <c r="N5" s="739" t="s">
        <v>928</v>
      </c>
      <c r="O5" s="739" t="s">
        <v>929</v>
      </c>
      <c r="P5" s="739" t="s">
        <v>930</v>
      </c>
      <c r="Q5" s="739" t="s">
        <v>931</v>
      </c>
      <c r="R5" s="739" t="s">
        <v>932</v>
      </c>
      <c r="S5" s="739" t="s">
        <v>933</v>
      </c>
      <c r="T5" s="739" t="s">
        <v>934</v>
      </c>
      <c r="U5" s="739" t="s">
        <v>935</v>
      </c>
      <c r="V5" s="739" t="s">
        <v>936</v>
      </c>
      <c r="W5" s="739" t="s">
        <v>937</v>
      </c>
      <c r="X5" s="739" t="s">
        <v>938</v>
      </c>
      <c r="Y5" s="739" t="s">
        <v>939</v>
      </c>
      <c r="Z5" s="739" t="s">
        <v>940</v>
      </c>
      <c r="AA5" s="739" t="s">
        <v>941</v>
      </c>
      <c r="AB5" s="739" t="s">
        <v>942</v>
      </c>
      <c r="AC5" s="739" t="s">
        <v>943</v>
      </c>
      <c r="AD5" s="739" t="s">
        <v>944</v>
      </c>
      <c r="AE5" s="739" t="s">
        <v>945</v>
      </c>
      <c r="AF5" s="547" t="s">
        <v>598</v>
      </c>
      <c r="AG5" s="546" t="s">
        <v>597</v>
      </c>
      <c r="AH5" s="546" t="s">
        <v>596</v>
      </c>
      <c r="AI5" s="546" t="s">
        <v>595</v>
      </c>
      <c r="AJ5" s="546" t="s">
        <v>594</v>
      </c>
      <c r="AK5" s="546" t="s">
        <v>593</v>
      </c>
      <c r="AL5" s="546" t="s">
        <v>592</v>
      </c>
      <c r="AM5" s="546" t="s">
        <v>591</v>
      </c>
      <c r="AN5" s="546" t="s">
        <v>590</v>
      </c>
      <c r="AO5" s="546" t="s">
        <v>589</v>
      </c>
      <c r="AP5" s="546" t="s">
        <v>588</v>
      </c>
      <c r="AQ5" s="546" t="s">
        <v>587</v>
      </c>
      <c r="AR5" s="546" t="s">
        <v>586</v>
      </c>
      <c r="AS5" s="546" t="s">
        <v>585</v>
      </c>
      <c r="AT5" s="546" t="s">
        <v>584</v>
      </c>
      <c r="AU5" s="546" t="s">
        <v>583</v>
      </c>
      <c r="AV5" s="546" t="s">
        <v>582</v>
      </c>
      <c r="AW5" s="545" t="s">
        <v>581</v>
      </c>
    </row>
    <row r="6" spans="1:49" ht="14.25" customHeight="1">
      <c r="A6" s="544" t="s">
        <v>580</v>
      </c>
      <c r="B6" s="740" t="s">
        <v>509</v>
      </c>
      <c r="C6" s="740" t="s">
        <v>509</v>
      </c>
      <c r="D6" s="740" t="s">
        <v>509</v>
      </c>
      <c r="E6" s="740" t="s">
        <v>509</v>
      </c>
      <c r="F6" s="740">
        <v>0</v>
      </c>
      <c r="G6" s="740">
        <v>0</v>
      </c>
      <c r="H6" s="740">
        <v>0</v>
      </c>
      <c r="I6" s="740">
        <v>0</v>
      </c>
      <c r="J6" s="740">
        <v>0</v>
      </c>
      <c r="K6" s="740">
        <v>0</v>
      </c>
      <c r="L6" s="740">
        <v>0</v>
      </c>
      <c r="M6" s="740">
        <v>0</v>
      </c>
      <c r="N6" s="740">
        <v>0</v>
      </c>
      <c r="O6" s="740">
        <v>0</v>
      </c>
      <c r="P6" s="740">
        <v>0</v>
      </c>
      <c r="Q6" s="740" t="s">
        <v>509</v>
      </c>
      <c r="R6" s="740" t="s">
        <v>509</v>
      </c>
      <c r="S6" s="740" t="s">
        <v>509</v>
      </c>
      <c r="T6" s="740" t="s">
        <v>509</v>
      </c>
      <c r="U6" s="740" t="s">
        <v>509</v>
      </c>
      <c r="V6" s="740" t="s">
        <v>509</v>
      </c>
      <c r="W6" s="740" t="s">
        <v>509</v>
      </c>
      <c r="X6" s="740" t="s">
        <v>509</v>
      </c>
      <c r="Y6" s="740" t="s">
        <v>509</v>
      </c>
      <c r="Z6" s="740" t="s">
        <v>509</v>
      </c>
      <c r="AA6" s="740" t="s">
        <v>509</v>
      </c>
      <c r="AB6" s="740" t="s">
        <v>509</v>
      </c>
      <c r="AC6" s="740" t="s">
        <v>509</v>
      </c>
      <c r="AD6" s="740" t="s">
        <v>509</v>
      </c>
      <c r="AE6" s="740" t="s">
        <v>509</v>
      </c>
      <c r="AF6" s="540" t="s">
        <v>509</v>
      </c>
      <c r="AG6" s="540" t="s">
        <v>509</v>
      </c>
      <c r="AH6" s="540" t="s">
        <v>509</v>
      </c>
      <c r="AI6" s="540">
        <v>0</v>
      </c>
      <c r="AJ6" s="540">
        <v>0</v>
      </c>
      <c r="AK6" s="540">
        <v>0</v>
      </c>
      <c r="AL6" s="540">
        <v>0</v>
      </c>
      <c r="AM6" s="540">
        <v>0</v>
      </c>
      <c r="AN6" s="540">
        <v>0</v>
      </c>
      <c r="AO6" s="540">
        <v>0</v>
      </c>
      <c r="AP6" s="540">
        <v>0</v>
      </c>
      <c r="AQ6" s="540">
        <v>0</v>
      </c>
      <c r="AR6" s="540">
        <v>0</v>
      </c>
      <c r="AS6" s="540">
        <v>0.95738938480644697</v>
      </c>
      <c r="AT6" s="540">
        <v>3.0420280807987199</v>
      </c>
      <c r="AU6" s="540">
        <v>5.1821839546085302E-3</v>
      </c>
      <c r="AV6" s="540" t="s">
        <v>509</v>
      </c>
      <c r="AW6" s="540" t="s">
        <v>509</v>
      </c>
    </row>
    <row r="7" spans="1:49" ht="14.25" customHeight="1">
      <c r="A7" s="543" t="s">
        <v>209</v>
      </c>
      <c r="B7" s="741" t="s">
        <v>509</v>
      </c>
      <c r="C7" s="741" t="s">
        <v>509</v>
      </c>
      <c r="D7" s="741" t="s">
        <v>509</v>
      </c>
      <c r="E7" s="741" t="s">
        <v>509</v>
      </c>
      <c r="F7" s="741" t="s">
        <v>509</v>
      </c>
      <c r="G7" s="741">
        <v>0</v>
      </c>
      <c r="H7" s="741">
        <v>0</v>
      </c>
      <c r="I7" s="741">
        <v>0</v>
      </c>
      <c r="J7" s="741">
        <v>0</v>
      </c>
      <c r="K7" s="741">
        <v>0</v>
      </c>
      <c r="L7" s="741">
        <v>0</v>
      </c>
      <c r="M7" s="741">
        <v>0</v>
      </c>
      <c r="N7" s="741">
        <v>0</v>
      </c>
      <c r="O7" s="741">
        <v>0</v>
      </c>
      <c r="P7" s="741">
        <v>0</v>
      </c>
      <c r="Q7" s="741">
        <v>0</v>
      </c>
      <c r="R7" s="741">
        <v>0</v>
      </c>
      <c r="S7" s="741">
        <v>0</v>
      </c>
      <c r="T7" s="741">
        <v>0</v>
      </c>
      <c r="U7" s="741">
        <v>0</v>
      </c>
      <c r="V7" s="741">
        <v>0.2</v>
      </c>
      <c r="W7" s="741">
        <v>0</v>
      </c>
      <c r="X7" s="741">
        <v>0</v>
      </c>
      <c r="Y7" s="741">
        <v>0</v>
      </c>
      <c r="Z7" s="741">
        <v>0</v>
      </c>
      <c r="AA7" s="741">
        <v>0</v>
      </c>
      <c r="AB7" s="741">
        <v>0</v>
      </c>
      <c r="AC7" s="741">
        <v>0</v>
      </c>
      <c r="AD7" s="741">
        <v>0</v>
      </c>
      <c r="AE7" s="741">
        <v>0</v>
      </c>
      <c r="AF7" s="542">
        <v>0.43868726711879796</v>
      </c>
      <c r="AG7" s="542">
        <v>13.29</v>
      </c>
      <c r="AH7" s="542">
        <v>18.75</v>
      </c>
      <c r="AI7" s="542">
        <v>34.9</v>
      </c>
      <c r="AJ7" s="542">
        <v>36.739744140212579</v>
      </c>
      <c r="AK7" s="542">
        <v>15.090973860028926</v>
      </c>
      <c r="AL7" s="542">
        <v>14.683662038487492</v>
      </c>
      <c r="AM7" s="542">
        <v>2.9579357514888329</v>
      </c>
      <c r="AN7" s="542">
        <v>7.660623563737925</v>
      </c>
      <c r="AO7" s="542">
        <v>6.3243872836821629</v>
      </c>
      <c r="AP7" s="542">
        <v>17.651471558702806</v>
      </c>
      <c r="AQ7" s="542">
        <v>36.725569068452266</v>
      </c>
      <c r="AR7" s="542">
        <v>33.583718702552183</v>
      </c>
      <c r="AS7" s="542">
        <v>6.9669463767399451</v>
      </c>
      <c r="AT7" s="542">
        <v>16.772167824675172</v>
      </c>
      <c r="AU7" s="542">
        <v>18.999143754593842</v>
      </c>
      <c r="AV7" s="542">
        <v>11.086596481241036</v>
      </c>
      <c r="AW7" s="542">
        <v>52.211772044778208</v>
      </c>
    </row>
    <row r="8" spans="1:49" ht="14.25" customHeight="1">
      <c r="A8" s="543" t="s">
        <v>210</v>
      </c>
      <c r="B8" s="740" t="s">
        <v>509</v>
      </c>
      <c r="C8" s="740" t="s">
        <v>509</v>
      </c>
      <c r="D8" s="740">
        <v>0</v>
      </c>
      <c r="E8" s="740">
        <v>0</v>
      </c>
      <c r="F8" s="740">
        <v>0</v>
      </c>
      <c r="G8" s="740">
        <v>1.8241280021431232</v>
      </c>
      <c r="H8" s="740">
        <v>1.3902378275348748</v>
      </c>
      <c r="I8" s="740">
        <v>2.1776094571061972</v>
      </c>
      <c r="J8" s="740">
        <v>2.5058469768012541</v>
      </c>
      <c r="K8" s="740">
        <v>3.0100082777744359</v>
      </c>
      <c r="L8" s="740">
        <v>2.7845180794781017</v>
      </c>
      <c r="M8" s="740">
        <v>1.9139502160282684</v>
      </c>
      <c r="N8" s="740">
        <v>1.6495723999044611</v>
      </c>
      <c r="O8" s="740">
        <v>3.0432307839700621</v>
      </c>
      <c r="P8" s="740">
        <v>5.1258067943226235</v>
      </c>
      <c r="Q8" s="740">
        <v>4.5771657110747892</v>
      </c>
      <c r="R8" s="740">
        <v>14.50775799652193</v>
      </c>
      <c r="S8" s="740" t="s">
        <v>509</v>
      </c>
      <c r="T8" s="740" t="s">
        <v>509</v>
      </c>
      <c r="U8" s="740" t="s">
        <v>509</v>
      </c>
      <c r="V8" s="740" t="s">
        <v>509</v>
      </c>
      <c r="W8" s="740" t="s">
        <v>509</v>
      </c>
      <c r="X8" s="740" t="s">
        <v>509</v>
      </c>
      <c r="Y8" s="740" t="s">
        <v>509</v>
      </c>
      <c r="Z8" s="740" t="s">
        <v>509</v>
      </c>
      <c r="AA8" s="740" t="s">
        <v>509</v>
      </c>
      <c r="AB8" s="740" t="s">
        <v>509</v>
      </c>
      <c r="AC8" s="740" t="s">
        <v>509</v>
      </c>
      <c r="AD8" s="740" t="s">
        <v>509</v>
      </c>
      <c r="AE8" s="740" t="s">
        <v>509</v>
      </c>
      <c r="AF8" s="540">
        <v>8.9999999999995932</v>
      </c>
      <c r="AG8" s="540">
        <v>26.00000000000118</v>
      </c>
      <c r="AH8" s="540">
        <v>40.105341529522427</v>
      </c>
      <c r="AI8" s="540">
        <v>606.83837247916767</v>
      </c>
      <c r="AJ8" s="540">
        <v>111.08968541780558</v>
      </c>
      <c r="AK8" s="540">
        <v>350.7</v>
      </c>
      <c r="AL8" s="540">
        <v>334.97152348585212</v>
      </c>
      <c r="AM8" s="540">
        <v>204.02132558696408</v>
      </c>
      <c r="AN8" s="540">
        <v>163.17768406569871</v>
      </c>
      <c r="AO8" s="540">
        <v>442.37010232205694</v>
      </c>
      <c r="AP8" s="540">
        <v>72.68021359342184</v>
      </c>
      <c r="AQ8" s="540">
        <v>384.74530637248182</v>
      </c>
      <c r="AR8" s="540">
        <v>712.24416028344717</v>
      </c>
      <c r="AS8" s="540">
        <v>36.769280536452143</v>
      </c>
      <c r="AT8" s="540">
        <v>121.30659148980871</v>
      </c>
      <c r="AU8" s="540">
        <v>136.5809623297753</v>
      </c>
      <c r="AV8" s="540">
        <v>138.48684708836348</v>
      </c>
      <c r="AW8" s="540">
        <v>133.40824743187827</v>
      </c>
    </row>
    <row r="9" spans="1:49" ht="14.25" customHeight="1">
      <c r="A9" s="543" t="s">
        <v>579</v>
      </c>
      <c r="B9" s="741" t="s">
        <v>509</v>
      </c>
      <c r="C9" s="741" t="s">
        <v>509</v>
      </c>
      <c r="D9" s="741" t="s">
        <v>509</v>
      </c>
      <c r="E9" s="741" t="s">
        <v>509</v>
      </c>
      <c r="F9" s="741" t="s">
        <v>509</v>
      </c>
      <c r="G9" s="741" t="s">
        <v>509</v>
      </c>
      <c r="H9" s="741" t="s">
        <v>509</v>
      </c>
      <c r="I9" s="741" t="s">
        <v>509</v>
      </c>
      <c r="J9" s="741" t="s">
        <v>509</v>
      </c>
      <c r="K9" s="741" t="s">
        <v>509</v>
      </c>
      <c r="L9" s="741" t="s">
        <v>509</v>
      </c>
      <c r="M9" s="741" t="s">
        <v>509</v>
      </c>
      <c r="N9" s="741" t="s">
        <v>509</v>
      </c>
      <c r="O9" s="741" t="s">
        <v>509</v>
      </c>
      <c r="P9" s="741" t="s">
        <v>509</v>
      </c>
      <c r="Q9" s="741" t="s">
        <v>509</v>
      </c>
      <c r="R9" s="741" t="s">
        <v>509</v>
      </c>
      <c r="S9" s="741" t="s">
        <v>509</v>
      </c>
      <c r="T9" s="741" t="s">
        <v>509</v>
      </c>
      <c r="U9" s="741" t="s">
        <v>509</v>
      </c>
      <c r="V9" s="741" t="s">
        <v>509</v>
      </c>
      <c r="W9" s="741" t="s">
        <v>509</v>
      </c>
      <c r="X9" s="741" t="s">
        <v>509</v>
      </c>
      <c r="Y9" s="741" t="s">
        <v>509</v>
      </c>
      <c r="Z9" s="741" t="s">
        <v>509</v>
      </c>
      <c r="AA9" s="741" t="s">
        <v>509</v>
      </c>
      <c r="AB9" s="741" t="s">
        <v>509</v>
      </c>
      <c r="AC9" s="741" t="s">
        <v>509</v>
      </c>
      <c r="AD9" s="741" t="s">
        <v>509</v>
      </c>
      <c r="AE9" s="741" t="s">
        <v>509</v>
      </c>
      <c r="AF9" s="542" t="s">
        <v>509</v>
      </c>
      <c r="AG9" s="542" t="s">
        <v>509</v>
      </c>
      <c r="AH9" s="542" t="s">
        <v>509</v>
      </c>
      <c r="AI9" s="542" t="s">
        <v>509</v>
      </c>
      <c r="AJ9" s="542" t="s">
        <v>509</v>
      </c>
      <c r="AK9" s="542" t="s">
        <v>509</v>
      </c>
      <c r="AL9" s="542" t="s">
        <v>509</v>
      </c>
      <c r="AM9" s="542" t="s">
        <v>509</v>
      </c>
      <c r="AN9" s="542" t="s">
        <v>509</v>
      </c>
      <c r="AO9" s="542" t="s">
        <v>509</v>
      </c>
      <c r="AP9" s="542" t="s">
        <v>509</v>
      </c>
      <c r="AQ9" s="542" t="s">
        <v>509</v>
      </c>
      <c r="AR9" s="542" t="s">
        <v>509</v>
      </c>
      <c r="AS9" s="542" t="s">
        <v>509</v>
      </c>
      <c r="AT9" s="542">
        <v>65.3</v>
      </c>
      <c r="AU9" s="542">
        <v>49.950310611521559</v>
      </c>
      <c r="AV9" s="542">
        <v>49.638106465960206</v>
      </c>
      <c r="AW9" s="542" t="s">
        <v>509</v>
      </c>
    </row>
    <row r="10" spans="1:49" ht="14.25" customHeight="1">
      <c r="A10" s="543" t="s">
        <v>211</v>
      </c>
      <c r="B10" s="740" t="s">
        <v>509</v>
      </c>
      <c r="C10" s="740" t="s">
        <v>509</v>
      </c>
      <c r="D10" s="740" t="s">
        <v>509</v>
      </c>
      <c r="E10" s="740" t="s">
        <v>509</v>
      </c>
      <c r="F10" s="740" t="s">
        <v>509</v>
      </c>
      <c r="G10" s="740" t="s">
        <v>509</v>
      </c>
      <c r="H10" s="740" t="s">
        <v>509</v>
      </c>
      <c r="I10" s="740" t="s">
        <v>509</v>
      </c>
      <c r="J10" s="740" t="s">
        <v>509</v>
      </c>
      <c r="K10" s="740" t="s">
        <v>509</v>
      </c>
      <c r="L10" s="740">
        <v>0</v>
      </c>
      <c r="M10" s="740">
        <v>0</v>
      </c>
      <c r="N10" s="740">
        <v>0</v>
      </c>
      <c r="O10" s="740">
        <v>0</v>
      </c>
      <c r="P10" s="740">
        <v>0</v>
      </c>
      <c r="Q10" s="740">
        <v>0</v>
      </c>
      <c r="R10" s="740">
        <v>0</v>
      </c>
      <c r="S10" s="740">
        <v>0</v>
      </c>
      <c r="T10" s="740">
        <v>0</v>
      </c>
      <c r="U10" s="740">
        <v>0</v>
      </c>
      <c r="V10" s="740">
        <v>0</v>
      </c>
      <c r="W10" s="740">
        <v>0</v>
      </c>
      <c r="X10" s="740">
        <v>0</v>
      </c>
      <c r="Y10" s="740">
        <v>0</v>
      </c>
      <c r="Z10" s="740">
        <v>0</v>
      </c>
      <c r="AA10" s="740">
        <v>0</v>
      </c>
      <c r="AB10" s="740">
        <v>0</v>
      </c>
      <c r="AC10" s="740">
        <v>0</v>
      </c>
      <c r="AD10" s="740">
        <v>0</v>
      </c>
      <c r="AE10" s="740">
        <v>0</v>
      </c>
      <c r="AF10" s="540">
        <v>17.885303660000002</v>
      </c>
      <c r="AG10" s="540">
        <v>0</v>
      </c>
      <c r="AH10" s="540">
        <v>0</v>
      </c>
      <c r="AI10" s="540">
        <v>0</v>
      </c>
      <c r="AJ10" s="540" t="s">
        <v>509</v>
      </c>
      <c r="AK10" s="540" t="s">
        <v>509</v>
      </c>
      <c r="AL10" s="540" t="s">
        <v>509</v>
      </c>
      <c r="AM10" s="540">
        <v>0</v>
      </c>
      <c r="AN10" s="540">
        <v>0</v>
      </c>
      <c r="AO10" s="540">
        <v>0</v>
      </c>
      <c r="AP10" s="540">
        <v>0</v>
      </c>
      <c r="AQ10" s="540">
        <v>0</v>
      </c>
      <c r="AR10" s="540">
        <v>21.003799999999998</v>
      </c>
      <c r="AS10" s="540">
        <v>3.54</v>
      </c>
      <c r="AT10" s="540">
        <v>9.5898000000000003</v>
      </c>
      <c r="AU10" s="540">
        <v>109.93980000000001</v>
      </c>
      <c r="AV10" s="540">
        <v>14.1271</v>
      </c>
      <c r="AW10" s="540">
        <v>20.264900000000001</v>
      </c>
    </row>
    <row r="11" spans="1:49" ht="14.25" customHeight="1">
      <c r="A11" s="543" t="s">
        <v>174</v>
      </c>
      <c r="B11" s="741" t="s">
        <v>509</v>
      </c>
      <c r="C11" s="741" t="s">
        <v>509</v>
      </c>
      <c r="D11" s="741" t="s">
        <v>509</v>
      </c>
      <c r="E11" s="741" t="s">
        <v>509</v>
      </c>
      <c r="F11" s="741" t="s">
        <v>509</v>
      </c>
      <c r="G11" s="741" t="s">
        <v>509</v>
      </c>
      <c r="H11" s="741" t="s">
        <v>509</v>
      </c>
      <c r="I11" s="741" t="s">
        <v>509</v>
      </c>
      <c r="J11" s="741" t="s">
        <v>509</v>
      </c>
      <c r="K11" s="741" t="s">
        <v>509</v>
      </c>
      <c r="L11" s="741" t="s">
        <v>509</v>
      </c>
      <c r="M11" s="741" t="s">
        <v>509</v>
      </c>
      <c r="N11" s="741" t="s">
        <v>509</v>
      </c>
      <c r="O11" s="741" t="s">
        <v>509</v>
      </c>
      <c r="P11" s="741" t="s">
        <v>509</v>
      </c>
      <c r="Q11" s="741">
        <v>0</v>
      </c>
      <c r="R11" s="741">
        <v>0</v>
      </c>
      <c r="S11" s="741">
        <v>0</v>
      </c>
      <c r="T11" s="741">
        <v>0</v>
      </c>
      <c r="U11" s="741">
        <v>0</v>
      </c>
      <c r="V11" s="741">
        <v>0</v>
      </c>
      <c r="W11" s="741">
        <v>0</v>
      </c>
      <c r="X11" s="741">
        <v>0</v>
      </c>
      <c r="Y11" s="741">
        <v>0</v>
      </c>
      <c r="Z11" s="741">
        <v>0</v>
      </c>
      <c r="AA11" s="741">
        <v>0</v>
      </c>
      <c r="AB11" s="741">
        <v>0</v>
      </c>
      <c r="AC11" s="741">
        <v>0</v>
      </c>
      <c r="AD11" s="741">
        <v>0</v>
      </c>
      <c r="AE11" s="741">
        <v>0</v>
      </c>
      <c r="AF11" s="542">
        <v>0</v>
      </c>
      <c r="AG11" s="542">
        <v>0</v>
      </c>
      <c r="AH11" s="542">
        <v>0</v>
      </c>
      <c r="AI11" s="542">
        <v>0</v>
      </c>
      <c r="AJ11" s="542">
        <v>0</v>
      </c>
      <c r="AK11" s="542">
        <v>0</v>
      </c>
      <c r="AL11" s="542">
        <v>0</v>
      </c>
      <c r="AM11" s="542">
        <v>0</v>
      </c>
      <c r="AN11" s="542">
        <v>0</v>
      </c>
      <c r="AO11" s="542">
        <v>0.1</v>
      </c>
      <c r="AP11" s="542">
        <v>2.015444444444444E-2</v>
      </c>
      <c r="AQ11" s="542">
        <v>0</v>
      </c>
      <c r="AR11" s="542">
        <v>0</v>
      </c>
      <c r="AS11" s="542">
        <v>0</v>
      </c>
      <c r="AT11" s="542">
        <v>0</v>
      </c>
      <c r="AU11" s="542">
        <v>0</v>
      </c>
      <c r="AV11" s="542">
        <v>0</v>
      </c>
      <c r="AW11" s="542" t="s">
        <v>509</v>
      </c>
    </row>
    <row r="12" spans="1:49" ht="14.25" customHeight="1">
      <c r="A12" s="543" t="s">
        <v>175</v>
      </c>
      <c r="B12" s="740" t="s">
        <v>509</v>
      </c>
      <c r="C12" s="740" t="s">
        <v>509</v>
      </c>
      <c r="D12" s="740">
        <v>0</v>
      </c>
      <c r="E12" s="740">
        <v>0</v>
      </c>
      <c r="F12" s="740">
        <v>0</v>
      </c>
      <c r="G12" s="740">
        <v>0</v>
      </c>
      <c r="H12" s="740">
        <v>0</v>
      </c>
      <c r="I12" s="740">
        <v>0</v>
      </c>
      <c r="J12" s="740">
        <v>0</v>
      </c>
      <c r="K12" s="740">
        <v>0</v>
      </c>
      <c r="L12" s="740">
        <v>0</v>
      </c>
      <c r="M12" s="740">
        <v>0</v>
      </c>
      <c r="N12" s="740">
        <v>0</v>
      </c>
      <c r="O12" s="740">
        <v>0</v>
      </c>
      <c r="P12" s="740">
        <v>0</v>
      </c>
      <c r="Q12" s="740">
        <v>0</v>
      </c>
      <c r="R12" s="740">
        <v>0</v>
      </c>
      <c r="S12" s="740">
        <v>0</v>
      </c>
      <c r="T12" s="740">
        <v>0</v>
      </c>
      <c r="U12" s="740">
        <v>0</v>
      </c>
      <c r="V12" s="740">
        <v>0</v>
      </c>
      <c r="W12" s="740">
        <v>0</v>
      </c>
      <c r="X12" s="740">
        <v>0</v>
      </c>
      <c r="Y12" s="740">
        <v>0</v>
      </c>
      <c r="Z12" s="740">
        <v>0</v>
      </c>
      <c r="AA12" s="740">
        <v>0</v>
      </c>
      <c r="AB12" s="740">
        <v>0</v>
      </c>
      <c r="AC12" s="740">
        <v>0</v>
      </c>
      <c r="AD12" s="740">
        <v>0</v>
      </c>
      <c r="AE12" s="740">
        <v>0</v>
      </c>
      <c r="AF12" s="540">
        <v>0</v>
      </c>
      <c r="AG12" s="540">
        <v>0</v>
      </c>
      <c r="AH12" s="540">
        <v>0</v>
      </c>
      <c r="AI12" s="540">
        <v>0</v>
      </c>
      <c r="AJ12" s="540">
        <v>0</v>
      </c>
      <c r="AK12" s="540">
        <v>0</v>
      </c>
      <c r="AL12" s="540">
        <v>0</v>
      </c>
      <c r="AM12" s="540">
        <v>0</v>
      </c>
      <c r="AN12" s="540">
        <v>0</v>
      </c>
      <c r="AO12" s="540">
        <v>0.1</v>
      </c>
      <c r="AP12" s="540">
        <v>0.51971866666666655</v>
      </c>
      <c r="AQ12" s="540">
        <v>0</v>
      </c>
      <c r="AR12" s="540">
        <v>0</v>
      </c>
      <c r="AS12" s="540">
        <v>1.6666666666666666E-3</v>
      </c>
      <c r="AT12" s="540">
        <v>0</v>
      </c>
      <c r="AU12" s="540">
        <v>1.5846185185185186E-3</v>
      </c>
      <c r="AV12" s="540">
        <v>1.5846185185185186E-3</v>
      </c>
      <c r="AW12" s="540" t="s">
        <v>509</v>
      </c>
    </row>
    <row r="13" spans="1:49" ht="14.25" customHeight="1">
      <c r="A13" s="543" t="s">
        <v>78</v>
      </c>
      <c r="B13" s="741" t="s">
        <v>509</v>
      </c>
      <c r="C13" s="741">
        <v>9</v>
      </c>
      <c r="D13" s="741">
        <v>8</v>
      </c>
      <c r="E13" s="741">
        <v>6</v>
      </c>
      <c r="F13" s="741">
        <v>14</v>
      </c>
      <c r="G13" s="741">
        <v>21</v>
      </c>
      <c r="H13" s="741">
        <v>17</v>
      </c>
      <c r="I13" s="741">
        <v>5</v>
      </c>
      <c r="J13" s="741">
        <v>6</v>
      </c>
      <c r="K13" s="741">
        <v>1</v>
      </c>
      <c r="L13" s="741">
        <v>2</v>
      </c>
      <c r="M13" s="741">
        <v>3</v>
      </c>
      <c r="N13" s="741">
        <v>0</v>
      </c>
      <c r="O13" s="741">
        <v>0</v>
      </c>
      <c r="P13" s="741">
        <v>11</v>
      </c>
      <c r="Q13" s="741">
        <v>2</v>
      </c>
      <c r="R13" s="741">
        <v>2</v>
      </c>
      <c r="S13" s="741">
        <v>334.15833382249997</v>
      </c>
      <c r="T13" s="741">
        <v>487.73106481249999</v>
      </c>
      <c r="U13" s="741">
        <v>456.67063400000001</v>
      </c>
      <c r="V13" s="741">
        <v>521.72001275000002</v>
      </c>
      <c r="W13" s="741">
        <v>456.66342097500001</v>
      </c>
      <c r="X13" s="741">
        <v>852.6429685375</v>
      </c>
      <c r="Y13" s="741">
        <v>865.6556027874999</v>
      </c>
      <c r="Z13" s="741">
        <v>596.59849354087874</v>
      </c>
      <c r="AA13" s="741">
        <v>978.17233392406388</v>
      </c>
      <c r="AB13" s="741">
        <v>634.18776238800206</v>
      </c>
      <c r="AC13" s="741">
        <v>349.39</v>
      </c>
      <c r="AD13" s="741">
        <v>450.03</v>
      </c>
      <c r="AE13" s="741">
        <v>859.22</v>
      </c>
      <c r="AF13" s="542">
        <v>1020.33</v>
      </c>
      <c r="AG13" s="542">
        <v>1635.1</v>
      </c>
      <c r="AH13" s="542">
        <v>1485.0992266309229</v>
      </c>
      <c r="AI13" s="542">
        <v>1322.3344877777499</v>
      </c>
      <c r="AJ13" s="542">
        <v>1290.089875851897</v>
      </c>
      <c r="AK13" s="542">
        <v>939.70727582115899</v>
      </c>
      <c r="AL13" s="542">
        <v>1224.6569745562999</v>
      </c>
      <c r="AM13" s="542">
        <v>619.60533121664093</v>
      </c>
      <c r="AN13" s="542">
        <v>817.78520202725304</v>
      </c>
      <c r="AO13" s="542">
        <v>814.18628649087498</v>
      </c>
      <c r="AP13" s="542">
        <v>647.41694738883098</v>
      </c>
      <c r="AQ13" s="542">
        <v>699.46883090259701</v>
      </c>
      <c r="AR13" s="542">
        <v>1019.4941133594369</v>
      </c>
      <c r="AS13" s="542">
        <v>1523.1560773573831</v>
      </c>
      <c r="AT13" s="542">
        <v>1301.5588864625079</v>
      </c>
      <c r="AU13" s="542">
        <v>850.486858626757</v>
      </c>
      <c r="AV13" s="542">
        <v>850.38566189706</v>
      </c>
      <c r="AW13" s="542">
        <v>1122.5649899782929</v>
      </c>
    </row>
    <row r="14" spans="1:49" ht="14.25" customHeight="1">
      <c r="A14" s="543" t="s">
        <v>578</v>
      </c>
      <c r="B14" s="740" t="s">
        <v>509</v>
      </c>
      <c r="C14" s="740" t="s">
        <v>509</v>
      </c>
      <c r="D14" s="740" t="s">
        <v>509</v>
      </c>
      <c r="E14" s="740" t="s">
        <v>509</v>
      </c>
      <c r="F14" s="740" t="s">
        <v>509</v>
      </c>
      <c r="G14" s="740" t="s">
        <v>509</v>
      </c>
      <c r="H14" s="740" t="s">
        <v>509</v>
      </c>
      <c r="I14" s="740" t="s">
        <v>509</v>
      </c>
      <c r="J14" s="740" t="s">
        <v>509</v>
      </c>
      <c r="K14" s="740" t="s">
        <v>509</v>
      </c>
      <c r="L14" s="740" t="s">
        <v>509</v>
      </c>
      <c r="M14" s="740" t="s">
        <v>509</v>
      </c>
      <c r="N14" s="740" t="s">
        <v>509</v>
      </c>
      <c r="O14" s="740" t="s">
        <v>509</v>
      </c>
      <c r="P14" s="740" t="s">
        <v>509</v>
      </c>
      <c r="Q14" s="740" t="s">
        <v>509</v>
      </c>
      <c r="R14" s="740" t="s">
        <v>509</v>
      </c>
      <c r="S14" s="740" t="s">
        <v>509</v>
      </c>
      <c r="T14" s="740" t="s">
        <v>509</v>
      </c>
      <c r="U14" s="740">
        <v>0</v>
      </c>
      <c r="V14" s="740">
        <v>0</v>
      </c>
      <c r="W14" s="740">
        <v>0</v>
      </c>
      <c r="X14" s="740">
        <v>0</v>
      </c>
      <c r="Y14" s="740">
        <v>0</v>
      </c>
      <c r="Z14" s="740">
        <v>0</v>
      </c>
      <c r="AA14" s="740">
        <v>0</v>
      </c>
      <c r="AB14" s="740">
        <v>0</v>
      </c>
      <c r="AC14" s="740">
        <v>0</v>
      </c>
      <c r="AD14" s="740">
        <v>0</v>
      </c>
      <c r="AE14" s="740">
        <v>0</v>
      </c>
      <c r="AF14" s="540">
        <v>1.3844780750072601</v>
      </c>
      <c r="AG14" s="540">
        <v>1.3978270090446847</v>
      </c>
      <c r="AH14" s="540">
        <v>1.0075248556891028</v>
      </c>
      <c r="AI14" s="540">
        <v>1.2046658391516214</v>
      </c>
      <c r="AJ14" s="540">
        <v>-0.25949766405501828</v>
      </c>
      <c r="AK14" s="540">
        <v>7.0978134782305108E-2</v>
      </c>
      <c r="AL14" s="540">
        <v>0.49531439966708957</v>
      </c>
      <c r="AM14" s="540">
        <v>-4.5463334738733394</v>
      </c>
      <c r="AN14" s="540">
        <v>0</v>
      </c>
      <c r="AO14" s="540">
        <v>0</v>
      </c>
      <c r="AP14" s="540">
        <v>0</v>
      </c>
      <c r="AQ14" s="540">
        <v>0</v>
      </c>
      <c r="AR14" s="540">
        <v>0</v>
      </c>
      <c r="AS14" s="540">
        <v>0</v>
      </c>
      <c r="AT14" s="540">
        <v>0</v>
      </c>
      <c r="AU14" s="540">
        <v>1.9268205474554098E-4</v>
      </c>
      <c r="AV14" s="540">
        <v>7.3601017219766004E-4</v>
      </c>
      <c r="AW14" s="540">
        <v>1.3847419434324111</v>
      </c>
    </row>
    <row r="15" spans="1:49" ht="14.25" customHeight="1">
      <c r="A15" s="543" t="s">
        <v>577</v>
      </c>
      <c r="B15" s="741" t="s">
        <v>509</v>
      </c>
      <c r="C15" s="741" t="s">
        <v>509</v>
      </c>
      <c r="D15" s="741" t="s">
        <v>509</v>
      </c>
      <c r="E15" s="741" t="s">
        <v>509</v>
      </c>
      <c r="F15" s="741" t="s">
        <v>509</v>
      </c>
      <c r="G15" s="741" t="s">
        <v>509</v>
      </c>
      <c r="H15" s="741" t="s">
        <v>509</v>
      </c>
      <c r="I15" s="741" t="s">
        <v>509</v>
      </c>
      <c r="J15" s="741" t="s">
        <v>509</v>
      </c>
      <c r="K15" s="741" t="s">
        <v>509</v>
      </c>
      <c r="L15" s="741" t="s">
        <v>509</v>
      </c>
      <c r="M15" s="741">
        <v>0</v>
      </c>
      <c r="N15" s="741">
        <v>0</v>
      </c>
      <c r="O15" s="741">
        <v>0</v>
      </c>
      <c r="P15" s="741">
        <v>0</v>
      </c>
      <c r="Q15" s="741">
        <v>0</v>
      </c>
      <c r="R15" s="741">
        <v>0</v>
      </c>
      <c r="S15" s="741">
        <v>0</v>
      </c>
      <c r="T15" s="741">
        <v>5.5865921787709494E-2</v>
      </c>
      <c r="U15" s="741">
        <v>0</v>
      </c>
      <c r="V15" s="741" t="s">
        <v>509</v>
      </c>
      <c r="W15" s="741">
        <v>2.2346368715083798</v>
      </c>
      <c r="X15" s="741">
        <v>1.005586592178771</v>
      </c>
      <c r="Y15" s="741">
        <v>0.16759776536312848</v>
      </c>
      <c r="Z15" s="741" t="s">
        <v>509</v>
      </c>
      <c r="AA15" s="741" t="s">
        <v>509</v>
      </c>
      <c r="AB15" s="741" t="s">
        <v>509</v>
      </c>
      <c r="AC15" s="741" t="s">
        <v>509</v>
      </c>
      <c r="AD15" s="741" t="s">
        <v>509</v>
      </c>
      <c r="AE15" s="741" t="s">
        <v>509</v>
      </c>
      <c r="AF15" s="542" t="s">
        <v>509</v>
      </c>
      <c r="AG15" s="542" t="s">
        <v>509</v>
      </c>
      <c r="AH15" s="542" t="s">
        <v>509</v>
      </c>
      <c r="AI15" s="542" t="s">
        <v>509</v>
      </c>
      <c r="AJ15" s="542" t="s">
        <v>509</v>
      </c>
      <c r="AK15" s="542" t="s">
        <v>509</v>
      </c>
      <c r="AL15" s="542" t="s">
        <v>509</v>
      </c>
      <c r="AM15" s="542" t="s">
        <v>509</v>
      </c>
      <c r="AN15" s="542" t="s">
        <v>509</v>
      </c>
      <c r="AO15" s="542" t="s">
        <v>509</v>
      </c>
      <c r="AP15" s="542" t="s">
        <v>509</v>
      </c>
      <c r="AQ15" s="542" t="s">
        <v>509</v>
      </c>
      <c r="AR15" s="542" t="s">
        <v>509</v>
      </c>
      <c r="AS15" s="542">
        <v>6.9283683576673907</v>
      </c>
      <c r="AT15" s="542">
        <v>10.395376287618257</v>
      </c>
      <c r="AU15" s="542">
        <v>9.686035814276817</v>
      </c>
      <c r="AV15" s="542">
        <v>6.7405119621837262</v>
      </c>
      <c r="AW15" s="542">
        <v>15.203622955639128</v>
      </c>
    </row>
    <row r="16" spans="1:49" ht="14.25" customHeight="1">
      <c r="A16" s="543" t="s">
        <v>27</v>
      </c>
      <c r="B16" s="740" t="s">
        <v>509</v>
      </c>
      <c r="C16" s="740" t="s">
        <v>509</v>
      </c>
      <c r="D16" s="740" t="s">
        <v>509</v>
      </c>
      <c r="E16" s="740" t="s">
        <v>509</v>
      </c>
      <c r="F16" s="740" t="s">
        <v>509</v>
      </c>
      <c r="G16" s="740" t="s">
        <v>509</v>
      </c>
      <c r="H16" s="740" t="s">
        <v>509</v>
      </c>
      <c r="I16" s="740" t="s">
        <v>509</v>
      </c>
      <c r="J16" s="740" t="s">
        <v>509</v>
      </c>
      <c r="K16" s="740" t="s">
        <v>509</v>
      </c>
      <c r="L16" s="740" t="s">
        <v>509</v>
      </c>
      <c r="M16" s="740" t="s">
        <v>509</v>
      </c>
      <c r="N16" s="740" t="s">
        <v>509</v>
      </c>
      <c r="O16" s="740" t="s">
        <v>509</v>
      </c>
      <c r="P16" s="740">
        <v>1520.5983621010728</v>
      </c>
      <c r="Q16" s="740">
        <v>852.5883377873314</v>
      </c>
      <c r="R16" s="740">
        <v>488.9436438866183</v>
      </c>
      <c r="S16" s="740">
        <v>1152.948471605953</v>
      </c>
      <c r="T16" s="740">
        <v>1892.3399010359326</v>
      </c>
      <c r="U16" s="740">
        <v>2512.1751893321257</v>
      </c>
      <c r="V16" s="740">
        <v>2904.8</v>
      </c>
      <c r="W16" s="740">
        <v>3826.6706093653147</v>
      </c>
      <c r="X16" s="740">
        <v>4495.478881608924</v>
      </c>
      <c r="Y16" s="740">
        <v>3753.3438069927815</v>
      </c>
      <c r="Z16" s="740">
        <v>4676.432679352688</v>
      </c>
      <c r="AA16" s="740">
        <v>5750.3722110701729</v>
      </c>
      <c r="AB16" s="740">
        <v>4930.5496567709461</v>
      </c>
      <c r="AC16" s="740">
        <v>5109.5844942126532</v>
      </c>
      <c r="AD16" s="740">
        <v>6355.3244273891842</v>
      </c>
      <c r="AE16" s="740">
        <v>8732.322936862538</v>
      </c>
      <c r="AF16" s="540">
        <v>9761.1141736826721</v>
      </c>
      <c r="AG16" s="540">
        <v>13041.350140766142</v>
      </c>
      <c r="AH16" s="540">
        <v>18461.101905884199</v>
      </c>
      <c r="AI16" s="540">
        <v>20698.529280408227</v>
      </c>
      <c r="AJ16" s="540">
        <v>11163.762473206485</v>
      </c>
      <c r="AK16" s="540">
        <v>15978.062546913052</v>
      </c>
      <c r="AL16" s="540">
        <v>18966.882969092756</v>
      </c>
      <c r="AM16" s="540">
        <v>19521.493350669924</v>
      </c>
      <c r="AN16" s="540">
        <v>18800.302550317418</v>
      </c>
      <c r="AO16" s="540">
        <v>18386.598587990615</v>
      </c>
      <c r="AP16" s="540">
        <v>13594.488446103896</v>
      </c>
      <c r="AQ16" s="540">
        <v>13212.014934155897</v>
      </c>
      <c r="AR16" s="540">
        <v>14041.322925246574</v>
      </c>
      <c r="AS16" s="540">
        <v>16518.309566658136</v>
      </c>
      <c r="AT16" s="540">
        <v>16689.126590656484</v>
      </c>
      <c r="AU16" s="540">
        <v>14575.71986665041</v>
      </c>
      <c r="AV16" s="540">
        <v>22281.919638079751</v>
      </c>
      <c r="AW16" s="540">
        <v>28482.976631961068</v>
      </c>
    </row>
    <row r="17" spans="1:49" ht="14.25" customHeight="1">
      <c r="A17" s="543" t="s">
        <v>91</v>
      </c>
      <c r="B17" s="741" t="s">
        <v>509</v>
      </c>
      <c r="C17" s="741" t="s">
        <v>509</v>
      </c>
      <c r="D17" s="741" t="s">
        <v>509</v>
      </c>
      <c r="E17" s="741" t="s">
        <v>509</v>
      </c>
      <c r="F17" s="741" t="s">
        <v>509</v>
      </c>
      <c r="G17" s="741" t="s">
        <v>509</v>
      </c>
      <c r="H17" s="741" t="s">
        <v>509</v>
      </c>
      <c r="I17" s="741" t="s">
        <v>509</v>
      </c>
      <c r="J17" s="741" t="s">
        <v>509</v>
      </c>
      <c r="K17" s="741" t="s">
        <v>509</v>
      </c>
      <c r="L17" s="741" t="s">
        <v>509</v>
      </c>
      <c r="M17" s="741" t="s">
        <v>509</v>
      </c>
      <c r="N17" s="741" t="s">
        <v>509</v>
      </c>
      <c r="O17" s="741" t="s">
        <v>509</v>
      </c>
      <c r="P17" s="741" t="s">
        <v>509</v>
      </c>
      <c r="Q17" s="741" t="s">
        <v>509</v>
      </c>
      <c r="R17" s="741" t="s">
        <v>509</v>
      </c>
      <c r="S17" s="741" t="s">
        <v>509</v>
      </c>
      <c r="T17" s="741" t="s">
        <v>509</v>
      </c>
      <c r="U17" s="741" t="s">
        <v>509</v>
      </c>
      <c r="V17" s="741" t="s">
        <v>509</v>
      </c>
      <c r="W17" s="741" t="s">
        <v>509</v>
      </c>
      <c r="X17" s="741" t="s">
        <v>509</v>
      </c>
      <c r="Y17" s="741" t="s">
        <v>509</v>
      </c>
      <c r="Z17" s="741" t="s">
        <v>509</v>
      </c>
      <c r="AA17" s="741" t="s">
        <v>509</v>
      </c>
      <c r="AB17" s="741" t="s">
        <v>509</v>
      </c>
      <c r="AC17" s="741" t="s">
        <v>509</v>
      </c>
      <c r="AD17" s="741" t="s">
        <v>509</v>
      </c>
      <c r="AE17" s="741" t="s">
        <v>509</v>
      </c>
      <c r="AF17" s="542">
        <v>8700.9568586346741</v>
      </c>
      <c r="AG17" s="542">
        <v>9886</v>
      </c>
      <c r="AH17" s="542">
        <v>14791.991977883721</v>
      </c>
      <c r="AI17" s="542">
        <v>11155.723333637317</v>
      </c>
      <c r="AJ17" s="542">
        <v>9786.0440969026986</v>
      </c>
      <c r="AK17" s="542">
        <v>15439.757555555507</v>
      </c>
      <c r="AL17" s="542">
        <v>22928.058982792078</v>
      </c>
      <c r="AM17" s="542">
        <v>20141.572860266628</v>
      </c>
      <c r="AN17" s="542">
        <v>6929.4024733972819</v>
      </c>
      <c r="AO17" s="542">
        <v>10277.761374507461</v>
      </c>
      <c r="AP17" s="542">
        <v>1195.7740221375536</v>
      </c>
      <c r="AQ17" s="542">
        <v>14223.186180981511</v>
      </c>
      <c r="AR17" s="542">
        <v>10940.553787149891</v>
      </c>
      <c r="AS17" s="542">
        <v>12617.458227426743</v>
      </c>
      <c r="AT17" s="542">
        <v>15712.201513636184</v>
      </c>
      <c r="AU17" s="542">
        <v>12997.05627245619</v>
      </c>
      <c r="AV17" s="542">
        <v>19748.384493650785</v>
      </c>
      <c r="AW17" s="542" t="s">
        <v>509</v>
      </c>
    </row>
    <row r="18" spans="1:49" ht="14.25" customHeight="1">
      <c r="A18" s="543" t="s">
        <v>576</v>
      </c>
      <c r="B18" s="740" t="s">
        <v>509</v>
      </c>
      <c r="C18" s="740" t="s">
        <v>509</v>
      </c>
      <c r="D18" s="740" t="s">
        <v>509</v>
      </c>
      <c r="E18" s="740" t="s">
        <v>509</v>
      </c>
      <c r="F18" s="740" t="s">
        <v>509</v>
      </c>
      <c r="G18" s="740" t="s">
        <v>509</v>
      </c>
      <c r="H18" s="740" t="s">
        <v>509</v>
      </c>
      <c r="I18" s="740" t="s">
        <v>509</v>
      </c>
      <c r="J18" s="740" t="s">
        <v>509</v>
      </c>
      <c r="K18" s="740" t="s">
        <v>509</v>
      </c>
      <c r="L18" s="740" t="s">
        <v>509</v>
      </c>
      <c r="M18" s="740" t="s">
        <v>509</v>
      </c>
      <c r="N18" s="740" t="s">
        <v>509</v>
      </c>
      <c r="O18" s="740" t="s">
        <v>509</v>
      </c>
      <c r="P18" s="740" t="s">
        <v>509</v>
      </c>
      <c r="Q18" s="740" t="s">
        <v>509</v>
      </c>
      <c r="R18" s="740" t="s">
        <v>509</v>
      </c>
      <c r="S18" s="740" t="s">
        <v>509</v>
      </c>
      <c r="T18" s="740" t="s">
        <v>509</v>
      </c>
      <c r="U18" s="740" t="s">
        <v>509</v>
      </c>
      <c r="V18" s="740" t="s">
        <v>509</v>
      </c>
      <c r="W18" s="740" t="s">
        <v>509</v>
      </c>
      <c r="X18" s="740" t="s">
        <v>509</v>
      </c>
      <c r="Y18" s="740" t="s">
        <v>509</v>
      </c>
      <c r="Z18" s="740" t="s">
        <v>509</v>
      </c>
      <c r="AA18" s="740" t="s">
        <v>509</v>
      </c>
      <c r="AB18" s="740" t="s">
        <v>509</v>
      </c>
      <c r="AC18" s="740" t="s">
        <v>509</v>
      </c>
      <c r="AD18" s="740">
        <v>0.16800000000000001</v>
      </c>
      <c r="AE18" s="740" t="s">
        <v>509</v>
      </c>
      <c r="AF18" s="540">
        <v>0.436</v>
      </c>
      <c r="AG18" s="540">
        <v>0.495</v>
      </c>
      <c r="AH18" s="540">
        <v>0.10299999999999999</v>
      </c>
      <c r="AI18" s="540">
        <v>10.375</v>
      </c>
      <c r="AJ18" s="540">
        <v>12.13</v>
      </c>
      <c r="AK18" s="540">
        <v>31.05</v>
      </c>
      <c r="AL18" s="540">
        <v>138.75299999999999</v>
      </c>
      <c r="AM18" s="540">
        <v>213.52600000000001</v>
      </c>
      <c r="AN18" s="540">
        <v>194.8</v>
      </c>
      <c r="AO18" s="540">
        <v>685.32399999999996</v>
      </c>
      <c r="AP18" s="540">
        <v>442.68200000000002</v>
      </c>
      <c r="AQ18" s="540">
        <v>307.255</v>
      </c>
      <c r="AR18" s="540">
        <v>665.19500000000005</v>
      </c>
      <c r="AS18" s="540">
        <v>750.22699999999998</v>
      </c>
      <c r="AT18" s="540">
        <v>438.762</v>
      </c>
      <c r="AU18" s="540">
        <v>827.60699999999997</v>
      </c>
      <c r="AV18" s="540">
        <v>857.57</v>
      </c>
      <c r="AW18" s="540">
        <v>358.18900000000002</v>
      </c>
    </row>
    <row r="19" spans="1:49" ht="14.25" customHeight="1">
      <c r="A19" s="543" t="s">
        <v>177</v>
      </c>
      <c r="B19" s="741" t="s">
        <v>509</v>
      </c>
      <c r="C19" s="741">
        <v>0</v>
      </c>
      <c r="D19" s="741">
        <v>0</v>
      </c>
      <c r="E19" s="741">
        <v>0</v>
      </c>
      <c r="F19" s="741">
        <v>0</v>
      </c>
      <c r="G19" s="741">
        <v>0</v>
      </c>
      <c r="H19" s="741">
        <v>0</v>
      </c>
      <c r="I19" s="741">
        <v>0</v>
      </c>
      <c r="J19" s="741">
        <v>0</v>
      </c>
      <c r="K19" s="741">
        <v>0</v>
      </c>
      <c r="L19" s="741">
        <v>0</v>
      </c>
      <c r="M19" s="741">
        <v>0</v>
      </c>
      <c r="N19" s="741">
        <v>0</v>
      </c>
      <c r="O19" s="741">
        <v>0</v>
      </c>
      <c r="P19" s="741">
        <v>0</v>
      </c>
      <c r="Q19" s="741" t="s">
        <v>509</v>
      </c>
      <c r="R19" s="741" t="s">
        <v>509</v>
      </c>
      <c r="S19" s="741" t="s">
        <v>509</v>
      </c>
      <c r="T19" s="741" t="s">
        <v>509</v>
      </c>
      <c r="U19" s="741" t="s">
        <v>509</v>
      </c>
      <c r="V19" s="741" t="s">
        <v>509</v>
      </c>
      <c r="W19" s="741" t="s">
        <v>509</v>
      </c>
      <c r="X19" s="741" t="s">
        <v>509</v>
      </c>
      <c r="Y19" s="741" t="s">
        <v>509</v>
      </c>
      <c r="Z19" s="741" t="s">
        <v>509</v>
      </c>
      <c r="AA19" s="741" t="s">
        <v>509</v>
      </c>
      <c r="AB19" s="741" t="s">
        <v>509</v>
      </c>
      <c r="AC19" s="741" t="s">
        <v>509</v>
      </c>
      <c r="AD19" s="741" t="s">
        <v>509</v>
      </c>
      <c r="AE19" s="741" t="s">
        <v>509</v>
      </c>
      <c r="AF19" s="542" t="s">
        <v>509</v>
      </c>
      <c r="AG19" s="542" t="s">
        <v>509</v>
      </c>
      <c r="AH19" s="542" t="s">
        <v>509</v>
      </c>
      <c r="AI19" s="542" t="s">
        <v>509</v>
      </c>
      <c r="AJ19" s="542" t="s">
        <v>509</v>
      </c>
      <c r="AK19" s="542" t="s">
        <v>509</v>
      </c>
      <c r="AL19" s="542" t="s">
        <v>509</v>
      </c>
      <c r="AM19" s="542" t="s">
        <v>509</v>
      </c>
      <c r="AN19" s="542" t="s">
        <v>509</v>
      </c>
      <c r="AO19" s="542" t="s">
        <v>509</v>
      </c>
      <c r="AP19" s="542" t="s">
        <v>509</v>
      </c>
      <c r="AQ19" s="542">
        <v>0</v>
      </c>
      <c r="AR19" s="542" t="s">
        <v>509</v>
      </c>
      <c r="AS19" s="542" t="s">
        <v>509</v>
      </c>
      <c r="AT19" s="542">
        <v>0</v>
      </c>
      <c r="AU19" s="542">
        <v>0</v>
      </c>
      <c r="AV19" s="542" t="s">
        <v>509</v>
      </c>
      <c r="AW19" s="542" t="s">
        <v>509</v>
      </c>
    </row>
    <row r="20" spans="1:49" ht="14.25" customHeight="1">
      <c r="A20" s="543" t="s">
        <v>179</v>
      </c>
      <c r="B20" s="740">
        <v>0</v>
      </c>
      <c r="C20" s="740">
        <v>0</v>
      </c>
      <c r="D20" s="740">
        <v>0</v>
      </c>
      <c r="E20" s="740">
        <v>0</v>
      </c>
      <c r="F20" s="740">
        <v>0</v>
      </c>
      <c r="G20" s="740">
        <v>0</v>
      </c>
      <c r="H20" s="740">
        <v>0</v>
      </c>
      <c r="I20" s="740">
        <v>0</v>
      </c>
      <c r="J20" s="740">
        <v>0</v>
      </c>
      <c r="K20" s="740">
        <v>0</v>
      </c>
      <c r="L20" s="740">
        <v>0</v>
      </c>
      <c r="M20" s="740">
        <v>0</v>
      </c>
      <c r="N20" s="740">
        <v>0</v>
      </c>
      <c r="O20" s="740">
        <v>0</v>
      </c>
      <c r="P20" s="740">
        <v>0</v>
      </c>
      <c r="Q20" s="740">
        <v>83.244680851063833</v>
      </c>
      <c r="R20" s="740">
        <v>86.436170212765958</v>
      </c>
      <c r="S20" s="740">
        <v>92.28723404255318</v>
      </c>
      <c r="T20" s="740">
        <v>98.670215608849219</v>
      </c>
      <c r="U20" s="740">
        <v>103.19149896729378</v>
      </c>
      <c r="V20" s="740">
        <v>127.18558888434499</v>
      </c>
      <c r="W20" s="740">
        <v>125.25648836450685</v>
      </c>
      <c r="X20" s="740">
        <v>161.83514144722807</v>
      </c>
      <c r="Y20" s="740">
        <v>167.55260820582052</v>
      </c>
      <c r="Z20" s="740">
        <v>189.29131154612512</v>
      </c>
      <c r="AA20" s="740">
        <v>208.85367500471995</v>
      </c>
      <c r="AB20" s="740">
        <v>208.81914893617022</v>
      </c>
      <c r="AC20" s="740">
        <v>234.73382655526515</v>
      </c>
      <c r="AD20" s="740">
        <v>257.53744764050265</v>
      </c>
      <c r="AE20" s="740">
        <v>346.5</v>
      </c>
      <c r="AF20" s="540">
        <v>470.77659574468083</v>
      </c>
      <c r="AG20" s="540">
        <v>607.02127659574478</v>
      </c>
      <c r="AH20" s="540">
        <v>724.62765957446811</v>
      </c>
      <c r="AI20" s="540">
        <v>924.92553191489367</v>
      </c>
      <c r="AJ20" s="540">
        <v>1305.9468085106382</v>
      </c>
      <c r="AK20" s="540">
        <v>1055.1382978723404</v>
      </c>
      <c r="AL20" s="540">
        <v>4386.9680851063822</v>
      </c>
      <c r="AM20" s="540">
        <v>1886.5</v>
      </c>
      <c r="AN20" s="540">
        <v>1958.7340425531913</v>
      </c>
      <c r="AO20" s="540">
        <v>2033.1648936170213</v>
      </c>
      <c r="AP20" s="540">
        <v>2119.1999999999998</v>
      </c>
      <c r="AQ20" s="540">
        <v>2144.6808510638298</v>
      </c>
      <c r="AR20" s="540">
        <v>2509.8404255319147</v>
      </c>
      <c r="AS20" s="540" t="s">
        <v>509</v>
      </c>
      <c r="AT20" s="540" t="s">
        <v>509</v>
      </c>
      <c r="AU20" s="540" t="s">
        <v>509</v>
      </c>
      <c r="AV20" s="540" t="s">
        <v>509</v>
      </c>
      <c r="AW20" s="540" t="s">
        <v>509</v>
      </c>
    </row>
    <row r="21" spans="1:49" ht="14.25" customHeight="1">
      <c r="A21" s="543" t="s">
        <v>216</v>
      </c>
      <c r="B21" s="741" t="s">
        <v>509</v>
      </c>
      <c r="C21" s="741">
        <v>0</v>
      </c>
      <c r="D21" s="741">
        <v>0</v>
      </c>
      <c r="E21" s="741">
        <v>0</v>
      </c>
      <c r="F21" s="741">
        <v>0</v>
      </c>
      <c r="G21" s="741">
        <v>0</v>
      </c>
      <c r="H21" s="741">
        <v>0</v>
      </c>
      <c r="I21" s="741">
        <v>0</v>
      </c>
      <c r="J21" s="741">
        <v>0</v>
      </c>
      <c r="K21" s="741">
        <v>0</v>
      </c>
      <c r="L21" s="741">
        <v>0</v>
      </c>
      <c r="M21" s="741">
        <v>0</v>
      </c>
      <c r="N21" s="741">
        <v>0</v>
      </c>
      <c r="O21" s="741">
        <v>0</v>
      </c>
      <c r="P21" s="741">
        <v>0</v>
      </c>
      <c r="Q21" s="741">
        <v>0</v>
      </c>
      <c r="R21" s="741">
        <v>0</v>
      </c>
      <c r="S21" s="741">
        <v>0</v>
      </c>
      <c r="T21" s="741">
        <v>0</v>
      </c>
      <c r="U21" s="741">
        <v>0</v>
      </c>
      <c r="V21" s="741">
        <v>0</v>
      </c>
      <c r="W21" s="741">
        <v>0.19299970560061216</v>
      </c>
      <c r="X21" s="741">
        <v>0.32122104648360006</v>
      </c>
      <c r="Y21" s="741">
        <v>1.6235783365423637</v>
      </c>
      <c r="Z21" s="741">
        <v>2.0426066197856487</v>
      </c>
      <c r="AA21" s="741">
        <v>1.8183494210761171</v>
      </c>
      <c r="AB21" s="741">
        <v>1.7923887189942231</v>
      </c>
      <c r="AC21" s="741">
        <v>1.3644500761098806</v>
      </c>
      <c r="AD21" s="741">
        <v>2.7272810637703708</v>
      </c>
      <c r="AE21" s="741">
        <v>3.0067477603865971</v>
      </c>
      <c r="AF21" s="542">
        <v>2.1</v>
      </c>
      <c r="AG21" s="542">
        <v>10.711446739359056</v>
      </c>
      <c r="AH21" s="542">
        <v>12.237699983394482</v>
      </c>
      <c r="AI21" s="542">
        <v>0.23312965517004491</v>
      </c>
      <c r="AJ21" s="542">
        <v>1.0145170555595633</v>
      </c>
      <c r="AK21" s="542">
        <v>1.521093075677699</v>
      </c>
      <c r="AL21" s="542">
        <v>0.20639685524296944</v>
      </c>
      <c r="AM21" s="542">
        <v>7.2485829020426509E-2</v>
      </c>
      <c r="AN21" s="542">
        <v>1.6185708260368985</v>
      </c>
      <c r="AO21" s="542">
        <v>2.522645910352356</v>
      </c>
      <c r="AP21" s="542">
        <v>13.700771240123814</v>
      </c>
      <c r="AQ21" s="542">
        <v>26.736738617640473</v>
      </c>
      <c r="AR21" s="542">
        <v>23.092469800921901</v>
      </c>
      <c r="AS21" s="542">
        <v>254.04608006469232</v>
      </c>
      <c r="AT21" s="542">
        <v>27.639136934162252</v>
      </c>
      <c r="AU21" s="542">
        <v>72.541953448108274</v>
      </c>
      <c r="AV21" s="542">
        <v>20.890139764771003</v>
      </c>
      <c r="AW21" s="542">
        <v>11.273894925420336</v>
      </c>
    </row>
    <row r="22" spans="1:49" ht="14.25" customHeight="1">
      <c r="A22" s="543" t="s">
        <v>181</v>
      </c>
      <c r="B22" s="740">
        <v>1.2066176154956856</v>
      </c>
      <c r="C22" s="740">
        <v>0.81699999999999995</v>
      </c>
      <c r="D22" s="740">
        <v>0.21049999999999999</v>
      </c>
      <c r="E22" s="740">
        <v>0.36549999999999999</v>
      </c>
      <c r="F22" s="740">
        <v>0.65</v>
      </c>
      <c r="G22" s="740">
        <v>0.8</v>
      </c>
      <c r="H22" s="740">
        <v>1.7</v>
      </c>
      <c r="I22" s="740">
        <v>1.1499999999999999</v>
      </c>
      <c r="J22" s="740">
        <v>1.35</v>
      </c>
      <c r="K22" s="740">
        <v>2.4500000000000002</v>
      </c>
      <c r="L22" s="740">
        <v>2.4500000000000002</v>
      </c>
      <c r="M22" s="740">
        <v>4.05</v>
      </c>
      <c r="N22" s="740">
        <v>3.9</v>
      </c>
      <c r="O22" s="740">
        <v>4.0999999999999996</v>
      </c>
      <c r="P22" s="740">
        <v>1.25</v>
      </c>
      <c r="Q22" s="740">
        <v>1.35</v>
      </c>
      <c r="R22" s="740">
        <v>1.1499999999999999</v>
      </c>
      <c r="S22" s="740">
        <v>1.1499999999999999</v>
      </c>
      <c r="T22" s="740">
        <v>1.55</v>
      </c>
      <c r="U22" s="740">
        <v>0.75</v>
      </c>
      <c r="V22" s="740">
        <v>1.2</v>
      </c>
      <c r="W22" s="740">
        <v>4.5</v>
      </c>
      <c r="X22" s="740">
        <v>3.7</v>
      </c>
      <c r="Y22" s="740">
        <v>4.25</v>
      </c>
      <c r="Z22" s="740">
        <v>4.7</v>
      </c>
      <c r="AA22" s="740">
        <v>5.75</v>
      </c>
      <c r="AB22" s="740">
        <v>5.85</v>
      </c>
      <c r="AC22" s="740">
        <v>5.7789999999999999</v>
      </c>
      <c r="AD22" s="740">
        <v>6.05</v>
      </c>
      <c r="AE22" s="740">
        <v>21.5982795</v>
      </c>
      <c r="AF22" s="540">
        <v>30.476099059999999</v>
      </c>
      <c r="AG22" s="540">
        <v>33.745808500000003</v>
      </c>
      <c r="AH22" s="540">
        <v>53.822137725000005</v>
      </c>
      <c r="AI22" s="540">
        <v>109.95163584000001</v>
      </c>
      <c r="AJ22" s="540">
        <v>153.47038458</v>
      </c>
      <c r="AK22" s="540">
        <v>168.85429286000002</v>
      </c>
      <c r="AL22" s="540">
        <v>310.06878098499999</v>
      </c>
      <c r="AM22" s="540">
        <v>90.755428252895996</v>
      </c>
      <c r="AN22" s="540">
        <v>177.699521988046</v>
      </c>
      <c r="AO22" s="540">
        <v>-78.34781424143199</v>
      </c>
      <c r="AP22" s="540">
        <v>145.04771120249998</v>
      </c>
      <c r="AQ22" s="540">
        <v>175.78193670964001</v>
      </c>
      <c r="AR22" s="540">
        <v>12.351834201245001</v>
      </c>
      <c r="AS22" s="540" t="s">
        <v>509</v>
      </c>
      <c r="AT22" s="540" t="s">
        <v>509</v>
      </c>
      <c r="AU22" s="540" t="s">
        <v>509</v>
      </c>
      <c r="AV22" s="540" t="s">
        <v>509</v>
      </c>
      <c r="AW22" s="540" t="s">
        <v>509</v>
      </c>
    </row>
    <row r="23" spans="1:49" ht="14.25" customHeight="1">
      <c r="A23" s="543" t="s">
        <v>575</v>
      </c>
      <c r="B23" s="741" t="s">
        <v>509</v>
      </c>
      <c r="C23" s="741" t="s">
        <v>509</v>
      </c>
      <c r="D23" s="741" t="s">
        <v>509</v>
      </c>
      <c r="E23" s="741" t="s">
        <v>509</v>
      </c>
      <c r="F23" s="741" t="s">
        <v>509</v>
      </c>
      <c r="G23" s="741" t="s">
        <v>509</v>
      </c>
      <c r="H23" s="741" t="s">
        <v>509</v>
      </c>
      <c r="I23" s="741" t="s">
        <v>509</v>
      </c>
      <c r="J23" s="741" t="s">
        <v>509</v>
      </c>
      <c r="K23" s="741" t="s">
        <v>509</v>
      </c>
      <c r="L23" s="741" t="s">
        <v>509</v>
      </c>
      <c r="M23" s="741" t="s">
        <v>509</v>
      </c>
      <c r="N23" s="741" t="s">
        <v>509</v>
      </c>
      <c r="O23" s="741" t="s">
        <v>509</v>
      </c>
      <c r="P23" s="741" t="s">
        <v>509</v>
      </c>
      <c r="Q23" s="741" t="s">
        <v>509</v>
      </c>
      <c r="R23" s="741" t="s">
        <v>509</v>
      </c>
      <c r="S23" s="741" t="s">
        <v>509</v>
      </c>
      <c r="T23" s="741" t="s">
        <v>509</v>
      </c>
      <c r="U23" s="741" t="s">
        <v>509</v>
      </c>
      <c r="V23" s="741" t="s">
        <v>509</v>
      </c>
      <c r="W23" s="741" t="s">
        <v>509</v>
      </c>
      <c r="X23" s="741">
        <v>0</v>
      </c>
      <c r="Y23" s="741" t="s">
        <v>509</v>
      </c>
      <c r="Z23" s="741">
        <v>0.2</v>
      </c>
      <c r="AA23" s="741">
        <v>0.6</v>
      </c>
      <c r="AB23" s="741">
        <v>0.4</v>
      </c>
      <c r="AC23" s="741">
        <v>1.6</v>
      </c>
      <c r="AD23" s="741">
        <v>1.1000000000000001</v>
      </c>
      <c r="AE23" s="741">
        <v>1</v>
      </c>
      <c r="AF23" s="542">
        <v>1.3</v>
      </c>
      <c r="AG23" s="542">
        <v>1</v>
      </c>
      <c r="AH23" s="542">
        <v>1.9</v>
      </c>
      <c r="AI23" s="542">
        <v>7.3</v>
      </c>
      <c r="AJ23" s="542">
        <v>67.400000000000006</v>
      </c>
      <c r="AK23" s="542">
        <v>56.4</v>
      </c>
      <c r="AL23" s="542">
        <v>95.3</v>
      </c>
      <c r="AM23" s="542">
        <v>142.1</v>
      </c>
      <c r="AN23" s="542">
        <v>72.099999999999994</v>
      </c>
      <c r="AO23" s="542">
        <v>26.7</v>
      </c>
      <c r="AP23" s="542">
        <v>48.1</v>
      </c>
      <c r="AQ23" s="542">
        <v>84.5</v>
      </c>
      <c r="AR23" s="542">
        <v>103.3</v>
      </c>
      <c r="AS23" s="542">
        <v>145.80000000000001</v>
      </c>
      <c r="AT23" s="542">
        <v>142.9</v>
      </c>
      <c r="AU23" s="542">
        <v>126.7</v>
      </c>
      <c r="AV23" s="542">
        <v>158.72956021000002</v>
      </c>
      <c r="AW23" s="542">
        <v>124.52209999999999</v>
      </c>
    </row>
    <row r="24" spans="1:49" ht="14.25" customHeight="1">
      <c r="A24" s="543" t="s">
        <v>25</v>
      </c>
      <c r="B24" s="740" t="s">
        <v>509</v>
      </c>
      <c r="C24" s="740" t="s">
        <v>509</v>
      </c>
      <c r="D24" s="740" t="s">
        <v>509</v>
      </c>
      <c r="E24" s="740" t="s">
        <v>509</v>
      </c>
      <c r="F24" s="740" t="s">
        <v>509</v>
      </c>
      <c r="G24" s="740" t="s">
        <v>509</v>
      </c>
      <c r="H24" s="740" t="s">
        <v>509</v>
      </c>
      <c r="I24" s="740" t="s">
        <v>509</v>
      </c>
      <c r="J24" s="740" t="s">
        <v>509</v>
      </c>
      <c r="K24" s="740" t="s">
        <v>509</v>
      </c>
      <c r="L24" s="740" t="s">
        <v>509</v>
      </c>
      <c r="M24" s="740" t="s">
        <v>509</v>
      </c>
      <c r="N24" s="740" t="s">
        <v>509</v>
      </c>
      <c r="O24" s="740" t="s">
        <v>509</v>
      </c>
      <c r="P24" s="740" t="s">
        <v>509</v>
      </c>
      <c r="Q24" s="740" t="s">
        <v>509</v>
      </c>
      <c r="R24" s="740" t="s">
        <v>509</v>
      </c>
      <c r="S24" s="740" t="s">
        <v>509</v>
      </c>
      <c r="T24" s="740" t="s">
        <v>509</v>
      </c>
      <c r="U24" s="740" t="s">
        <v>509</v>
      </c>
      <c r="V24" s="740" t="s">
        <v>509</v>
      </c>
      <c r="W24" s="740" t="s">
        <v>509</v>
      </c>
      <c r="X24" s="740" t="s">
        <v>509</v>
      </c>
      <c r="Y24" s="740" t="s">
        <v>509</v>
      </c>
      <c r="Z24" s="740" t="s">
        <v>509</v>
      </c>
      <c r="AA24" s="740" t="s">
        <v>509</v>
      </c>
      <c r="AB24" s="740" t="s">
        <v>509</v>
      </c>
      <c r="AC24" s="740">
        <v>5123.9973054898337</v>
      </c>
      <c r="AD24" s="740">
        <v>5735.5994908289458</v>
      </c>
      <c r="AE24" s="740">
        <v>8513.2980376622909</v>
      </c>
      <c r="AF24" s="540">
        <v>10880.671934906988</v>
      </c>
      <c r="AG24" s="540">
        <v>17494.711186012813</v>
      </c>
      <c r="AH24" s="540">
        <v>21659.321762646341</v>
      </c>
      <c r="AI24" s="540">
        <v>14506.5</v>
      </c>
      <c r="AJ24" s="540">
        <v>30024.478472002549</v>
      </c>
      <c r="AK24" s="540">
        <v>27964.134057431402</v>
      </c>
      <c r="AL24" s="540">
        <v>18398.955553104595</v>
      </c>
      <c r="AM24" s="540">
        <v>25455.309145976677</v>
      </c>
      <c r="AN24" s="540">
        <v>28324.371027554891</v>
      </c>
      <c r="AO24" s="540">
        <v>32276.86806377285</v>
      </c>
      <c r="AP24" s="540">
        <v>27363.247120336691</v>
      </c>
      <c r="AQ24" s="540">
        <v>33046.108724836173</v>
      </c>
      <c r="AR24" s="540">
        <v>28410.456168766268</v>
      </c>
      <c r="AS24" s="540">
        <v>37188.239996730779</v>
      </c>
      <c r="AT24" s="540">
        <v>37480.734740448686</v>
      </c>
      <c r="AU24" s="540">
        <v>26313.183200676394</v>
      </c>
      <c r="AV24" s="540">
        <v>34866.77359790761</v>
      </c>
      <c r="AW24" s="540">
        <v>31034.616464042301</v>
      </c>
    </row>
    <row r="25" spans="1:49" ht="14.25" customHeight="1">
      <c r="A25" s="543" t="s">
        <v>574</v>
      </c>
      <c r="B25" s="741" t="s">
        <v>509</v>
      </c>
      <c r="C25" s="741" t="s">
        <v>509</v>
      </c>
      <c r="D25" s="741" t="s">
        <v>509</v>
      </c>
      <c r="E25" s="741" t="s">
        <v>509</v>
      </c>
      <c r="F25" s="741" t="s">
        <v>509</v>
      </c>
      <c r="G25" s="741" t="s">
        <v>509</v>
      </c>
      <c r="H25" s="741" t="s">
        <v>509</v>
      </c>
      <c r="I25" s="741" t="s">
        <v>509</v>
      </c>
      <c r="J25" s="741" t="s">
        <v>509</v>
      </c>
      <c r="K25" s="741" t="s">
        <v>509</v>
      </c>
      <c r="L25" s="741" t="s">
        <v>509</v>
      </c>
      <c r="M25" s="741" t="s">
        <v>509</v>
      </c>
      <c r="N25" s="741" t="s">
        <v>509</v>
      </c>
      <c r="O25" s="741" t="s">
        <v>509</v>
      </c>
      <c r="P25" s="741" t="s">
        <v>509</v>
      </c>
      <c r="Q25" s="741" t="s">
        <v>509</v>
      </c>
      <c r="R25" s="741" t="s">
        <v>509</v>
      </c>
      <c r="S25" s="741" t="s">
        <v>509</v>
      </c>
      <c r="T25" s="741" t="s">
        <v>509</v>
      </c>
      <c r="U25" s="741" t="s">
        <v>509</v>
      </c>
      <c r="V25" s="741" t="s">
        <v>509</v>
      </c>
      <c r="W25" s="741" t="s">
        <v>509</v>
      </c>
      <c r="X25" s="741" t="s">
        <v>509</v>
      </c>
      <c r="Y25" s="741" t="s">
        <v>509</v>
      </c>
      <c r="Z25" s="741" t="s">
        <v>509</v>
      </c>
      <c r="AA25" s="741" t="s">
        <v>509</v>
      </c>
      <c r="AB25" s="741" t="s">
        <v>509</v>
      </c>
      <c r="AC25" s="741" t="s">
        <v>509</v>
      </c>
      <c r="AD25" s="741" t="s">
        <v>509</v>
      </c>
      <c r="AE25" s="741" t="s">
        <v>509</v>
      </c>
      <c r="AF25" s="542" t="s">
        <v>509</v>
      </c>
      <c r="AG25" s="542" t="s">
        <v>509</v>
      </c>
      <c r="AH25" s="542" t="s">
        <v>509</v>
      </c>
      <c r="AI25" s="542" t="s">
        <v>509</v>
      </c>
      <c r="AJ25" s="542" t="s">
        <v>509</v>
      </c>
      <c r="AK25" s="542" t="s">
        <v>509</v>
      </c>
      <c r="AL25" s="542" t="s">
        <v>509</v>
      </c>
      <c r="AM25" s="542" t="s">
        <v>509</v>
      </c>
      <c r="AN25" s="542" t="s">
        <v>509</v>
      </c>
      <c r="AO25" s="542" t="s">
        <v>509</v>
      </c>
      <c r="AP25" s="542" t="s">
        <v>509</v>
      </c>
      <c r="AQ25" s="542" t="s">
        <v>509</v>
      </c>
      <c r="AR25" s="542" t="s">
        <v>509</v>
      </c>
      <c r="AS25" s="542" t="s">
        <v>509</v>
      </c>
      <c r="AT25" s="542" t="s">
        <v>509</v>
      </c>
      <c r="AU25" s="542" t="s">
        <v>509</v>
      </c>
      <c r="AV25" s="542" t="s">
        <v>509</v>
      </c>
      <c r="AW25" s="542" t="s">
        <v>509</v>
      </c>
    </row>
    <row r="26" spans="1:49" ht="14.25" customHeight="1">
      <c r="A26" s="543" t="s">
        <v>182</v>
      </c>
      <c r="B26" s="740" t="s">
        <v>509</v>
      </c>
      <c r="C26" s="740" t="s">
        <v>509</v>
      </c>
      <c r="D26" s="740" t="s">
        <v>509</v>
      </c>
      <c r="E26" s="740" t="s">
        <v>509</v>
      </c>
      <c r="F26" s="740" t="s">
        <v>509</v>
      </c>
      <c r="G26" s="740" t="s">
        <v>509</v>
      </c>
      <c r="H26" s="740" t="s">
        <v>509</v>
      </c>
      <c r="I26" s="740" t="s">
        <v>509</v>
      </c>
      <c r="J26" s="740" t="s">
        <v>509</v>
      </c>
      <c r="K26" s="740">
        <v>0</v>
      </c>
      <c r="L26" s="740">
        <v>0</v>
      </c>
      <c r="M26" s="740">
        <v>0</v>
      </c>
      <c r="N26" s="740">
        <v>0</v>
      </c>
      <c r="O26" s="740">
        <v>0</v>
      </c>
      <c r="P26" s="740">
        <v>0</v>
      </c>
      <c r="Q26" s="740">
        <v>0</v>
      </c>
      <c r="R26" s="740">
        <v>0</v>
      </c>
      <c r="S26" s="740">
        <v>0</v>
      </c>
      <c r="T26" s="740">
        <v>0</v>
      </c>
      <c r="U26" s="740">
        <v>0</v>
      </c>
      <c r="V26" s="740">
        <v>0</v>
      </c>
      <c r="W26" s="740">
        <v>0</v>
      </c>
      <c r="X26" s="740">
        <v>0</v>
      </c>
      <c r="Y26" s="740">
        <v>0</v>
      </c>
      <c r="Z26" s="740">
        <v>0</v>
      </c>
      <c r="AA26" s="740">
        <v>0</v>
      </c>
      <c r="AB26" s="740">
        <v>0.31300953232381801</v>
      </c>
      <c r="AC26" s="740">
        <v>0.30042335226459899</v>
      </c>
      <c r="AD26" s="740">
        <v>0.37559682103650149</v>
      </c>
      <c r="AE26" s="740">
        <v>0.40868550044485547</v>
      </c>
      <c r="AF26" s="540">
        <v>0.49926792154934502</v>
      </c>
      <c r="AG26" s="540">
        <v>0.53814692311296752</v>
      </c>
      <c r="AH26" s="540">
        <v>0.51906820261416653</v>
      </c>
      <c r="AI26" s="540">
        <v>0.59643729970118597</v>
      </c>
      <c r="AJ26" s="540">
        <v>0.43838696539140998</v>
      </c>
      <c r="AK26" s="540">
        <v>0.445193008258913</v>
      </c>
      <c r="AL26" s="540">
        <v>0.6</v>
      </c>
      <c r="AM26" s="540">
        <v>0.89201358476275994</v>
      </c>
      <c r="AN26" s="540">
        <v>0.92375658019222007</v>
      </c>
      <c r="AO26" s="540">
        <v>1.054859189486095</v>
      </c>
      <c r="AP26" s="540">
        <v>1.210522334291305</v>
      </c>
      <c r="AQ26" s="540">
        <v>1.332729695083557</v>
      </c>
      <c r="AR26" s="540">
        <v>1.4821695822150374</v>
      </c>
      <c r="AS26" s="540">
        <v>1.5748838405803605</v>
      </c>
      <c r="AT26" s="540">
        <v>1.6566692472639257</v>
      </c>
      <c r="AU26" s="540">
        <v>2.0617052676042666</v>
      </c>
      <c r="AV26" s="540">
        <v>2.2965951753189406</v>
      </c>
      <c r="AW26" s="540">
        <v>2.2571826275133402</v>
      </c>
    </row>
    <row r="27" spans="1:49" ht="14.25" customHeight="1">
      <c r="A27" s="543" t="s">
        <v>218</v>
      </c>
      <c r="B27" s="741">
        <v>0</v>
      </c>
      <c r="C27" s="741">
        <v>0</v>
      </c>
      <c r="D27" s="741">
        <v>0</v>
      </c>
      <c r="E27" s="741">
        <v>0</v>
      </c>
      <c r="F27" s="741">
        <v>0</v>
      </c>
      <c r="G27" s="741">
        <v>0</v>
      </c>
      <c r="H27" s="741">
        <v>0</v>
      </c>
      <c r="I27" s="741">
        <v>0</v>
      </c>
      <c r="J27" s="741">
        <v>0</v>
      </c>
      <c r="K27" s="741">
        <v>0</v>
      </c>
      <c r="L27" s="741">
        <v>0</v>
      </c>
      <c r="M27" s="741">
        <v>0</v>
      </c>
      <c r="N27" s="741">
        <v>0</v>
      </c>
      <c r="O27" s="741">
        <v>0</v>
      </c>
      <c r="P27" s="741">
        <v>0</v>
      </c>
      <c r="Q27" s="741">
        <v>0</v>
      </c>
      <c r="R27" s="741">
        <v>0</v>
      </c>
      <c r="S27" s="741">
        <v>0</v>
      </c>
      <c r="T27" s="741">
        <v>0</v>
      </c>
      <c r="U27" s="741">
        <v>0</v>
      </c>
      <c r="V27" s="741">
        <v>0</v>
      </c>
      <c r="W27" s="741">
        <v>10.188593957462864</v>
      </c>
      <c r="X27" s="741">
        <v>1.3792054853832456</v>
      </c>
      <c r="Y27" s="741">
        <v>3.4765553531967837</v>
      </c>
      <c r="Z27" s="741">
        <v>1.6247657207353525E-2</v>
      </c>
      <c r="AA27" s="741">
        <v>0.24218257969862536</v>
      </c>
      <c r="AB27" s="741">
        <v>0.4847093365624276</v>
      </c>
      <c r="AC27" s="741">
        <v>6.486830332942399E-2</v>
      </c>
      <c r="AD27" s="741">
        <v>0.42593739660184182</v>
      </c>
      <c r="AE27" s="741">
        <v>0.50631660083330798</v>
      </c>
      <c r="AF27" s="542">
        <v>-0.89519680186398187</v>
      </c>
      <c r="AG27" s="542">
        <v>0.57424442007451737</v>
      </c>
      <c r="AH27" s="542">
        <v>0.30294564382463574</v>
      </c>
      <c r="AI27" s="542">
        <v>0.41031386322769664</v>
      </c>
      <c r="AJ27" s="542">
        <v>1.1737353163012212</v>
      </c>
      <c r="AK27" s="542">
        <v>1.7482013556783382</v>
      </c>
      <c r="AL27" s="542">
        <v>44.2</v>
      </c>
      <c r="AM27" s="542">
        <v>21.812871883477591</v>
      </c>
      <c r="AN27" s="542">
        <v>0.85624685579133997</v>
      </c>
      <c r="AO27" s="542">
        <v>3.4423792765348908</v>
      </c>
      <c r="AP27" s="542">
        <v>-1.6998987053695973</v>
      </c>
      <c r="AQ27" s="542">
        <v>2.4989638342231206</v>
      </c>
      <c r="AR27" s="542">
        <v>2.84376268969929</v>
      </c>
      <c r="AS27" s="542">
        <v>0.67693293262556298</v>
      </c>
      <c r="AT27" s="542">
        <v>10.077125692749817</v>
      </c>
      <c r="AU27" s="542">
        <v>9.4740059840805486</v>
      </c>
      <c r="AV27" s="542">
        <v>8.1904906662024271</v>
      </c>
      <c r="AW27" s="542" t="s">
        <v>509</v>
      </c>
    </row>
    <row r="28" spans="1:49" ht="14.25" customHeight="1">
      <c r="A28" s="543" t="s">
        <v>89</v>
      </c>
      <c r="B28" s="740" t="s">
        <v>509</v>
      </c>
      <c r="C28" s="740" t="s">
        <v>509</v>
      </c>
      <c r="D28" s="740" t="s">
        <v>509</v>
      </c>
      <c r="E28" s="740" t="s">
        <v>509</v>
      </c>
      <c r="F28" s="740" t="s">
        <v>509</v>
      </c>
      <c r="G28" s="740" t="s">
        <v>509</v>
      </c>
      <c r="H28" s="740" t="s">
        <v>509</v>
      </c>
      <c r="I28" s="740" t="s">
        <v>509</v>
      </c>
      <c r="J28" s="740" t="s">
        <v>509</v>
      </c>
      <c r="K28" s="740" t="s">
        <v>509</v>
      </c>
      <c r="L28" s="740" t="s">
        <v>509</v>
      </c>
      <c r="M28" s="740" t="s">
        <v>509</v>
      </c>
      <c r="N28" s="740" t="s">
        <v>509</v>
      </c>
      <c r="O28" s="740" t="s">
        <v>509</v>
      </c>
      <c r="P28" s="740" t="s">
        <v>509</v>
      </c>
      <c r="Q28" s="740" t="s">
        <v>509</v>
      </c>
      <c r="R28" s="740" t="s">
        <v>509</v>
      </c>
      <c r="S28" s="740" t="s">
        <v>509</v>
      </c>
      <c r="T28" s="740" t="s">
        <v>509</v>
      </c>
      <c r="U28" s="740" t="s">
        <v>509</v>
      </c>
      <c r="V28" s="740" t="s">
        <v>509</v>
      </c>
      <c r="W28" s="740" t="s">
        <v>509</v>
      </c>
      <c r="X28" s="740" t="s">
        <v>509</v>
      </c>
      <c r="Y28" s="740" t="s">
        <v>509</v>
      </c>
      <c r="Z28" s="740" t="s">
        <v>509</v>
      </c>
      <c r="AA28" s="740" t="s">
        <v>509</v>
      </c>
      <c r="AB28" s="740" t="s">
        <v>509</v>
      </c>
      <c r="AC28" s="740" t="s">
        <v>509</v>
      </c>
      <c r="AD28" s="740" t="s">
        <v>509</v>
      </c>
      <c r="AE28" s="740" t="s">
        <v>509</v>
      </c>
      <c r="AF28" s="540" t="s">
        <v>509</v>
      </c>
      <c r="AG28" s="540">
        <v>189.2</v>
      </c>
      <c r="AH28" s="540">
        <v>211.25261486057471</v>
      </c>
      <c r="AI28" s="540">
        <v>302.888566607472</v>
      </c>
      <c r="AJ28" s="540">
        <v>99.942141101356299</v>
      </c>
      <c r="AK28" s="540">
        <v>86.493836950281903</v>
      </c>
      <c r="AL28" s="540">
        <v>96.450208151142704</v>
      </c>
      <c r="AM28" s="540">
        <v>80.270966318248298</v>
      </c>
      <c r="AN28" s="540">
        <v>643.39557075018797</v>
      </c>
      <c r="AO28" s="540">
        <v>78.1947223493965</v>
      </c>
      <c r="AP28" s="540">
        <v>99.742837894054404</v>
      </c>
      <c r="AQ28" s="540">
        <v>113.559382737118</v>
      </c>
      <c r="AR28" s="540">
        <v>151.29590389958199</v>
      </c>
      <c r="AS28" s="540">
        <v>85.737785855275305</v>
      </c>
      <c r="AT28" s="540">
        <v>66.466240040040304</v>
      </c>
      <c r="AU28" s="540">
        <v>63.305837354773402</v>
      </c>
      <c r="AV28" s="540">
        <v>59.944234144303394</v>
      </c>
      <c r="AW28" s="540" t="s">
        <v>509</v>
      </c>
    </row>
    <row r="29" spans="1:49" ht="14.25" customHeight="1">
      <c r="A29" s="543" t="s">
        <v>219</v>
      </c>
      <c r="B29" s="741" t="s">
        <v>509</v>
      </c>
      <c r="C29" s="741" t="s">
        <v>509</v>
      </c>
      <c r="D29" s="741" t="s">
        <v>509</v>
      </c>
      <c r="E29" s="741" t="s">
        <v>509</v>
      </c>
      <c r="F29" s="741" t="s">
        <v>509</v>
      </c>
      <c r="G29" s="741" t="s">
        <v>509</v>
      </c>
      <c r="H29" s="741" t="s">
        <v>509</v>
      </c>
      <c r="I29" s="741" t="s">
        <v>509</v>
      </c>
      <c r="J29" s="741" t="s">
        <v>509</v>
      </c>
      <c r="K29" s="741" t="s">
        <v>509</v>
      </c>
      <c r="L29" s="741" t="s">
        <v>509</v>
      </c>
      <c r="M29" s="741" t="s">
        <v>509</v>
      </c>
      <c r="N29" s="741" t="s">
        <v>509</v>
      </c>
      <c r="O29" s="741" t="s">
        <v>509</v>
      </c>
      <c r="P29" s="741" t="s">
        <v>509</v>
      </c>
      <c r="Q29" s="741" t="s">
        <v>509</v>
      </c>
      <c r="R29" s="741" t="s">
        <v>509</v>
      </c>
      <c r="S29" s="741" t="s">
        <v>509</v>
      </c>
      <c r="T29" s="741" t="s">
        <v>509</v>
      </c>
      <c r="U29" s="741" t="s">
        <v>509</v>
      </c>
      <c r="V29" s="741" t="s">
        <v>509</v>
      </c>
      <c r="W29" s="741" t="s">
        <v>509</v>
      </c>
      <c r="X29" s="741" t="s">
        <v>509</v>
      </c>
      <c r="Y29" s="741" t="s">
        <v>509</v>
      </c>
      <c r="Z29" s="741" t="s">
        <v>509</v>
      </c>
      <c r="AA29" s="741" t="s">
        <v>509</v>
      </c>
      <c r="AB29" s="741" t="s">
        <v>509</v>
      </c>
      <c r="AC29" s="741" t="s">
        <v>509</v>
      </c>
      <c r="AD29" s="741" t="s">
        <v>509</v>
      </c>
      <c r="AE29" s="741" t="s">
        <v>509</v>
      </c>
      <c r="AF29" s="542" t="s">
        <v>509</v>
      </c>
      <c r="AG29" s="542">
        <v>0</v>
      </c>
      <c r="AH29" s="542" t="s">
        <v>509</v>
      </c>
      <c r="AI29" s="542" t="s">
        <v>509</v>
      </c>
      <c r="AJ29" s="542" t="s">
        <v>509</v>
      </c>
      <c r="AK29" s="542" t="s">
        <v>509</v>
      </c>
      <c r="AL29" s="542" t="s">
        <v>509</v>
      </c>
      <c r="AM29" s="542" t="s">
        <v>509</v>
      </c>
      <c r="AN29" s="542" t="s">
        <v>509</v>
      </c>
      <c r="AO29" s="542">
        <v>0</v>
      </c>
      <c r="AP29" s="542">
        <v>0</v>
      </c>
      <c r="AQ29" s="542">
        <v>0</v>
      </c>
      <c r="AR29" s="542">
        <v>0</v>
      </c>
      <c r="AS29" s="542">
        <v>0</v>
      </c>
      <c r="AT29" s="542">
        <v>0</v>
      </c>
      <c r="AU29" s="542">
        <v>0</v>
      </c>
      <c r="AV29" s="542">
        <v>0</v>
      </c>
      <c r="AW29" s="542">
        <v>0</v>
      </c>
    </row>
    <row r="30" spans="1:49" ht="14.25" customHeight="1">
      <c r="A30" s="543" t="s">
        <v>220</v>
      </c>
      <c r="B30" s="740" t="s">
        <v>509</v>
      </c>
      <c r="C30" s="740">
        <v>0</v>
      </c>
      <c r="D30" s="740">
        <v>0</v>
      </c>
      <c r="E30" s="740">
        <v>0</v>
      </c>
      <c r="F30" s="740">
        <v>0</v>
      </c>
      <c r="G30" s="740">
        <v>0.1</v>
      </c>
      <c r="H30" s="740">
        <v>0.5</v>
      </c>
      <c r="I30" s="740">
        <v>0.5</v>
      </c>
      <c r="J30" s="740">
        <v>0.5</v>
      </c>
      <c r="K30" s="740">
        <v>0</v>
      </c>
      <c r="L30" s="740">
        <v>0</v>
      </c>
      <c r="M30" s="740">
        <v>0</v>
      </c>
      <c r="N30" s="740">
        <v>0</v>
      </c>
      <c r="O30" s="740">
        <v>0</v>
      </c>
      <c r="P30" s="740">
        <v>0</v>
      </c>
      <c r="Q30" s="740">
        <v>0</v>
      </c>
      <c r="R30" s="740">
        <v>0</v>
      </c>
      <c r="S30" s="740">
        <v>0</v>
      </c>
      <c r="T30" s="740">
        <v>0</v>
      </c>
      <c r="U30" s="740">
        <v>0</v>
      </c>
      <c r="V30" s="740">
        <v>0</v>
      </c>
      <c r="W30" s="740">
        <v>20</v>
      </c>
      <c r="X30" s="740">
        <v>2.8</v>
      </c>
      <c r="Y30" s="740">
        <v>3.2</v>
      </c>
      <c r="Z30" s="740">
        <v>3.2</v>
      </c>
      <c r="AA30" s="740">
        <v>3.2</v>
      </c>
      <c r="AB30" s="740">
        <v>2.98</v>
      </c>
      <c r="AC30" s="740">
        <v>3</v>
      </c>
      <c r="AD30" s="740">
        <v>3.18</v>
      </c>
      <c r="AE30" s="740">
        <v>2.8</v>
      </c>
      <c r="AF30" s="540">
        <v>3</v>
      </c>
      <c r="AG30" s="540">
        <v>3</v>
      </c>
      <c r="AH30" s="540">
        <v>3</v>
      </c>
      <c r="AI30" s="540">
        <v>3</v>
      </c>
      <c r="AJ30" s="540">
        <v>3</v>
      </c>
      <c r="AK30" s="540">
        <v>-28.805361000000001</v>
      </c>
      <c r="AL30" s="540">
        <v>0.27476672733845497</v>
      </c>
      <c r="AM30" s="540">
        <v>0</v>
      </c>
      <c r="AN30" s="540">
        <v>0</v>
      </c>
      <c r="AO30" s="540">
        <v>0</v>
      </c>
      <c r="AP30" s="540">
        <v>0</v>
      </c>
      <c r="AQ30" s="540">
        <v>0</v>
      </c>
      <c r="AR30" s="540">
        <v>26.3228451723954</v>
      </c>
      <c r="AS30" s="540">
        <v>-20.647569530013001</v>
      </c>
      <c r="AT30" s="540">
        <v>-15.431806325365343</v>
      </c>
      <c r="AU30" s="540">
        <v>10.073438907851044</v>
      </c>
      <c r="AV30" s="540">
        <v>-6.6316263271883438</v>
      </c>
      <c r="AW30" s="540">
        <v>10.376967439167238</v>
      </c>
    </row>
    <row r="31" spans="1:49" ht="14.25" customHeight="1">
      <c r="A31" s="543" t="s">
        <v>221</v>
      </c>
      <c r="B31" s="741" t="s">
        <v>509</v>
      </c>
      <c r="C31" s="741" t="s">
        <v>509</v>
      </c>
      <c r="D31" s="741" t="s">
        <v>509</v>
      </c>
      <c r="E31" s="741" t="s">
        <v>509</v>
      </c>
      <c r="F31" s="741" t="s">
        <v>509</v>
      </c>
      <c r="G31" s="741" t="s">
        <v>509</v>
      </c>
      <c r="H31" s="741" t="s">
        <v>509</v>
      </c>
      <c r="I31" s="741" t="s">
        <v>509</v>
      </c>
      <c r="J31" s="741" t="s">
        <v>509</v>
      </c>
      <c r="K31" s="741" t="s">
        <v>509</v>
      </c>
      <c r="L31" s="741" t="s">
        <v>509</v>
      </c>
      <c r="M31" s="741" t="s">
        <v>509</v>
      </c>
      <c r="N31" s="741" t="s">
        <v>509</v>
      </c>
      <c r="O31" s="741" t="s">
        <v>509</v>
      </c>
      <c r="P31" s="741" t="s">
        <v>509</v>
      </c>
      <c r="Q31" s="741" t="s">
        <v>509</v>
      </c>
      <c r="R31" s="741" t="s">
        <v>509</v>
      </c>
      <c r="S31" s="741" t="s">
        <v>509</v>
      </c>
      <c r="T31" s="741" t="s">
        <v>509</v>
      </c>
      <c r="U31" s="741" t="s">
        <v>509</v>
      </c>
      <c r="V31" s="741" t="s">
        <v>509</v>
      </c>
      <c r="W31" s="741" t="s">
        <v>509</v>
      </c>
      <c r="X31" s="741" t="s">
        <v>509</v>
      </c>
      <c r="Y31" s="741">
        <v>0</v>
      </c>
      <c r="Z31" s="741">
        <v>0</v>
      </c>
      <c r="AA31" s="741">
        <v>0</v>
      </c>
      <c r="AB31" s="741">
        <v>0</v>
      </c>
      <c r="AC31" s="741">
        <v>0</v>
      </c>
      <c r="AD31" s="741">
        <v>0</v>
      </c>
      <c r="AE31" s="741">
        <v>0</v>
      </c>
      <c r="AF31" s="542">
        <v>0</v>
      </c>
      <c r="AG31" s="542">
        <v>2.4396842490856673E-2</v>
      </c>
      <c r="AH31" s="542">
        <v>0.6</v>
      </c>
      <c r="AI31" s="542">
        <v>8.1043451772259949E-3</v>
      </c>
      <c r="AJ31" s="542">
        <v>0</v>
      </c>
      <c r="AK31" s="542">
        <v>1.0244372553999324</v>
      </c>
      <c r="AL31" s="542">
        <v>-0.30042642894701677</v>
      </c>
      <c r="AM31" s="542">
        <v>2.97230010891344E-2</v>
      </c>
      <c r="AN31" s="542">
        <v>-4.6915254555838724</v>
      </c>
      <c r="AO31" s="542">
        <v>-1.298162222300737</v>
      </c>
      <c r="AP31" s="542">
        <v>1.5483609091245054</v>
      </c>
      <c r="AQ31" s="542">
        <v>1.5638936540007475E-2</v>
      </c>
      <c r="AR31" s="542">
        <v>1.4889411247814397</v>
      </c>
      <c r="AS31" s="542">
        <v>1.4341666046925448</v>
      </c>
      <c r="AT31" s="542">
        <v>10.463051071787842</v>
      </c>
      <c r="AU31" s="542">
        <v>13.345205822711286</v>
      </c>
      <c r="AV31" s="542">
        <v>16.054163074833479</v>
      </c>
      <c r="AW31" s="542">
        <v>27.79068953400991</v>
      </c>
    </row>
    <row r="32" spans="1:49" ht="14.25" customHeight="1">
      <c r="A32" s="543" t="s">
        <v>222</v>
      </c>
      <c r="B32" s="740">
        <v>0</v>
      </c>
      <c r="C32" s="740">
        <v>0.92000023105805806</v>
      </c>
      <c r="D32" s="740">
        <v>0.47508214028670648</v>
      </c>
      <c r="E32" s="740">
        <v>0.6037502558135116</v>
      </c>
      <c r="F32" s="740">
        <v>0.24539676597172622</v>
      </c>
      <c r="G32" s="740">
        <v>0.77197722766506127</v>
      </c>
      <c r="H32" s="740">
        <v>0.35853502631272843</v>
      </c>
      <c r="I32" s="740">
        <v>0.29135807688402093</v>
      </c>
      <c r="J32" s="740">
        <v>0.36465546543685762</v>
      </c>
      <c r="K32" s="740">
        <v>0.38509725001575501</v>
      </c>
      <c r="L32" s="740">
        <v>0</v>
      </c>
      <c r="M32" s="740">
        <v>0</v>
      </c>
      <c r="N32" s="740">
        <v>7.2664859641172725</v>
      </c>
      <c r="O32" s="740">
        <v>8.2030529028553456</v>
      </c>
      <c r="P32" s="740">
        <v>14.641028048322035</v>
      </c>
      <c r="Q32" s="740">
        <v>27.949989227608366</v>
      </c>
      <c r="R32" s="740">
        <v>29.828498500330554</v>
      </c>
      <c r="S32" s="740">
        <v>31.852492623446182</v>
      </c>
      <c r="T32" s="740">
        <v>25.711131516771047</v>
      </c>
      <c r="U32" s="740">
        <v>25.180233293371511</v>
      </c>
      <c r="V32" s="740">
        <v>57.896116451154363</v>
      </c>
      <c r="W32" s="740">
        <v>20.095080615968349</v>
      </c>
      <c r="X32" s="740">
        <v>20.65787155015072</v>
      </c>
      <c r="Y32" s="740">
        <v>25.721269889348491</v>
      </c>
      <c r="Z32" s="740">
        <v>20.672973401224734</v>
      </c>
      <c r="AA32" s="740">
        <v>18.108511128278568</v>
      </c>
      <c r="AB32" s="740">
        <v>33.188695664579065</v>
      </c>
      <c r="AC32" s="740">
        <v>23.35727972502254</v>
      </c>
      <c r="AD32" s="740">
        <v>159.42649336655654</v>
      </c>
      <c r="AE32" s="740">
        <v>11.355324361751242</v>
      </c>
      <c r="AF32" s="540">
        <v>195.53755802022772</v>
      </c>
      <c r="AG32" s="540">
        <v>150.17288990274943</v>
      </c>
      <c r="AH32" s="540">
        <v>38.187067429136107</v>
      </c>
      <c r="AI32" s="540">
        <v>0.29808733397377779</v>
      </c>
      <c r="AJ32" s="540">
        <v>23.352454330627033</v>
      </c>
      <c r="AK32" s="540">
        <v>-0.3</v>
      </c>
      <c r="AL32" s="540">
        <v>0.81454196259267786</v>
      </c>
      <c r="AM32" s="540">
        <v>0.67634920375235996</v>
      </c>
      <c r="AN32" s="540">
        <v>2.4353732875998779</v>
      </c>
      <c r="AO32" s="540">
        <v>8.3743456035947315</v>
      </c>
      <c r="AP32" s="540">
        <v>4.3603034017041695</v>
      </c>
      <c r="AQ32" s="540">
        <v>1.467060834980437</v>
      </c>
      <c r="AR32" s="540">
        <v>2.3440271479438786</v>
      </c>
      <c r="AS32" s="540">
        <v>-38.990848172726494</v>
      </c>
      <c r="AT32" s="540">
        <v>-0.70025775080885877</v>
      </c>
      <c r="AU32" s="540">
        <v>-20.358714243501947</v>
      </c>
      <c r="AV32" s="540">
        <v>4.7642968053279224</v>
      </c>
      <c r="AW32" s="540">
        <v>-1.4830940654406906</v>
      </c>
    </row>
    <row r="33" spans="1:49" ht="14.25" customHeight="1">
      <c r="A33" s="543" t="s">
        <v>37</v>
      </c>
      <c r="B33" s="741">
        <v>2</v>
      </c>
      <c r="C33" s="741">
        <v>4</v>
      </c>
      <c r="D33" s="741">
        <v>2</v>
      </c>
      <c r="E33" s="741">
        <v>4</v>
      </c>
      <c r="F33" s="741">
        <v>104</v>
      </c>
      <c r="G33" s="741">
        <v>234</v>
      </c>
      <c r="H33" s="741">
        <v>217</v>
      </c>
      <c r="I33" s="741">
        <v>277</v>
      </c>
      <c r="J33" s="741">
        <v>4</v>
      </c>
      <c r="K33" s="741">
        <v>3</v>
      </c>
      <c r="L33" s="741">
        <v>80</v>
      </c>
      <c r="M33" s="741">
        <v>41</v>
      </c>
      <c r="N33" s="741">
        <v>31</v>
      </c>
      <c r="O33" s="741">
        <v>3</v>
      </c>
      <c r="P33" s="741">
        <v>1</v>
      </c>
      <c r="Q33" s="741">
        <v>27</v>
      </c>
      <c r="R33" s="741">
        <v>22</v>
      </c>
      <c r="S33" s="741">
        <v>75</v>
      </c>
      <c r="T33" s="741">
        <v>171</v>
      </c>
      <c r="U33" s="741">
        <v>365</v>
      </c>
      <c r="V33" s="741">
        <v>770</v>
      </c>
      <c r="W33" s="741">
        <v>1409</v>
      </c>
      <c r="X33" s="741">
        <v>862.45899999999995</v>
      </c>
      <c r="Y33" s="741">
        <v>420.767</v>
      </c>
      <c r="Z33" s="741">
        <v>1389.3330000000001</v>
      </c>
      <c r="AA33" s="741">
        <v>931.92700000000002</v>
      </c>
      <c r="AB33" s="741">
        <v>264.48200000000003</v>
      </c>
      <c r="AC33" s="741">
        <v>857.41700000000003</v>
      </c>
      <c r="AD33" s="741">
        <v>759.601</v>
      </c>
      <c r="AE33" s="741">
        <v>915.67399999999998</v>
      </c>
      <c r="AF33" s="542">
        <v>640.96400000000006</v>
      </c>
      <c r="AG33" s="542">
        <v>928.06200000000001</v>
      </c>
      <c r="AH33" s="542">
        <v>1152.0969414062499</v>
      </c>
      <c r="AI33" s="542">
        <v>1525.8879999999999</v>
      </c>
      <c r="AJ33" s="542">
        <v>1186.2378000000001</v>
      </c>
      <c r="AK33" s="542">
        <v>10594</v>
      </c>
      <c r="AL33" s="542">
        <v>13348.49285461</v>
      </c>
      <c r="AM33" s="542">
        <v>2353.6683966199998</v>
      </c>
      <c r="AN33" s="542">
        <v>7076.9583626899994</v>
      </c>
      <c r="AO33" s="542">
        <v>2282.7781375999998</v>
      </c>
      <c r="AP33" s="542">
        <v>-2514.3501642800002</v>
      </c>
      <c r="AQ33" s="542">
        <v>7836.2133560100001</v>
      </c>
      <c r="AR33" s="542">
        <v>17305.62394388</v>
      </c>
      <c r="AS33" s="542">
        <v>4787.8638876999994</v>
      </c>
      <c r="AT33" s="542">
        <v>15932.08720607</v>
      </c>
      <c r="AU33" s="542">
        <v>13090.050485739999</v>
      </c>
      <c r="AV33" s="542">
        <v>24647.472291669998</v>
      </c>
      <c r="AW33" s="542">
        <v>28979.519148700001</v>
      </c>
    </row>
    <row r="34" spans="1:49" ht="14.25" customHeight="1">
      <c r="A34" s="543" t="s">
        <v>223</v>
      </c>
      <c r="B34" s="740" t="s">
        <v>509</v>
      </c>
      <c r="C34" s="740" t="s">
        <v>509</v>
      </c>
      <c r="D34" s="740" t="s">
        <v>509</v>
      </c>
      <c r="E34" s="740" t="s">
        <v>509</v>
      </c>
      <c r="F34" s="740" t="s">
        <v>509</v>
      </c>
      <c r="G34" s="740" t="s">
        <v>509</v>
      </c>
      <c r="H34" s="740" t="s">
        <v>509</v>
      </c>
      <c r="I34" s="740" t="s">
        <v>509</v>
      </c>
      <c r="J34" s="740" t="s">
        <v>509</v>
      </c>
      <c r="K34" s="740" t="s">
        <v>509</v>
      </c>
      <c r="L34" s="740" t="s">
        <v>509</v>
      </c>
      <c r="M34" s="740" t="s">
        <v>509</v>
      </c>
      <c r="N34" s="740" t="s">
        <v>509</v>
      </c>
      <c r="O34" s="740" t="s">
        <v>509</v>
      </c>
      <c r="P34" s="740" t="s">
        <v>509</v>
      </c>
      <c r="Q34" s="740" t="s">
        <v>509</v>
      </c>
      <c r="R34" s="740" t="s">
        <v>509</v>
      </c>
      <c r="S34" s="740" t="s">
        <v>509</v>
      </c>
      <c r="T34" s="740" t="s">
        <v>509</v>
      </c>
      <c r="U34" s="740" t="s">
        <v>509</v>
      </c>
      <c r="V34" s="740" t="s">
        <v>509</v>
      </c>
      <c r="W34" s="740" t="s">
        <v>509</v>
      </c>
      <c r="X34" s="740" t="s">
        <v>509</v>
      </c>
      <c r="Y34" s="740" t="s">
        <v>509</v>
      </c>
      <c r="Z34" s="740" t="s">
        <v>509</v>
      </c>
      <c r="AA34" s="740" t="s">
        <v>509</v>
      </c>
      <c r="AB34" s="740" t="s">
        <v>509</v>
      </c>
      <c r="AC34" s="740" t="s">
        <v>509</v>
      </c>
      <c r="AD34" s="740" t="s">
        <v>509</v>
      </c>
      <c r="AE34" s="740" t="s">
        <v>509</v>
      </c>
      <c r="AF34" s="540" t="s">
        <v>509</v>
      </c>
      <c r="AG34" s="540" t="s">
        <v>509</v>
      </c>
      <c r="AH34" s="540" t="s">
        <v>509</v>
      </c>
      <c r="AI34" s="540" t="s">
        <v>509</v>
      </c>
      <c r="AJ34" s="540" t="s">
        <v>509</v>
      </c>
      <c r="AK34" s="540" t="s">
        <v>509</v>
      </c>
      <c r="AL34" s="540" t="s">
        <v>509</v>
      </c>
      <c r="AM34" s="540" t="s">
        <v>509</v>
      </c>
      <c r="AN34" s="540" t="s">
        <v>509</v>
      </c>
      <c r="AO34" s="540" t="s">
        <v>509</v>
      </c>
      <c r="AP34" s="540" t="s">
        <v>509</v>
      </c>
      <c r="AQ34" s="540" t="s">
        <v>509</v>
      </c>
      <c r="AR34" s="540" t="s">
        <v>509</v>
      </c>
      <c r="AS34" s="540" t="s">
        <v>509</v>
      </c>
      <c r="AT34" s="540" t="s">
        <v>509</v>
      </c>
      <c r="AU34" s="540" t="s">
        <v>509</v>
      </c>
      <c r="AV34" s="540" t="s">
        <v>509</v>
      </c>
      <c r="AW34" s="540" t="s">
        <v>509</v>
      </c>
    </row>
    <row r="35" spans="1:49" ht="14.25" customHeight="1">
      <c r="A35" s="543" t="s">
        <v>224</v>
      </c>
      <c r="B35" s="741" t="s">
        <v>509</v>
      </c>
      <c r="C35" s="741" t="s">
        <v>509</v>
      </c>
      <c r="D35" s="741" t="s">
        <v>509</v>
      </c>
      <c r="E35" s="741" t="s">
        <v>509</v>
      </c>
      <c r="F35" s="741" t="s">
        <v>509</v>
      </c>
      <c r="G35" s="741">
        <v>0</v>
      </c>
      <c r="H35" s="741">
        <v>0</v>
      </c>
      <c r="I35" s="741">
        <v>0</v>
      </c>
      <c r="J35" s="741">
        <v>0</v>
      </c>
      <c r="K35" s="741">
        <v>0</v>
      </c>
      <c r="L35" s="741">
        <v>0</v>
      </c>
      <c r="M35" s="741">
        <v>0</v>
      </c>
      <c r="N35" s="741">
        <v>0</v>
      </c>
      <c r="O35" s="741">
        <v>0</v>
      </c>
      <c r="P35" s="741">
        <v>0</v>
      </c>
      <c r="Q35" s="741">
        <v>0</v>
      </c>
      <c r="R35" s="741" t="s">
        <v>509</v>
      </c>
      <c r="S35" s="741">
        <v>0</v>
      </c>
      <c r="T35" s="741">
        <v>0</v>
      </c>
      <c r="U35" s="741">
        <v>0</v>
      </c>
      <c r="V35" s="741">
        <v>0</v>
      </c>
      <c r="W35" s="741" t="s">
        <v>509</v>
      </c>
      <c r="X35" s="741" t="s">
        <v>509</v>
      </c>
      <c r="Y35" s="741">
        <v>1.002</v>
      </c>
      <c r="Z35" s="741">
        <v>-0.88421935593813095</v>
      </c>
      <c r="AA35" s="741">
        <v>-2.5550909294071702</v>
      </c>
      <c r="AB35" s="741">
        <v>0.62974799999999997</v>
      </c>
      <c r="AC35" s="741">
        <v>1.0895188329664101</v>
      </c>
      <c r="AD35" s="741">
        <v>1.134518569539033</v>
      </c>
      <c r="AE35" s="741">
        <v>-0.682028774496649</v>
      </c>
      <c r="AF35" s="542">
        <v>7.6363667085046512</v>
      </c>
      <c r="AG35" s="542">
        <v>3.9780808508157555</v>
      </c>
      <c r="AH35" s="542">
        <v>-0.47515104197172076</v>
      </c>
      <c r="AI35" s="542">
        <v>52.636974514107422</v>
      </c>
      <c r="AJ35" s="542">
        <v>2.2621573641838904</v>
      </c>
      <c r="AK35" s="542">
        <v>5.6</v>
      </c>
      <c r="AL35" s="542">
        <v>-33.46</v>
      </c>
      <c r="AM35" s="542">
        <v>18.940000000000001</v>
      </c>
      <c r="AN35" s="542">
        <v>14.79</v>
      </c>
      <c r="AO35" s="542">
        <v>-30.41</v>
      </c>
      <c r="AP35" s="542">
        <v>-10.91</v>
      </c>
      <c r="AQ35" s="542">
        <v>46.04</v>
      </c>
      <c r="AR35" s="542">
        <v>107.02</v>
      </c>
      <c r="AS35" s="542">
        <v>9.19</v>
      </c>
      <c r="AT35" s="542">
        <v>118.32</v>
      </c>
      <c r="AU35" s="542">
        <v>10.47</v>
      </c>
      <c r="AV35" s="542">
        <v>354.3</v>
      </c>
      <c r="AW35" s="542">
        <v>376.03</v>
      </c>
    </row>
    <row r="36" spans="1:49" ht="14.25" customHeight="1">
      <c r="A36" s="543" t="s">
        <v>225</v>
      </c>
      <c r="B36" s="740" t="s">
        <v>509</v>
      </c>
      <c r="C36" s="740" t="s">
        <v>509</v>
      </c>
      <c r="D36" s="740" t="s">
        <v>509</v>
      </c>
      <c r="E36" s="740" t="s">
        <v>509</v>
      </c>
      <c r="F36" s="740" t="s">
        <v>509</v>
      </c>
      <c r="G36" s="740" t="s">
        <v>509</v>
      </c>
      <c r="H36" s="740" t="s">
        <v>509</v>
      </c>
      <c r="I36" s="740" t="s">
        <v>509</v>
      </c>
      <c r="J36" s="740" t="s">
        <v>509</v>
      </c>
      <c r="K36" s="740" t="s">
        <v>509</v>
      </c>
      <c r="L36" s="740" t="s">
        <v>509</v>
      </c>
      <c r="M36" s="740" t="s">
        <v>509</v>
      </c>
      <c r="N36" s="740" t="s">
        <v>509</v>
      </c>
      <c r="O36" s="740" t="s">
        <v>509</v>
      </c>
      <c r="P36" s="740" t="s">
        <v>509</v>
      </c>
      <c r="Q36" s="740" t="s">
        <v>509</v>
      </c>
      <c r="R36" s="740" t="s">
        <v>509</v>
      </c>
      <c r="S36" s="740" t="s">
        <v>509</v>
      </c>
      <c r="T36" s="740" t="s">
        <v>509</v>
      </c>
      <c r="U36" s="740" t="s">
        <v>509</v>
      </c>
      <c r="V36" s="740" t="s">
        <v>509</v>
      </c>
      <c r="W36" s="740" t="s">
        <v>509</v>
      </c>
      <c r="X36" s="740" t="s">
        <v>509</v>
      </c>
      <c r="Y36" s="740" t="s">
        <v>509</v>
      </c>
      <c r="Z36" s="740" t="s">
        <v>509</v>
      </c>
      <c r="AA36" s="740" t="s">
        <v>509</v>
      </c>
      <c r="AB36" s="740" t="s">
        <v>509</v>
      </c>
      <c r="AC36" s="740" t="s">
        <v>509</v>
      </c>
      <c r="AD36" s="740" t="s">
        <v>509</v>
      </c>
      <c r="AE36" s="740" t="s">
        <v>509</v>
      </c>
      <c r="AF36" s="540">
        <v>17.867900572798405</v>
      </c>
      <c r="AG36" s="540">
        <v>40.036320967595657</v>
      </c>
      <c r="AH36" s="540">
        <v>33.386699229776809</v>
      </c>
      <c r="AI36" s="540">
        <v>49.289233089259312</v>
      </c>
      <c r="AJ36" s="540">
        <v>26.981027950264853</v>
      </c>
      <c r="AK36" s="540">
        <v>18.682512522416417</v>
      </c>
      <c r="AL36" s="540">
        <v>23</v>
      </c>
      <c r="AM36" s="540">
        <v>21.376681039829968</v>
      </c>
      <c r="AN36" s="540">
        <v>17.50726176415742</v>
      </c>
      <c r="AO36" s="540">
        <v>19.359712598927743</v>
      </c>
      <c r="AP36" s="540">
        <v>8.8563876829007082</v>
      </c>
      <c r="AQ36" s="540">
        <v>10.43358321763869</v>
      </c>
      <c r="AR36" s="540">
        <v>11.202280873540056</v>
      </c>
      <c r="AS36" s="540">
        <v>38.170195667715703</v>
      </c>
      <c r="AT36" s="540">
        <v>12.394373610731977</v>
      </c>
      <c r="AU36" s="540">
        <v>12.993409453405354</v>
      </c>
      <c r="AV36" s="540">
        <v>14.00491174525148</v>
      </c>
      <c r="AW36" s="540" t="s">
        <v>509</v>
      </c>
    </row>
    <row r="37" spans="1:49" ht="14.25" customHeight="1">
      <c r="A37" s="543" t="s">
        <v>226</v>
      </c>
      <c r="B37" s="741" t="s">
        <v>509</v>
      </c>
      <c r="C37" s="741" t="s">
        <v>509</v>
      </c>
      <c r="D37" s="741" t="s">
        <v>509</v>
      </c>
      <c r="E37" s="741" t="s">
        <v>509</v>
      </c>
      <c r="F37" s="741" t="s">
        <v>509</v>
      </c>
      <c r="G37" s="741" t="s">
        <v>509</v>
      </c>
      <c r="H37" s="741" t="s">
        <v>509</v>
      </c>
      <c r="I37" s="741" t="s">
        <v>509</v>
      </c>
      <c r="J37" s="741" t="s">
        <v>509</v>
      </c>
      <c r="K37" s="741" t="s">
        <v>509</v>
      </c>
      <c r="L37" s="741">
        <v>0</v>
      </c>
      <c r="M37" s="741">
        <v>0</v>
      </c>
      <c r="N37" s="741">
        <v>0</v>
      </c>
      <c r="O37" s="741">
        <v>0</v>
      </c>
      <c r="P37" s="741">
        <v>0</v>
      </c>
      <c r="Q37" s="741">
        <v>0</v>
      </c>
      <c r="R37" s="741">
        <v>0</v>
      </c>
      <c r="S37" s="741">
        <v>0</v>
      </c>
      <c r="T37" s="741">
        <v>0</v>
      </c>
      <c r="U37" s="741">
        <v>0</v>
      </c>
      <c r="V37" s="741">
        <v>0</v>
      </c>
      <c r="W37" s="741">
        <v>0</v>
      </c>
      <c r="X37" s="741">
        <v>0</v>
      </c>
      <c r="Y37" s="741">
        <v>0</v>
      </c>
      <c r="Z37" s="741">
        <v>0</v>
      </c>
      <c r="AA37" s="741" t="s">
        <v>509</v>
      </c>
      <c r="AB37" s="741" t="s">
        <v>509</v>
      </c>
      <c r="AC37" s="741" t="s">
        <v>509</v>
      </c>
      <c r="AD37" s="741" t="s">
        <v>509</v>
      </c>
      <c r="AE37" s="741" t="s">
        <v>509</v>
      </c>
      <c r="AF37" s="542" t="s">
        <v>509</v>
      </c>
      <c r="AG37" s="542" t="s">
        <v>509</v>
      </c>
      <c r="AH37" s="542" t="s">
        <v>509</v>
      </c>
      <c r="AI37" s="542" t="s">
        <v>509</v>
      </c>
      <c r="AJ37" s="542" t="s">
        <v>509</v>
      </c>
      <c r="AK37" s="542" t="s">
        <v>509</v>
      </c>
      <c r="AL37" s="542" t="s">
        <v>509</v>
      </c>
      <c r="AM37" s="542" t="s">
        <v>509</v>
      </c>
      <c r="AN37" s="542" t="s">
        <v>509</v>
      </c>
      <c r="AO37" s="542">
        <v>3.4266798274160175E-2</v>
      </c>
      <c r="AP37" s="542">
        <v>3.1808672952767371E-3</v>
      </c>
      <c r="AQ37" s="542">
        <v>0.10171478762580864</v>
      </c>
      <c r="AR37" s="542">
        <v>1.7350518057551666E-3</v>
      </c>
      <c r="AS37" s="542">
        <v>1.9014212633163465E-2</v>
      </c>
      <c r="AT37" s="542" t="s">
        <v>509</v>
      </c>
      <c r="AU37" s="542" t="s">
        <v>509</v>
      </c>
      <c r="AV37" s="542" t="s">
        <v>509</v>
      </c>
      <c r="AW37" s="542" t="s">
        <v>509</v>
      </c>
    </row>
    <row r="38" spans="1:49" ht="14.25" customHeight="1">
      <c r="A38" s="543" t="s">
        <v>573</v>
      </c>
      <c r="B38" s="740" t="s">
        <v>509</v>
      </c>
      <c r="C38" s="740" t="s">
        <v>509</v>
      </c>
      <c r="D38" s="740">
        <v>0</v>
      </c>
      <c r="E38" s="740">
        <v>0</v>
      </c>
      <c r="F38" s="740">
        <v>0</v>
      </c>
      <c r="G38" s="740">
        <v>0</v>
      </c>
      <c r="H38" s="740">
        <v>0</v>
      </c>
      <c r="I38" s="740">
        <v>0</v>
      </c>
      <c r="J38" s="740">
        <v>0</v>
      </c>
      <c r="K38" s="740">
        <v>0</v>
      </c>
      <c r="L38" s="740">
        <v>0</v>
      </c>
      <c r="M38" s="740">
        <v>0</v>
      </c>
      <c r="N38" s="740">
        <v>0</v>
      </c>
      <c r="O38" s="740">
        <v>0.14014639053664968</v>
      </c>
      <c r="P38" s="740">
        <v>0.76944697067658996</v>
      </c>
      <c r="Q38" s="740">
        <v>0.20562224528068401</v>
      </c>
      <c r="R38" s="740">
        <v>0.50274244369237975</v>
      </c>
      <c r="S38" s="740">
        <v>0.17642496854367323</v>
      </c>
      <c r="T38" s="740">
        <v>0.65401249990622468</v>
      </c>
      <c r="U38" s="740">
        <v>0.41518688497898643</v>
      </c>
      <c r="V38" s="740">
        <v>0.57382026370576011</v>
      </c>
      <c r="W38" s="740">
        <v>0.23368031564197098</v>
      </c>
      <c r="X38" s="740">
        <v>0</v>
      </c>
      <c r="Y38" s="740" t="s">
        <v>509</v>
      </c>
      <c r="Z38" s="740" t="s">
        <v>509</v>
      </c>
      <c r="AA38" s="740">
        <v>1.3970189506086135</v>
      </c>
      <c r="AB38" s="740">
        <v>0.53205715846555601</v>
      </c>
      <c r="AC38" s="740">
        <v>0</v>
      </c>
      <c r="AD38" s="740">
        <v>0.96239890059862632</v>
      </c>
      <c r="AE38" s="740">
        <v>0</v>
      </c>
      <c r="AF38" s="540">
        <v>0</v>
      </c>
      <c r="AG38" s="540">
        <v>2.5944848185964358E-2</v>
      </c>
      <c r="AH38" s="540">
        <v>0</v>
      </c>
      <c r="AI38" s="540">
        <v>3.0521248541797663E-2</v>
      </c>
      <c r="AJ38" s="540">
        <v>0</v>
      </c>
      <c r="AK38" s="540">
        <v>0</v>
      </c>
      <c r="AL38" s="540">
        <v>5.6538345611485624E-5</v>
      </c>
      <c r="AM38" s="540">
        <v>0</v>
      </c>
      <c r="AN38" s="540">
        <v>0</v>
      </c>
      <c r="AO38" s="540">
        <v>0</v>
      </c>
      <c r="AP38" s="540">
        <v>0</v>
      </c>
      <c r="AQ38" s="540">
        <v>0</v>
      </c>
      <c r="AR38" s="540">
        <v>0.32966893704288097</v>
      </c>
      <c r="AS38" s="540">
        <v>0.8694528291882283</v>
      </c>
      <c r="AT38" s="540">
        <v>1.0053579322955351</v>
      </c>
      <c r="AU38" s="540">
        <v>1.28336454641034</v>
      </c>
      <c r="AV38" s="540">
        <v>0.43594037719515188</v>
      </c>
      <c r="AW38" s="540">
        <v>0.68997843541005588</v>
      </c>
    </row>
    <row r="39" spans="1:49" ht="14.25" customHeight="1">
      <c r="A39" s="543" t="s">
        <v>227</v>
      </c>
      <c r="B39" s="741" t="s">
        <v>509</v>
      </c>
      <c r="C39" s="741" t="s">
        <v>509</v>
      </c>
      <c r="D39" s="741" t="s">
        <v>509</v>
      </c>
      <c r="E39" s="741" t="s">
        <v>509</v>
      </c>
      <c r="F39" s="741" t="s">
        <v>509</v>
      </c>
      <c r="G39" s="741" t="s">
        <v>509</v>
      </c>
      <c r="H39" s="741" t="s">
        <v>509</v>
      </c>
      <c r="I39" s="741" t="s">
        <v>509</v>
      </c>
      <c r="J39" s="741" t="s">
        <v>509</v>
      </c>
      <c r="K39" s="741" t="s">
        <v>509</v>
      </c>
      <c r="L39" s="741" t="s">
        <v>509</v>
      </c>
      <c r="M39" s="741" t="s">
        <v>509</v>
      </c>
      <c r="N39" s="741" t="s">
        <v>509</v>
      </c>
      <c r="O39" s="741" t="s">
        <v>509</v>
      </c>
      <c r="P39" s="741" t="s">
        <v>509</v>
      </c>
      <c r="Q39" s="741" t="s">
        <v>509</v>
      </c>
      <c r="R39" s="741" t="s">
        <v>509</v>
      </c>
      <c r="S39" s="741" t="s">
        <v>509</v>
      </c>
      <c r="T39" s="741" t="s">
        <v>509</v>
      </c>
      <c r="U39" s="741">
        <v>0</v>
      </c>
      <c r="V39" s="741">
        <v>0</v>
      </c>
      <c r="W39" s="741">
        <v>0</v>
      </c>
      <c r="X39" s="741">
        <v>0</v>
      </c>
      <c r="Y39" s="741">
        <v>3.9750000000000001</v>
      </c>
      <c r="Z39" s="741">
        <v>4.4240000000000004</v>
      </c>
      <c r="AA39" s="741">
        <v>4.83</v>
      </c>
      <c r="AB39" s="741">
        <v>5.2759999999999998</v>
      </c>
      <c r="AC39" s="741">
        <v>5.7119999999999997</v>
      </c>
      <c r="AD39" s="741">
        <v>7.101</v>
      </c>
      <c r="AE39" s="741">
        <v>7.5060000000000002</v>
      </c>
      <c r="AF39" s="542">
        <v>7.8380000000000001</v>
      </c>
      <c r="AG39" s="542">
        <v>8.2587852356982605</v>
      </c>
      <c r="AH39" s="542">
        <v>8.4580434252571024</v>
      </c>
      <c r="AI39" s="542">
        <v>8.9597227278131601</v>
      </c>
      <c r="AJ39" s="542">
        <v>6.0667427442722808</v>
      </c>
      <c r="AK39" s="542">
        <v>6.4</v>
      </c>
      <c r="AL39" s="542">
        <v>6.9638159145137806</v>
      </c>
      <c r="AM39" s="542">
        <v>7.72591126035773</v>
      </c>
      <c r="AN39" s="542">
        <v>8.5873114052579407</v>
      </c>
      <c r="AO39" s="542">
        <v>9.5690150957843496</v>
      </c>
      <c r="AP39" s="542">
        <v>2.1449218956637801</v>
      </c>
      <c r="AQ39" s="542">
        <v>3.5640790594290168</v>
      </c>
      <c r="AR39" s="542">
        <v>8.7373950941558505</v>
      </c>
      <c r="AS39" s="542">
        <v>23.596044249110722</v>
      </c>
      <c r="AT39" s="542">
        <v>40.110712051932794</v>
      </c>
      <c r="AU39" s="542">
        <v>16.579234503383731</v>
      </c>
      <c r="AV39" s="542">
        <v>12.517775428890337</v>
      </c>
      <c r="AW39" s="542">
        <v>47.30366932567842</v>
      </c>
    </row>
    <row r="40" spans="1:49" ht="14.25" customHeight="1">
      <c r="A40" s="543" t="s">
        <v>228</v>
      </c>
      <c r="B40" s="740" t="s">
        <v>509</v>
      </c>
      <c r="C40" s="740" t="s">
        <v>509</v>
      </c>
      <c r="D40" s="740">
        <v>0</v>
      </c>
      <c r="E40" s="740">
        <v>0</v>
      </c>
      <c r="F40" s="740">
        <v>4.7009790821594599</v>
      </c>
      <c r="G40" s="740">
        <v>4.1650977458406384</v>
      </c>
      <c r="H40" s="740">
        <v>4.2321195769084188</v>
      </c>
      <c r="I40" s="740">
        <v>1.5520094210354858</v>
      </c>
      <c r="J40" s="740">
        <v>2.3880375419791742</v>
      </c>
      <c r="K40" s="740">
        <v>0.61791024405837081</v>
      </c>
      <c r="L40" s="740">
        <v>2.0700571317671477</v>
      </c>
      <c r="M40" s="740">
        <v>6.6415269748298797</v>
      </c>
      <c r="N40" s="740">
        <v>1.8966078384784131</v>
      </c>
      <c r="O40" s="740">
        <v>12.08669306222416</v>
      </c>
      <c r="P40" s="740">
        <v>8.8085482556749515</v>
      </c>
      <c r="Q40" s="740">
        <v>1.762989638162114</v>
      </c>
      <c r="R40" s="740">
        <v>13.044700023613693</v>
      </c>
      <c r="S40" s="740">
        <v>31.961700271826402</v>
      </c>
      <c r="T40" s="740">
        <v>9.0760580177573811</v>
      </c>
      <c r="U40" s="740">
        <v>8.8435851469182687</v>
      </c>
      <c r="V40" s="740">
        <v>4.5277113634469117</v>
      </c>
      <c r="W40" s="740">
        <v>8.4910162535755376</v>
      </c>
      <c r="X40" s="740">
        <v>7.6070464038529328</v>
      </c>
      <c r="Y40" s="740">
        <v>1.2729854072407532</v>
      </c>
      <c r="Z40" s="740">
        <v>3.666283848839496</v>
      </c>
      <c r="AA40" s="740">
        <v>10.829926231116238</v>
      </c>
      <c r="AB40" s="740">
        <v>4.1959444005349944</v>
      </c>
      <c r="AC40" s="740">
        <v>5.7696752016892976</v>
      </c>
      <c r="AD40" s="740">
        <v>74.440751159949968</v>
      </c>
      <c r="AE40" s="740">
        <v>77.993616013758199</v>
      </c>
      <c r="AF40" s="540">
        <v>10.127862122783512</v>
      </c>
      <c r="AG40" s="540">
        <v>17.591020734949517</v>
      </c>
      <c r="AH40" s="540">
        <v>29.53615563275061</v>
      </c>
      <c r="AI40" s="540">
        <v>10.053810725207605</v>
      </c>
      <c r="AJ40" s="540">
        <v>-5.3158302368714737E-2</v>
      </c>
      <c r="AK40" s="540">
        <v>32.973300714325383</v>
      </c>
      <c r="AL40" s="540">
        <v>62.538113411023822</v>
      </c>
      <c r="AM40" s="540">
        <v>86.824894064011616</v>
      </c>
      <c r="AN40" s="540">
        <v>59.813773028582546</v>
      </c>
      <c r="AO40" s="540">
        <v>59.745948495487859</v>
      </c>
      <c r="AP40" s="540">
        <v>83.083606375875235</v>
      </c>
      <c r="AQ40" s="540">
        <v>86.5</v>
      </c>
      <c r="AR40" s="540">
        <v>90.68558837028344</v>
      </c>
      <c r="AS40" s="540">
        <v>79.904112617137969</v>
      </c>
      <c r="AT40" s="540">
        <v>86.81210104514274</v>
      </c>
      <c r="AU40" s="540">
        <v>0</v>
      </c>
      <c r="AV40" s="540">
        <v>1.0764385261947416</v>
      </c>
      <c r="AW40" s="540" t="s">
        <v>509</v>
      </c>
    </row>
    <row r="41" spans="1:49" ht="14.25" customHeight="1">
      <c r="A41" s="543" t="s">
        <v>43</v>
      </c>
      <c r="B41" s="741">
        <v>838.50383089756667</v>
      </c>
      <c r="C41" s="741">
        <v>818.4281033825107</v>
      </c>
      <c r="D41" s="741">
        <v>1381.8600307347451</v>
      </c>
      <c r="E41" s="741">
        <v>959.9455976842828</v>
      </c>
      <c r="F41" s="741">
        <v>2398.6028336871473</v>
      </c>
      <c r="G41" s="741">
        <v>2284.9088128315111</v>
      </c>
      <c r="H41" s="741">
        <v>1443.5</v>
      </c>
      <c r="I41" s="741">
        <v>3327.1738392558332</v>
      </c>
      <c r="J41" s="741">
        <v>1482.6634041534621</v>
      </c>
      <c r="K41" s="741">
        <v>3279.1160893522451</v>
      </c>
      <c r="L41" s="741">
        <v>3224.6826724048151</v>
      </c>
      <c r="M41" s="741">
        <v>2059.7573550216962</v>
      </c>
      <c r="N41" s="741">
        <v>2376.4724345349296</v>
      </c>
      <c r="O41" s="741">
        <v>5706.3884302263787</v>
      </c>
      <c r="P41" s="741">
        <v>4164.2315795328195</v>
      </c>
      <c r="Q41" s="741">
        <v>3512.6221409267891</v>
      </c>
      <c r="R41" s="741">
        <v>2561.7493904186267</v>
      </c>
      <c r="S41" s="741">
        <v>3034.1189207644993</v>
      </c>
      <c r="T41" s="741">
        <v>3108.0828403390387</v>
      </c>
      <c r="U41" s="741">
        <v>6455.6364969702427</v>
      </c>
      <c r="V41" s="741">
        <v>6973.8958908231034</v>
      </c>
      <c r="W41" s="741">
        <v>7697.8241259293991</v>
      </c>
      <c r="X41" s="741">
        <v>10684.221093416578</v>
      </c>
      <c r="Y41" s="741">
        <v>8604.429786598972</v>
      </c>
      <c r="Z41" s="741">
        <v>9412.1437616350322</v>
      </c>
      <c r="AA41" s="741">
        <v>9768.5992261918254</v>
      </c>
      <c r="AB41" s="741">
        <v>3929.1755356828871</v>
      </c>
      <c r="AC41" s="741">
        <v>8454.9934623721365</v>
      </c>
      <c r="AD41" s="741">
        <v>9712.4866923961745</v>
      </c>
      <c r="AE41" s="741">
        <v>15745.233599788391</v>
      </c>
      <c r="AF41" s="542">
        <v>21946.717193207725</v>
      </c>
      <c r="AG41" s="542">
        <v>31219.35927311991</v>
      </c>
      <c r="AH41" s="542">
        <v>38288.814600274563</v>
      </c>
      <c r="AI41" s="542">
        <v>32699.170280478578</v>
      </c>
      <c r="AJ41" s="542">
        <v>23876.866093776887</v>
      </c>
      <c r="AK41" s="542">
        <v>35273.390200856935</v>
      </c>
      <c r="AL41" s="542">
        <v>41791.050069376499</v>
      </c>
      <c r="AM41" s="542">
        <v>41282.09564944591</v>
      </c>
      <c r="AN41" s="542">
        <v>40787.001018306641</v>
      </c>
      <c r="AO41" s="542">
        <v>43210.450537136829</v>
      </c>
      <c r="AP41" s="542">
        <v>36892.083820966167</v>
      </c>
      <c r="AQ41" s="542">
        <v>36048.257260670689</v>
      </c>
      <c r="AR41" s="542">
        <v>49053.675114276477</v>
      </c>
      <c r="AS41" s="542">
        <v>57872.089489790655</v>
      </c>
      <c r="AT41" s="542">
        <v>55707.378758824372</v>
      </c>
      <c r="AU41" s="542">
        <v>47815.088504885716</v>
      </c>
      <c r="AV41" s="542">
        <v>70788.619928959073</v>
      </c>
      <c r="AW41" s="542">
        <v>72025.418383413766</v>
      </c>
    </row>
    <row r="42" spans="1:49" ht="14.25" customHeight="1">
      <c r="A42" s="543" t="s">
        <v>185</v>
      </c>
      <c r="B42" s="740" t="s">
        <v>509</v>
      </c>
      <c r="C42" s="740" t="s">
        <v>509</v>
      </c>
      <c r="D42" s="740" t="s">
        <v>509</v>
      </c>
      <c r="E42" s="740" t="s">
        <v>509</v>
      </c>
      <c r="F42" s="740" t="s">
        <v>509</v>
      </c>
      <c r="G42" s="740" t="s">
        <v>509</v>
      </c>
      <c r="H42" s="740" t="s">
        <v>509</v>
      </c>
      <c r="I42" s="740" t="s">
        <v>509</v>
      </c>
      <c r="J42" s="740" t="s">
        <v>509</v>
      </c>
      <c r="K42" s="740" t="s">
        <v>509</v>
      </c>
      <c r="L42" s="740" t="s">
        <v>509</v>
      </c>
      <c r="M42" s="740" t="s">
        <v>509</v>
      </c>
      <c r="N42" s="740" t="s">
        <v>509</v>
      </c>
      <c r="O42" s="740" t="s">
        <v>509</v>
      </c>
      <c r="P42" s="740" t="s">
        <v>509</v>
      </c>
      <c r="Q42" s="740" t="s">
        <v>509</v>
      </c>
      <c r="R42" s="740" t="s">
        <v>509</v>
      </c>
      <c r="S42" s="740" t="s">
        <v>509</v>
      </c>
      <c r="T42" s="740" t="s">
        <v>509</v>
      </c>
      <c r="U42" s="740" t="s">
        <v>509</v>
      </c>
      <c r="V42" s="740" t="s">
        <v>509</v>
      </c>
      <c r="W42" s="740" t="s">
        <v>509</v>
      </c>
      <c r="X42" s="740" t="s">
        <v>509</v>
      </c>
      <c r="Y42" s="740" t="s">
        <v>509</v>
      </c>
      <c r="Z42" s="740" t="s">
        <v>509</v>
      </c>
      <c r="AA42" s="740" t="s">
        <v>509</v>
      </c>
      <c r="AB42" s="740" t="s">
        <v>509</v>
      </c>
      <c r="AC42" s="740" t="s">
        <v>509</v>
      </c>
      <c r="AD42" s="740" t="s">
        <v>509</v>
      </c>
      <c r="AE42" s="740" t="s">
        <v>509</v>
      </c>
      <c r="AF42" s="540" t="s">
        <v>509</v>
      </c>
      <c r="AG42" s="540" t="s">
        <v>509</v>
      </c>
      <c r="AH42" s="540" t="s">
        <v>509</v>
      </c>
      <c r="AI42" s="540" t="s">
        <v>509</v>
      </c>
      <c r="AJ42" s="540" t="s">
        <v>509</v>
      </c>
      <c r="AK42" s="540" t="s">
        <v>509</v>
      </c>
      <c r="AL42" s="540" t="s">
        <v>509</v>
      </c>
      <c r="AM42" s="540" t="s">
        <v>509</v>
      </c>
      <c r="AN42" s="540" t="s">
        <v>509</v>
      </c>
      <c r="AO42" s="540" t="s">
        <v>509</v>
      </c>
      <c r="AP42" s="540" t="s">
        <v>509</v>
      </c>
      <c r="AQ42" s="540" t="s">
        <v>509</v>
      </c>
      <c r="AR42" s="540" t="s">
        <v>509</v>
      </c>
      <c r="AS42" s="540" t="s">
        <v>509</v>
      </c>
      <c r="AT42" s="540">
        <v>29.811870778322877</v>
      </c>
      <c r="AU42" s="540">
        <v>-7.2187098870844437</v>
      </c>
      <c r="AV42" s="540" t="s">
        <v>509</v>
      </c>
      <c r="AW42" s="540" t="s">
        <v>509</v>
      </c>
    </row>
    <row r="43" spans="1:49" ht="14.25" customHeight="1">
      <c r="A43" s="543" t="s">
        <v>572</v>
      </c>
      <c r="B43" s="741" t="s">
        <v>509</v>
      </c>
      <c r="C43" s="741" t="s">
        <v>509</v>
      </c>
      <c r="D43" s="741">
        <v>0</v>
      </c>
      <c r="E43" s="741">
        <v>0</v>
      </c>
      <c r="F43" s="741">
        <v>0</v>
      </c>
      <c r="G43" s="741">
        <v>0</v>
      </c>
      <c r="H43" s="741">
        <v>0</v>
      </c>
      <c r="I43" s="741">
        <v>0</v>
      </c>
      <c r="J43" s="741">
        <v>0</v>
      </c>
      <c r="K43" s="741">
        <v>0</v>
      </c>
      <c r="L43" s="741">
        <v>0</v>
      </c>
      <c r="M43" s="741">
        <v>0</v>
      </c>
      <c r="N43" s="741">
        <v>0</v>
      </c>
      <c r="O43" s="741">
        <v>0</v>
      </c>
      <c r="P43" s="741">
        <v>0</v>
      </c>
      <c r="Q43" s="741">
        <v>0</v>
      </c>
      <c r="R43" s="741">
        <v>0.15242448397157304</v>
      </c>
      <c r="S43" s="741">
        <v>0</v>
      </c>
      <c r="T43" s="741" t="s">
        <v>509</v>
      </c>
      <c r="U43" s="741" t="s">
        <v>509</v>
      </c>
      <c r="V43" s="741" t="s">
        <v>509</v>
      </c>
      <c r="W43" s="741" t="s">
        <v>509</v>
      </c>
      <c r="X43" s="741" t="s">
        <v>509</v>
      </c>
      <c r="Y43" s="741" t="s">
        <v>509</v>
      </c>
      <c r="Z43" s="741" t="s">
        <v>509</v>
      </c>
      <c r="AA43" s="741" t="s">
        <v>509</v>
      </c>
      <c r="AB43" s="741" t="s">
        <v>509</v>
      </c>
      <c r="AC43" s="741" t="s">
        <v>509</v>
      </c>
      <c r="AD43" s="741" t="s">
        <v>509</v>
      </c>
      <c r="AE43" s="741" t="s">
        <v>509</v>
      </c>
      <c r="AF43" s="542" t="s">
        <v>509</v>
      </c>
      <c r="AG43" s="542" t="s">
        <v>509</v>
      </c>
      <c r="AH43" s="542" t="s">
        <v>509</v>
      </c>
      <c r="AI43" s="542" t="s">
        <v>509</v>
      </c>
      <c r="AJ43" s="542" t="s">
        <v>509</v>
      </c>
      <c r="AK43" s="542" t="s">
        <v>509</v>
      </c>
      <c r="AL43" s="542" t="s">
        <v>509</v>
      </c>
      <c r="AM43" s="542" t="s">
        <v>509</v>
      </c>
      <c r="AN43" s="542" t="s">
        <v>509</v>
      </c>
      <c r="AO43" s="542" t="s">
        <v>509</v>
      </c>
      <c r="AP43" s="542" t="s">
        <v>509</v>
      </c>
      <c r="AQ43" s="542" t="s">
        <v>509</v>
      </c>
      <c r="AR43" s="542" t="s">
        <v>509</v>
      </c>
      <c r="AS43" s="542" t="s">
        <v>509</v>
      </c>
      <c r="AT43" s="542" t="s">
        <v>509</v>
      </c>
      <c r="AU43" s="542" t="s">
        <v>509</v>
      </c>
      <c r="AV43" s="542" t="s">
        <v>509</v>
      </c>
      <c r="AW43" s="542" t="s">
        <v>509</v>
      </c>
    </row>
    <row r="44" spans="1:49" ht="14.25" customHeight="1">
      <c r="A44" s="543" t="s">
        <v>234</v>
      </c>
      <c r="B44" s="740" t="s">
        <v>509</v>
      </c>
      <c r="C44" s="740" t="s">
        <v>509</v>
      </c>
      <c r="D44" s="740">
        <v>0</v>
      </c>
      <c r="E44" s="740">
        <v>0</v>
      </c>
      <c r="F44" s="740">
        <v>0</v>
      </c>
      <c r="G44" s="740">
        <v>0</v>
      </c>
      <c r="H44" s="740">
        <v>0</v>
      </c>
      <c r="I44" s="740">
        <v>0</v>
      </c>
      <c r="J44" s="740">
        <v>0</v>
      </c>
      <c r="K44" s="740">
        <v>0</v>
      </c>
      <c r="L44" s="740">
        <v>0</v>
      </c>
      <c r="M44" s="740">
        <v>0</v>
      </c>
      <c r="N44" s="740">
        <v>0</v>
      </c>
      <c r="O44" s="740">
        <v>0</v>
      </c>
      <c r="P44" s="740">
        <v>0</v>
      </c>
      <c r="Q44" s="740">
        <v>0</v>
      </c>
      <c r="R44" s="740">
        <v>0</v>
      </c>
      <c r="S44" s="740">
        <v>0</v>
      </c>
      <c r="T44" s="740">
        <v>0</v>
      </c>
      <c r="U44" s="740" t="s">
        <v>509</v>
      </c>
      <c r="V44" s="740" t="s">
        <v>509</v>
      </c>
      <c r="W44" s="740" t="s">
        <v>509</v>
      </c>
      <c r="X44" s="740" t="s">
        <v>509</v>
      </c>
      <c r="Y44" s="740" t="s">
        <v>509</v>
      </c>
      <c r="Z44" s="740" t="s">
        <v>509</v>
      </c>
      <c r="AA44" s="740" t="s">
        <v>509</v>
      </c>
      <c r="AB44" s="740" t="s">
        <v>509</v>
      </c>
      <c r="AC44" s="740" t="s">
        <v>509</v>
      </c>
      <c r="AD44" s="740" t="s">
        <v>509</v>
      </c>
      <c r="AE44" s="740" t="s">
        <v>509</v>
      </c>
      <c r="AF44" s="540" t="s">
        <v>509</v>
      </c>
      <c r="AG44" s="540" t="s">
        <v>509</v>
      </c>
      <c r="AH44" s="540" t="s">
        <v>509</v>
      </c>
      <c r="AI44" s="540" t="s">
        <v>509</v>
      </c>
      <c r="AJ44" s="540" t="s">
        <v>509</v>
      </c>
      <c r="AK44" s="540" t="s">
        <v>509</v>
      </c>
      <c r="AL44" s="540" t="s">
        <v>509</v>
      </c>
      <c r="AM44" s="540" t="s">
        <v>509</v>
      </c>
      <c r="AN44" s="540" t="s">
        <v>509</v>
      </c>
      <c r="AO44" s="540" t="s">
        <v>509</v>
      </c>
      <c r="AP44" s="540" t="s">
        <v>509</v>
      </c>
      <c r="AQ44" s="540" t="s">
        <v>509</v>
      </c>
      <c r="AR44" s="540" t="s">
        <v>509</v>
      </c>
      <c r="AS44" s="540" t="s">
        <v>509</v>
      </c>
      <c r="AT44" s="540" t="s">
        <v>509</v>
      </c>
      <c r="AU44" s="540" t="s">
        <v>509</v>
      </c>
      <c r="AV44" s="540" t="s">
        <v>509</v>
      </c>
      <c r="AW44" s="540" t="s">
        <v>509</v>
      </c>
    </row>
    <row r="45" spans="1:49" ht="14.25" customHeight="1">
      <c r="A45" s="543" t="s">
        <v>112</v>
      </c>
      <c r="B45" s="741">
        <v>0</v>
      </c>
      <c r="C45" s="741">
        <v>2</v>
      </c>
      <c r="D45" s="741">
        <v>1</v>
      </c>
      <c r="E45" s="741">
        <v>2</v>
      </c>
      <c r="F45" s="741">
        <v>0</v>
      </c>
      <c r="G45" s="741">
        <v>4</v>
      </c>
      <c r="H45" s="741">
        <v>5</v>
      </c>
      <c r="I45" s="741">
        <v>6</v>
      </c>
      <c r="J45" s="741">
        <v>13</v>
      </c>
      <c r="K45" s="741">
        <v>4</v>
      </c>
      <c r="L45" s="741">
        <v>3</v>
      </c>
      <c r="M45" s="741">
        <v>7.4</v>
      </c>
      <c r="N45" s="741">
        <v>3.9</v>
      </c>
      <c r="O45" s="741">
        <v>4.0999999999999996</v>
      </c>
      <c r="P45" s="741">
        <v>2.6</v>
      </c>
      <c r="Q45" s="741">
        <v>2.4</v>
      </c>
      <c r="R45" s="741">
        <v>2.1</v>
      </c>
      <c r="S45" s="741">
        <v>26.8</v>
      </c>
      <c r="T45" s="741">
        <v>7</v>
      </c>
      <c r="U45" s="741">
        <v>-4</v>
      </c>
      <c r="V45" s="741">
        <v>68.400000000000006</v>
      </c>
      <c r="W45" s="741">
        <v>132.19999999999999</v>
      </c>
      <c r="X45" s="741">
        <v>239.7</v>
      </c>
      <c r="Y45" s="741">
        <v>256.8</v>
      </c>
      <c r="Z45" s="741">
        <v>47.1</v>
      </c>
      <c r="AA45" s="741">
        <v>550.79999999999995</v>
      </c>
      <c r="AB45" s="741">
        <v>586.82522523</v>
      </c>
      <c r="AC45" s="741">
        <v>276.89999999999998</v>
      </c>
      <c r="AD45" s="741">
        <v>650</v>
      </c>
      <c r="AE45" s="741">
        <v>939.45</v>
      </c>
      <c r="AF45" s="542">
        <v>1033.118016020936</v>
      </c>
      <c r="AG45" s="542">
        <v>1115.23</v>
      </c>
      <c r="AH45" s="542">
        <v>2727.6053320799997</v>
      </c>
      <c r="AI45" s="542">
        <v>2808.9450359233333</v>
      </c>
      <c r="AJ45" s="542">
        <v>2937.1052757090392</v>
      </c>
      <c r="AK45" s="542">
        <v>4185.24376123</v>
      </c>
      <c r="AL45" s="542">
        <v>4407</v>
      </c>
      <c r="AM45" s="542">
        <v>3337.5085018984919</v>
      </c>
      <c r="AN45" s="542">
        <v>4183.4076345951116</v>
      </c>
      <c r="AO45" s="542">
        <v>2672.194523350091</v>
      </c>
      <c r="AP45" s="542">
        <v>2299.6931785888128</v>
      </c>
      <c r="AQ45" s="542">
        <v>2994.2496483215782</v>
      </c>
      <c r="AR45" s="542">
        <v>3899.9263259576983</v>
      </c>
      <c r="AS45" s="542">
        <v>4599.2396594645297</v>
      </c>
      <c r="AT45" s="542">
        <v>5511.712753270097</v>
      </c>
      <c r="AU45" s="542">
        <v>165.23581087533086</v>
      </c>
      <c r="AV45" s="542">
        <v>6065.2744593112739</v>
      </c>
      <c r="AW45" s="542">
        <v>10402.6388044746</v>
      </c>
    </row>
    <row r="46" spans="1:49" ht="14.25" customHeight="1">
      <c r="A46" s="543" t="s">
        <v>192</v>
      </c>
      <c r="B46" s="742">
        <v>0</v>
      </c>
      <c r="C46" s="742">
        <v>0</v>
      </c>
      <c r="D46" s="742">
        <v>0</v>
      </c>
      <c r="E46" s="742">
        <v>0</v>
      </c>
      <c r="F46" s="742">
        <v>0</v>
      </c>
      <c r="G46" s="742">
        <v>0</v>
      </c>
      <c r="H46" s="742">
        <v>0</v>
      </c>
      <c r="I46" s="742">
        <v>0</v>
      </c>
      <c r="J46" s="742">
        <v>0</v>
      </c>
      <c r="K46" s="742">
        <v>0</v>
      </c>
      <c r="L46" s="742">
        <v>0</v>
      </c>
      <c r="M46" s="742">
        <v>0</v>
      </c>
      <c r="N46" s="742">
        <v>0</v>
      </c>
      <c r="O46" s="742">
        <v>0</v>
      </c>
      <c r="P46" s="742">
        <v>0</v>
      </c>
      <c r="Q46" s="742">
        <v>0</v>
      </c>
      <c r="R46" s="742">
        <v>0</v>
      </c>
      <c r="S46" s="742">
        <v>0</v>
      </c>
      <c r="T46" s="742">
        <v>0</v>
      </c>
      <c r="U46" s="742">
        <v>0</v>
      </c>
      <c r="V46" s="742">
        <v>0</v>
      </c>
      <c r="W46" s="742">
        <v>0</v>
      </c>
      <c r="X46" s="742">
        <v>0</v>
      </c>
      <c r="Y46" s="740">
        <v>15463</v>
      </c>
      <c r="Z46" s="740">
        <v>16457.667072904183</v>
      </c>
      <c r="AA46" s="740">
        <v>19034.014100055108</v>
      </c>
      <c r="AB46" s="740">
        <v>21324.2595331667</v>
      </c>
      <c r="AC46" s="740">
        <v>22894.201533130083</v>
      </c>
      <c r="AD46" s="740">
        <v>25005.138143915356</v>
      </c>
      <c r="AE46" s="740">
        <v>29273.544804765199</v>
      </c>
      <c r="AF46" s="540">
        <v>34920.081832127886</v>
      </c>
      <c r="AG46" s="540">
        <v>44273.458829425297</v>
      </c>
      <c r="AH46" s="540">
        <v>63167.779707662979</v>
      </c>
      <c r="AI46" s="540">
        <v>74006.390437890339</v>
      </c>
      <c r="AJ46" s="540">
        <v>73762.891485313536</v>
      </c>
      <c r="AK46" s="540">
        <v>91227.533080126683</v>
      </c>
      <c r="AL46" s="540">
        <v>103639.49247431288</v>
      </c>
      <c r="AM46" s="540">
        <v>107035.18760340579</v>
      </c>
      <c r="AN46" s="540">
        <v>115933.91655816765</v>
      </c>
      <c r="AO46" s="540">
        <v>118791.97875987984</v>
      </c>
      <c r="AP46" s="540">
        <v>119444.79954874859</v>
      </c>
      <c r="AQ46" s="540">
        <v>115457.3911397264</v>
      </c>
      <c r="AR46" s="540">
        <v>122680.76884542221</v>
      </c>
      <c r="AS46" s="540">
        <v>132685.79526297309</v>
      </c>
      <c r="AT46" s="540">
        <v>134777.45641753884</v>
      </c>
      <c r="AU46" s="540">
        <v>132959.63327825165</v>
      </c>
      <c r="AV46" s="540">
        <v>149097.13449093833</v>
      </c>
      <c r="AW46" s="540">
        <v>148007.60534278568</v>
      </c>
    </row>
    <row r="47" spans="1:49" ht="14.25" customHeight="1">
      <c r="A47" s="543" t="s">
        <v>196</v>
      </c>
      <c r="B47" s="741" t="s">
        <v>509</v>
      </c>
      <c r="C47" s="741" t="s">
        <v>509</v>
      </c>
      <c r="D47" s="741" t="s">
        <v>509</v>
      </c>
      <c r="E47" s="741" t="s">
        <v>509</v>
      </c>
      <c r="F47" s="741" t="s">
        <v>509</v>
      </c>
      <c r="G47" s="741" t="s">
        <v>509</v>
      </c>
      <c r="H47" s="741" t="s">
        <v>509</v>
      </c>
      <c r="I47" s="741" t="s">
        <v>509</v>
      </c>
      <c r="J47" s="741" t="s">
        <v>509</v>
      </c>
      <c r="K47" s="741" t="s">
        <v>509</v>
      </c>
      <c r="L47" s="741" t="s">
        <v>509</v>
      </c>
      <c r="M47" s="741" t="s">
        <v>509</v>
      </c>
      <c r="N47" s="741" t="s">
        <v>509</v>
      </c>
      <c r="O47" s="741" t="s">
        <v>509</v>
      </c>
      <c r="P47" s="741" t="s">
        <v>509</v>
      </c>
      <c r="Q47" s="741" t="s">
        <v>509</v>
      </c>
      <c r="R47" s="741" t="s">
        <v>509</v>
      </c>
      <c r="S47" s="741" t="s">
        <v>509</v>
      </c>
      <c r="T47" s="741" t="s">
        <v>509</v>
      </c>
      <c r="U47" s="741" t="s">
        <v>509</v>
      </c>
      <c r="V47" s="741" t="s">
        <v>509</v>
      </c>
      <c r="W47" s="741" t="s">
        <v>509</v>
      </c>
      <c r="X47" s="741" t="s">
        <v>509</v>
      </c>
      <c r="Y47" s="741" t="s">
        <v>509</v>
      </c>
      <c r="Z47" s="741" t="s">
        <v>509</v>
      </c>
      <c r="AA47" s="741" t="s">
        <v>509</v>
      </c>
      <c r="AB47" s="741" t="s">
        <v>509</v>
      </c>
      <c r="AC47" s="741">
        <v>9.6999999999999993</v>
      </c>
      <c r="AD47" s="741">
        <v>-4.8652358393330086</v>
      </c>
      <c r="AE47" s="741">
        <v>-2.1577699877235035</v>
      </c>
      <c r="AF47" s="542">
        <v>34.128797384658888</v>
      </c>
      <c r="AG47" s="542">
        <v>55.68507297563638</v>
      </c>
      <c r="AH47" s="542">
        <v>70.080293375168878</v>
      </c>
      <c r="AI47" s="542">
        <v>-29.034514790887258</v>
      </c>
      <c r="AJ47" s="542">
        <v>62.416372164481501</v>
      </c>
      <c r="AK47" s="542">
        <v>92.080860928117815</v>
      </c>
      <c r="AL47" s="542">
        <v>158.76550908609056</v>
      </c>
      <c r="AM47" s="542">
        <v>117.26066997264722</v>
      </c>
      <c r="AN47" s="542">
        <v>31.360498387709573</v>
      </c>
      <c r="AO47" s="542">
        <v>84.509912385288885</v>
      </c>
      <c r="AP47" s="542">
        <v>104.60689338629049</v>
      </c>
      <c r="AQ47" s="542">
        <v>43.379420246685321</v>
      </c>
      <c r="AR47" s="542">
        <v>198.61236548562601</v>
      </c>
      <c r="AS47" s="542">
        <v>237.36386157341084</v>
      </c>
      <c r="AT47" s="542">
        <v>217.8477315923472</v>
      </c>
      <c r="AU47" s="542">
        <v>-105.9885753587068</v>
      </c>
      <c r="AV47" s="542">
        <v>93.113936747549587</v>
      </c>
      <c r="AW47" s="542" t="s">
        <v>509</v>
      </c>
    </row>
    <row r="48" spans="1:49" ht="14.25" customHeight="1">
      <c r="A48" s="543" t="s">
        <v>171</v>
      </c>
      <c r="B48" s="740" t="s">
        <v>509</v>
      </c>
      <c r="C48" s="740" t="s">
        <v>509</v>
      </c>
      <c r="D48" s="740" t="s">
        <v>509</v>
      </c>
      <c r="E48" s="740" t="s">
        <v>509</v>
      </c>
      <c r="F48" s="740" t="s">
        <v>509</v>
      </c>
      <c r="G48" s="740" t="s">
        <v>509</v>
      </c>
      <c r="H48" s="740" t="s">
        <v>509</v>
      </c>
      <c r="I48" s="740">
        <v>20</v>
      </c>
      <c r="J48" s="740">
        <v>31</v>
      </c>
      <c r="K48" s="740">
        <v>2</v>
      </c>
      <c r="L48" s="740">
        <v>6</v>
      </c>
      <c r="M48" s="740">
        <v>0</v>
      </c>
      <c r="N48" s="740">
        <v>10</v>
      </c>
      <c r="O48" s="740">
        <v>0</v>
      </c>
      <c r="P48" s="740">
        <v>6</v>
      </c>
      <c r="Q48" s="740">
        <v>0</v>
      </c>
      <c r="R48" s="740">
        <v>0</v>
      </c>
      <c r="S48" s="740">
        <v>0</v>
      </c>
      <c r="T48" s="740">
        <v>0</v>
      </c>
      <c r="U48" s="740" t="s">
        <v>509</v>
      </c>
      <c r="V48" s="740">
        <v>0.97</v>
      </c>
      <c r="W48" s="740">
        <v>7</v>
      </c>
      <c r="X48" s="740">
        <v>60</v>
      </c>
      <c r="Y48" s="740">
        <v>23</v>
      </c>
      <c r="Z48" s="740">
        <v>18</v>
      </c>
      <c r="AA48" s="740">
        <v>62.146999999999998</v>
      </c>
      <c r="AB48" s="740">
        <v>146</v>
      </c>
      <c r="AC48" s="740">
        <v>126.29353550489999</v>
      </c>
      <c r="AD48" s="740">
        <v>100.2625159313</v>
      </c>
      <c r="AE48" s="740">
        <v>218.1428350214</v>
      </c>
      <c r="AF48" s="666">
        <f>'[2]annual(USD)'!BE$61*100*0.5</f>
        <v>17967.885863904103</v>
      </c>
      <c r="AG48" s="666">
        <f>'[2]annual(USD)'!BF$61*100*0.5</f>
        <v>25121.846560147053</v>
      </c>
      <c r="AH48" s="666">
        <f>'[2]annual(USD)'!BG$61*100*0.5</f>
        <v>38321.5209003563</v>
      </c>
      <c r="AI48" s="666">
        <f>'[2]annual(USD)'!BH$61*100*0.5</f>
        <v>51325.349757709999</v>
      </c>
      <c r="AJ48" s="666">
        <f>'[2]annual(USD)'!BI$61*100*0.5</f>
        <v>49520.693236500003</v>
      </c>
      <c r="AK48" s="666">
        <f>'[2]annual(USD)'!BJ$61*100*0.5</f>
        <v>64394.2168088545</v>
      </c>
      <c r="AL48" s="666">
        <f>'[2]annual(USD)'!BK$61*100*0.5</f>
        <v>63849.608476830996</v>
      </c>
      <c r="AM48" s="666">
        <f>'[2]annual(USD)'!BL$61*100*0.5</f>
        <v>74985.710052576993</v>
      </c>
      <c r="AN48" s="666">
        <f>'[2]annual(USD)'!BM$61*100*0.5</f>
        <v>83091.52720099999</v>
      </c>
      <c r="AO48" s="666">
        <f>'[2]annual(USD)'!BN$61*100*0.5</f>
        <v>104730.89494343998</v>
      </c>
      <c r="AP48" s="666">
        <f>'[2]annual(USD)'!BO$61*100*0.5</f>
        <v>94942.439516178507</v>
      </c>
      <c r="AQ48" s="666">
        <f>'[2]annual(USD)'!BP$61*100*0.5</f>
        <v>99604.922201426991</v>
      </c>
      <c r="AR48" s="666">
        <f>'[2]annual(USD)'!BQ$61*100*0.5</f>
        <v>133651.4189336925</v>
      </c>
      <c r="AS48" s="666">
        <f>'[2]annual(USD)'!BR$61*100*0.5</f>
        <v>124147.74421384399</v>
      </c>
      <c r="AT48" s="666">
        <f>'[2]annual(USD)'!BS$61*100*0.5</f>
        <v>128732.225072442</v>
      </c>
      <c r="AU48" s="666">
        <f>'[2]annual(USD)'!BT$61*100*0.5</f>
        <v>113970.627496835</v>
      </c>
      <c r="AV48" s="666">
        <f>'[2]annual(USD)'!BU$61*100*0.5</f>
        <v>153407.02780121501</v>
      </c>
      <c r="AW48" s="666">
        <f>'[2]annual(USD)'!BV$61*100*0.5</f>
        <v>82881.603962185007</v>
      </c>
    </row>
    <row r="49" spans="1:49" ht="14.25" customHeight="1">
      <c r="A49" s="543" t="s">
        <v>121</v>
      </c>
      <c r="B49" s="741">
        <v>6</v>
      </c>
      <c r="C49" s="741">
        <v>6</v>
      </c>
      <c r="D49" s="741">
        <v>7</v>
      </c>
      <c r="E49" s="741">
        <v>9</v>
      </c>
      <c r="F49" s="741">
        <v>18</v>
      </c>
      <c r="G49" s="741">
        <v>23</v>
      </c>
      <c r="H49" s="741">
        <v>16</v>
      </c>
      <c r="I49" s="741">
        <v>11.040099999939001</v>
      </c>
      <c r="J49" s="741">
        <v>8</v>
      </c>
      <c r="K49" s="741">
        <v>13</v>
      </c>
      <c r="L49" s="741">
        <v>15</v>
      </c>
      <c r="M49" s="741">
        <v>21</v>
      </c>
      <c r="N49" s="741">
        <v>17</v>
      </c>
      <c r="O49" s="741">
        <v>20</v>
      </c>
      <c r="P49" s="741">
        <v>20</v>
      </c>
      <c r="Q49" s="741">
        <v>20</v>
      </c>
      <c r="R49" s="741">
        <v>12.4</v>
      </c>
      <c r="S49" s="741">
        <v>8.1999999999999993</v>
      </c>
      <c r="T49" s="741">
        <v>65.8</v>
      </c>
      <c r="U49" s="741">
        <v>189.44118012999999</v>
      </c>
      <c r="V49" s="741">
        <v>33.946585299999995</v>
      </c>
      <c r="W49" s="741">
        <v>32.33644795</v>
      </c>
      <c r="X49" s="741">
        <v>44.77307175</v>
      </c>
      <c r="Y49" s="741">
        <v>46.757734920000004</v>
      </c>
      <c r="Z49" s="741">
        <v>58.823775409999996</v>
      </c>
      <c r="AA49" s="741">
        <v>30.8</v>
      </c>
      <c r="AB49" s="741">
        <v>38.032825505999995</v>
      </c>
      <c r="AC49" s="741">
        <v>88.373627999999997</v>
      </c>
      <c r="AD49" s="741">
        <v>119.94433473999999</v>
      </c>
      <c r="AE49" s="741">
        <v>151.84828236000001</v>
      </c>
      <c r="AF49" s="542">
        <v>166.46705124000002</v>
      </c>
      <c r="AG49" s="542">
        <v>359.34459246</v>
      </c>
      <c r="AH49" s="542">
        <v>441.12420056999997</v>
      </c>
      <c r="AI49" s="542">
        <v>665.46062107785997</v>
      </c>
      <c r="AJ49" s="542">
        <v>901.56940438658205</v>
      </c>
      <c r="AK49" s="542">
        <v>1001.9859126938891</v>
      </c>
      <c r="AL49" s="542">
        <v>2113.6068368440601</v>
      </c>
      <c r="AM49" s="542">
        <v>2757.2018216022548</v>
      </c>
      <c r="AN49" s="542">
        <v>2711.0739461988742</v>
      </c>
      <c r="AO49" s="542">
        <v>3065.8779655082699</v>
      </c>
      <c r="AP49" s="542">
        <v>3533.121320003725</v>
      </c>
      <c r="AQ49" s="542">
        <v>3666.3295085382401</v>
      </c>
      <c r="AR49" s="542">
        <v>3813.5978790403651</v>
      </c>
      <c r="AS49" s="542">
        <v>3825.2295740858544</v>
      </c>
      <c r="AT49" s="542">
        <v>4348.0325624860698</v>
      </c>
      <c r="AU49" s="542">
        <v>2447.6754597154004</v>
      </c>
      <c r="AV49" s="542">
        <v>3848.6948824879341</v>
      </c>
      <c r="AW49" s="542">
        <v>3720.5996622825801</v>
      </c>
    </row>
    <row r="50" spans="1:49" ht="14.25" customHeight="1">
      <c r="A50" s="543" t="s">
        <v>571</v>
      </c>
      <c r="B50" s="740" t="s">
        <v>509</v>
      </c>
      <c r="C50" s="740" t="s">
        <v>509</v>
      </c>
      <c r="D50" s="740" t="s">
        <v>509</v>
      </c>
      <c r="E50" s="740" t="s">
        <v>509</v>
      </c>
      <c r="F50" s="740" t="s">
        <v>509</v>
      </c>
      <c r="G50" s="740">
        <v>0</v>
      </c>
      <c r="H50" s="740">
        <v>0</v>
      </c>
      <c r="I50" s="740">
        <v>0</v>
      </c>
      <c r="J50" s="740">
        <v>0</v>
      </c>
      <c r="K50" s="740">
        <v>0</v>
      </c>
      <c r="L50" s="740">
        <v>0</v>
      </c>
      <c r="M50" s="740">
        <v>0</v>
      </c>
      <c r="N50" s="740">
        <v>0</v>
      </c>
      <c r="O50" s="740">
        <v>0</v>
      </c>
      <c r="P50" s="740">
        <v>0</v>
      </c>
      <c r="Q50" s="740">
        <v>0.18364631018337371</v>
      </c>
      <c r="R50" s="740">
        <v>0</v>
      </c>
      <c r="S50" s="740" t="s">
        <v>509</v>
      </c>
      <c r="T50" s="740" t="s">
        <v>509</v>
      </c>
      <c r="U50" s="740" t="s">
        <v>509</v>
      </c>
      <c r="V50" s="740" t="s">
        <v>509</v>
      </c>
      <c r="W50" s="740" t="s">
        <v>509</v>
      </c>
      <c r="X50" s="740" t="s">
        <v>509</v>
      </c>
      <c r="Y50" s="740" t="s">
        <v>509</v>
      </c>
      <c r="Z50" s="740" t="s">
        <v>509</v>
      </c>
      <c r="AA50" s="740" t="s">
        <v>509</v>
      </c>
      <c r="AB50" s="740" t="s">
        <v>509</v>
      </c>
      <c r="AC50" s="740" t="s">
        <v>509</v>
      </c>
      <c r="AD50" s="740">
        <v>0</v>
      </c>
      <c r="AE50" s="740">
        <v>0</v>
      </c>
      <c r="AF50" s="540">
        <v>0</v>
      </c>
      <c r="AG50" s="540">
        <v>0</v>
      </c>
      <c r="AH50" s="540">
        <v>0</v>
      </c>
      <c r="AI50" s="540">
        <v>0</v>
      </c>
      <c r="AJ50" s="540">
        <v>0</v>
      </c>
      <c r="AK50" s="540">
        <v>0</v>
      </c>
      <c r="AL50" s="540">
        <v>0</v>
      </c>
      <c r="AM50" s="540">
        <v>0</v>
      </c>
      <c r="AN50" s="540" t="s">
        <v>509</v>
      </c>
      <c r="AO50" s="540">
        <v>0</v>
      </c>
      <c r="AP50" s="540">
        <v>0</v>
      </c>
      <c r="AQ50" s="540">
        <v>0</v>
      </c>
      <c r="AR50" s="540">
        <v>0</v>
      </c>
      <c r="AS50" s="540">
        <v>0</v>
      </c>
      <c r="AT50" s="540" t="s">
        <v>509</v>
      </c>
      <c r="AU50" s="540" t="s">
        <v>509</v>
      </c>
      <c r="AV50" s="540" t="s">
        <v>509</v>
      </c>
      <c r="AW50" s="540" t="s">
        <v>509</v>
      </c>
    </row>
    <row r="51" spans="1:49" ht="14.25" customHeight="1">
      <c r="A51" s="543" t="s">
        <v>570</v>
      </c>
      <c r="B51" s="741" t="s">
        <v>509</v>
      </c>
      <c r="C51" s="741" t="s">
        <v>509</v>
      </c>
      <c r="D51" s="741" t="s">
        <v>509</v>
      </c>
      <c r="E51" s="741" t="s">
        <v>509</v>
      </c>
      <c r="F51" s="741" t="s">
        <v>509</v>
      </c>
      <c r="G51" s="741" t="s">
        <v>509</v>
      </c>
      <c r="H51" s="741" t="s">
        <v>509</v>
      </c>
      <c r="I51" s="741" t="s">
        <v>509</v>
      </c>
      <c r="J51" s="741" t="s">
        <v>509</v>
      </c>
      <c r="K51" s="741" t="s">
        <v>509</v>
      </c>
      <c r="L51" s="741" t="s">
        <v>509</v>
      </c>
      <c r="M51" s="741" t="s">
        <v>509</v>
      </c>
      <c r="N51" s="741" t="s">
        <v>509</v>
      </c>
      <c r="O51" s="741" t="s">
        <v>509</v>
      </c>
      <c r="P51" s="741" t="s">
        <v>509</v>
      </c>
      <c r="Q51" s="741" t="s">
        <v>509</v>
      </c>
      <c r="R51" s="741" t="s">
        <v>509</v>
      </c>
      <c r="S51" s="741" t="s">
        <v>509</v>
      </c>
      <c r="T51" s="741" t="s">
        <v>509</v>
      </c>
      <c r="U51" s="741" t="s">
        <v>509</v>
      </c>
      <c r="V51" s="741" t="s">
        <v>509</v>
      </c>
      <c r="W51" s="741" t="s">
        <v>509</v>
      </c>
      <c r="X51" s="741" t="s">
        <v>509</v>
      </c>
      <c r="Y51" s="741" t="s">
        <v>509</v>
      </c>
      <c r="Z51" s="741" t="s">
        <v>509</v>
      </c>
      <c r="AA51" s="741" t="s">
        <v>509</v>
      </c>
      <c r="AB51" s="741" t="s">
        <v>509</v>
      </c>
      <c r="AC51" s="741" t="s">
        <v>509</v>
      </c>
      <c r="AD51" s="741" t="s">
        <v>509</v>
      </c>
      <c r="AE51" s="741" t="s">
        <v>509</v>
      </c>
      <c r="AF51" s="542">
        <v>0</v>
      </c>
      <c r="AG51" s="542">
        <v>0</v>
      </c>
      <c r="AH51" s="542">
        <v>0</v>
      </c>
      <c r="AI51" s="542">
        <v>0</v>
      </c>
      <c r="AJ51" s="542">
        <v>0</v>
      </c>
      <c r="AK51" s="542">
        <v>0</v>
      </c>
      <c r="AL51" s="542">
        <v>0</v>
      </c>
      <c r="AM51" s="542">
        <v>0</v>
      </c>
      <c r="AN51" s="542">
        <v>0</v>
      </c>
      <c r="AO51" s="542">
        <v>0</v>
      </c>
      <c r="AP51" s="542">
        <v>0</v>
      </c>
      <c r="AQ51" s="542">
        <v>0</v>
      </c>
      <c r="AR51" s="542">
        <v>0</v>
      </c>
      <c r="AS51" s="542">
        <v>0</v>
      </c>
      <c r="AT51" s="542">
        <v>0</v>
      </c>
      <c r="AU51" s="542">
        <v>0</v>
      </c>
      <c r="AV51" s="542">
        <v>0</v>
      </c>
      <c r="AW51" s="542" t="s">
        <v>509</v>
      </c>
    </row>
    <row r="52" spans="1:49" ht="14.25" customHeight="1">
      <c r="A52" s="543" t="s">
        <v>569</v>
      </c>
      <c r="B52" s="740" t="s">
        <v>509</v>
      </c>
      <c r="C52" s="740" t="s">
        <v>509</v>
      </c>
      <c r="D52" s="740" t="s">
        <v>509</v>
      </c>
      <c r="E52" s="740">
        <v>3.1020687841842413E-2</v>
      </c>
      <c r="F52" s="740">
        <v>0</v>
      </c>
      <c r="G52" s="740">
        <v>0</v>
      </c>
      <c r="H52" s="740">
        <v>8.4642391538168382E-2</v>
      </c>
      <c r="I52" s="740">
        <v>0</v>
      </c>
      <c r="J52" s="740">
        <v>0</v>
      </c>
      <c r="K52" s="740">
        <v>0.10527359713587059</v>
      </c>
      <c r="L52" s="740">
        <v>0</v>
      </c>
      <c r="M52" s="740">
        <v>0</v>
      </c>
      <c r="N52" s="740">
        <v>0</v>
      </c>
      <c r="O52" s="740">
        <v>0</v>
      </c>
      <c r="P52" s="740">
        <v>0</v>
      </c>
      <c r="Q52" s="740">
        <v>0</v>
      </c>
      <c r="R52" s="740">
        <v>0</v>
      </c>
      <c r="S52" s="740">
        <v>0</v>
      </c>
      <c r="T52" s="740">
        <v>0</v>
      </c>
      <c r="U52" s="740">
        <v>0</v>
      </c>
      <c r="V52" s="740">
        <v>3.3697391651848254</v>
      </c>
      <c r="W52" s="740">
        <v>4.1051510573046845E-2</v>
      </c>
      <c r="X52" s="740">
        <v>6.3392053365441112E-2</v>
      </c>
      <c r="Y52" s="740">
        <v>0.2406976402505818</v>
      </c>
      <c r="Z52" s="740">
        <v>18.512580622059474</v>
      </c>
      <c r="AA52" s="740">
        <v>1.9712535556865019E-2</v>
      </c>
      <c r="AB52" s="740">
        <v>5.1884379688369973E-2</v>
      </c>
      <c r="AC52" s="740" t="s">
        <v>509</v>
      </c>
      <c r="AD52" s="740">
        <v>1.2071100308553786</v>
      </c>
      <c r="AE52" s="740">
        <v>1.13779011423217</v>
      </c>
      <c r="AF52" s="540">
        <v>0</v>
      </c>
      <c r="AG52" s="540">
        <v>0</v>
      </c>
      <c r="AH52" s="540">
        <v>3.5</v>
      </c>
      <c r="AI52" s="540">
        <v>1.7421523045241545</v>
      </c>
      <c r="AJ52" s="540">
        <v>5.7410966558211915E-2</v>
      </c>
      <c r="AK52" s="540">
        <v>0.49313425524335847</v>
      </c>
      <c r="AL52" s="540">
        <v>0.39469611124327075</v>
      </c>
      <c r="AM52" s="540">
        <v>0.39564683617790491</v>
      </c>
      <c r="AN52" s="540" t="s">
        <v>509</v>
      </c>
      <c r="AO52" s="540" t="s">
        <v>509</v>
      </c>
      <c r="AP52" s="540" t="s">
        <v>509</v>
      </c>
      <c r="AQ52" s="540">
        <v>0</v>
      </c>
      <c r="AR52" s="540" t="s">
        <v>509</v>
      </c>
      <c r="AS52" s="540" t="s">
        <v>509</v>
      </c>
      <c r="AT52" s="540">
        <v>1.1947206730256656E-2</v>
      </c>
      <c r="AU52" s="540">
        <v>0</v>
      </c>
      <c r="AV52" s="540" t="s">
        <v>509</v>
      </c>
      <c r="AW52" s="540" t="s">
        <v>509</v>
      </c>
    </row>
    <row r="53" spans="1:49" ht="14.25" customHeight="1">
      <c r="A53" s="543" t="s">
        <v>122</v>
      </c>
      <c r="B53" s="741" t="s">
        <v>509</v>
      </c>
      <c r="C53" s="741" t="s">
        <v>509</v>
      </c>
      <c r="D53" s="741">
        <v>0</v>
      </c>
      <c r="E53" s="741">
        <v>0</v>
      </c>
      <c r="F53" s="741">
        <v>0.8</v>
      </c>
      <c r="G53" s="741">
        <v>3.8</v>
      </c>
      <c r="H53" s="741">
        <v>3.2</v>
      </c>
      <c r="I53" s="741">
        <v>2.4</v>
      </c>
      <c r="J53" s="741">
        <v>5.4</v>
      </c>
      <c r="K53" s="741">
        <v>3.9</v>
      </c>
      <c r="L53" s="741">
        <v>4.7</v>
      </c>
      <c r="M53" s="741">
        <v>3.6</v>
      </c>
      <c r="N53" s="741">
        <v>4.5</v>
      </c>
      <c r="O53" s="741">
        <v>0.9</v>
      </c>
      <c r="P53" s="741">
        <v>2.7</v>
      </c>
      <c r="Q53" s="741">
        <v>3.3</v>
      </c>
      <c r="R53" s="741">
        <v>3</v>
      </c>
      <c r="S53" s="741">
        <v>4</v>
      </c>
      <c r="T53" s="741">
        <v>5.0999999999999996</v>
      </c>
      <c r="U53" s="741">
        <v>5.7</v>
      </c>
      <c r="V53" s="741">
        <v>5.5</v>
      </c>
      <c r="W53" s="741">
        <v>7.84</v>
      </c>
      <c r="X53" s="741">
        <v>19.75</v>
      </c>
      <c r="Y53" s="741">
        <v>11.2</v>
      </c>
      <c r="Z53" s="741">
        <v>7.6445819999999998</v>
      </c>
      <c r="AA53" s="741">
        <v>57</v>
      </c>
      <c r="AB53" s="741">
        <v>59.869461296312735</v>
      </c>
      <c r="AC53" s="741">
        <v>55.370660509601663</v>
      </c>
      <c r="AD53" s="741">
        <v>54.058578206797044</v>
      </c>
      <c r="AE53" s="741">
        <v>60.612631716451304</v>
      </c>
      <c r="AF53" s="542">
        <v>63.243244753895866</v>
      </c>
      <c r="AG53" s="542">
        <v>70.784724519446101</v>
      </c>
      <c r="AH53" s="542">
        <v>73.758397498169799</v>
      </c>
      <c r="AI53" s="542">
        <v>77.064035986354099</v>
      </c>
      <c r="AJ53" s="542">
        <v>84.948693528319296</v>
      </c>
      <c r="AK53" s="542">
        <v>84.956339598883091</v>
      </c>
      <c r="AL53" s="542">
        <v>95.879738790011601</v>
      </c>
      <c r="AM53" s="542">
        <v>99.977524548709411</v>
      </c>
      <c r="AN53" s="542">
        <v>53.809398141310702</v>
      </c>
      <c r="AO53" s="542">
        <v>128.44966984518371</v>
      </c>
      <c r="AP53" s="542">
        <v>111.83268247769639</v>
      </c>
      <c r="AQ53" s="542">
        <v>92.002992772376103</v>
      </c>
      <c r="AR53" s="542">
        <v>72.968124925021101</v>
      </c>
      <c r="AS53" s="542">
        <v>73.436728355914852</v>
      </c>
      <c r="AT53" s="542">
        <v>89.311409981447909</v>
      </c>
      <c r="AU53" s="542">
        <v>70.386173068756889</v>
      </c>
      <c r="AV53" s="542">
        <v>64.413827551944905</v>
      </c>
      <c r="AW53" s="542">
        <v>90.220072211373406</v>
      </c>
    </row>
    <row r="54" spans="1:49" ht="14.25" customHeight="1">
      <c r="A54" s="543" t="s">
        <v>238</v>
      </c>
      <c r="B54" s="740" t="s">
        <v>509</v>
      </c>
      <c r="C54" s="740" t="s">
        <v>509</v>
      </c>
      <c r="D54" s="740" t="s">
        <v>509</v>
      </c>
      <c r="E54" s="740" t="s">
        <v>509</v>
      </c>
      <c r="F54" s="740" t="s">
        <v>509</v>
      </c>
      <c r="G54" s="740" t="s">
        <v>509</v>
      </c>
      <c r="H54" s="740" t="s">
        <v>509</v>
      </c>
      <c r="I54" s="740" t="s">
        <v>509</v>
      </c>
      <c r="J54" s="740" t="s">
        <v>509</v>
      </c>
      <c r="K54" s="740" t="s">
        <v>509</v>
      </c>
      <c r="L54" s="740" t="s">
        <v>509</v>
      </c>
      <c r="M54" s="740" t="s">
        <v>509</v>
      </c>
      <c r="N54" s="740" t="s">
        <v>509</v>
      </c>
      <c r="O54" s="740" t="s">
        <v>509</v>
      </c>
      <c r="P54" s="740" t="s">
        <v>509</v>
      </c>
      <c r="Q54" s="740" t="s">
        <v>509</v>
      </c>
      <c r="R54" s="740" t="s">
        <v>509</v>
      </c>
      <c r="S54" s="740" t="s">
        <v>509</v>
      </c>
      <c r="T54" s="740" t="s">
        <v>509</v>
      </c>
      <c r="U54" s="740" t="s">
        <v>509</v>
      </c>
      <c r="V54" s="740" t="s">
        <v>509</v>
      </c>
      <c r="W54" s="740" t="s">
        <v>509</v>
      </c>
      <c r="X54" s="740" t="s">
        <v>509</v>
      </c>
      <c r="Y54" s="740" t="s">
        <v>509</v>
      </c>
      <c r="Z54" s="740" t="s">
        <v>509</v>
      </c>
      <c r="AA54" s="740" t="s">
        <v>509</v>
      </c>
      <c r="AB54" s="740" t="s">
        <v>509</v>
      </c>
      <c r="AC54" s="740" t="s">
        <v>509</v>
      </c>
      <c r="AD54" s="740" t="s">
        <v>509</v>
      </c>
      <c r="AE54" s="740" t="s">
        <v>509</v>
      </c>
      <c r="AF54" s="540">
        <v>2.723522473467626</v>
      </c>
      <c r="AG54" s="540">
        <v>2.8807928407071843</v>
      </c>
      <c r="AH54" s="540">
        <v>3.2947950366306653</v>
      </c>
      <c r="AI54" s="540">
        <v>3.6783353619273562</v>
      </c>
      <c r="AJ54" s="540">
        <v>3.3695619710124425</v>
      </c>
      <c r="AK54" s="540">
        <v>6.9689688562972245</v>
      </c>
      <c r="AL54" s="540">
        <v>3.9</v>
      </c>
      <c r="AM54" s="540">
        <v>9.2170631242132188</v>
      </c>
      <c r="AN54" s="540">
        <v>-0.80862584361774081</v>
      </c>
      <c r="AO54" s="540">
        <v>5.1000559336221212</v>
      </c>
      <c r="AP54" s="540">
        <v>3.823621906863035</v>
      </c>
      <c r="AQ54" s="540">
        <v>34.884583396668461</v>
      </c>
      <c r="AR54" s="540">
        <v>98.490218258191177</v>
      </c>
      <c r="AS54" s="540">
        <v>115.68247313214881</v>
      </c>
      <c r="AT54" s="540">
        <v>163.39209853788691</v>
      </c>
      <c r="AU54" s="540">
        <v>113.28953360393953</v>
      </c>
      <c r="AV54" s="540">
        <v>202.47635533110449</v>
      </c>
      <c r="AW54" s="540" t="s">
        <v>509</v>
      </c>
    </row>
    <row r="55" spans="1:49" ht="14.25" customHeight="1">
      <c r="A55" s="543" t="s">
        <v>568</v>
      </c>
      <c r="B55" s="741" t="s">
        <v>509</v>
      </c>
      <c r="C55" s="741" t="s">
        <v>509</v>
      </c>
      <c r="D55" s="741" t="s">
        <v>509</v>
      </c>
      <c r="E55" s="741" t="s">
        <v>509</v>
      </c>
      <c r="F55" s="741" t="s">
        <v>509</v>
      </c>
      <c r="G55" s="741" t="s">
        <v>509</v>
      </c>
      <c r="H55" s="741" t="s">
        <v>509</v>
      </c>
      <c r="I55" s="741" t="s">
        <v>509</v>
      </c>
      <c r="J55" s="741" t="s">
        <v>509</v>
      </c>
      <c r="K55" s="741" t="s">
        <v>509</v>
      </c>
      <c r="L55" s="741" t="s">
        <v>509</v>
      </c>
      <c r="M55" s="741" t="s">
        <v>509</v>
      </c>
      <c r="N55" s="741" t="s">
        <v>509</v>
      </c>
      <c r="O55" s="741" t="s">
        <v>509</v>
      </c>
      <c r="P55" s="741" t="s">
        <v>509</v>
      </c>
      <c r="Q55" s="741" t="s">
        <v>509</v>
      </c>
      <c r="R55" s="741" t="s">
        <v>509</v>
      </c>
      <c r="S55" s="741" t="s">
        <v>509</v>
      </c>
      <c r="T55" s="741">
        <v>0.50058152114540655</v>
      </c>
      <c r="U55" s="741">
        <v>14.02875887580255</v>
      </c>
      <c r="V55" s="741">
        <v>8.1120873016395496</v>
      </c>
      <c r="W55" s="741">
        <v>17.648779508566342</v>
      </c>
      <c r="X55" s="741">
        <v>13.368917367648566</v>
      </c>
      <c r="Y55" s="741">
        <v>4.1144528494588233</v>
      </c>
      <c r="Z55" s="741">
        <v>3.22018171934657</v>
      </c>
      <c r="AA55" s="741">
        <v>8.6</v>
      </c>
      <c r="AB55" s="741">
        <v>28.821175069132014</v>
      </c>
      <c r="AC55" s="741">
        <v>23.149863100528634</v>
      </c>
      <c r="AD55" s="741">
        <v>37.345641132862227</v>
      </c>
      <c r="AE55" s="741">
        <v>211.26785521083721</v>
      </c>
      <c r="AF55" s="542">
        <v>133.06106093689181</v>
      </c>
      <c r="AG55" s="542">
        <v>97.879681380144689</v>
      </c>
      <c r="AH55" s="542">
        <v>223.28382682528573</v>
      </c>
      <c r="AI55" s="542">
        <v>278.69143077665501</v>
      </c>
      <c r="AJ55" s="542">
        <v>-107.03188404548696</v>
      </c>
      <c r="AK55" s="542">
        <v>93.247663436492417</v>
      </c>
      <c r="AL55" s="542">
        <v>52.607079422598915</v>
      </c>
      <c r="AM55" s="542">
        <v>-52.928422391139357</v>
      </c>
      <c r="AN55" s="542">
        <v>-190.92940603899598</v>
      </c>
      <c r="AO55" s="542">
        <v>-225.26987178530587</v>
      </c>
      <c r="AP55" s="542">
        <v>-452.04793588138733</v>
      </c>
      <c r="AQ55" s="542">
        <v>-1644.055940286775</v>
      </c>
      <c r="AR55" s="542">
        <v>-1380.1455399957454</v>
      </c>
      <c r="AS55" s="542">
        <v>151.49487970489608</v>
      </c>
      <c r="AT55" s="542">
        <v>193.70537059402614</v>
      </c>
      <c r="AU55" s="542">
        <v>312.17457185648124</v>
      </c>
      <c r="AV55" s="542">
        <v>493.17706126868927</v>
      </c>
      <c r="AW55" s="542">
        <v>293.83825560065105</v>
      </c>
    </row>
    <row r="56" spans="1:49" ht="14.25" customHeight="1">
      <c r="A56" s="543" t="s">
        <v>567</v>
      </c>
      <c r="B56" s="740" t="s">
        <v>509</v>
      </c>
      <c r="C56" s="740" t="s">
        <v>509</v>
      </c>
      <c r="D56" s="740" t="s">
        <v>509</v>
      </c>
      <c r="E56" s="740" t="s">
        <v>509</v>
      </c>
      <c r="F56" s="740" t="s">
        <v>509</v>
      </c>
      <c r="G56" s="740" t="s">
        <v>509</v>
      </c>
      <c r="H56" s="740" t="s">
        <v>509</v>
      </c>
      <c r="I56" s="740" t="s">
        <v>509</v>
      </c>
      <c r="J56" s="740" t="s">
        <v>509</v>
      </c>
      <c r="K56" s="740" t="s">
        <v>509</v>
      </c>
      <c r="L56" s="740" t="s">
        <v>509</v>
      </c>
      <c r="M56" s="740" t="s">
        <v>509</v>
      </c>
      <c r="N56" s="740" t="s">
        <v>509</v>
      </c>
      <c r="O56" s="740" t="s">
        <v>509</v>
      </c>
      <c r="P56" s="740" t="s">
        <v>509</v>
      </c>
      <c r="Q56" s="740" t="s">
        <v>509</v>
      </c>
      <c r="R56" s="740" t="s">
        <v>509</v>
      </c>
      <c r="S56" s="740" t="s">
        <v>509</v>
      </c>
      <c r="T56" s="740" t="s">
        <v>509</v>
      </c>
      <c r="U56" s="740" t="s">
        <v>509</v>
      </c>
      <c r="V56" s="740" t="s">
        <v>509</v>
      </c>
      <c r="W56" s="740" t="s">
        <v>509</v>
      </c>
      <c r="X56" s="740" t="s">
        <v>509</v>
      </c>
      <c r="Y56" s="740" t="s">
        <v>509</v>
      </c>
      <c r="Z56" s="740" t="s">
        <v>509</v>
      </c>
      <c r="AA56" s="740" t="s">
        <v>509</v>
      </c>
      <c r="AB56" s="740" t="s">
        <v>509</v>
      </c>
      <c r="AC56" s="740" t="s">
        <v>509</v>
      </c>
      <c r="AD56" s="740" t="s">
        <v>509</v>
      </c>
      <c r="AE56" s="740" t="s">
        <v>509</v>
      </c>
      <c r="AF56" s="540" t="s">
        <v>509</v>
      </c>
      <c r="AG56" s="540" t="s">
        <v>509</v>
      </c>
      <c r="AH56" s="540" t="s">
        <v>509</v>
      </c>
      <c r="AI56" s="540" t="s">
        <v>509</v>
      </c>
      <c r="AJ56" s="540" t="s">
        <v>509</v>
      </c>
      <c r="AK56" s="540" t="s">
        <v>509</v>
      </c>
      <c r="AL56" s="540">
        <v>14.7</v>
      </c>
      <c r="AM56" s="540">
        <v>13.059217877094971</v>
      </c>
      <c r="AN56" s="540">
        <v>14.273743016759775</v>
      </c>
      <c r="AO56" s="540">
        <v>19.111731843575416</v>
      </c>
      <c r="AP56" s="540">
        <v>9.0893854748603342</v>
      </c>
      <c r="AQ56" s="540">
        <v>6.7094972067039107</v>
      </c>
      <c r="AR56" s="540">
        <v>11.068406318435752</v>
      </c>
      <c r="AS56" s="540">
        <v>18.715486636871507</v>
      </c>
      <c r="AT56" s="540">
        <v>27.748035268156425</v>
      </c>
      <c r="AU56" s="540">
        <v>15.074877357541899</v>
      </c>
      <c r="AV56" s="540">
        <v>12.772248564245809</v>
      </c>
      <c r="AW56" s="540" t="s">
        <v>509</v>
      </c>
    </row>
    <row r="57" spans="1:49" ht="14.25" customHeight="1">
      <c r="A57" s="543" t="s">
        <v>566</v>
      </c>
      <c r="B57" s="741" t="s">
        <v>509</v>
      </c>
      <c r="C57" s="741" t="s">
        <v>509</v>
      </c>
      <c r="D57" s="741" t="s">
        <v>509</v>
      </c>
      <c r="E57" s="741" t="s">
        <v>509</v>
      </c>
      <c r="F57" s="741" t="s">
        <v>509</v>
      </c>
      <c r="G57" s="741" t="s">
        <v>509</v>
      </c>
      <c r="H57" s="741" t="s">
        <v>509</v>
      </c>
      <c r="I57" s="741" t="s">
        <v>509</v>
      </c>
      <c r="J57" s="741" t="s">
        <v>509</v>
      </c>
      <c r="K57" s="741" t="s">
        <v>509</v>
      </c>
      <c r="L57" s="741" t="s">
        <v>509</v>
      </c>
      <c r="M57" s="741" t="s">
        <v>509</v>
      </c>
      <c r="N57" s="741" t="s">
        <v>509</v>
      </c>
      <c r="O57" s="741" t="s">
        <v>509</v>
      </c>
      <c r="P57" s="741" t="s">
        <v>509</v>
      </c>
      <c r="Q57" s="741" t="s">
        <v>509</v>
      </c>
      <c r="R57" s="741" t="s">
        <v>509</v>
      </c>
      <c r="S57" s="741" t="s">
        <v>509</v>
      </c>
      <c r="T57" s="741" t="s">
        <v>509</v>
      </c>
      <c r="U57" s="741" t="s">
        <v>509</v>
      </c>
      <c r="V57" s="741" t="s">
        <v>509</v>
      </c>
      <c r="W57" s="741" t="s">
        <v>509</v>
      </c>
      <c r="X57" s="741" t="s">
        <v>509</v>
      </c>
      <c r="Y57" s="741" t="s">
        <v>509</v>
      </c>
      <c r="Z57" s="741" t="s">
        <v>509</v>
      </c>
      <c r="AA57" s="741" t="s">
        <v>509</v>
      </c>
      <c r="AB57" s="741" t="s">
        <v>509</v>
      </c>
      <c r="AC57" s="741" t="s">
        <v>509</v>
      </c>
      <c r="AD57" s="741" t="s">
        <v>509</v>
      </c>
      <c r="AE57" s="741" t="s">
        <v>509</v>
      </c>
      <c r="AF57" s="542" t="s">
        <v>509</v>
      </c>
      <c r="AG57" s="542" t="s">
        <v>509</v>
      </c>
      <c r="AH57" s="542" t="s">
        <v>509</v>
      </c>
      <c r="AI57" s="542" t="s">
        <v>509</v>
      </c>
      <c r="AJ57" s="542" t="s">
        <v>509</v>
      </c>
      <c r="AK57" s="542" t="s">
        <v>509</v>
      </c>
      <c r="AL57" s="542">
        <v>14.4</v>
      </c>
      <c r="AM57" s="542">
        <v>12.47486033519553</v>
      </c>
      <c r="AN57" s="542">
        <v>14.273743016759775</v>
      </c>
      <c r="AO57" s="542">
        <v>18.815642458100559</v>
      </c>
      <c r="AP57" s="542">
        <v>9.0893854748603342</v>
      </c>
      <c r="AQ57" s="542">
        <v>6.4692737430167595</v>
      </c>
      <c r="AR57" s="542">
        <v>9.0795795027932957</v>
      </c>
      <c r="AS57" s="542">
        <v>18.715486636871507</v>
      </c>
      <c r="AT57" s="542">
        <v>25.145435994413404</v>
      </c>
      <c r="AU57" s="542">
        <v>12.417968391061454</v>
      </c>
      <c r="AV57" s="542">
        <v>9.4648351340782124</v>
      </c>
      <c r="AW57" s="542" t="s">
        <v>509</v>
      </c>
    </row>
    <row r="58" spans="1:49" ht="14.25" customHeight="1">
      <c r="A58" s="543" t="s">
        <v>187</v>
      </c>
      <c r="B58" s="740" t="s">
        <v>509</v>
      </c>
      <c r="C58" s="740">
        <v>0</v>
      </c>
      <c r="D58" s="740">
        <v>0</v>
      </c>
      <c r="E58" s="740">
        <v>0</v>
      </c>
      <c r="F58" s="740">
        <v>0</v>
      </c>
      <c r="G58" s="740">
        <v>0</v>
      </c>
      <c r="H58" s="740">
        <v>0</v>
      </c>
      <c r="I58" s="740">
        <v>0</v>
      </c>
      <c r="J58" s="740">
        <v>0</v>
      </c>
      <c r="K58" s="740">
        <v>0</v>
      </c>
      <c r="L58" s="740">
        <v>0</v>
      </c>
      <c r="M58" s="740" t="s">
        <v>509</v>
      </c>
      <c r="N58" s="740" t="s">
        <v>509</v>
      </c>
      <c r="O58" s="740" t="s">
        <v>509</v>
      </c>
      <c r="P58" s="740" t="s">
        <v>509</v>
      </c>
      <c r="Q58" s="740" t="s">
        <v>509</v>
      </c>
      <c r="R58" s="740" t="s">
        <v>509</v>
      </c>
      <c r="S58" s="740" t="s">
        <v>509</v>
      </c>
      <c r="T58" s="740" t="s">
        <v>509</v>
      </c>
      <c r="U58" s="740" t="s">
        <v>509</v>
      </c>
      <c r="V58" s="740">
        <v>16.577510360022991</v>
      </c>
      <c r="W58" s="740">
        <v>21.444904020651443</v>
      </c>
      <c r="X58" s="740">
        <v>25.85009911188488</v>
      </c>
      <c r="Y58" s="740">
        <v>34.186634592374837</v>
      </c>
      <c r="Z58" s="740">
        <v>42.214680878592837</v>
      </c>
      <c r="AA58" s="740">
        <v>39.029425099198534</v>
      </c>
      <c r="AB58" s="740">
        <v>41.566976857229733</v>
      </c>
      <c r="AC58" s="740">
        <v>91.67690849090485</v>
      </c>
      <c r="AD58" s="740">
        <v>257.62508843353487</v>
      </c>
      <c r="AE58" s="740">
        <v>304.46364722467206</v>
      </c>
      <c r="AF58" s="540">
        <v>359.43120034802723</v>
      </c>
      <c r="AG58" s="540">
        <v>430.33902320848239</v>
      </c>
      <c r="AH58" s="540">
        <v>598.82034460712293</v>
      </c>
      <c r="AI58" s="540">
        <v>10660.4</v>
      </c>
      <c r="AJ58" s="540">
        <v>11119.609656736235</v>
      </c>
      <c r="AK58" s="540">
        <v>12840.19671384195</v>
      </c>
      <c r="AL58" s="540">
        <v>18160.81646312181</v>
      </c>
      <c r="AM58" s="540">
        <v>15059.652232961331</v>
      </c>
      <c r="AN58" s="540">
        <v>17206.079020710938</v>
      </c>
      <c r="AO58" s="540">
        <v>18490.312841517021</v>
      </c>
      <c r="AP58" s="540">
        <v>28011.849278833823</v>
      </c>
      <c r="AQ58" s="540">
        <v>11122.359044892517</v>
      </c>
      <c r="AR58" s="540">
        <v>22332.969967052351</v>
      </c>
      <c r="AS58" s="540">
        <v>27077.83967855903</v>
      </c>
      <c r="AT58" s="540">
        <v>25565.200086281096</v>
      </c>
      <c r="AU58" s="540">
        <v>18269.898846608856</v>
      </c>
      <c r="AV58" s="540">
        <v>23080.812488173287</v>
      </c>
      <c r="AW58" s="540">
        <v>12858.677590000849</v>
      </c>
    </row>
    <row r="59" spans="1:49" ht="14.25" customHeight="1">
      <c r="A59" s="543" t="s">
        <v>565</v>
      </c>
      <c r="B59" s="741" t="s">
        <v>509</v>
      </c>
      <c r="C59" s="741" t="s">
        <v>509</v>
      </c>
      <c r="D59" s="741" t="s">
        <v>509</v>
      </c>
      <c r="E59" s="741" t="s">
        <v>509</v>
      </c>
      <c r="F59" s="741" t="s">
        <v>509</v>
      </c>
      <c r="G59" s="741" t="s">
        <v>509</v>
      </c>
      <c r="H59" s="741" t="s">
        <v>509</v>
      </c>
      <c r="I59" s="741" t="s">
        <v>509</v>
      </c>
      <c r="J59" s="741" t="s">
        <v>509</v>
      </c>
      <c r="K59" s="741" t="s">
        <v>509</v>
      </c>
      <c r="L59" s="741" t="s">
        <v>509</v>
      </c>
      <c r="M59" s="741" t="s">
        <v>509</v>
      </c>
      <c r="N59" s="741" t="s">
        <v>509</v>
      </c>
      <c r="O59" s="741" t="s">
        <v>509</v>
      </c>
      <c r="P59" s="741" t="s">
        <v>509</v>
      </c>
      <c r="Q59" s="741" t="s">
        <v>509</v>
      </c>
      <c r="R59" s="741" t="s">
        <v>509</v>
      </c>
      <c r="S59" s="741" t="s">
        <v>509</v>
      </c>
      <c r="T59" s="741">
        <v>3.2921004342476925</v>
      </c>
      <c r="U59" s="741">
        <v>2.7263350161651281</v>
      </c>
      <c r="V59" s="741">
        <v>19.409902756352231</v>
      </c>
      <c r="W59" s="741">
        <v>32.229932890355833</v>
      </c>
      <c r="X59" s="741">
        <v>53.252990311827411</v>
      </c>
      <c r="Y59" s="741">
        <v>-82.923647728347746</v>
      </c>
      <c r="Z59" s="741">
        <v>11.515433567020992</v>
      </c>
      <c r="AA59" s="741">
        <v>-14.57138457920561</v>
      </c>
      <c r="AB59" s="741">
        <v>65.492749911495778</v>
      </c>
      <c r="AC59" s="741">
        <v>-71.463168224057711</v>
      </c>
      <c r="AD59" s="741">
        <v>124.899948226934</v>
      </c>
      <c r="AE59" s="741">
        <v>385.1</v>
      </c>
      <c r="AF59" s="542">
        <v>479.47059009138286</v>
      </c>
      <c r="AG59" s="542">
        <v>678.3467363956006</v>
      </c>
      <c r="AH59" s="542">
        <v>1355.3396599920557</v>
      </c>
      <c r="AI59" s="542">
        <v>3966.9619231742577</v>
      </c>
      <c r="AJ59" s="542">
        <v>821.51876348264898</v>
      </c>
      <c r="AK59" s="542">
        <v>1082.6072130110649</v>
      </c>
      <c r="AL59" s="542">
        <v>1181.4238534531664</v>
      </c>
      <c r="AM59" s="542">
        <v>2241.8601567797068</v>
      </c>
      <c r="AN59" s="542">
        <v>1270.7194155811844</v>
      </c>
      <c r="AO59" s="542">
        <v>1555.3001730070275</v>
      </c>
      <c r="AP59" s="542">
        <v>1853.9512789530104</v>
      </c>
      <c r="AQ59" s="542">
        <v>1964.8196903219621</v>
      </c>
      <c r="AR59" s="542">
        <v>4666.6254378219328</v>
      </c>
      <c r="AS59" s="542">
        <v>4090.4938935368386</v>
      </c>
      <c r="AT59" s="542">
        <v>5513.4889137723148</v>
      </c>
      <c r="AU59" s="542">
        <v>2174.3375062430787</v>
      </c>
      <c r="AV59" s="542">
        <v>4677.1244291653875</v>
      </c>
      <c r="AW59" s="542">
        <v>3570.5192384524662</v>
      </c>
    </row>
    <row r="60" spans="1:49" ht="14.25" customHeight="1">
      <c r="A60" s="543" t="s">
        <v>564</v>
      </c>
      <c r="B60" s="740" t="s">
        <v>509</v>
      </c>
      <c r="C60" s="740" t="s">
        <v>509</v>
      </c>
      <c r="D60" s="740" t="s">
        <v>509</v>
      </c>
      <c r="E60" s="740" t="s">
        <v>509</v>
      </c>
      <c r="F60" s="740" t="s">
        <v>509</v>
      </c>
      <c r="G60" s="740" t="s">
        <v>509</v>
      </c>
      <c r="H60" s="740" t="s">
        <v>509</v>
      </c>
      <c r="I60" s="740" t="s">
        <v>509</v>
      </c>
      <c r="J60" s="740" t="s">
        <v>509</v>
      </c>
      <c r="K60" s="740" t="s">
        <v>509</v>
      </c>
      <c r="L60" s="740" t="s">
        <v>509</v>
      </c>
      <c r="M60" s="740" t="s">
        <v>509</v>
      </c>
      <c r="N60" s="740" t="s">
        <v>509</v>
      </c>
      <c r="O60" s="740" t="s">
        <v>509</v>
      </c>
      <c r="P60" s="740" t="s">
        <v>509</v>
      </c>
      <c r="Q60" s="740" t="s">
        <v>509</v>
      </c>
      <c r="R60" s="740" t="s">
        <v>509</v>
      </c>
      <c r="S60" s="740" t="s">
        <v>509</v>
      </c>
      <c r="T60" s="740" t="s">
        <v>509</v>
      </c>
      <c r="U60" s="740" t="s">
        <v>509</v>
      </c>
      <c r="V60" s="740" t="s">
        <v>509</v>
      </c>
      <c r="W60" s="740" t="s">
        <v>509</v>
      </c>
      <c r="X60" s="740" t="s">
        <v>509</v>
      </c>
      <c r="Y60" s="740" t="s">
        <v>509</v>
      </c>
      <c r="Z60" s="740" t="s">
        <v>509</v>
      </c>
      <c r="AA60" s="740" t="s">
        <v>509</v>
      </c>
      <c r="AB60" s="740" t="s">
        <v>509</v>
      </c>
      <c r="AC60" s="740" t="s">
        <v>509</v>
      </c>
      <c r="AD60" s="740" t="s">
        <v>509</v>
      </c>
      <c r="AE60" s="740" t="s">
        <v>509</v>
      </c>
      <c r="AF60" s="540" t="s">
        <v>509</v>
      </c>
      <c r="AG60" s="540" t="s">
        <v>509</v>
      </c>
      <c r="AH60" s="540" t="s">
        <v>509</v>
      </c>
      <c r="AI60" s="540" t="s">
        <v>509</v>
      </c>
      <c r="AJ60" s="540" t="s">
        <v>509</v>
      </c>
      <c r="AK60" s="540" t="s">
        <v>509</v>
      </c>
      <c r="AL60" s="540" t="s">
        <v>509</v>
      </c>
      <c r="AM60" s="540" t="s">
        <v>509</v>
      </c>
      <c r="AN60" s="540" t="s">
        <v>509</v>
      </c>
      <c r="AO60" s="540" t="s">
        <v>509</v>
      </c>
      <c r="AP60" s="540" t="s">
        <v>509</v>
      </c>
      <c r="AQ60" s="540" t="s">
        <v>509</v>
      </c>
      <c r="AR60" s="540" t="s">
        <v>509</v>
      </c>
      <c r="AS60" s="540" t="s">
        <v>509</v>
      </c>
      <c r="AT60" s="540" t="s">
        <v>509</v>
      </c>
      <c r="AU60" s="540" t="s">
        <v>509</v>
      </c>
      <c r="AV60" s="540" t="s">
        <v>509</v>
      </c>
      <c r="AW60" s="540" t="s">
        <v>509</v>
      </c>
    </row>
    <row r="61" spans="1:49" ht="14.25" customHeight="1">
      <c r="A61" s="543" t="s">
        <v>41</v>
      </c>
      <c r="B61" s="741">
        <v>65.765251705781949</v>
      </c>
      <c r="C61" s="741">
        <v>76.426790998964577</v>
      </c>
      <c r="D61" s="741">
        <v>103.43946232056689</v>
      </c>
      <c r="E61" s="741">
        <v>94.053336892363603</v>
      </c>
      <c r="F61" s="741" t="s">
        <v>509</v>
      </c>
      <c r="G61" s="741" t="s">
        <v>509</v>
      </c>
      <c r="H61" s="741">
        <v>0</v>
      </c>
      <c r="I61" s="741">
        <v>0</v>
      </c>
      <c r="J61" s="741">
        <v>0</v>
      </c>
      <c r="K61" s="741">
        <v>0</v>
      </c>
      <c r="L61" s="741">
        <v>0</v>
      </c>
      <c r="M61" s="741">
        <v>0</v>
      </c>
      <c r="N61" s="741">
        <v>0</v>
      </c>
      <c r="O61" s="741">
        <v>0</v>
      </c>
      <c r="P61" s="741">
        <v>0</v>
      </c>
      <c r="Q61" s="741">
        <v>0</v>
      </c>
      <c r="R61" s="741">
        <v>0</v>
      </c>
      <c r="S61" s="741">
        <v>0</v>
      </c>
      <c r="T61" s="741">
        <v>0</v>
      </c>
      <c r="U61" s="741" t="s">
        <v>509</v>
      </c>
      <c r="V61" s="741" t="s">
        <v>509</v>
      </c>
      <c r="W61" s="741" t="s">
        <v>509</v>
      </c>
      <c r="X61" s="741" t="s">
        <v>509</v>
      </c>
      <c r="Y61" s="741" t="s">
        <v>509</v>
      </c>
      <c r="Z61" s="741">
        <v>2102.7411010332535</v>
      </c>
      <c r="AA61" s="741">
        <v>4686.622226219788</v>
      </c>
      <c r="AB61" s="741">
        <v>3584.6174310172119</v>
      </c>
      <c r="AC61" s="741">
        <v>2008.2530418193169</v>
      </c>
      <c r="AD61" s="741">
        <v>3899.2076290870737</v>
      </c>
      <c r="AE61" s="741">
        <v>3661.674040450785</v>
      </c>
      <c r="AF61" s="542">
        <v>11217.8</v>
      </c>
      <c r="AG61" s="542">
        <v>9900.0946017664501</v>
      </c>
      <c r="AH61" s="542">
        <v>11244.047231543229</v>
      </c>
      <c r="AI61" s="542">
        <v>10920.379630690824</v>
      </c>
      <c r="AJ61" s="542">
        <v>8662.4939537032351</v>
      </c>
      <c r="AK61" s="542">
        <v>10943.363729334962</v>
      </c>
      <c r="AL61" s="542">
        <v>11242.673200705187</v>
      </c>
      <c r="AM61" s="542">
        <v>8873.8752538359513</v>
      </c>
      <c r="AN61" s="542">
        <v>12192.267935685381</v>
      </c>
      <c r="AO61" s="542">
        <v>13497.403387796696</v>
      </c>
      <c r="AP61" s="542">
        <v>11944.042016473748</v>
      </c>
      <c r="AQ61" s="542">
        <v>11596.330137748102</v>
      </c>
      <c r="AR61" s="542">
        <v>12912.279757975344</v>
      </c>
      <c r="AS61" s="542">
        <v>15155.179800087246</v>
      </c>
      <c r="AT61" s="542">
        <v>14833.11707051876</v>
      </c>
      <c r="AU61" s="542">
        <v>13875.831999883294</v>
      </c>
      <c r="AV61" s="542">
        <v>19711.488444595885</v>
      </c>
      <c r="AW61" s="542">
        <v>19952.850366267394</v>
      </c>
    </row>
    <row r="62" spans="1:49" ht="14.25" customHeight="1">
      <c r="A62" s="543" t="s">
        <v>241</v>
      </c>
      <c r="B62" s="740" t="s">
        <v>509</v>
      </c>
      <c r="C62" s="740" t="s">
        <v>509</v>
      </c>
      <c r="D62" s="740" t="s">
        <v>509</v>
      </c>
      <c r="E62" s="740" t="s">
        <v>509</v>
      </c>
      <c r="F62" s="740" t="s">
        <v>509</v>
      </c>
      <c r="G62" s="740" t="s">
        <v>509</v>
      </c>
      <c r="H62" s="740" t="s">
        <v>509</v>
      </c>
      <c r="I62" s="740" t="s">
        <v>509</v>
      </c>
      <c r="J62" s="740" t="s">
        <v>509</v>
      </c>
      <c r="K62" s="740" t="s">
        <v>509</v>
      </c>
      <c r="L62" s="740" t="s">
        <v>509</v>
      </c>
      <c r="M62" s="740" t="s">
        <v>509</v>
      </c>
      <c r="N62" s="740" t="s">
        <v>509</v>
      </c>
      <c r="O62" s="740" t="s">
        <v>509</v>
      </c>
      <c r="P62" s="740" t="s">
        <v>509</v>
      </c>
      <c r="Q62" s="740" t="s">
        <v>509</v>
      </c>
      <c r="R62" s="740" t="s">
        <v>509</v>
      </c>
      <c r="S62" s="740" t="s">
        <v>509</v>
      </c>
      <c r="T62" s="740" t="s">
        <v>509</v>
      </c>
      <c r="U62" s="740" t="s">
        <v>509</v>
      </c>
      <c r="V62" s="740" t="s">
        <v>509</v>
      </c>
      <c r="W62" s="740" t="s">
        <v>509</v>
      </c>
      <c r="X62" s="740" t="s">
        <v>509</v>
      </c>
      <c r="Y62" s="740" t="s">
        <v>509</v>
      </c>
      <c r="Z62" s="740" t="s">
        <v>509</v>
      </c>
      <c r="AA62" s="740" t="s">
        <v>509</v>
      </c>
      <c r="AB62" s="740" t="s">
        <v>509</v>
      </c>
      <c r="AC62" s="740" t="s">
        <v>509</v>
      </c>
      <c r="AD62" s="740" t="s">
        <v>509</v>
      </c>
      <c r="AE62" s="740" t="s">
        <v>509</v>
      </c>
      <c r="AF62" s="540" t="s">
        <v>509</v>
      </c>
      <c r="AG62" s="540" t="s">
        <v>509</v>
      </c>
      <c r="AH62" s="540" t="s">
        <v>509</v>
      </c>
      <c r="AI62" s="540" t="s">
        <v>509</v>
      </c>
      <c r="AJ62" s="540" t="s">
        <v>509</v>
      </c>
      <c r="AK62" s="540" t="s">
        <v>509</v>
      </c>
      <c r="AL62" s="540" t="s">
        <v>509</v>
      </c>
      <c r="AM62" s="540" t="s">
        <v>509</v>
      </c>
      <c r="AN62" s="540" t="s">
        <v>509</v>
      </c>
      <c r="AO62" s="540" t="s">
        <v>509</v>
      </c>
      <c r="AP62" s="540" t="s">
        <v>509</v>
      </c>
      <c r="AQ62" s="540" t="s">
        <v>509</v>
      </c>
      <c r="AR62" s="540" t="s">
        <v>509</v>
      </c>
      <c r="AS62" s="540" t="s">
        <v>509</v>
      </c>
      <c r="AT62" s="540" t="s">
        <v>509</v>
      </c>
      <c r="AU62" s="540" t="s">
        <v>509</v>
      </c>
      <c r="AV62" s="540" t="s">
        <v>509</v>
      </c>
      <c r="AW62" s="540" t="s">
        <v>509</v>
      </c>
    </row>
    <row r="63" spans="1:49" ht="14.25" customHeight="1">
      <c r="A63" s="543" t="s">
        <v>242</v>
      </c>
      <c r="B63" s="741" t="s">
        <v>509</v>
      </c>
      <c r="C63" s="741">
        <v>0</v>
      </c>
      <c r="D63" s="741">
        <v>0</v>
      </c>
      <c r="E63" s="741">
        <v>0</v>
      </c>
      <c r="F63" s="741">
        <v>0</v>
      </c>
      <c r="G63" s="741">
        <v>0</v>
      </c>
      <c r="H63" s="741">
        <v>0</v>
      </c>
      <c r="I63" s="741">
        <v>0</v>
      </c>
      <c r="J63" s="741">
        <v>0</v>
      </c>
      <c r="K63" s="741">
        <v>0</v>
      </c>
      <c r="L63" s="741">
        <v>0</v>
      </c>
      <c r="M63" s="741">
        <v>0</v>
      </c>
      <c r="N63" s="741">
        <v>0</v>
      </c>
      <c r="O63" s="741">
        <v>0</v>
      </c>
      <c r="P63" s="741">
        <v>0</v>
      </c>
      <c r="Q63" s="741">
        <v>0.11851851851851851</v>
      </c>
      <c r="R63" s="741">
        <v>0.11851851851851851</v>
      </c>
      <c r="S63" s="741">
        <v>0.17777777777777776</v>
      </c>
      <c r="T63" s="741">
        <v>0.87777777777777777</v>
      </c>
      <c r="U63" s="741">
        <v>0</v>
      </c>
      <c r="V63" s="741">
        <v>0</v>
      </c>
      <c r="W63" s="741">
        <v>0</v>
      </c>
      <c r="X63" s="741">
        <v>0</v>
      </c>
      <c r="Y63" s="741">
        <v>0.75185185185185166</v>
      </c>
      <c r="Z63" s="741">
        <v>4.8148148148148148E-2</v>
      </c>
      <c r="AA63" s="741">
        <v>0.41481481481481475</v>
      </c>
      <c r="AB63" s="741">
        <v>6.8518518518518506E-2</v>
      </c>
      <c r="AC63" s="741">
        <v>0</v>
      </c>
      <c r="AD63" s="741">
        <v>0</v>
      </c>
      <c r="AE63" s="741">
        <v>0</v>
      </c>
      <c r="AF63" s="542">
        <v>0</v>
      </c>
      <c r="AG63" s="542">
        <v>0</v>
      </c>
      <c r="AH63" s="542">
        <v>0</v>
      </c>
      <c r="AI63" s="542">
        <v>1.624959259259259</v>
      </c>
      <c r="AJ63" s="542">
        <v>0</v>
      </c>
      <c r="AK63" s="542">
        <v>0</v>
      </c>
      <c r="AL63" s="542">
        <v>0</v>
      </c>
      <c r="AM63" s="542">
        <v>0</v>
      </c>
      <c r="AN63" s="542">
        <v>0</v>
      </c>
      <c r="AO63" s="542">
        <v>0.1</v>
      </c>
      <c r="AP63" s="542">
        <v>8.9637066666666654E-2</v>
      </c>
      <c r="AQ63" s="542">
        <v>6.5702370370370362E-3</v>
      </c>
      <c r="AR63" s="542">
        <v>5.7302370370370366E-3</v>
      </c>
      <c r="AS63" s="542">
        <v>2.5961629629629628E-3</v>
      </c>
      <c r="AT63" s="542">
        <v>1.087648148148148E-2</v>
      </c>
      <c r="AU63" s="542">
        <v>6.9259259259259257E-2</v>
      </c>
      <c r="AV63" s="542">
        <v>0</v>
      </c>
      <c r="AW63" s="542" t="s">
        <v>509</v>
      </c>
    </row>
    <row r="64" spans="1:49" ht="14.25" customHeight="1">
      <c r="A64" s="543" t="s">
        <v>563</v>
      </c>
      <c r="B64" s="740">
        <v>0</v>
      </c>
      <c r="C64" s="740">
        <v>0</v>
      </c>
      <c r="D64" s="740">
        <v>0</v>
      </c>
      <c r="E64" s="740">
        <v>0</v>
      </c>
      <c r="F64" s="740">
        <v>0</v>
      </c>
      <c r="G64" s="740">
        <v>0</v>
      </c>
      <c r="H64" s="740">
        <v>0</v>
      </c>
      <c r="I64" s="740">
        <v>0</v>
      </c>
      <c r="J64" s="740">
        <v>0</v>
      </c>
      <c r="K64" s="740">
        <v>0</v>
      </c>
      <c r="L64" s="740">
        <v>0</v>
      </c>
      <c r="M64" s="740">
        <v>0</v>
      </c>
      <c r="N64" s="740">
        <v>0</v>
      </c>
      <c r="O64" s="740">
        <v>0</v>
      </c>
      <c r="P64" s="740">
        <v>0</v>
      </c>
      <c r="Q64" s="740">
        <v>0</v>
      </c>
      <c r="R64" s="740">
        <v>0</v>
      </c>
      <c r="S64" s="740">
        <v>0</v>
      </c>
      <c r="T64" s="740">
        <v>0</v>
      </c>
      <c r="U64" s="740">
        <v>0</v>
      </c>
      <c r="V64" s="740">
        <v>0</v>
      </c>
      <c r="W64" s="740">
        <v>0</v>
      </c>
      <c r="X64" s="740" t="s">
        <v>509</v>
      </c>
      <c r="Y64" s="740" t="s">
        <v>509</v>
      </c>
      <c r="Z64" s="740" t="s">
        <v>509</v>
      </c>
      <c r="AA64" s="740" t="s">
        <v>509</v>
      </c>
      <c r="AB64" s="740">
        <v>0</v>
      </c>
      <c r="AC64" s="740">
        <v>0</v>
      </c>
      <c r="AD64" s="740">
        <v>0</v>
      </c>
      <c r="AE64" s="740">
        <v>0</v>
      </c>
      <c r="AF64" s="540">
        <v>0</v>
      </c>
      <c r="AG64" s="540">
        <v>0</v>
      </c>
      <c r="AH64" s="540">
        <v>0</v>
      </c>
      <c r="AI64" s="540">
        <v>0</v>
      </c>
      <c r="AJ64" s="540">
        <v>0</v>
      </c>
      <c r="AK64" s="540">
        <v>0</v>
      </c>
      <c r="AL64" s="540">
        <v>39.799999999999997</v>
      </c>
      <c r="AM64" s="540">
        <v>20</v>
      </c>
      <c r="AN64" s="540">
        <v>0</v>
      </c>
      <c r="AO64" s="540">
        <v>0</v>
      </c>
      <c r="AP64" s="540">
        <v>0</v>
      </c>
      <c r="AQ64" s="540">
        <v>0</v>
      </c>
      <c r="AR64" s="540">
        <v>0</v>
      </c>
      <c r="AS64" s="540">
        <v>0</v>
      </c>
      <c r="AT64" s="540">
        <v>0</v>
      </c>
      <c r="AU64" s="540">
        <v>0</v>
      </c>
      <c r="AV64" s="540">
        <v>0</v>
      </c>
      <c r="AW64" s="540">
        <v>0</v>
      </c>
    </row>
    <row r="65" spans="1:49" ht="14.25" customHeight="1">
      <c r="A65" s="543" t="s">
        <v>562</v>
      </c>
      <c r="B65" s="743">
        <v>0</v>
      </c>
      <c r="C65" s="743">
        <v>0</v>
      </c>
      <c r="D65" s="743">
        <v>0</v>
      </c>
      <c r="E65" s="743">
        <v>0</v>
      </c>
      <c r="F65" s="743">
        <v>0</v>
      </c>
      <c r="G65" s="743">
        <v>0</v>
      </c>
      <c r="H65" s="743">
        <v>0</v>
      </c>
      <c r="I65" s="743">
        <v>0</v>
      </c>
      <c r="J65" s="743">
        <v>0</v>
      </c>
      <c r="K65" s="743">
        <v>0</v>
      </c>
      <c r="L65" s="743">
        <v>0</v>
      </c>
      <c r="M65" s="743">
        <v>0</v>
      </c>
      <c r="N65" s="743">
        <v>0</v>
      </c>
      <c r="O65" s="743">
        <v>0</v>
      </c>
      <c r="P65" s="743">
        <v>0</v>
      </c>
      <c r="Q65" s="743">
        <v>0</v>
      </c>
      <c r="R65" s="741">
        <v>0.61703703703703694</v>
      </c>
      <c r="S65" s="741">
        <v>0.17777777777777776</v>
      </c>
      <c r="T65" s="741">
        <v>0.87777777777777777</v>
      </c>
      <c r="U65" s="741">
        <v>0</v>
      </c>
      <c r="V65" s="741">
        <v>0</v>
      </c>
      <c r="W65" s="741">
        <v>0</v>
      </c>
      <c r="X65" s="741">
        <v>0</v>
      </c>
      <c r="Y65" s="741">
        <v>0.8037037037037037</v>
      </c>
      <c r="Z65" s="741">
        <v>4.8148148148148148E-2</v>
      </c>
      <c r="AA65" s="741">
        <v>0.41481481481481475</v>
      </c>
      <c r="AB65" s="741">
        <v>6.8518518518518506E-2</v>
      </c>
      <c r="AC65" s="741">
        <v>0.13351851851851851</v>
      </c>
      <c r="AD65" s="741">
        <v>0.16071851851851851</v>
      </c>
      <c r="AE65" s="741">
        <v>0.14981481481481479</v>
      </c>
      <c r="AF65" s="542">
        <v>9.0581481481481471E-2</v>
      </c>
      <c r="AG65" s="542">
        <v>0.10288962962962962</v>
      </c>
      <c r="AH65" s="542">
        <v>8.4220740740740735E-2</v>
      </c>
      <c r="AI65" s="542">
        <v>1.6515207407407406</v>
      </c>
      <c r="AJ65" s="542">
        <v>2.4123333333333333E-2</v>
      </c>
      <c r="AK65" s="542">
        <v>2.423444444444444E-2</v>
      </c>
      <c r="AL65" s="542">
        <v>4.7938148148148146E-2</v>
      </c>
      <c r="AM65" s="542">
        <v>2.4259259259259258E-2</v>
      </c>
      <c r="AN65" s="542">
        <v>2.39437037037037E-2</v>
      </c>
      <c r="AO65" s="542">
        <v>4.2</v>
      </c>
      <c r="AP65" s="542">
        <v>2.5231853962962965</v>
      </c>
      <c r="AQ65" s="542">
        <v>2.3980619629629625</v>
      </c>
      <c r="AR65" s="542">
        <v>13.68925122222222</v>
      </c>
      <c r="AS65" s="542">
        <v>24.265596162962961</v>
      </c>
      <c r="AT65" s="542">
        <v>21.544463888888888</v>
      </c>
      <c r="AU65" s="542">
        <v>23</v>
      </c>
      <c r="AV65" s="542">
        <v>25.553622043522036</v>
      </c>
      <c r="AW65" s="542" t="s">
        <v>509</v>
      </c>
    </row>
    <row r="66" spans="1:49" ht="14.25" customHeight="1">
      <c r="A66" s="543" t="s">
        <v>244</v>
      </c>
      <c r="B66" s="740" t="s">
        <v>509</v>
      </c>
      <c r="C66" s="740">
        <v>0</v>
      </c>
      <c r="D66" s="740">
        <v>0</v>
      </c>
      <c r="E66" s="740">
        <v>0</v>
      </c>
      <c r="F66" s="740">
        <v>0</v>
      </c>
      <c r="G66" s="740">
        <v>0</v>
      </c>
      <c r="H66" s="740">
        <v>0</v>
      </c>
      <c r="I66" s="740">
        <v>0</v>
      </c>
      <c r="J66" s="740">
        <v>0</v>
      </c>
      <c r="K66" s="740">
        <v>0</v>
      </c>
      <c r="L66" s="740">
        <v>0</v>
      </c>
      <c r="M66" s="740">
        <v>0</v>
      </c>
      <c r="N66" s="740">
        <v>0</v>
      </c>
      <c r="O66" s="740">
        <v>0</v>
      </c>
      <c r="P66" s="740">
        <v>0</v>
      </c>
      <c r="Q66" s="740" t="s">
        <v>509</v>
      </c>
      <c r="R66" s="740" t="s">
        <v>509</v>
      </c>
      <c r="S66" s="740" t="s">
        <v>509</v>
      </c>
      <c r="T66" s="740" t="s">
        <v>509</v>
      </c>
      <c r="U66" s="740" t="s">
        <v>509</v>
      </c>
      <c r="V66" s="740" t="s">
        <v>509</v>
      </c>
      <c r="W66" s="740" t="s">
        <v>509</v>
      </c>
      <c r="X66" s="740" t="s">
        <v>509</v>
      </c>
      <c r="Y66" s="740" t="s">
        <v>509</v>
      </c>
      <c r="Z66" s="740" t="s">
        <v>509</v>
      </c>
      <c r="AA66" s="740">
        <v>0</v>
      </c>
      <c r="AB66" s="740">
        <v>0</v>
      </c>
      <c r="AC66" s="740">
        <v>0</v>
      </c>
      <c r="AD66" s="740">
        <v>0</v>
      </c>
      <c r="AE66" s="740">
        <v>0</v>
      </c>
      <c r="AF66" s="540">
        <v>0</v>
      </c>
      <c r="AG66" s="540">
        <v>0</v>
      </c>
      <c r="AH66" s="540">
        <v>0</v>
      </c>
      <c r="AI66" s="540">
        <v>0</v>
      </c>
      <c r="AJ66" s="540">
        <v>0</v>
      </c>
      <c r="AK66" s="540">
        <v>0</v>
      </c>
      <c r="AL66" s="540">
        <v>0</v>
      </c>
      <c r="AM66" s="540">
        <v>0</v>
      </c>
      <c r="AN66" s="540">
        <v>0</v>
      </c>
      <c r="AO66" s="540">
        <v>0</v>
      </c>
      <c r="AP66" s="540">
        <v>0</v>
      </c>
      <c r="AQ66" s="540">
        <v>0</v>
      </c>
      <c r="AR66" s="540">
        <v>0</v>
      </c>
      <c r="AS66" s="540">
        <v>0</v>
      </c>
      <c r="AT66" s="540">
        <v>0</v>
      </c>
      <c r="AU66" s="540">
        <v>0</v>
      </c>
      <c r="AV66" s="540">
        <v>0</v>
      </c>
      <c r="AW66" s="540">
        <v>0</v>
      </c>
    </row>
    <row r="67" spans="1:49" ht="14.25" customHeight="1">
      <c r="A67" s="543" t="s">
        <v>561</v>
      </c>
      <c r="B67" s="741" t="s">
        <v>509</v>
      </c>
      <c r="C67" s="741" t="s">
        <v>509</v>
      </c>
      <c r="D67" s="741">
        <v>10.222205211337</v>
      </c>
      <c r="E67" s="741">
        <v>16.6110834684225</v>
      </c>
      <c r="F67" s="741">
        <v>37.428571482040802</v>
      </c>
      <c r="G67" s="741">
        <v>23.571428605102</v>
      </c>
      <c r="H67" s="741">
        <v>74.000000105714307</v>
      </c>
      <c r="I67" s="741">
        <v>75.428571536326501</v>
      </c>
      <c r="J67" s="741">
        <v>119.28571445612199</v>
      </c>
      <c r="K67" s="741">
        <v>33.142857162585003</v>
      </c>
      <c r="L67" s="741">
        <v>70.14285714285711</v>
      </c>
      <c r="M67" s="741">
        <v>53.428571428571402</v>
      </c>
      <c r="N67" s="741">
        <v>73.428571428571402</v>
      </c>
      <c r="O67" s="741">
        <v>55</v>
      </c>
      <c r="P67" s="741">
        <v>189.18181818181802</v>
      </c>
      <c r="Q67" s="741">
        <v>246.5</v>
      </c>
      <c r="R67" s="741">
        <v>221</v>
      </c>
      <c r="S67" s="741">
        <v>318</v>
      </c>
      <c r="T67" s="741">
        <v>303</v>
      </c>
      <c r="U67" s="741">
        <v>48</v>
      </c>
      <c r="V67" s="741">
        <v>79</v>
      </c>
      <c r="W67" s="741">
        <v>52</v>
      </c>
      <c r="X67" s="741">
        <v>94.1</v>
      </c>
      <c r="Y67" s="741">
        <v>65</v>
      </c>
      <c r="Z67" s="741">
        <v>65.900000000000006</v>
      </c>
      <c r="AA67" s="741">
        <v>71</v>
      </c>
      <c r="AB67" s="741">
        <v>85.1</v>
      </c>
      <c r="AC67" s="741">
        <v>55.8</v>
      </c>
      <c r="AD67" s="741">
        <v>75.7</v>
      </c>
      <c r="AE67" s="741">
        <v>15.5</v>
      </c>
      <c r="AF67" s="542">
        <v>91.9</v>
      </c>
      <c r="AG67" s="542">
        <v>109.7</v>
      </c>
      <c r="AH67" s="542">
        <v>45.5</v>
      </c>
      <c r="AI67" s="542">
        <v>61.1</v>
      </c>
      <c r="AJ67" s="542">
        <v>79.400000000000006</v>
      </c>
      <c r="AK67" s="542">
        <v>168.6</v>
      </c>
      <c r="AL67" s="542">
        <v>96.7</v>
      </c>
      <c r="AM67" s="542">
        <v>57.9</v>
      </c>
      <c r="AN67" s="542">
        <v>63.2</v>
      </c>
      <c r="AO67" s="542">
        <v>67.099999999999994</v>
      </c>
      <c r="AP67" s="542">
        <v>153.30000000000001</v>
      </c>
      <c r="AQ67" s="542">
        <v>96.7</v>
      </c>
      <c r="AR67" s="542">
        <v>138.4</v>
      </c>
      <c r="AS67" s="542">
        <v>123.6</v>
      </c>
      <c r="AT67" s="542">
        <v>135.69999999999999</v>
      </c>
      <c r="AU67" s="542">
        <v>100.3</v>
      </c>
      <c r="AV67" s="542">
        <v>266.7</v>
      </c>
      <c r="AW67" s="542">
        <v>204.3</v>
      </c>
    </row>
    <row r="68" spans="1:49" ht="14.25" customHeight="1">
      <c r="A68" s="543" t="s">
        <v>245</v>
      </c>
      <c r="B68" s="740" t="s">
        <v>509</v>
      </c>
      <c r="C68" s="740" t="s">
        <v>509</v>
      </c>
      <c r="D68" s="740" t="s">
        <v>509</v>
      </c>
      <c r="E68" s="740" t="s">
        <v>509</v>
      </c>
      <c r="F68" s="740" t="s">
        <v>509</v>
      </c>
      <c r="G68" s="740" t="s">
        <v>509</v>
      </c>
      <c r="H68" s="740">
        <v>4.32</v>
      </c>
      <c r="I68" s="740">
        <v>2</v>
      </c>
      <c r="J68" s="740">
        <v>1.6</v>
      </c>
      <c r="K68" s="740">
        <v>1.1200000000000001</v>
      </c>
      <c r="L68" s="740">
        <v>2</v>
      </c>
      <c r="M68" s="740">
        <v>0.82437682264563106</v>
      </c>
      <c r="N68" s="740" t="s">
        <v>509</v>
      </c>
      <c r="O68" s="740" t="s">
        <v>509</v>
      </c>
      <c r="P68" s="740" t="s">
        <v>509</v>
      </c>
      <c r="Q68" s="740" t="s">
        <v>509</v>
      </c>
      <c r="R68" s="740" t="s">
        <v>509</v>
      </c>
      <c r="S68" s="740" t="s">
        <v>509</v>
      </c>
      <c r="T68" s="740" t="s">
        <v>509</v>
      </c>
      <c r="U68" s="740" t="s">
        <v>509</v>
      </c>
      <c r="V68" s="740" t="s">
        <v>509</v>
      </c>
      <c r="W68" s="740" t="s">
        <v>509</v>
      </c>
      <c r="X68" s="740" t="s">
        <v>509</v>
      </c>
      <c r="Y68" s="740" t="s">
        <v>509</v>
      </c>
      <c r="Z68" s="740">
        <v>0</v>
      </c>
      <c r="AA68" s="740">
        <v>0</v>
      </c>
      <c r="AB68" s="740">
        <v>3.4</v>
      </c>
      <c r="AC68" s="740">
        <v>2.1</v>
      </c>
      <c r="AD68" s="740">
        <v>0</v>
      </c>
      <c r="AE68" s="740">
        <v>1.1000000000000001</v>
      </c>
      <c r="AF68" s="540">
        <v>1.4</v>
      </c>
      <c r="AG68" s="540">
        <v>2.2000000000000002</v>
      </c>
      <c r="AH68" s="540">
        <v>2.42</v>
      </c>
      <c r="AI68" s="540">
        <v>1.73</v>
      </c>
      <c r="AJ68" s="540">
        <v>3.2</v>
      </c>
      <c r="AK68" s="540">
        <v>0.1995976363278083</v>
      </c>
      <c r="AL68" s="540">
        <v>0.71737622222973485</v>
      </c>
      <c r="AM68" s="540">
        <v>0.86459604026244763</v>
      </c>
      <c r="AN68" s="540">
        <v>0.90885833861111287</v>
      </c>
      <c r="AO68" s="540">
        <v>1.6250580775751332E-2</v>
      </c>
      <c r="AP68" s="540">
        <v>2.0593841928770771</v>
      </c>
      <c r="AQ68" s="540">
        <v>-2.7035218483341361</v>
      </c>
      <c r="AR68" s="540">
        <v>0.34089926197880371</v>
      </c>
      <c r="AS68" s="540">
        <v>0.13560875315511972</v>
      </c>
      <c r="AT68" s="540">
        <v>0.47954404307323351</v>
      </c>
      <c r="AU68" s="540">
        <v>51.653032282954698</v>
      </c>
      <c r="AV68" s="540">
        <v>75.167286230630992</v>
      </c>
      <c r="AW68" s="540">
        <v>59.750668435020295</v>
      </c>
    </row>
    <row r="69" spans="1:49" ht="14.25" customHeight="1">
      <c r="A69" s="543" t="s">
        <v>560</v>
      </c>
      <c r="B69" s="741" t="s">
        <v>509</v>
      </c>
      <c r="C69" s="741" t="s">
        <v>509</v>
      </c>
      <c r="D69" s="741" t="s">
        <v>509</v>
      </c>
      <c r="E69" s="741" t="s">
        <v>509</v>
      </c>
      <c r="F69" s="741" t="s">
        <v>509</v>
      </c>
      <c r="G69" s="741" t="s">
        <v>509</v>
      </c>
      <c r="H69" s="741" t="s">
        <v>509</v>
      </c>
      <c r="I69" s="741" t="s">
        <v>509</v>
      </c>
      <c r="J69" s="741" t="s">
        <v>509</v>
      </c>
      <c r="K69" s="741" t="s">
        <v>509</v>
      </c>
      <c r="L69" s="741" t="s">
        <v>509</v>
      </c>
      <c r="M69" s="741" t="s">
        <v>509</v>
      </c>
      <c r="N69" s="741">
        <v>0</v>
      </c>
      <c r="O69" s="741">
        <v>0</v>
      </c>
      <c r="P69" s="741" t="s">
        <v>509</v>
      </c>
      <c r="Q69" s="741" t="s">
        <v>509</v>
      </c>
      <c r="R69" s="741" t="s">
        <v>509</v>
      </c>
      <c r="S69" s="741" t="s">
        <v>509</v>
      </c>
      <c r="T69" s="741" t="s">
        <v>509</v>
      </c>
      <c r="U69" s="741" t="s">
        <v>509</v>
      </c>
      <c r="V69" s="741" t="s">
        <v>509</v>
      </c>
      <c r="W69" s="741" t="s">
        <v>509</v>
      </c>
      <c r="X69" s="741" t="s">
        <v>509</v>
      </c>
      <c r="Y69" s="741" t="s">
        <v>509</v>
      </c>
      <c r="Z69" s="741" t="s">
        <v>509</v>
      </c>
      <c r="AA69" s="741" t="s">
        <v>509</v>
      </c>
      <c r="AB69" s="741" t="s">
        <v>509</v>
      </c>
      <c r="AC69" s="741" t="s">
        <v>509</v>
      </c>
      <c r="AD69" s="741" t="s">
        <v>509</v>
      </c>
      <c r="AE69" s="741" t="s">
        <v>509</v>
      </c>
      <c r="AF69" s="542" t="s">
        <v>509</v>
      </c>
      <c r="AG69" s="542" t="s">
        <v>509</v>
      </c>
      <c r="AH69" s="542" t="s">
        <v>509</v>
      </c>
      <c r="AI69" s="542" t="s">
        <v>509</v>
      </c>
      <c r="AJ69" s="542" t="s">
        <v>509</v>
      </c>
      <c r="AK69" s="542" t="s">
        <v>509</v>
      </c>
      <c r="AL69" s="542" t="s">
        <v>509</v>
      </c>
      <c r="AM69" s="542" t="s">
        <v>509</v>
      </c>
      <c r="AN69" s="542" t="s">
        <v>509</v>
      </c>
      <c r="AO69" s="542" t="s">
        <v>509</v>
      </c>
      <c r="AP69" s="542" t="s">
        <v>509</v>
      </c>
      <c r="AQ69" s="542" t="s">
        <v>509</v>
      </c>
      <c r="AR69" s="542" t="s">
        <v>509</v>
      </c>
      <c r="AS69" s="542" t="s">
        <v>509</v>
      </c>
      <c r="AT69" s="542" t="s">
        <v>509</v>
      </c>
      <c r="AU69" s="542" t="s">
        <v>509</v>
      </c>
      <c r="AV69" s="542" t="s">
        <v>509</v>
      </c>
      <c r="AW69" s="542" t="s">
        <v>509</v>
      </c>
    </row>
    <row r="70" spans="1:49" ht="14.25" customHeight="1">
      <c r="A70" s="543" t="s">
        <v>559</v>
      </c>
      <c r="B70" s="740" t="s">
        <v>509</v>
      </c>
      <c r="C70" s="740" t="s">
        <v>509</v>
      </c>
      <c r="D70" s="740" t="s">
        <v>509</v>
      </c>
      <c r="E70" s="740" t="s">
        <v>509</v>
      </c>
      <c r="F70" s="740" t="s">
        <v>509</v>
      </c>
      <c r="G70" s="740" t="s">
        <v>509</v>
      </c>
      <c r="H70" s="740" t="s">
        <v>509</v>
      </c>
      <c r="I70" s="740" t="s">
        <v>509</v>
      </c>
      <c r="J70" s="740" t="s">
        <v>509</v>
      </c>
      <c r="K70" s="740" t="s">
        <v>509</v>
      </c>
      <c r="L70" s="740" t="s">
        <v>509</v>
      </c>
      <c r="M70" s="740" t="s">
        <v>509</v>
      </c>
      <c r="N70" s="740" t="s">
        <v>509</v>
      </c>
      <c r="O70" s="740" t="s">
        <v>509</v>
      </c>
      <c r="P70" s="740" t="s">
        <v>509</v>
      </c>
      <c r="Q70" s="740" t="s">
        <v>509</v>
      </c>
      <c r="R70" s="740" t="s">
        <v>509</v>
      </c>
      <c r="S70" s="740" t="s">
        <v>509</v>
      </c>
      <c r="T70" s="740" t="s">
        <v>509</v>
      </c>
      <c r="U70" s="740" t="s">
        <v>509</v>
      </c>
      <c r="V70" s="740" t="s">
        <v>509</v>
      </c>
      <c r="W70" s="740" t="s">
        <v>509</v>
      </c>
      <c r="X70" s="740" t="s">
        <v>509</v>
      </c>
      <c r="Y70" s="740" t="s">
        <v>509</v>
      </c>
      <c r="Z70" s="740" t="s">
        <v>509</v>
      </c>
      <c r="AA70" s="740">
        <v>0.10312499999999999</v>
      </c>
      <c r="AB70" s="740" t="s">
        <v>509</v>
      </c>
      <c r="AC70" s="740" t="s">
        <v>509</v>
      </c>
      <c r="AD70" s="740" t="s">
        <v>509</v>
      </c>
      <c r="AE70" s="740" t="s">
        <v>509</v>
      </c>
      <c r="AF70" s="540" t="s">
        <v>509</v>
      </c>
      <c r="AG70" s="540" t="s">
        <v>509</v>
      </c>
      <c r="AH70" s="540" t="s">
        <v>509</v>
      </c>
      <c r="AI70" s="540" t="s">
        <v>509</v>
      </c>
      <c r="AJ70" s="540" t="s">
        <v>509</v>
      </c>
      <c r="AK70" s="540" t="s">
        <v>509</v>
      </c>
      <c r="AL70" s="540" t="s">
        <v>509</v>
      </c>
      <c r="AM70" s="540" t="s">
        <v>509</v>
      </c>
      <c r="AN70" s="540" t="s">
        <v>509</v>
      </c>
      <c r="AO70" s="540" t="s">
        <v>509</v>
      </c>
      <c r="AP70" s="540" t="s">
        <v>509</v>
      </c>
      <c r="AQ70" s="540" t="s">
        <v>509</v>
      </c>
      <c r="AR70" s="540" t="s">
        <v>509</v>
      </c>
      <c r="AS70" s="540" t="s">
        <v>509</v>
      </c>
      <c r="AT70" s="540" t="s">
        <v>509</v>
      </c>
      <c r="AU70" s="540" t="s">
        <v>509</v>
      </c>
      <c r="AV70" s="540" t="s">
        <v>509</v>
      </c>
      <c r="AW70" s="540" t="s">
        <v>509</v>
      </c>
    </row>
    <row r="71" spans="1:49" ht="14.25" customHeight="1">
      <c r="A71" s="543" t="s">
        <v>558</v>
      </c>
      <c r="B71" s="741" t="s">
        <v>509</v>
      </c>
      <c r="C71" s="741" t="s">
        <v>509</v>
      </c>
      <c r="D71" s="741" t="s">
        <v>509</v>
      </c>
      <c r="E71" s="741" t="s">
        <v>509</v>
      </c>
      <c r="F71" s="741" t="s">
        <v>509</v>
      </c>
      <c r="G71" s="741" t="s">
        <v>509</v>
      </c>
      <c r="H71" s="741" t="s">
        <v>509</v>
      </c>
      <c r="I71" s="741" t="s">
        <v>509</v>
      </c>
      <c r="J71" s="741" t="s">
        <v>509</v>
      </c>
      <c r="K71" s="741" t="s">
        <v>509</v>
      </c>
      <c r="L71" s="741" t="s">
        <v>509</v>
      </c>
      <c r="M71" s="741" t="s">
        <v>509</v>
      </c>
      <c r="N71" s="741" t="s">
        <v>509</v>
      </c>
      <c r="O71" s="741" t="s">
        <v>509</v>
      </c>
      <c r="P71" s="741" t="s">
        <v>509</v>
      </c>
      <c r="Q71" s="741" t="s">
        <v>509</v>
      </c>
      <c r="R71" s="741" t="s">
        <v>509</v>
      </c>
      <c r="S71" s="741">
        <v>0.16332605460928401</v>
      </c>
      <c r="T71" s="741">
        <v>0.28281695882592672</v>
      </c>
      <c r="U71" s="741">
        <v>7.5184201293168069E-3</v>
      </c>
      <c r="V71" s="741">
        <v>0.44021528851698016</v>
      </c>
      <c r="W71" s="741">
        <v>12.542668153668801</v>
      </c>
      <c r="X71" s="741">
        <v>7.5254979460073876</v>
      </c>
      <c r="Y71" s="741">
        <v>1.3669488096216409</v>
      </c>
      <c r="Z71" s="741">
        <v>9.8113257774669655</v>
      </c>
      <c r="AA71" s="741">
        <v>5.2312698270299718</v>
      </c>
      <c r="AB71" s="741">
        <v>19.968924286591612</v>
      </c>
      <c r="AC71" s="741">
        <v>45.326679451329795</v>
      </c>
      <c r="AD71" s="741">
        <v>84</v>
      </c>
      <c r="AE71" s="741">
        <v>138.78000368326232</v>
      </c>
      <c r="AF71" s="542">
        <v>295.14951917342262</v>
      </c>
      <c r="AG71" s="542">
        <v>428.01948446661976</v>
      </c>
      <c r="AH71" s="542">
        <v>742.10267512212317</v>
      </c>
      <c r="AI71" s="542">
        <v>711.76957720170378</v>
      </c>
      <c r="AJ71" s="542">
        <v>276.52475680612093</v>
      </c>
      <c r="AK71" s="542">
        <v>342.36974938051799</v>
      </c>
      <c r="AL71" s="542">
        <v>483.2177892293322</v>
      </c>
      <c r="AM71" s="542">
        <v>385.46083007797597</v>
      </c>
      <c r="AN71" s="542">
        <v>572.08357487239846</v>
      </c>
      <c r="AO71" s="542">
        <v>518.48871242148732</v>
      </c>
      <c r="AP71" s="542">
        <v>310.79818116462025</v>
      </c>
      <c r="AQ71" s="542">
        <v>440.24380098713044</v>
      </c>
      <c r="AR71" s="542">
        <v>430.15533839982885</v>
      </c>
      <c r="AS71" s="542">
        <v>622.86229929423075</v>
      </c>
      <c r="AT71" s="542">
        <v>620.90075954303938</v>
      </c>
      <c r="AU71" s="542">
        <v>527.95344011040936</v>
      </c>
      <c r="AV71" s="542">
        <v>942.82858474531054</v>
      </c>
      <c r="AW71" s="542">
        <v>644.93143766762921</v>
      </c>
    </row>
    <row r="72" spans="1:49" ht="14.25" customHeight="1">
      <c r="A72" s="543" t="s">
        <v>557</v>
      </c>
      <c r="B72" s="740">
        <v>0</v>
      </c>
      <c r="C72" s="740">
        <v>0</v>
      </c>
      <c r="D72" s="740">
        <v>0</v>
      </c>
      <c r="E72" s="740">
        <v>0</v>
      </c>
      <c r="F72" s="740">
        <v>0</v>
      </c>
      <c r="G72" s="740">
        <v>2.6963392820458929</v>
      </c>
      <c r="H72" s="740">
        <v>17.662228712194089</v>
      </c>
      <c r="I72" s="740">
        <v>5.8941855561511574</v>
      </c>
      <c r="J72" s="740">
        <v>1.0771025942637786</v>
      </c>
      <c r="K72" s="740">
        <v>2.1012995863661752</v>
      </c>
      <c r="L72" s="740">
        <v>3.7690556057741045</v>
      </c>
      <c r="M72" s="740">
        <v>4.5513592449723133</v>
      </c>
      <c r="N72" s="740">
        <v>4.9115109444835623</v>
      </c>
      <c r="O72" s="740">
        <v>8.4012637084101698</v>
      </c>
      <c r="P72" s="740">
        <v>4.4610898595042654</v>
      </c>
      <c r="Q72" s="740">
        <v>8.6576043107654925</v>
      </c>
      <c r="R72" s="740">
        <v>13.037266664614505</v>
      </c>
      <c r="S72" s="740">
        <v>35.133065316120117</v>
      </c>
      <c r="T72" s="740">
        <v>23.260407245075172</v>
      </c>
      <c r="U72" s="740">
        <v>9.1776544148053176</v>
      </c>
      <c r="V72" s="740">
        <v>4.9100034876491723</v>
      </c>
      <c r="W72" s="740">
        <v>7.69674634862369</v>
      </c>
      <c r="X72" s="740">
        <v>1.4609496534440201</v>
      </c>
      <c r="Y72" s="740">
        <v>1.3117994266153399</v>
      </c>
      <c r="Z72" s="740">
        <v>1.7474470362405108</v>
      </c>
      <c r="AA72" s="740">
        <v>1.4364908642072567</v>
      </c>
      <c r="AB72" s="740">
        <v>1.1579498901221443</v>
      </c>
      <c r="AC72" s="740">
        <v>3.380880038858717</v>
      </c>
      <c r="AD72" s="740">
        <v>6.782247351448861</v>
      </c>
      <c r="AE72" s="740">
        <v>1.1974254192440275</v>
      </c>
      <c r="AF72" s="540">
        <v>1.5855448046531129</v>
      </c>
      <c r="AG72" s="540">
        <v>1.6638733209621275</v>
      </c>
      <c r="AH72" s="540">
        <v>6.0005407810667011</v>
      </c>
      <c r="AI72" s="540">
        <v>1.0879502511129309</v>
      </c>
      <c r="AJ72" s="540">
        <v>30.595564469235683</v>
      </c>
      <c r="AK72" s="540">
        <v>80.724229252425857</v>
      </c>
      <c r="AL72" s="540">
        <v>0.2</v>
      </c>
      <c r="AM72" s="540">
        <v>1.0149855649973374</v>
      </c>
      <c r="AN72" s="540">
        <v>0.9094814781816245</v>
      </c>
      <c r="AO72" s="540">
        <v>1.1815594386166641</v>
      </c>
      <c r="AP72" s="540">
        <v>10.974752402443016</v>
      </c>
      <c r="AQ72" s="540">
        <v>2.9246257862505414</v>
      </c>
      <c r="AR72" s="540">
        <v>10.239130587686798</v>
      </c>
      <c r="AS72" s="540">
        <v>4.1683882043002018</v>
      </c>
      <c r="AT72" s="540">
        <v>2.8491903550825337</v>
      </c>
      <c r="AU72" s="540">
        <v>2.714657348419685</v>
      </c>
      <c r="AV72" s="540">
        <v>5.7651621027594135</v>
      </c>
      <c r="AW72" s="540" t="s">
        <v>509</v>
      </c>
    </row>
    <row r="73" spans="1:49" ht="14.25" customHeight="1">
      <c r="A73" s="543" t="s">
        <v>556</v>
      </c>
      <c r="B73" s="741" t="s">
        <v>509</v>
      </c>
      <c r="C73" s="741" t="s">
        <v>509</v>
      </c>
      <c r="D73" s="741">
        <v>0</v>
      </c>
      <c r="E73" s="741">
        <v>0</v>
      </c>
      <c r="F73" s="741">
        <v>0</v>
      </c>
      <c r="G73" s="741">
        <v>0</v>
      </c>
      <c r="H73" s="741">
        <v>0</v>
      </c>
      <c r="I73" s="741">
        <v>0</v>
      </c>
      <c r="J73" s="741">
        <v>0</v>
      </c>
      <c r="K73" s="741">
        <v>0</v>
      </c>
      <c r="L73" s="741">
        <v>0</v>
      </c>
      <c r="M73" s="741">
        <v>0</v>
      </c>
      <c r="N73" s="741">
        <v>0</v>
      </c>
      <c r="O73" s="741">
        <v>0</v>
      </c>
      <c r="P73" s="741">
        <v>0</v>
      </c>
      <c r="Q73" s="741">
        <v>0</v>
      </c>
      <c r="R73" s="741">
        <v>0</v>
      </c>
      <c r="S73" s="741">
        <v>0</v>
      </c>
      <c r="T73" s="741">
        <v>0</v>
      </c>
      <c r="U73" s="741">
        <v>0</v>
      </c>
      <c r="V73" s="741" t="s">
        <v>509</v>
      </c>
      <c r="W73" s="741" t="s">
        <v>509</v>
      </c>
      <c r="X73" s="741" t="s">
        <v>509</v>
      </c>
      <c r="Y73" s="741" t="s">
        <v>509</v>
      </c>
      <c r="Z73" s="741">
        <v>1.0960802235734322</v>
      </c>
      <c r="AA73" s="741">
        <v>0</v>
      </c>
      <c r="AB73" s="741">
        <v>3.539763851439507E-2</v>
      </c>
      <c r="AC73" s="741">
        <v>5.4404945153259707E-2</v>
      </c>
      <c r="AD73" s="741">
        <v>0</v>
      </c>
      <c r="AE73" s="741">
        <v>0.6251770539282222</v>
      </c>
      <c r="AF73" s="542">
        <v>6.3381580160413023E-2</v>
      </c>
      <c r="AG73" s="542">
        <v>6.842285204075764E-2</v>
      </c>
      <c r="AH73" s="542">
        <v>0.35640328806607707</v>
      </c>
      <c r="AI73" s="542">
        <v>7.660270455855106E-2</v>
      </c>
      <c r="AJ73" s="542">
        <v>9.8217147253332165E-2</v>
      </c>
      <c r="AK73" s="542" t="s">
        <v>509</v>
      </c>
      <c r="AL73" s="542" t="s">
        <v>509</v>
      </c>
      <c r="AM73" s="542" t="s">
        <v>509</v>
      </c>
      <c r="AN73" s="542" t="s">
        <v>509</v>
      </c>
      <c r="AO73" s="542">
        <v>4.1478998689769876E-2</v>
      </c>
      <c r="AP73" s="542" t="s">
        <v>509</v>
      </c>
      <c r="AQ73" s="542">
        <v>9.9689821622032625E-3</v>
      </c>
      <c r="AR73" s="542">
        <v>0.43441827847318859</v>
      </c>
      <c r="AS73" s="542">
        <v>2.4302190822781156</v>
      </c>
      <c r="AT73" s="542">
        <v>7.8261680083104577E-4</v>
      </c>
      <c r="AU73" s="542" t="s">
        <v>509</v>
      </c>
      <c r="AV73" s="542" t="s">
        <v>509</v>
      </c>
      <c r="AW73" s="542">
        <v>-0.30698475159751537</v>
      </c>
    </row>
    <row r="74" spans="1:49" ht="14.25" customHeight="1">
      <c r="A74" s="543" t="s">
        <v>555</v>
      </c>
      <c r="B74" s="740">
        <v>0</v>
      </c>
      <c r="C74" s="740">
        <v>0</v>
      </c>
      <c r="D74" s="740">
        <v>0</v>
      </c>
      <c r="E74" s="740">
        <v>0</v>
      </c>
      <c r="F74" s="740">
        <v>0</v>
      </c>
      <c r="G74" s="740">
        <v>0</v>
      </c>
      <c r="H74" s="740">
        <v>0</v>
      </c>
      <c r="I74" s="740">
        <v>0</v>
      </c>
      <c r="J74" s="740">
        <v>0</v>
      </c>
      <c r="K74" s="740">
        <v>0</v>
      </c>
      <c r="L74" s="740">
        <v>0</v>
      </c>
      <c r="M74" s="740">
        <v>0</v>
      </c>
      <c r="N74" s="740">
        <v>0</v>
      </c>
      <c r="O74" s="740">
        <v>0</v>
      </c>
      <c r="P74" s="740">
        <v>0</v>
      </c>
      <c r="Q74" s="740">
        <v>0</v>
      </c>
      <c r="R74" s="740">
        <v>0</v>
      </c>
      <c r="S74" s="740">
        <v>0</v>
      </c>
      <c r="T74" s="740">
        <v>0</v>
      </c>
      <c r="U74" s="740">
        <v>0</v>
      </c>
      <c r="V74" s="740">
        <v>0</v>
      </c>
      <c r="W74" s="740">
        <v>0</v>
      </c>
      <c r="X74" s="740">
        <v>0</v>
      </c>
      <c r="Y74" s="740">
        <v>0</v>
      </c>
      <c r="Z74" s="740">
        <v>39638.962131437722</v>
      </c>
      <c r="AA74" s="740">
        <v>52278.404685548441</v>
      </c>
      <c r="AB74" s="740">
        <v>42797.878824864187</v>
      </c>
      <c r="AC74" s="740">
        <v>57437.183523451597</v>
      </c>
      <c r="AD74" s="740">
        <v>79919.255605092767</v>
      </c>
      <c r="AE74" s="740">
        <v>134845.68447990331</v>
      </c>
      <c r="AF74" s="540">
        <v>183430.57134442311</v>
      </c>
      <c r="AG74" s="540">
        <v>234872.36418524798</v>
      </c>
      <c r="AH74" s="540">
        <v>293411.34024798428</v>
      </c>
      <c r="AI74" s="540">
        <v>197868.1</v>
      </c>
      <c r="AJ74" s="540">
        <v>245394.31497349543</v>
      </c>
      <c r="AK74" s="540">
        <v>342414.21780923399</v>
      </c>
      <c r="AL74" s="540">
        <v>398882.20872120274</v>
      </c>
      <c r="AM74" s="540">
        <v>357924.31061251013</v>
      </c>
      <c r="AN74" s="540">
        <v>391867.55666249851</v>
      </c>
      <c r="AO74" s="540">
        <v>431772.13830827858</v>
      </c>
      <c r="AP74" s="540">
        <v>356413.26689057349</v>
      </c>
      <c r="AQ74" s="540">
        <v>391069.04653963196</v>
      </c>
      <c r="AR74" s="540">
        <v>423816.56125470926</v>
      </c>
      <c r="AS74" s="540">
        <v>514395.56382739951</v>
      </c>
      <c r="AT74" s="540">
        <v>451016.55115648842</v>
      </c>
      <c r="AU74" s="540">
        <v>335709.10324200976</v>
      </c>
      <c r="AV74" s="540">
        <v>467342.92514494871</v>
      </c>
      <c r="AW74" s="540" t="s">
        <v>509</v>
      </c>
    </row>
    <row r="75" spans="1:49" ht="14.25" customHeight="1">
      <c r="A75" s="543" t="s">
        <v>250</v>
      </c>
      <c r="B75" s="741" t="s">
        <v>509</v>
      </c>
      <c r="C75" s="741" t="s">
        <v>509</v>
      </c>
      <c r="D75" s="741" t="s">
        <v>509</v>
      </c>
      <c r="E75" s="741" t="s">
        <v>509</v>
      </c>
      <c r="F75" s="741" t="s">
        <v>509</v>
      </c>
      <c r="G75" s="741" t="s">
        <v>509</v>
      </c>
      <c r="H75" s="741" t="s">
        <v>509</v>
      </c>
      <c r="I75" s="741" t="s">
        <v>509</v>
      </c>
      <c r="J75" s="741" t="s">
        <v>509</v>
      </c>
      <c r="K75" s="741" t="s">
        <v>509</v>
      </c>
      <c r="L75" s="741" t="s">
        <v>509</v>
      </c>
      <c r="M75" s="741" t="s">
        <v>509</v>
      </c>
      <c r="N75" s="741" t="s">
        <v>509</v>
      </c>
      <c r="O75" s="741" t="s">
        <v>509</v>
      </c>
      <c r="P75" s="741" t="s">
        <v>509</v>
      </c>
      <c r="Q75" s="741" t="s">
        <v>509</v>
      </c>
      <c r="R75" s="741" t="s">
        <v>509</v>
      </c>
      <c r="S75" s="741" t="s">
        <v>509</v>
      </c>
      <c r="T75" s="741" t="s">
        <v>509</v>
      </c>
      <c r="U75" s="741" t="s">
        <v>509</v>
      </c>
      <c r="V75" s="741" t="s">
        <v>509</v>
      </c>
      <c r="W75" s="741" t="s">
        <v>509</v>
      </c>
      <c r="X75" s="741" t="s">
        <v>509</v>
      </c>
      <c r="Y75" s="741" t="s">
        <v>509</v>
      </c>
      <c r="Z75" s="741" t="s">
        <v>509</v>
      </c>
      <c r="AA75" s="741" t="s">
        <v>509</v>
      </c>
      <c r="AB75" s="741" t="s">
        <v>509</v>
      </c>
      <c r="AC75" s="741" t="s">
        <v>509</v>
      </c>
      <c r="AD75" s="741" t="s">
        <v>509</v>
      </c>
      <c r="AE75" s="741">
        <v>3.9706344611704498</v>
      </c>
      <c r="AF75" s="542">
        <v>4.7122703192144</v>
      </c>
      <c r="AG75" s="542">
        <v>19.585257675945801</v>
      </c>
      <c r="AH75" s="542">
        <v>7.2678474224304699</v>
      </c>
      <c r="AI75" s="542">
        <v>-53.495632459447798</v>
      </c>
      <c r="AJ75" s="542">
        <v>-38.988312619203903</v>
      </c>
      <c r="AK75" s="542">
        <v>-0.34731825233482805</v>
      </c>
      <c r="AL75" s="542">
        <v>-9.03858346324553</v>
      </c>
      <c r="AM75" s="542" t="s">
        <v>509</v>
      </c>
      <c r="AN75" s="542" t="s">
        <v>509</v>
      </c>
      <c r="AO75" s="542" t="s">
        <v>509</v>
      </c>
      <c r="AP75" s="542" t="s">
        <v>509</v>
      </c>
      <c r="AQ75" s="542" t="s">
        <v>509</v>
      </c>
      <c r="AR75" s="542" t="s">
        <v>509</v>
      </c>
      <c r="AS75" s="542" t="s">
        <v>509</v>
      </c>
      <c r="AT75" s="542" t="s">
        <v>509</v>
      </c>
      <c r="AU75" s="542" t="s">
        <v>509</v>
      </c>
      <c r="AV75" s="542" t="s">
        <v>509</v>
      </c>
      <c r="AW75" s="542" t="s">
        <v>509</v>
      </c>
    </row>
    <row r="76" spans="1:49" ht="14.25" customHeight="1">
      <c r="A76" s="543" t="s">
        <v>554</v>
      </c>
      <c r="B76" s="740" t="s">
        <v>509</v>
      </c>
      <c r="C76" s="740" t="s">
        <v>509</v>
      </c>
      <c r="D76" s="740" t="s">
        <v>509</v>
      </c>
      <c r="E76" s="740" t="s">
        <v>509</v>
      </c>
      <c r="F76" s="740">
        <v>1.579432441218559</v>
      </c>
      <c r="G76" s="740">
        <v>3.1052686095307305</v>
      </c>
      <c r="H76" s="740">
        <v>1.205204730688175</v>
      </c>
      <c r="I76" s="740">
        <v>1.0509961953769709</v>
      </c>
      <c r="J76" s="740">
        <v>1.6813823142323814</v>
      </c>
      <c r="K76" s="740">
        <v>1.0714978498841157</v>
      </c>
      <c r="L76" s="740">
        <v>0.86688603730748304</v>
      </c>
      <c r="M76" s="740">
        <v>0.70617364962357088</v>
      </c>
      <c r="N76" s="740">
        <v>0.80395007470036328</v>
      </c>
      <c r="O76" s="740">
        <v>9.2990194079158393</v>
      </c>
      <c r="P76" s="740">
        <v>14.426966292134862</v>
      </c>
      <c r="Q76" s="740">
        <v>10.331496997901086</v>
      </c>
      <c r="R76" s="740">
        <v>8.0647484086523225</v>
      </c>
      <c r="S76" s="740">
        <v>6.7199345305388469</v>
      </c>
      <c r="T76" s="740">
        <v>0.45402214979487932</v>
      </c>
      <c r="U76" s="740">
        <v>1.0928028686075302</v>
      </c>
      <c r="V76" s="740">
        <v>4.8352690210950566</v>
      </c>
      <c r="W76" s="740">
        <v>5.558326801111666</v>
      </c>
      <c r="X76" s="740">
        <v>5.0565397336658187</v>
      </c>
      <c r="Y76" s="740">
        <v>5.385499416990319</v>
      </c>
      <c r="Z76" s="740">
        <v>6.6510122485244656</v>
      </c>
      <c r="AA76" s="740">
        <v>2.5455225376123987</v>
      </c>
      <c r="AB76" s="740">
        <v>2.7333743890479019</v>
      </c>
      <c r="AC76" s="740">
        <v>1.8147988203743799</v>
      </c>
      <c r="AD76" s="740">
        <v>3.9032239307274277</v>
      </c>
      <c r="AE76" s="740">
        <v>3.6375986128747568</v>
      </c>
      <c r="AF76" s="540">
        <v>5.8</v>
      </c>
      <c r="AG76" s="540">
        <v>1.0394396752932886</v>
      </c>
      <c r="AH76" s="540">
        <v>1.2291454716024994</v>
      </c>
      <c r="AI76" s="540">
        <v>1.2190654132215271</v>
      </c>
      <c r="AJ76" s="540">
        <v>2.9880441651761882</v>
      </c>
      <c r="AK76" s="540">
        <v>5.6168897107632159</v>
      </c>
      <c r="AL76" s="540">
        <v>1.5029693950530454</v>
      </c>
      <c r="AM76" s="540">
        <v>1.3984174046577327</v>
      </c>
      <c r="AN76" s="540">
        <v>3.8968458686138678</v>
      </c>
      <c r="AO76" s="540">
        <v>0</v>
      </c>
      <c r="AP76" s="540">
        <v>0</v>
      </c>
      <c r="AQ76" s="540">
        <v>0</v>
      </c>
      <c r="AR76" s="540">
        <v>0</v>
      </c>
      <c r="AS76" s="540">
        <v>0</v>
      </c>
      <c r="AT76" s="540">
        <v>0</v>
      </c>
      <c r="AU76" s="540">
        <v>0</v>
      </c>
      <c r="AV76" s="540">
        <v>0</v>
      </c>
      <c r="AW76" s="540">
        <v>0</v>
      </c>
    </row>
    <row r="77" spans="1:49" ht="14.25" customHeight="1">
      <c r="A77" s="543" t="s">
        <v>94</v>
      </c>
      <c r="B77" s="741">
        <v>4.1904841524462961</v>
      </c>
      <c r="C77" s="741">
        <v>3.6330104567545729</v>
      </c>
      <c r="D77" s="741">
        <v>2.9674756958301902</v>
      </c>
      <c r="E77" s="741">
        <v>10.607292971092109</v>
      </c>
      <c r="F77" s="741">
        <v>6.3690995984716734</v>
      </c>
      <c r="G77" s="741">
        <v>4.0070519197596983</v>
      </c>
      <c r="H77" s="741">
        <v>-7.4652075378271059</v>
      </c>
      <c r="I77" s="741">
        <v>-142.57375186435152</v>
      </c>
      <c r="J77" s="741">
        <v>-118.73639616313541</v>
      </c>
      <c r="K77" s="741">
        <v>82.670621013308178</v>
      </c>
      <c r="L77" s="741">
        <v>23.516372235138931</v>
      </c>
      <c r="M77" s="741">
        <v>88.260267545135136</v>
      </c>
      <c r="N77" s="741">
        <v>283.89234718601989</v>
      </c>
      <c r="O77" s="741">
        <v>431.81768865673934</v>
      </c>
      <c r="P77" s="741">
        <v>53.451913411628411</v>
      </c>
      <c r="Q77" s="741">
        <v>-339.8352850756217</v>
      </c>
      <c r="R77" s="741">
        <v>-556.89724288865011</v>
      </c>
      <c r="S77" s="741">
        <v>-879.00236390676025</v>
      </c>
      <c r="T77" s="741">
        <v>-890.210511928953</v>
      </c>
      <c r="U77" s="741">
        <v>443.81003959151548</v>
      </c>
      <c r="V77" s="741">
        <v>737.22194605358868</v>
      </c>
      <c r="W77" s="741">
        <v>910.20692047189493</v>
      </c>
      <c r="X77" s="741">
        <v>1815.1141957518844</v>
      </c>
      <c r="Y77" s="741">
        <v>1739.4296635365765</v>
      </c>
      <c r="Z77" s="741">
        <v>2882.0783095238467</v>
      </c>
      <c r="AA77" s="741">
        <v>3244.39501295528</v>
      </c>
      <c r="AB77" s="741">
        <v>3996.5510253437023</v>
      </c>
      <c r="AC77" s="741">
        <v>3854.5410759273759</v>
      </c>
      <c r="AD77" s="741">
        <v>4163.8294968282944</v>
      </c>
      <c r="AE77" s="741">
        <v>5886.4690725671026</v>
      </c>
      <c r="AF77" s="542">
        <v>6454.4</v>
      </c>
      <c r="AG77" s="542">
        <v>8757.0293745280487</v>
      </c>
      <c r="AH77" s="542">
        <v>10821.102287862803</v>
      </c>
      <c r="AI77" s="542">
        <v>9754.5236254174652</v>
      </c>
      <c r="AJ77" s="542">
        <v>7977.0741325757535</v>
      </c>
      <c r="AK77" s="542">
        <v>10516.698633431421</v>
      </c>
      <c r="AL77" s="542">
        <v>10270.781035563787</v>
      </c>
      <c r="AM77" s="542" t="s">
        <v>509</v>
      </c>
      <c r="AN77" s="542">
        <v>7425.3629152967624</v>
      </c>
      <c r="AO77" s="542">
        <v>10348.188748957606</v>
      </c>
      <c r="AP77" s="542">
        <v>6940.1816009217155</v>
      </c>
      <c r="AQ77" s="542">
        <v>7454.7417404720836</v>
      </c>
      <c r="AR77" s="542">
        <v>8459.5320263665017</v>
      </c>
      <c r="AS77" s="542">
        <v>9804.5772933791231</v>
      </c>
      <c r="AT77" s="542">
        <v>13269.855064637288</v>
      </c>
      <c r="AU77" s="542">
        <v>12469.426222635302</v>
      </c>
      <c r="AV77" s="542">
        <v>16209.278408730141</v>
      </c>
      <c r="AW77" s="542">
        <v>13202.650689123415</v>
      </c>
    </row>
    <row r="78" spans="1:49" ht="14.25" customHeight="1">
      <c r="A78" s="543" t="s">
        <v>32</v>
      </c>
      <c r="B78" s="740">
        <v>264.13675146590282</v>
      </c>
      <c r="C78" s="740">
        <v>249.71441537500888</v>
      </c>
      <c r="D78" s="740">
        <v>205.71101359375956</v>
      </c>
      <c r="E78" s="740">
        <v>210.58131904430581</v>
      </c>
      <c r="F78" s="740">
        <v>241.98273496414546</v>
      </c>
      <c r="G78" s="740">
        <v>591.496704631537</v>
      </c>
      <c r="H78" s="740">
        <v>458.93801875309777</v>
      </c>
      <c r="I78" s="740">
        <v>726.59671168789862</v>
      </c>
      <c r="J78" s="740">
        <v>531.19103528302844</v>
      </c>
      <c r="K78" s="740">
        <v>444.17910554399418</v>
      </c>
      <c r="L78" s="740">
        <v>573.82817194898394</v>
      </c>
      <c r="M78" s="740">
        <v>687.64643770118926</v>
      </c>
      <c r="N78" s="740">
        <v>701.52091505482247</v>
      </c>
      <c r="O78" s="740">
        <v>338.71738198012287</v>
      </c>
      <c r="P78" s="740">
        <v>882.58902095849169</v>
      </c>
      <c r="Q78" s="740">
        <v>2266.584893484126</v>
      </c>
      <c r="R78" s="740">
        <v>2553.6831018206085</v>
      </c>
      <c r="S78" s="740">
        <v>3842.3164244190516</v>
      </c>
      <c r="T78" s="740">
        <v>4334.9253290623883</v>
      </c>
      <c r="U78" s="740">
        <v>6298.9284532713564</v>
      </c>
      <c r="V78" s="740">
        <v>2227.9787796729993</v>
      </c>
      <c r="W78" s="740">
        <v>7677.2878215392147</v>
      </c>
      <c r="X78" s="740">
        <v>1872.6526780737368</v>
      </c>
      <c r="Y78" s="740">
        <v>2161.9987142048712</v>
      </c>
      <c r="Z78" s="740">
        <v>20936.2</v>
      </c>
      <c r="AA78" s="740">
        <v>15052.61450311531</v>
      </c>
      <c r="AB78" s="740">
        <v>14782.809307408659</v>
      </c>
      <c r="AC78" s="740">
        <v>5726.6391734539966</v>
      </c>
      <c r="AD78" s="740">
        <v>19125.579929857344</v>
      </c>
      <c r="AE78" s="740">
        <v>32822.189829447605</v>
      </c>
      <c r="AF78" s="540">
        <v>54169.501165254005</v>
      </c>
      <c r="AG78" s="540">
        <v>65006.927582073993</v>
      </c>
      <c r="AH78" s="540">
        <v>69439.335617964782</v>
      </c>
      <c r="AI78" s="540">
        <v>63754.217637620117</v>
      </c>
      <c r="AJ78" s="540">
        <v>57805.950974300758</v>
      </c>
      <c r="AK78" s="540">
        <v>77168.396638301856</v>
      </c>
      <c r="AL78" s="540">
        <v>76586.455230145584</v>
      </c>
      <c r="AM78" s="540">
        <v>77210.271805951357</v>
      </c>
      <c r="AN78" s="540">
        <v>76594.445264044683</v>
      </c>
      <c r="AO78" s="540">
        <v>75961.243334477826</v>
      </c>
      <c r="AP78" s="540">
        <v>67899.498360822574</v>
      </c>
      <c r="AQ78" s="540">
        <v>66582.800472880524</v>
      </c>
      <c r="AR78" s="540">
        <v>73884.281486517066</v>
      </c>
      <c r="AS78" s="540">
        <v>90397.386272508331</v>
      </c>
      <c r="AT78" s="540">
        <v>101771.57796553485</v>
      </c>
      <c r="AU78" s="540">
        <v>55381.497064885072</v>
      </c>
      <c r="AV78" s="540">
        <v>116361.89707857212</v>
      </c>
      <c r="AW78" s="540">
        <v>108256.65536735728</v>
      </c>
    </row>
    <row r="79" spans="1:49" ht="14.25" customHeight="1">
      <c r="A79" s="543" t="s">
        <v>553</v>
      </c>
      <c r="B79" s="741" t="s">
        <v>509</v>
      </c>
      <c r="C79" s="741" t="s">
        <v>509</v>
      </c>
      <c r="D79" s="741" t="s">
        <v>509</v>
      </c>
      <c r="E79" s="741" t="s">
        <v>509</v>
      </c>
      <c r="F79" s="741" t="s">
        <v>509</v>
      </c>
      <c r="G79" s="741" t="s">
        <v>509</v>
      </c>
      <c r="H79" s="741" t="s">
        <v>509</v>
      </c>
      <c r="I79" s="741" t="s">
        <v>509</v>
      </c>
      <c r="J79" s="741" t="s">
        <v>509</v>
      </c>
      <c r="K79" s="741" t="s">
        <v>509</v>
      </c>
      <c r="L79" s="741" t="s">
        <v>509</v>
      </c>
      <c r="M79" s="741" t="s">
        <v>509</v>
      </c>
      <c r="N79" s="741" t="s">
        <v>509</v>
      </c>
      <c r="O79" s="741" t="s">
        <v>509</v>
      </c>
      <c r="P79" s="741" t="s">
        <v>509</v>
      </c>
      <c r="Q79" s="741" t="s">
        <v>509</v>
      </c>
      <c r="R79" s="741" t="s">
        <v>509</v>
      </c>
      <c r="S79" s="741" t="s">
        <v>509</v>
      </c>
      <c r="T79" s="741" t="s">
        <v>509</v>
      </c>
      <c r="U79" s="741" t="s">
        <v>509</v>
      </c>
      <c r="V79" s="741" t="s">
        <v>509</v>
      </c>
      <c r="W79" s="741" t="s">
        <v>509</v>
      </c>
      <c r="X79" s="741" t="s">
        <v>509</v>
      </c>
      <c r="Y79" s="741" t="s">
        <v>509</v>
      </c>
      <c r="Z79" s="741" t="s">
        <v>509</v>
      </c>
      <c r="AA79" s="741" t="s">
        <v>509</v>
      </c>
      <c r="AB79" s="741" t="s">
        <v>509</v>
      </c>
      <c r="AC79" s="741">
        <v>1.3880553467433279</v>
      </c>
      <c r="AD79" s="741">
        <v>0.31210997081022318</v>
      </c>
      <c r="AE79" s="741">
        <v>0.32256193398291777</v>
      </c>
      <c r="AF79" s="542">
        <v>0.50022402426629153</v>
      </c>
      <c r="AG79" s="542">
        <v>0</v>
      </c>
      <c r="AH79" s="542">
        <v>2.0424659810302543</v>
      </c>
      <c r="AI79" s="542" t="s">
        <v>509</v>
      </c>
      <c r="AJ79" s="542" t="s">
        <v>509</v>
      </c>
      <c r="AK79" s="542" t="s">
        <v>509</v>
      </c>
      <c r="AL79" s="542" t="s">
        <v>509</v>
      </c>
      <c r="AM79" s="542" t="s">
        <v>509</v>
      </c>
      <c r="AN79" s="542" t="s">
        <v>509</v>
      </c>
      <c r="AO79" s="542" t="s">
        <v>509</v>
      </c>
      <c r="AP79" s="542" t="s">
        <v>509</v>
      </c>
      <c r="AQ79" s="542" t="s">
        <v>509</v>
      </c>
      <c r="AR79" s="542" t="s">
        <v>509</v>
      </c>
      <c r="AS79" s="542" t="s">
        <v>509</v>
      </c>
      <c r="AT79" s="542" t="s">
        <v>509</v>
      </c>
      <c r="AU79" s="542" t="s">
        <v>509</v>
      </c>
      <c r="AV79" s="542" t="s">
        <v>509</v>
      </c>
      <c r="AW79" s="542" t="s">
        <v>509</v>
      </c>
    </row>
    <row r="80" spans="1:49" ht="14.25" customHeight="1">
      <c r="A80" s="543" t="s">
        <v>252</v>
      </c>
      <c r="B80" s="740" t="s">
        <v>509</v>
      </c>
      <c r="C80" s="740" t="s">
        <v>509</v>
      </c>
      <c r="D80" s="740" t="s">
        <v>509</v>
      </c>
      <c r="E80" s="740">
        <v>0.48746795180038077</v>
      </c>
      <c r="F80" s="740">
        <v>0.42308811739435132</v>
      </c>
      <c r="G80" s="740">
        <v>11.170034863845348</v>
      </c>
      <c r="H80" s="740">
        <v>5.225747651486917</v>
      </c>
      <c r="I80" s="740">
        <v>5.629838095913037</v>
      </c>
      <c r="J80" s="740">
        <v>2.7554279330528932</v>
      </c>
      <c r="K80" s="740">
        <v>7.4606940578899588</v>
      </c>
      <c r="L80" s="740">
        <v>6.7888970450427948</v>
      </c>
      <c r="M80" s="740">
        <v>8.6051088630404529</v>
      </c>
      <c r="N80" s="740">
        <v>4.3921444680552728</v>
      </c>
      <c r="O80" s="740">
        <v>7.1177192477542279</v>
      </c>
      <c r="P80" s="740">
        <v>14.482381829615042</v>
      </c>
      <c r="Q80" s="740">
        <v>13.185693335420812</v>
      </c>
      <c r="R80" s="740">
        <v>3.8992309853193103</v>
      </c>
      <c r="S80" s="740">
        <v>12.089532017712115</v>
      </c>
      <c r="T80" s="740">
        <v>1.4126160338921991</v>
      </c>
      <c r="U80" s="740">
        <v>1.8011375044640059</v>
      </c>
      <c r="V80" s="740">
        <v>3.4418620010627405</v>
      </c>
      <c r="W80" s="740">
        <v>9.9852912384344421</v>
      </c>
      <c r="X80" s="740">
        <v>7.2832329420673139</v>
      </c>
      <c r="Y80" s="740">
        <v>47.458116420674571</v>
      </c>
      <c r="Z80" s="740">
        <v>61.177607769637866</v>
      </c>
      <c r="AA80" s="740">
        <v>12.303780778373419</v>
      </c>
      <c r="AB80" s="740">
        <v>11.442782226444491</v>
      </c>
      <c r="AC80" s="740">
        <v>11.694602516603567</v>
      </c>
      <c r="AD80" s="740">
        <v>41.257720321197489</v>
      </c>
      <c r="AE80" s="740">
        <v>1.9364554535380956</v>
      </c>
      <c r="AF80" s="540">
        <v>13.729739128902724</v>
      </c>
      <c r="AG80" s="540" t="s">
        <v>509</v>
      </c>
      <c r="AH80" s="540">
        <v>76.627467903630674</v>
      </c>
      <c r="AI80" s="540">
        <v>9.8123010961484294</v>
      </c>
      <c r="AJ80" s="540">
        <v>235.10847767841429</v>
      </c>
      <c r="AK80" s="540">
        <v>65.242275721601843</v>
      </c>
      <c r="AL80" s="540">
        <v>165.14006340547829</v>
      </c>
      <c r="AM80" s="540">
        <v>30.748610399064638</v>
      </c>
      <c r="AN80" s="540">
        <v>6.0804788525309066</v>
      </c>
      <c r="AO80" s="540">
        <v>0.36608925144997612</v>
      </c>
      <c r="AP80" s="540">
        <v>3.888751230374194E-2</v>
      </c>
      <c r="AQ80" s="540" t="s">
        <v>509</v>
      </c>
      <c r="AR80" s="540" t="s">
        <v>509</v>
      </c>
      <c r="AS80" s="540" t="s">
        <v>509</v>
      </c>
      <c r="AT80" s="540" t="s">
        <v>509</v>
      </c>
      <c r="AU80" s="540" t="s">
        <v>509</v>
      </c>
      <c r="AV80" s="540" t="s">
        <v>509</v>
      </c>
      <c r="AW80" s="540" t="s">
        <v>509</v>
      </c>
    </row>
    <row r="81" spans="1:49" ht="14.25" customHeight="1">
      <c r="A81" s="543" t="s">
        <v>253</v>
      </c>
      <c r="B81" s="741" t="s">
        <v>509</v>
      </c>
      <c r="C81" s="741" t="s">
        <v>509</v>
      </c>
      <c r="D81" s="741" t="s">
        <v>509</v>
      </c>
      <c r="E81" s="741">
        <v>0</v>
      </c>
      <c r="F81" s="741">
        <v>0</v>
      </c>
      <c r="G81" s="741">
        <v>0</v>
      </c>
      <c r="H81" s="741">
        <v>0</v>
      </c>
      <c r="I81" s="741">
        <v>0</v>
      </c>
      <c r="J81" s="741">
        <v>0</v>
      </c>
      <c r="K81" s="741">
        <v>0</v>
      </c>
      <c r="L81" s="741">
        <v>0</v>
      </c>
      <c r="M81" s="741">
        <v>0</v>
      </c>
      <c r="N81" s="741">
        <v>0</v>
      </c>
      <c r="O81" s="741">
        <v>0</v>
      </c>
      <c r="P81" s="741">
        <v>0</v>
      </c>
      <c r="Q81" s="741">
        <v>0</v>
      </c>
      <c r="R81" s="741">
        <v>0</v>
      </c>
      <c r="S81" s="741">
        <v>0</v>
      </c>
      <c r="T81" s="741">
        <v>0</v>
      </c>
      <c r="U81" s="741">
        <v>0</v>
      </c>
      <c r="V81" s="741">
        <v>0</v>
      </c>
      <c r="W81" s="741" t="s">
        <v>509</v>
      </c>
      <c r="X81" s="741" t="s">
        <v>509</v>
      </c>
      <c r="Y81" s="741" t="s">
        <v>509</v>
      </c>
      <c r="Z81" s="741" t="s">
        <v>509</v>
      </c>
      <c r="AA81" s="741" t="s">
        <v>509</v>
      </c>
      <c r="AB81" s="741" t="s">
        <v>509</v>
      </c>
      <c r="AC81" s="741" t="s">
        <v>509</v>
      </c>
      <c r="AD81" s="741">
        <v>0</v>
      </c>
      <c r="AE81" s="741">
        <v>0</v>
      </c>
      <c r="AF81" s="542">
        <v>0</v>
      </c>
      <c r="AG81" s="542">
        <v>0</v>
      </c>
      <c r="AH81" s="542">
        <v>-17.672074385936767</v>
      </c>
      <c r="AI81" s="542">
        <v>-19.664485382340303</v>
      </c>
      <c r="AJ81" s="542">
        <v>-4.9082507113451577</v>
      </c>
      <c r="AK81" s="542">
        <v>-4.8176205864716586</v>
      </c>
      <c r="AL81" s="542">
        <v>-4.6708166466235301</v>
      </c>
      <c r="AM81" s="542">
        <v>-4.143407899804731</v>
      </c>
      <c r="AN81" s="542">
        <v>-3.6961824392586466</v>
      </c>
      <c r="AO81" s="542">
        <v>-2.7135397230035627</v>
      </c>
      <c r="AP81" s="542">
        <v>0</v>
      </c>
      <c r="AQ81" s="542">
        <v>0</v>
      </c>
      <c r="AR81" s="542">
        <v>0</v>
      </c>
      <c r="AS81" s="542">
        <v>0</v>
      </c>
      <c r="AT81" s="542">
        <v>0</v>
      </c>
      <c r="AU81" s="542">
        <v>0</v>
      </c>
      <c r="AV81" s="542">
        <v>0</v>
      </c>
      <c r="AW81" s="542" t="s">
        <v>509</v>
      </c>
    </row>
    <row r="82" spans="1:49" ht="14.25" customHeight="1">
      <c r="A82" s="543" t="s">
        <v>254</v>
      </c>
      <c r="B82" s="740" t="s">
        <v>509</v>
      </c>
      <c r="C82" s="740" t="s">
        <v>509</v>
      </c>
      <c r="D82" s="740" t="s">
        <v>509</v>
      </c>
      <c r="E82" s="740" t="s">
        <v>509</v>
      </c>
      <c r="F82" s="740" t="s">
        <v>509</v>
      </c>
      <c r="G82" s="740" t="s">
        <v>509</v>
      </c>
      <c r="H82" s="740" t="s">
        <v>509</v>
      </c>
      <c r="I82" s="740" t="s">
        <v>509</v>
      </c>
      <c r="J82" s="740" t="s">
        <v>509</v>
      </c>
      <c r="K82" s="740" t="s">
        <v>509</v>
      </c>
      <c r="L82" s="740" t="s">
        <v>509</v>
      </c>
      <c r="M82" s="740" t="s">
        <v>509</v>
      </c>
      <c r="N82" s="740" t="s">
        <v>509</v>
      </c>
      <c r="O82" s="740" t="s">
        <v>509</v>
      </c>
      <c r="P82" s="740" t="s">
        <v>509</v>
      </c>
      <c r="Q82" s="740" t="s">
        <v>509</v>
      </c>
      <c r="R82" s="740" t="s">
        <v>509</v>
      </c>
      <c r="S82" s="740" t="s">
        <v>509</v>
      </c>
      <c r="T82" s="740" t="s">
        <v>509</v>
      </c>
      <c r="U82" s="740" t="s">
        <v>509</v>
      </c>
      <c r="V82" s="740" t="s">
        <v>509</v>
      </c>
      <c r="W82" s="740" t="s">
        <v>509</v>
      </c>
      <c r="X82" s="740" t="s">
        <v>509</v>
      </c>
      <c r="Y82" s="740" t="s">
        <v>509</v>
      </c>
      <c r="Z82" s="740" t="s">
        <v>509</v>
      </c>
      <c r="AA82" s="740">
        <v>3.6</v>
      </c>
      <c r="AB82" s="740">
        <v>4.0704000000000002</v>
      </c>
      <c r="AC82" s="740">
        <v>4.1924999999999999</v>
      </c>
      <c r="AD82" s="740">
        <v>3.7625000000000002</v>
      </c>
      <c r="AE82" s="740">
        <v>9.5704999999999991</v>
      </c>
      <c r="AF82" s="540">
        <v>3.52266667</v>
      </c>
      <c r="AG82" s="540">
        <v>0</v>
      </c>
      <c r="AH82" s="540">
        <v>0</v>
      </c>
      <c r="AI82" s="540">
        <v>96.672413300000002</v>
      </c>
      <c r="AJ82" s="540">
        <v>65.409244229999999</v>
      </c>
      <c r="AK82" s="540">
        <v>149.57624096999999</v>
      </c>
      <c r="AL82" s="540">
        <v>209.10154821999996</v>
      </c>
      <c r="AM82" s="540">
        <v>368.11828500000001</v>
      </c>
      <c r="AN82" s="540">
        <v>154.36534468000002</v>
      </c>
      <c r="AO82" s="540">
        <v>239.76489956</v>
      </c>
      <c r="AP82" s="540">
        <v>199.17576651000002</v>
      </c>
      <c r="AQ82" s="540">
        <v>189.77939205999999</v>
      </c>
      <c r="AR82" s="540">
        <v>306.86804397999998</v>
      </c>
      <c r="AS82" s="540">
        <v>316.51329901000003</v>
      </c>
      <c r="AT82" s="540">
        <v>250.15759296000004</v>
      </c>
      <c r="AU82" s="540">
        <v>271.15292481</v>
      </c>
      <c r="AV82" s="540">
        <v>382.56501721000006</v>
      </c>
      <c r="AW82" s="540" t="s">
        <v>509</v>
      </c>
    </row>
    <row r="83" spans="1:49" ht="14.25" customHeight="1">
      <c r="A83" s="543" t="s">
        <v>34</v>
      </c>
      <c r="B83" s="741">
        <v>659.19674526914253</v>
      </c>
      <c r="C83" s="741">
        <v>736.72643922223369</v>
      </c>
      <c r="D83" s="741">
        <v>289.09337100146377</v>
      </c>
      <c r="E83" s="741">
        <v>1041.232163238763</v>
      </c>
      <c r="F83" s="741">
        <v>1097.654881385675</v>
      </c>
      <c r="G83" s="741">
        <v>872.96351253356954</v>
      </c>
      <c r="H83" s="741">
        <v>61.362788053401054</v>
      </c>
      <c r="I83" s="741">
        <v>-97.489780178447702</v>
      </c>
      <c r="J83" s="741">
        <v>641.72941109690203</v>
      </c>
      <c r="K83" s="741">
        <v>1773.888526703126</v>
      </c>
      <c r="L83" s="741">
        <v>2227.6003171453171</v>
      </c>
      <c r="M83" s="741">
        <v>2780.566800621355</v>
      </c>
      <c r="N83" s="741">
        <v>2481.9141477462863</v>
      </c>
      <c r="O83" s="741">
        <v>4983.9945769953329</v>
      </c>
      <c r="P83" s="741">
        <v>4222.4979719624534</v>
      </c>
      <c r="Q83" s="741">
        <v>5797.0157867992493</v>
      </c>
      <c r="R83" s="741">
        <v>5996.5</v>
      </c>
      <c r="S83" s="741">
        <v>5101.4294284141097</v>
      </c>
      <c r="T83" s="741">
        <v>6684.8131598133868</v>
      </c>
      <c r="U83" s="741">
        <v>7756.1400717342976</v>
      </c>
      <c r="V83" s="741">
        <v>10338.506411752121</v>
      </c>
      <c r="W83" s="741">
        <v>14399.996819617541</v>
      </c>
      <c r="X83" s="741">
        <v>14346.857682404725</v>
      </c>
      <c r="Y83" s="741">
        <v>14250.681801258992</v>
      </c>
      <c r="Z83" s="741">
        <v>13230.429177802323</v>
      </c>
      <c r="AA83" s="741">
        <v>12747.399122073912</v>
      </c>
      <c r="AB83" s="741">
        <v>1308.5869959160786</v>
      </c>
      <c r="AC83" s="741">
        <v>7476.4468668115169</v>
      </c>
      <c r="AD83" s="741">
        <v>17887.762247308598</v>
      </c>
      <c r="AE83" s="741">
        <v>50654.662738780673</v>
      </c>
      <c r="AF83" s="542">
        <v>61136.109346977006</v>
      </c>
      <c r="AG83" s="542">
        <v>76717.807394089905</v>
      </c>
      <c r="AH83" s="542">
        <v>88584.969942367345</v>
      </c>
      <c r="AI83" s="542">
        <v>29727.784266298797</v>
      </c>
      <c r="AJ83" s="542">
        <v>70197.915780414885</v>
      </c>
      <c r="AK83" s="542">
        <v>88986.501877344621</v>
      </c>
      <c r="AL83" s="542">
        <v>107681.66168944059</v>
      </c>
      <c r="AM83" s="542">
        <v>86457.589077881057</v>
      </c>
      <c r="AN83" s="542">
        <v>94374.829937038361</v>
      </c>
      <c r="AO83" s="542">
        <v>93480.751748645329</v>
      </c>
      <c r="AP83" s="542">
        <v>87286.692809834116</v>
      </c>
      <c r="AQ83" s="542">
        <v>99526.946005163743</v>
      </c>
      <c r="AR83" s="542">
        <v>95742.40974627751</v>
      </c>
      <c r="AS83" s="542">
        <v>137487.80765220695</v>
      </c>
      <c r="AT83" s="542">
        <v>143937.00280021469</v>
      </c>
      <c r="AU83" s="542">
        <v>101509.94695830134</v>
      </c>
      <c r="AV83" s="542">
        <v>157743.88326284286</v>
      </c>
      <c r="AW83" s="542">
        <v>157903.87708601239</v>
      </c>
    </row>
    <row r="84" spans="1:49" ht="14.25" customHeight="1">
      <c r="A84" s="543" t="s">
        <v>255</v>
      </c>
      <c r="B84" s="740">
        <v>0</v>
      </c>
      <c r="C84" s="740">
        <v>0</v>
      </c>
      <c r="D84" s="740">
        <v>0</v>
      </c>
      <c r="E84" s="740">
        <v>0</v>
      </c>
      <c r="F84" s="740">
        <v>0</v>
      </c>
      <c r="G84" s="740">
        <v>0</v>
      </c>
      <c r="H84" s="740">
        <v>0</v>
      </c>
      <c r="I84" s="740">
        <v>0</v>
      </c>
      <c r="J84" s="740">
        <v>0</v>
      </c>
      <c r="K84" s="740">
        <v>0</v>
      </c>
      <c r="L84" s="740">
        <v>0</v>
      </c>
      <c r="M84" s="740">
        <v>0</v>
      </c>
      <c r="N84" s="740" t="s">
        <v>509</v>
      </c>
      <c r="O84" s="740" t="s">
        <v>509</v>
      </c>
      <c r="P84" s="740" t="s">
        <v>509</v>
      </c>
      <c r="Q84" s="740">
        <v>0</v>
      </c>
      <c r="R84" s="740">
        <v>0</v>
      </c>
      <c r="S84" s="740">
        <v>0</v>
      </c>
      <c r="T84" s="740">
        <v>0</v>
      </c>
      <c r="U84" s="740">
        <v>0</v>
      </c>
      <c r="V84" s="740">
        <v>0</v>
      </c>
      <c r="W84" s="740">
        <v>0</v>
      </c>
      <c r="X84" s="740">
        <v>0</v>
      </c>
      <c r="Y84" s="740">
        <v>0</v>
      </c>
      <c r="Z84" s="740">
        <v>0</v>
      </c>
      <c r="AA84" s="740">
        <v>0</v>
      </c>
      <c r="AB84" s="740">
        <v>0</v>
      </c>
      <c r="AC84" s="740">
        <v>0</v>
      </c>
      <c r="AD84" s="740">
        <v>0</v>
      </c>
      <c r="AE84" s="740">
        <v>0</v>
      </c>
      <c r="AF84" s="540">
        <v>0</v>
      </c>
      <c r="AG84" s="540">
        <v>0</v>
      </c>
      <c r="AH84" s="540">
        <v>0</v>
      </c>
      <c r="AI84" s="540">
        <v>0</v>
      </c>
      <c r="AJ84" s="540">
        <v>0</v>
      </c>
      <c r="AK84" s="540">
        <v>0</v>
      </c>
      <c r="AL84" s="540" t="s">
        <v>509</v>
      </c>
      <c r="AM84" s="540" t="s">
        <v>509</v>
      </c>
      <c r="AN84" s="540" t="s">
        <v>509</v>
      </c>
      <c r="AO84" s="540" t="s">
        <v>509</v>
      </c>
      <c r="AP84" s="540" t="s">
        <v>509</v>
      </c>
      <c r="AQ84" s="540" t="s">
        <v>509</v>
      </c>
      <c r="AR84" s="540" t="s">
        <v>509</v>
      </c>
      <c r="AS84" s="540" t="s">
        <v>509</v>
      </c>
      <c r="AT84" s="540" t="s">
        <v>509</v>
      </c>
      <c r="AU84" s="540" t="s">
        <v>509</v>
      </c>
      <c r="AV84" s="540" t="s">
        <v>509</v>
      </c>
      <c r="AW84" s="540" t="s">
        <v>509</v>
      </c>
    </row>
    <row r="85" spans="1:49" ht="14.25" customHeight="1">
      <c r="A85" s="543" t="s">
        <v>40</v>
      </c>
      <c r="B85" s="741" t="s">
        <v>509</v>
      </c>
      <c r="C85" s="741" t="s">
        <v>509</v>
      </c>
      <c r="D85" s="741" t="s">
        <v>509</v>
      </c>
      <c r="E85" s="741" t="s">
        <v>509</v>
      </c>
      <c r="F85" s="741" t="s">
        <v>509</v>
      </c>
      <c r="G85" s="741">
        <v>0</v>
      </c>
      <c r="H85" s="741">
        <v>0</v>
      </c>
      <c r="I85" s="741">
        <v>0</v>
      </c>
      <c r="J85" s="741">
        <v>0</v>
      </c>
      <c r="K85" s="741">
        <v>5</v>
      </c>
      <c r="L85" s="741">
        <v>1</v>
      </c>
      <c r="M85" s="741">
        <v>4</v>
      </c>
      <c r="N85" s="741">
        <v>1</v>
      </c>
      <c r="O85" s="741">
        <v>4</v>
      </c>
      <c r="P85" s="741">
        <v>3</v>
      </c>
      <c r="Q85" s="741">
        <v>19</v>
      </c>
      <c r="R85" s="741">
        <v>16</v>
      </c>
      <c r="S85" s="741">
        <v>32</v>
      </c>
      <c r="T85" s="741">
        <v>65</v>
      </c>
      <c r="U85" s="741">
        <v>45</v>
      </c>
      <c r="V85" s="741">
        <v>22</v>
      </c>
      <c r="W85" s="741">
        <v>62</v>
      </c>
      <c r="X85" s="741">
        <v>33</v>
      </c>
      <c r="Y85" s="741" t="s">
        <v>509</v>
      </c>
      <c r="Z85" s="741">
        <v>97.695688141121536</v>
      </c>
      <c r="AA85" s="741">
        <v>41.896084731145415</v>
      </c>
      <c r="AB85" s="741">
        <v>42.012394166781299</v>
      </c>
      <c r="AC85" s="741">
        <v>65.505160177882203</v>
      </c>
      <c r="AD85" s="741">
        <v>479.17987563904273</v>
      </c>
      <c r="AE85" s="741">
        <v>578.1539671533543</v>
      </c>
      <c r="AF85" s="542">
        <v>648.83903100294742</v>
      </c>
      <c r="AG85" s="542">
        <v>678.06809293413596</v>
      </c>
      <c r="AH85" s="542">
        <v>837.07871294160736</v>
      </c>
      <c r="AI85" s="542">
        <v>1137.3625480826779</v>
      </c>
      <c r="AJ85" s="542">
        <v>751.3</v>
      </c>
      <c r="AK85" s="542">
        <v>1044.9260055079637</v>
      </c>
      <c r="AL85" s="542">
        <v>438.05052723763811</v>
      </c>
      <c r="AM85" s="542">
        <v>1165.9121842739319</v>
      </c>
      <c r="AN85" s="542">
        <v>791.50166495793133</v>
      </c>
      <c r="AO85" s="542">
        <v>3114.168342485114</v>
      </c>
      <c r="AP85" s="542">
        <v>1798.7102214980016</v>
      </c>
      <c r="AQ85" s="542">
        <v>615.0903434641499</v>
      </c>
      <c r="AR85" s="542">
        <v>1105.8004377916022</v>
      </c>
      <c r="AS85" s="542">
        <v>688.12856988792043</v>
      </c>
      <c r="AT85" s="542">
        <v>925.3797763140758</v>
      </c>
      <c r="AU85" s="542">
        <v>960.61327878896475</v>
      </c>
      <c r="AV85" s="542">
        <v>1441.5227782735694</v>
      </c>
      <c r="AW85" s="542">
        <v>1608.9262180643025</v>
      </c>
    </row>
    <row r="86" spans="1:49" ht="14.25" customHeight="1">
      <c r="A86" s="543" t="s">
        <v>189</v>
      </c>
      <c r="B86" s="740" t="s">
        <v>509</v>
      </c>
      <c r="C86" s="740" t="s">
        <v>509</v>
      </c>
      <c r="D86" s="740">
        <v>0</v>
      </c>
      <c r="E86" s="740">
        <v>0</v>
      </c>
      <c r="F86" s="740">
        <v>0</v>
      </c>
      <c r="G86" s="740">
        <v>0</v>
      </c>
      <c r="H86" s="740">
        <v>0</v>
      </c>
      <c r="I86" s="740">
        <v>0</v>
      </c>
      <c r="J86" s="740">
        <v>0</v>
      </c>
      <c r="K86" s="740">
        <v>0</v>
      </c>
      <c r="L86" s="740">
        <v>0</v>
      </c>
      <c r="M86" s="740">
        <v>0</v>
      </c>
      <c r="N86" s="740">
        <v>0</v>
      </c>
      <c r="O86" s="740">
        <v>0</v>
      </c>
      <c r="P86" s="740">
        <v>0</v>
      </c>
      <c r="Q86" s="740">
        <v>0</v>
      </c>
      <c r="R86" s="740">
        <v>0</v>
      </c>
      <c r="S86" s="740">
        <v>0</v>
      </c>
      <c r="T86" s="740">
        <v>0</v>
      </c>
      <c r="U86" s="740">
        <v>0</v>
      </c>
      <c r="V86" s="740">
        <v>0</v>
      </c>
      <c r="W86" s="740">
        <v>0</v>
      </c>
      <c r="X86" s="740">
        <v>0</v>
      </c>
      <c r="Y86" s="740">
        <v>0</v>
      </c>
      <c r="Z86" s="740">
        <v>0</v>
      </c>
      <c r="AA86" s="740">
        <v>0</v>
      </c>
      <c r="AB86" s="740">
        <v>0</v>
      </c>
      <c r="AC86" s="740">
        <v>0</v>
      </c>
      <c r="AD86" s="740">
        <v>0</v>
      </c>
      <c r="AE86" s="740">
        <v>0</v>
      </c>
      <c r="AF86" s="540">
        <v>0</v>
      </c>
      <c r="AG86" s="540">
        <v>0</v>
      </c>
      <c r="AH86" s="540">
        <v>0</v>
      </c>
      <c r="AI86" s="540">
        <v>0</v>
      </c>
      <c r="AJ86" s="540">
        <v>0</v>
      </c>
      <c r="AK86" s="540">
        <v>0</v>
      </c>
      <c r="AL86" s="540">
        <v>0</v>
      </c>
      <c r="AM86" s="540">
        <v>0</v>
      </c>
      <c r="AN86" s="540">
        <v>0</v>
      </c>
      <c r="AO86" s="540">
        <v>0</v>
      </c>
      <c r="AP86" s="540">
        <v>2.6263366666666666E-2</v>
      </c>
      <c r="AQ86" s="540">
        <v>0</v>
      </c>
      <c r="AR86" s="540">
        <v>0</v>
      </c>
      <c r="AS86" s="540">
        <v>0</v>
      </c>
      <c r="AT86" s="540">
        <v>0</v>
      </c>
      <c r="AU86" s="540">
        <v>0</v>
      </c>
      <c r="AV86" s="540">
        <v>0</v>
      </c>
      <c r="AW86" s="540" t="s">
        <v>509</v>
      </c>
    </row>
    <row r="87" spans="1:49" ht="14.25" customHeight="1">
      <c r="A87" s="543" t="s">
        <v>256</v>
      </c>
      <c r="B87" s="741" t="s">
        <v>509</v>
      </c>
      <c r="C87" s="741" t="s">
        <v>509</v>
      </c>
      <c r="D87" s="741">
        <v>1</v>
      </c>
      <c r="E87" s="741">
        <v>1.3</v>
      </c>
      <c r="F87" s="741">
        <v>0.4</v>
      </c>
      <c r="G87" s="741">
        <v>1.7</v>
      </c>
      <c r="H87" s="741">
        <v>0</v>
      </c>
      <c r="I87" s="741">
        <v>3.4</v>
      </c>
      <c r="J87" s="741">
        <v>2.1</v>
      </c>
      <c r="K87" s="741">
        <v>0.1</v>
      </c>
      <c r="L87" s="741">
        <v>0.5</v>
      </c>
      <c r="M87" s="741">
        <v>2.2000000000000002</v>
      </c>
      <c r="N87" s="741">
        <v>0</v>
      </c>
      <c r="O87" s="741">
        <v>1.5</v>
      </c>
      <c r="P87" s="741">
        <v>0.2</v>
      </c>
      <c r="Q87" s="741">
        <v>0.9</v>
      </c>
      <c r="R87" s="741">
        <v>0.6</v>
      </c>
      <c r="S87" s="741">
        <v>0</v>
      </c>
      <c r="T87" s="741">
        <v>0.1</v>
      </c>
      <c r="U87" s="741">
        <v>6.8</v>
      </c>
      <c r="V87" s="741">
        <v>7</v>
      </c>
      <c r="W87" s="741">
        <v>3.8</v>
      </c>
      <c r="X87" s="741">
        <v>11.3</v>
      </c>
      <c r="Y87" s="741">
        <v>2.2000000000000002</v>
      </c>
      <c r="Z87" s="741">
        <v>1.9</v>
      </c>
      <c r="AA87" s="741">
        <v>49.8</v>
      </c>
      <c r="AB87" s="741">
        <v>53.563468960000002</v>
      </c>
      <c r="AC87" s="741">
        <v>57.846344020000004</v>
      </c>
      <c r="AD87" s="741">
        <v>80.9208</v>
      </c>
      <c r="AE87" s="741">
        <v>41.2</v>
      </c>
      <c r="AF87" s="542">
        <v>38.4</v>
      </c>
      <c r="AG87" s="542">
        <v>43.1</v>
      </c>
      <c r="AH87" s="542">
        <v>67.3</v>
      </c>
      <c r="AI87" s="542">
        <v>52</v>
      </c>
      <c r="AJ87" s="542">
        <v>57.693989999999999</v>
      </c>
      <c r="AK87" s="542">
        <v>48.922440000000002</v>
      </c>
      <c r="AL87" s="542">
        <v>64.346100000000007</v>
      </c>
      <c r="AM87" s="542">
        <v>98.57647</v>
      </c>
      <c r="AN87" s="542">
        <v>50.344270000000002</v>
      </c>
      <c r="AO87" s="542">
        <v>52.845649999999999</v>
      </c>
      <c r="AP87" s="542">
        <v>120.79514</v>
      </c>
      <c r="AQ87" s="542">
        <v>207.22253000000001</v>
      </c>
      <c r="AR87" s="542">
        <v>204.03842</v>
      </c>
      <c r="AS87" s="542">
        <v>180.93960999999999</v>
      </c>
      <c r="AT87" s="542">
        <v>206.15397999999999</v>
      </c>
      <c r="AU87" s="542">
        <v>300.36423000000002</v>
      </c>
      <c r="AV87" s="542">
        <v>380.89663999999999</v>
      </c>
      <c r="AW87" s="542" t="s">
        <v>509</v>
      </c>
    </row>
    <row r="88" spans="1:49" ht="14.25" customHeight="1">
      <c r="A88" s="543" t="s">
        <v>257</v>
      </c>
      <c r="B88" s="740" t="s">
        <v>509</v>
      </c>
      <c r="C88" s="740" t="s">
        <v>509</v>
      </c>
      <c r="D88" s="740" t="s">
        <v>509</v>
      </c>
      <c r="E88" s="740" t="s">
        <v>509</v>
      </c>
      <c r="F88" s="740" t="s">
        <v>509</v>
      </c>
      <c r="G88" s="740" t="s">
        <v>509</v>
      </c>
      <c r="H88" s="740" t="s">
        <v>509</v>
      </c>
      <c r="I88" s="740" t="s">
        <v>509</v>
      </c>
      <c r="J88" s="740" t="s">
        <v>509</v>
      </c>
      <c r="K88" s="740" t="s">
        <v>509</v>
      </c>
      <c r="L88" s="740" t="s">
        <v>509</v>
      </c>
      <c r="M88" s="740" t="s">
        <v>509</v>
      </c>
      <c r="N88" s="740" t="s">
        <v>509</v>
      </c>
      <c r="O88" s="740" t="s">
        <v>509</v>
      </c>
      <c r="P88" s="740" t="s">
        <v>509</v>
      </c>
      <c r="Q88" s="740" t="s">
        <v>509</v>
      </c>
      <c r="R88" s="740" t="s">
        <v>509</v>
      </c>
      <c r="S88" s="740" t="s">
        <v>509</v>
      </c>
      <c r="T88" s="740" t="s">
        <v>509</v>
      </c>
      <c r="U88" s="740" t="s">
        <v>509</v>
      </c>
      <c r="V88" s="740" t="s">
        <v>509</v>
      </c>
      <c r="W88" s="740">
        <v>3.5</v>
      </c>
      <c r="X88" s="740">
        <v>1.05</v>
      </c>
      <c r="Y88" s="740" t="s">
        <v>509</v>
      </c>
      <c r="Z88" s="740">
        <v>0</v>
      </c>
      <c r="AA88" s="740">
        <v>0</v>
      </c>
      <c r="AB88" s="740">
        <v>0</v>
      </c>
      <c r="AC88" s="740">
        <v>0</v>
      </c>
      <c r="AD88" s="740">
        <v>0</v>
      </c>
      <c r="AE88" s="740" t="s">
        <v>509</v>
      </c>
      <c r="AF88" s="540">
        <v>1.5</v>
      </c>
      <c r="AG88" s="540">
        <v>0</v>
      </c>
      <c r="AH88" s="540">
        <v>0</v>
      </c>
      <c r="AI88" s="540">
        <v>7.0000000000000007E-2</v>
      </c>
      <c r="AJ88" s="540" t="s">
        <v>509</v>
      </c>
      <c r="AK88" s="540" t="s">
        <v>509</v>
      </c>
      <c r="AL88" s="540" t="s">
        <v>509</v>
      </c>
      <c r="AM88" s="540" t="s">
        <v>509</v>
      </c>
      <c r="AN88" s="540">
        <v>4.2300000000000004</v>
      </c>
      <c r="AO88" s="540" t="s">
        <v>509</v>
      </c>
      <c r="AP88" s="540" t="s">
        <v>509</v>
      </c>
      <c r="AQ88" s="540" t="s">
        <v>509</v>
      </c>
      <c r="AR88" s="540" t="s">
        <v>509</v>
      </c>
      <c r="AS88" s="540" t="s">
        <v>509</v>
      </c>
      <c r="AT88" s="540" t="s">
        <v>509</v>
      </c>
      <c r="AU88" s="540">
        <v>0.13</v>
      </c>
      <c r="AV88" s="540">
        <v>0</v>
      </c>
      <c r="AW88" s="540">
        <v>0</v>
      </c>
    </row>
    <row r="89" spans="1:49" ht="14.25" customHeight="1">
      <c r="A89" s="543" t="s">
        <v>258</v>
      </c>
      <c r="B89" s="741" t="s">
        <v>509</v>
      </c>
      <c r="C89" s="741" t="s">
        <v>509</v>
      </c>
      <c r="D89" s="741" t="s">
        <v>509</v>
      </c>
      <c r="E89" s="741" t="s">
        <v>509</v>
      </c>
      <c r="F89" s="741" t="s">
        <v>509</v>
      </c>
      <c r="G89" s="741" t="s">
        <v>509</v>
      </c>
      <c r="H89" s="741" t="s">
        <v>509</v>
      </c>
      <c r="I89" s="741">
        <v>0</v>
      </c>
      <c r="J89" s="741">
        <v>0</v>
      </c>
      <c r="K89" s="741">
        <v>0</v>
      </c>
      <c r="L89" s="741">
        <v>0</v>
      </c>
      <c r="M89" s="741">
        <v>0</v>
      </c>
      <c r="N89" s="741">
        <v>0</v>
      </c>
      <c r="O89" s="741">
        <v>0</v>
      </c>
      <c r="P89" s="741">
        <v>0</v>
      </c>
      <c r="Q89" s="741">
        <v>0</v>
      </c>
      <c r="R89" s="741">
        <v>0</v>
      </c>
      <c r="S89" s="741">
        <v>0</v>
      </c>
      <c r="T89" s="741">
        <v>0</v>
      </c>
      <c r="U89" s="741" t="s">
        <v>509</v>
      </c>
      <c r="V89" s="741" t="s">
        <v>509</v>
      </c>
      <c r="W89" s="741" t="s">
        <v>509</v>
      </c>
      <c r="X89" s="741" t="s">
        <v>509</v>
      </c>
      <c r="Y89" s="741" t="s">
        <v>509</v>
      </c>
      <c r="Z89" s="741" t="s">
        <v>509</v>
      </c>
      <c r="AA89" s="741" t="s">
        <v>509</v>
      </c>
      <c r="AB89" s="741">
        <v>0</v>
      </c>
      <c r="AC89" s="741">
        <v>1.5782189631044E-2</v>
      </c>
      <c r="AD89" s="741">
        <v>0</v>
      </c>
      <c r="AE89" s="741">
        <v>0</v>
      </c>
      <c r="AF89" s="542">
        <v>0</v>
      </c>
      <c r="AG89" s="542">
        <v>0.103272177093176</v>
      </c>
      <c r="AH89" s="542">
        <v>-0.1</v>
      </c>
      <c r="AI89" s="542" t="s">
        <v>509</v>
      </c>
      <c r="AJ89" s="542">
        <v>3.1000262608378901</v>
      </c>
      <c r="AK89" s="542" t="s">
        <v>509</v>
      </c>
      <c r="AL89" s="542">
        <v>1.5385720193057</v>
      </c>
      <c r="AM89" s="542" t="s">
        <v>509</v>
      </c>
      <c r="AN89" s="542">
        <v>1.84195597729798E-2</v>
      </c>
      <c r="AO89" s="542">
        <v>1.09205839522312</v>
      </c>
      <c r="AP89" s="542" t="s">
        <v>509</v>
      </c>
      <c r="AQ89" s="542">
        <v>4.8899999999999999E-2</v>
      </c>
      <c r="AR89" s="542">
        <v>2.4110629920236014E-2</v>
      </c>
      <c r="AS89" s="542">
        <v>0.55630924516303815</v>
      </c>
      <c r="AT89" s="542">
        <v>2.0480925823297122E-2</v>
      </c>
      <c r="AU89" s="542">
        <v>0.31428839232063038</v>
      </c>
      <c r="AV89" s="542">
        <v>0.94674654376632805</v>
      </c>
      <c r="AW89" s="542" t="s">
        <v>509</v>
      </c>
    </row>
    <row r="90" spans="1:49" ht="14.25" customHeight="1">
      <c r="A90" s="543" t="s">
        <v>259</v>
      </c>
      <c r="B90" s="740" t="s">
        <v>509</v>
      </c>
      <c r="C90" s="740" t="s">
        <v>509</v>
      </c>
      <c r="D90" s="740">
        <v>0</v>
      </c>
      <c r="E90" s="740">
        <v>0</v>
      </c>
      <c r="F90" s="740">
        <v>0</v>
      </c>
      <c r="G90" s="740">
        <v>0</v>
      </c>
      <c r="H90" s="740">
        <v>0</v>
      </c>
      <c r="I90" s="740">
        <v>0</v>
      </c>
      <c r="J90" s="740">
        <v>0</v>
      </c>
      <c r="K90" s="740">
        <v>0</v>
      </c>
      <c r="L90" s="740">
        <v>0</v>
      </c>
      <c r="M90" s="740" t="s">
        <v>509</v>
      </c>
      <c r="N90" s="740" t="s">
        <v>509</v>
      </c>
      <c r="O90" s="740" t="s">
        <v>509</v>
      </c>
      <c r="P90" s="740" t="s">
        <v>509</v>
      </c>
      <c r="Q90" s="740" t="s">
        <v>509</v>
      </c>
      <c r="R90" s="740" t="s">
        <v>509</v>
      </c>
      <c r="S90" s="740" t="s">
        <v>509</v>
      </c>
      <c r="T90" s="740" t="s">
        <v>509</v>
      </c>
      <c r="U90" s="740" t="s">
        <v>509</v>
      </c>
      <c r="V90" s="740" t="s">
        <v>509</v>
      </c>
      <c r="W90" s="740" t="s">
        <v>509</v>
      </c>
      <c r="X90" s="740" t="s">
        <v>509</v>
      </c>
      <c r="Y90" s="740" t="s">
        <v>509</v>
      </c>
      <c r="Z90" s="740" t="s">
        <v>509</v>
      </c>
      <c r="AA90" s="740" t="s">
        <v>509</v>
      </c>
      <c r="AB90" s="740" t="s">
        <v>509</v>
      </c>
      <c r="AC90" s="740" t="s">
        <v>509</v>
      </c>
      <c r="AD90" s="740" t="s">
        <v>509</v>
      </c>
      <c r="AE90" s="740">
        <v>0</v>
      </c>
      <c r="AF90" s="540">
        <v>0</v>
      </c>
      <c r="AG90" s="540">
        <v>0</v>
      </c>
      <c r="AH90" s="540">
        <v>0</v>
      </c>
      <c r="AI90" s="540">
        <v>0</v>
      </c>
      <c r="AJ90" s="540">
        <v>0</v>
      </c>
      <c r="AK90" s="540">
        <v>0</v>
      </c>
      <c r="AL90" s="540">
        <v>0</v>
      </c>
      <c r="AM90" s="540">
        <v>0</v>
      </c>
      <c r="AN90" s="540">
        <v>0</v>
      </c>
      <c r="AO90" s="540">
        <v>0</v>
      </c>
      <c r="AP90" s="540" t="s">
        <v>509</v>
      </c>
      <c r="AQ90" s="540" t="s">
        <v>509</v>
      </c>
      <c r="AR90" s="540" t="s">
        <v>509</v>
      </c>
      <c r="AS90" s="540" t="s">
        <v>509</v>
      </c>
      <c r="AT90" s="540">
        <v>0</v>
      </c>
      <c r="AU90" s="540">
        <v>0</v>
      </c>
      <c r="AV90" s="540">
        <v>0</v>
      </c>
      <c r="AW90" s="540" t="s">
        <v>509</v>
      </c>
    </row>
    <row r="91" spans="1:49" ht="14.25" customHeight="1">
      <c r="A91" s="543" t="s">
        <v>260</v>
      </c>
      <c r="B91" s="741">
        <v>0.30000000005999999</v>
      </c>
      <c r="C91" s="741">
        <v>1.0000000002</v>
      </c>
      <c r="D91" s="741">
        <v>1.3000000002599998</v>
      </c>
      <c r="E91" s="741">
        <v>1.70000000034</v>
      </c>
      <c r="F91" s="741">
        <v>2.2200000004440001</v>
      </c>
      <c r="G91" s="741">
        <v>2.6000000005199997</v>
      </c>
      <c r="H91" s="741">
        <v>3.4800000006960001</v>
      </c>
      <c r="I91" s="741">
        <v>3.0400000006079999</v>
      </c>
      <c r="J91" s="741">
        <v>3.9400000007879998</v>
      </c>
      <c r="K91" s="741">
        <v>4.5000000003749996</v>
      </c>
      <c r="L91" s="741">
        <v>5.0999999999999996</v>
      </c>
      <c r="M91" s="741">
        <v>4.5599999999999996</v>
      </c>
      <c r="N91" s="741">
        <v>5.2</v>
      </c>
      <c r="O91" s="741">
        <v>6.24</v>
      </c>
      <c r="P91" s="741">
        <v>4.6399999999999997</v>
      </c>
      <c r="Q91" s="741">
        <v>6.9</v>
      </c>
      <c r="R91" s="741">
        <v>2</v>
      </c>
      <c r="S91" s="741">
        <v>1</v>
      </c>
      <c r="T91" s="741">
        <v>2</v>
      </c>
      <c r="U91" s="741">
        <v>0</v>
      </c>
      <c r="V91" s="741" t="s">
        <v>509</v>
      </c>
      <c r="W91" s="741" t="s">
        <v>509</v>
      </c>
      <c r="X91" s="741" t="s">
        <v>509</v>
      </c>
      <c r="Y91" s="741">
        <v>0</v>
      </c>
      <c r="Z91" s="741">
        <v>0</v>
      </c>
      <c r="AA91" s="741">
        <v>0</v>
      </c>
      <c r="AB91" s="741">
        <v>0</v>
      </c>
      <c r="AC91" s="741">
        <v>0</v>
      </c>
      <c r="AD91" s="741">
        <v>0</v>
      </c>
      <c r="AE91" s="741">
        <v>0</v>
      </c>
      <c r="AF91" s="542">
        <v>0</v>
      </c>
      <c r="AG91" s="542">
        <v>0</v>
      </c>
      <c r="AH91" s="542">
        <v>0</v>
      </c>
      <c r="AI91" s="542">
        <v>0</v>
      </c>
      <c r="AJ91" s="542">
        <v>0</v>
      </c>
      <c r="AK91" s="542">
        <v>0</v>
      </c>
      <c r="AL91" s="542">
        <v>0</v>
      </c>
      <c r="AM91" s="542">
        <v>0</v>
      </c>
      <c r="AN91" s="542" t="s">
        <v>509</v>
      </c>
      <c r="AO91" s="542" t="s">
        <v>509</v>
      </c>
      <c r="AP91" s="542" t="s">
        <v>509</v>
      </c>
      <c r="AQ91" s="542" t="s">
        <v>509</v>
      </c>
      <c r="AR91" s="542" t="s">
        <v>509</v>
      </c>
      <c r="AS91" s="542" t="s">
        <v>509</v>
      </c>
      <c r="AT91" s="542" t="s">
        <v>509</v>
      </c>
      <c r="AU91" s="542" t="s">
        <v>509</v>
      </c>
      <c r="AV91" s="542" t="s">
        <v>509</v>
      </c>
      <c r="AW91" s="542" t="s">
        <v>509</v>
      </c>
    </row>
    <row r="92" spans="1:49" ht="14.25" customHeight="1">
      <c r="A92" s="543" t="s">
        <v>261</v>
      </c>
      <c r="B92" s="740">
        <v>0</v>
      </c>
      <c r="C92" s="740">
        <v>0</v>
      </c>
      <c r="D92" s="740">
        <v>0</v>
      </c>
      <c r="E92" s="740">
        <v>0</v>
      </c>
      <c r="F92" s="740">
        <v>0</v>
      </c>
      <c r="G92" s="740">
        <v>0</v>
      </c>
      <c r="H92" s="740">
        <v>0</v>
      </c>
      <c r="I92" s="740">
        <v>0</v>
      </c>
      <c r="J92" s="740">
        <v>0</v>
      </c>
      <c r="K92" s="740">
        <v>0</v>
      </c>
      <c r="L92" s="740">
        <v>0</v>
      </c>
      <c r="M92" s="740">
        <v>0</v>
      </c>
      <c r="N92" s="740">
        <v>0</v>
      </c>
      <c r="O92" s="740">
        <v>0</v>
      </c>
      <c r="P92" s="740">
        <v>0</v>
      </c>
      <c r="Q92" s="740">
        <v>0</v>
      </c>
      <c r="R92" s="740">
        <v>0</v>
      </c>
      <c r="S92" s="740">
        <v>0</v>
      </c>
      <c r="T92" s="740">
        <v>0</v>
      </c>
      <c r="U92" s="740">
        <v>0</v>
      </c>
      <c r="V92" s="740">
        <v>0</v>
      </c>
      <c r="W92" s="740">
        <v>0</v>
      </c>
      <c r="X92" s="740">
        <v>0</v>
      </c>
      <c r="Y92" s="740">
        <v>0</v>
      </c>
      <c r="Z92" s="740">
        <v>0</v>
      </c>
      <c r="AA92" s="740">
        <v>0</v>
      </c>
      <c r="AB92" s="740">
        <v>0</v>
      </c>
      <c r="AC92" s="740">
        <v>0</v>
      </c>
      <c r="AD92" s="740">
        <v>0</v>
      </c>
      <c r="AE92" s="740">
        <v>0</v>
      </c>
      <c r="AF92" s="540">
        <v>0</v>
      </c>
      <c r="AG92" s="540">
        <v>0</v>
      </c>
      <c r="AH92" s="540">
        <v>0</v>
      </c>
      <c r="AI92" s="540">
        <v>0</v>
      </c>
      <c r="AJ92" s="540">
        <v>0</v>
      </c>
      <c r="AK92" s="540">
        <v>0</v>
      </c>
      <c r="AL92" s="540">
        <v>0</v>
      </c>
      <c r="AM92" s="540">
        <v>0</v>
      </c>
      <c r="AN92" s="540">
        <v>0</v>
      </c>
      <c r="AO92" s="540">
        <v>0</v>
      </c>
      <c r="AP92" s="540">
        <v>0</v>
      </c>
      <c r="AQ92" s="540">
        <v>11.48</v>
      </c>
      <c r="AR92" s="540">
        <v>12.673387183448561</v>
      </c>
      <c r="AS92" s="540">
        <v>0.24</v>
      </c>
      <c r="AT92" s="540">
        <v>2.3314988829798398</v>
      </c>
      <c r="AU92" s="540">
        <v>3.2157845937817737</v>
      </c>
      <c r="AV92" s="540">
        <v>15.599116803415971</v>
      </c>
      <c r="AW92" s="540">
        <v>15.92081988</v>
      </c>
    </row>
    <row r="93" spans="1:49" ht="14.25" customHeight="1">
      <c r="A93" s="543" t="s">
        <v>95</v>
      </c>
      <c r="B93" s="741" t="s">
        <v>509</v>
      </c>
      <c r="C93" s="741" t="s">
        <v>509</v>
      </c>
      <c r="D93" s="741" t="s">
        <v>509</v>
      </c>
      <c r="E93" s="741" t="s">
        <v>509</v>
      </c>
      <c r="F93" s="741" t="s">
        <v>509</v>
      </c>
      <c r="G93" s="741" t="s">
        <v>509</v>
      </c>
      <c r="H93" s="741" t="s">
        <v>509</v>
      </c>
      <c r="I93" s="741">
        <v>0</v>
      </c>
      <c r="J93" s="741">
        <v>0</v>
      </c>
      <c r="K93" s="741">
        <v>0</v>
      </c>
      <c r="L93" s="741">
        <v>0</v>
      </c>
      <c r="M93" s="741">
        <v>0</v>
      </c>
      <c r="N93" s="741">
        <v>0</v>
      </c>
      <c r="O93" s="741">
        <v>0</v>
      </c>
      <c r="P93" s="741">
        <v>0</v>
      </c>
      <c r="Q93" s="741">
        <v>26.63381180291422</v>
      </c>
      <c r="R93" s="741">
        <v>11.421204980166189</v>
      </c>
      <c r="S93" s="741">
        <v>6.3847230942626725</v>
      </c>
      <c r="T93" s="741">
        <v>9.9400419291965818</v>
      </c>
      <c r="U93" s="741">
        <v>15.168414933583097</v>
      </c>
      <c r="V93" s="741">
        <v>25.4</v>
      </c>
      <c r="W93" s="741">
        <v>18.833455395464714</v>
      </c>
      <c r="X93" s="741">
        <v>22.609172300555471</v>
      </c>
      <c r="Y93" s="741">
        <v>13.241943438246064</v>
      </c>
      <c r="Z93" s="741">
        <v>7.7354795450319909</v>
      </c>
      <c r="AA93" s="741">
        <v>92.037893180783172</v>
      </c>
      <c r="AB93" s="741">
        <v>33.411849437289654</v>
      </c>
      <c r="AC93" s="741">
        <v>89.152363158165485</v>
      </c>
      <c r="AD93" s="741">
        <v>180.97231374472526</v>
      </c>
      <c r="AE93" s="741">
        <v>731.1511566437963</v>
      </c>
      <c r="AF93" s="542">
        <v>2337.7503052094262</v>
      </c>
      <c r="AG93" s="542">
        <v>4112.6133767325946</v>
      </c>
      <c r="AH93" s="542">
        <v>7504.6284892770473</v>
      </c>
      <c r="AI93" s="542">
        <v>8890.7207433821768</v>
      </c>
      <c r="AJ93" s="542">
        <v>11598.431188841525</v>
      </c>
      <c r="AK93" s="542">
        <v>12385.927620399792</v>
      </c>
      <c r="AL93" s="542">
        <v>8020.4038717286076</v>
      </c>
      <c r="AM93" s="542">
        <v>7922.5452246410341</v>
      </c>
      <c r="AN93" s="542">
        <v>7478.3937208003445</v>
      </c>
      <c r="AO93" s="542">
        <v>5579.7288178408426</v>
      </c>
      <c r="AP93" s="542">
        <v>3425.1881929616211</v>
      </c>
      <c r="AQ93" s="542">
        <v>6540.2038559468783</v>
      </c>
      <c r="AR93" s="542">
        <v>7469.8774874915925</v>
      </c>
      <c r="AS93" s="542">
        <v>5973.0703524088067</v>
      </c>
      <c r="AT93" s="542">
        <v>8478.4640253202997</v>
      </c>
      <c r="AU93" s="542">
        <v>3202.571052927889</v>
      </c>
      <c r="AV93" s="542">
        <v>9677.6904085543028</v>
      </c>
      <c r="AW93" s="542">
        <v>7657.4709638808536</v>
      </c>
    </row>
    <row r="94" spans="1:49" ht="14.25" customHeight="1">
      <c r="A94" s="543" t="s">
        <v>113</v>
      </c>
      <c r="B94" s="740" t="s">
        <v>509</v>
      </c>
      <c r="C94" s="740">
        <v>0</v>
      </c>
      <c r="D94" s="740">
        <v>0</v>
      </c>
      <c r="E94" s="740">
        <v>0</v>
      </c>
      <c r="F94" s="740">
        <v>0</v>
      </c>
      <c r="G94" s="740">
        <v>0</v>
      </c>
      <c r="H94" s="740">
        <v>0</v>
      </c>
      <c r="I94" s="740">
        <v>0</v>
      </c>
      <c r="J94" s="740">
        <v>0</v>
      </c>
      <c r="K94" s="740">
        <v>0</v>
      </c>
      <c r="L94" s="740">
        <v>0</v>
      </c>
      <c r="M94" s="740">
        <v>0</v>
      </c>
      <c r="N94" s="740">
        <v>0</v>
      </c>
      <c r="O94" s="740">
        <v>0</v>
      </c>
      <c r="P94" s="740">
        <v>0</v>
      </c>
      <c r="Q94" s="740">
        <v>6.4893355860922801</v>
      </c>
      <c r="R94" s="740">
        <v>2.6329394404533168</v>
      </c>
      <c r="S94" s="740">
        <v>3.3044597169966261</v>
      </c>
      <c r="T94" s="740">
        <v>3.97697311969495</v>
      </c>
      <c r="U94" s="740">
        <v>-1.8269883403360043</v>
      </c>
      <c r="V94" s="740">
        <v>-1.9</v>
      </c>
      <c r="W94" s="740">
        <v>6.1605644208087433</v>
      </c>
      <c r="X94" s="740">
        <v>1.7760081926353393</v>
      </c>
      <c r="Y94" s="740">
        <v>3.9874876566504427</v>
      </c>
      <c r="Z94" s="740">
        <v>17.758278790548299</v>
      </c>
      <c r="AA94" s="740">
        <v>7.2647347371737494</v>
      </c>
      <c r="AB94" s="740">
        <v>44.558159590650874</v>
      </c>
      <c r="AC94" s="740">
        <v>155.40960434448201</v>
      </c>
      <c r="AD94" s="740">
        <v>199.32394229619186</v>
      </c>
      <c r="AE94" s="740">
        <v>186.20815214121384</v>
      </c>
      <c r="AF94" s="540">
        <v>933.2354302746038</v>
      </c>
      <c r="AG94" s="540">
        <v>1181.5727734712079</v>
      </c>
      <c r="AH94" s="540">
        <v>1751.0915280715988</v>
      </c>
      <c r="AI94" s="540">
        <v>-997.55615418011951</v>
      </c>
      <c r="AJ94" s="540">
        <v>6.8788571759856643</v>
      </c>
      <c r="AK94" s="540">
        <v>-43.796030639908999</v>
      </c>
      <c r="AL94" s="540">
        <v>570.67131410070817</v>
      </c>
      <c r="AM94" s="540">
        <v>247.77677384461686</v>
      </c>
      <c r="AN94" s="540">
        <v>225.57095724477526</v>
      </c>
      <c r="AO94" s="540">
        <v>85.740084721165928</v>
      </c>
      <c r="AP94" s="540">
        <v>163.57076372303004</v>
      </c>
      <c r="AQ94" s="540">
        <v>273.32265639215194</v>
      </c>
      <c r="AR94" s="540">
        <v>243.49835287040895</v>
      </c>
      <c r="AS94" s="540">
        <v>302.10976902264537</v>
      </c>
      <c r="AT94" s="540">
        <v>267.25248525576166</v>
      </c>
      <c r="AU94" s="540">
        <v>212.04934045820974</v>
      </c>
      <c r="AV94" s="540">
        <v>251.28417500521417</v>
      </c>
      <c r="AW94" s="540">
        <v>188.77411288704198</v>
      </c>
    </row>
    <row r="95" spans="1:49" ht="14.25" customHeight="1">
      <c r="A95" s="543" t="s">
        <v>45</v>
      </c>
      <c r="B95" s="741">
        <v>0</v>
      </c>
      <c r="C95" s="741">
        <v>0</v>
      </c>
      <c r="D95" s="741">
        <v>0</v>
      </c>
      <c r="E95" s="741">
        <v>0</v>
      </c>
      <c r="F95" s="741">
        <v>0</v>
      </c>
      <c r="G95" s="741">
        <v>0</v>
      </c>
      <c r="H95" s="741">
        <v>0</v>
      </c>
      <c r="I95" s="741">
        <v>0</v>
      </c>
      <c r="J95" s="741">
        <v>0</v>
      </c>
      <c r="K95" s="741">
        <v>0</v>
      </c>
      <c r="L95" s="741">
        <v>0</v>
      </c>
      <c r="M95" s="741">
        <v>0</v>
      </c>
      <c r="N95" s="741">
        <v>0</v>
      </c>
      <c r="O95" s="741">
        <v>0</v>
      </c>
      <c r="P95" s="741">
        <v>0</v>
      </c>
      <c r="Q95" s="741">
        <v>0</v>
      </c>
      <c r="R95" s="741" t="s">
        <v>509</v>
      </c>
      <c r="S95" s="741" t="s">
        <v>509</v>
      </c>
      <c r="T95" s="741" t="s">
        <v>509</v>
      </c>
      <c r="U95" s="741" t="s">
        <v>509</v>
      </c>
      <c r="V95" s="741" t="s">
        <v>509</v>
      </c>
      <c r="W95" s="741" t="s">
        <v>509</v>
      </c>
      <c r="X95" s="741">
        <v>0</v>
      </c>
      <c r="Y95" s="741">
        <v>0</v>
      </c>
      <c r="Z95" s="741" t="s">
        <v>509</v>
      </c>
      <c r="AA95" s="741" t="s">
        <v>509</v>
      </c>
      <c r="AB95" s="741">
        <v>670.15519635483156</v>
      </c>
      <c r="AC95" s="741">
        <v>1014.956234602262</v>
      </c>
      <c r="AD95" s="741">
        <v>703.66926126179146</v>
      </c>
      <c r="AE95" s="741">
        <v>378.06579496761537</v>
      </c>
      <c r="AF95" s="542">
        <v>1057.3228769253014</v>
      </c>
      <c r="AG95" s="542">
        <v>1490.3466648834192</v>
      </c>
      <c r="AH95" s="542">
        <v>1593.6832634941838</v>
      </c>
      <c r="AI95" s="542">
        <v>1476.3953213714319</v>
      </c>
      <c r="AJ95" s="542">
        <v>1432.5</v>
      </c>
      <c r="AK95" s="542">
        <v>2206.0831669801428</v>
      </c>
      <c r="AL95" s="542">
        <v>2134.6432031065665</v>
      </c>
      <c r="AM95" s="542">
        <v>1940.559036354065</v>
      </c>
      <c r="AN95" s="542">
        <v>2471.5846012047182</v>
      </c>
      <c r="AO95" s="542">
        <v>3926.8035265087588</v>
      </c>
      <c r="AP95" s="542">
        <v>4995.2914649200548</v>
      </c>
      <c r="AQ95" s="542">
        <v>5181.8179409047689</v>
      </c>
      <c r="AR95" s="542">
        <v>5552.8062092460277</v>
      </c>
      <c r="AS95" s="542">
        <v>6539.5222352443216</v>
      </c>
      <c r="AT95" s="542">
        <v>6100.3589015690513</v>
      </c>
      <c r="AU95" s="542">
        <v>6337.8320840552597</v>
      </c>
      <c r="AV95" s="542">
        <v>6614.8277093325005</v>
      </c>
      <c r="AW95" s="542">
        <v>9323.5760552128995</v>
      </c>
    </row>
    <row r="96" spans="1:49" ht="14.25" customHeight="1">
      <c r="A96" s="543" t="s">
        <v>80</v>
      </c>
      <c r="B96" s="740" t="s">
        <v>509</v>
      </c>
      <c r="C96" s="740" t="s">
        <v>509</v>
      </c>
      <c r="D96" s="740" t="s">
        <v>509</v>
      </c>
      <c r="E96" s="740" t="s">
        <v>509</v>
      </c>
      <c r="F96" s="740" t="s">
        <v>509</v>
      </c>
      <c r="G96" s="740" t="s">
        <v>509</v>
      </c>
      <c r="H96" s="740">
        <v>723</v>
      </c>
      <c r="I96" s="740">
        <v>521</v>
      </c>
      <c r="J96" s="740">
        <v>205</v>
      </c>
      <c r="K96" s="740">
        <v>0</v>
      </c>
      <c r="L96" s="740">
        <v>0</v>
      </c>
      <c r="M96" s="740">
        <v>0</v>
      </c>
      <c r="N96" s="740">
        <v>0</v>
      </c>
      <c r="O96" s="740">
        <v>0</v>
      </c>
      <c r="P96" s="740">
        <v>0</v>
      </c>
      <c r="Q96" s="740">
        <v>0</v>
      </c>
      <c r="R96" s="740">
        <v>0</v>
      </c>
      <c r="S96" s="740">
        <v>0</v>
      </c>
      <c r="T96" s="740">
        <v>0</v>
      </c>
      <c r="U96" s="740">
        <v>0</v>
      </c>
      <c r="V96" s="740">
        <v>0</v>
      </c>
      <c r="W96" s="740">
        <v>0</v>
      </c>
      <c r="X96" s="740">
        <v>0</v>
      </c>
      <c r="Y96" s="740">
        <v>0</v>
      </c>
      <c r="Z96" s="740">
        <v>0</v>
      </c>
      <c r="AA96" s="740">
        <v>0</v>
      </c>
      <c r="AB96" s="740">
        <v>0</v>
      </c>
      <c r="AC96" s="740">
        <v>0</v>
      </c>
      <c r="AD96" s="740">
        <v>0</v>
      </c>
      <c r="AE96" s="740">
        <v>100</v>
      </c>
      <c r="AF96" s="540">
        <v>202.7</v>
      </c>
      <c r="AG96" s="540">
        <v>106.1420099877563</v>
      </c>
      <c r="AH96" s="540">
        <v>238.84</v>
      </c>
      <c r="AI96" s="540">
        <v>342.97886019007643</v>
      </c>
      <c r="AJ96" s="540">
        <v>197.62395093882319</v>
      </c>
      <c r="AK96" s="540">
        <v>120.3</v>
      </c>
      <c r="AL96" s="540">
        <v>185.78506332591849</v>
      </c>
      <c r="AM96" s="540">
        <v>242.77429399685519</v>
      </c>
      <c r="AN96" s="540">
        <v>202.83001043751901</v>
      </c>
      <c r="AO96" s="540">
        <v>139.63647843927859</v>
      </c>
      <c r="AP96" s="540">
        <v>71.837340984036899</v>
      </c>
      <c r="AQ96" s="540">
        <v>1100.52715313101</v>
      </c>
      <c r="AR96" s="540">
        <v>1998.9196819123349</v>
      </c>
      <c r="AS96" s="540">
        <v>4908.6438509547697</v>
      </c>
      <c r="AT96" s="540">
        <v>3350.6974872529804</v>
      </c>
      <c r="AU96" s="540">
        <v>2114.1400889870965</v>
      </c>
      <c r="AV96" s="540">
        <v>3008.9065923550875</v>
      </c>
      <c r="AW96" s="540">
        <v>2976.76334090204</v>
      </c>
    </row>
    <row r="97" spans="1:49" ht="14.25" customHeight="1">
      <c r="A97" s="543" t="s">
        <v>552</v>
      </c>
      <c r="B97" s="741" t="s">
        <v>509</v>
      </c>
      <c r="C97" s="741">
        <v>0</v>
      </c>
      <c r="D97" s="741">
        <v>0</v>
      </c>
      <c r="E97" s="741">
        <v>0</v>
      </c>
      <c r="F97" s="741">
        <v>0</v>
      </c>
      <c r="G97" s="741">
        <v>0</v>
      </c>
      <c r="H97" s="741">
        <v>0</v>
      </c>
      <c r="I97" s="741">
        <v>0</v>
      </c>
      <c r="J97" s="741">
        <v>0</v>
      </c>
      <c r="K97" s="741">
        <v>0</v>
      </c>
      <c r="L97" s="741">
        <v>0</v>
      </c>
      <c r="M97" s="741">
        <v>0</v>
      </c>
      <c r="N97" s="741">
        <v>0</v>
      </c>
      <c r="O97" s="741">
        <v>0</v>
      </c>
      <c r="P97" s="741">
        <v>0</v>
      </c>
      <c r="Q97" s="741">
        <v>0</v>
      </c>
      <c r="R97" s="741">
        <v>0</v>
      </c>
      <c r="S97" s="741">
        <v>0</v>
      </c>
      <c r="T97" s="741">
        <v>0</v>
      </c>
      <c r="U97" s="741">
        <v>0</v>
      </c>
      <c r="V97" s="741">
        <v>0</v>
      </c>
      <c r="W97" s="741">
        <v>0</v>
      </c>
      <c r="X97" s="741">
        <v>0</v>
      </c>
      <c r="Y97" s="741">
        <v>0</v>
      </c>
      <c r="Z97" s="741">
        <v>0</v>
      </c>
      <c r="AA97" s="741">
        <v>0</v>
      </c>
      <c r="AB97" s="741" t="s">
        <v>509</v>
      </c>
      <c r="AC97" s="741" t="s">
        <v>509</v>
      </c>
      <c r="AD97" s="741" t="s">
        <v>509</v>
      </c>
      <c r="AE97" s="741" t="s">
        <v>509</v>
      </c>
      <c r="AF97" s="542" t="s">
        <v>509</v>
      </c>
      <c r="AG97" s="542" t="s">
        <v>509</v>
      </c>
      <c r="AH97" s="542" t="s">
        <v>509</v>
      </c>
      <c r="AI97" s="542" t="s">
        <v>509</v>
      </c>
      <c r="AJ97" s="542" t="s">
        <v>509</v>
      </c>
      <c r="AK97" s="542" t="s">
        <v>509</v>
      </c>
      <c r="AL97" s="542" t="s">
        <v>509</v>
      </c>
      <c r="AM97" s="542" t="s">
        <v>509</v>
      </c>
      <c r="AN97" s="542" t="s">
        <v>509</v>
      </c>
      <c r="AO97" s="542" t="s">
        <v>509</v>
      </c>
      <c r="AP97" s="542" t="s">
        <v>509</v>
      </c>
      <c r="AQ97" s="542" t="s">
        <v>509</v>
      </c>
      <c r="AR97" s="542" t="s">
        <v>509</v>
      </c>
      <c r="AS97" s="542" t="s">
        <v>509</v>
      </c>
      <c r="AT97" s="542" t="s">
        <v>509</v>
      </c>
      <c r="AU97" s="542" t="s">
        <v>509</v>
      </c>
      <c r="AV97" s="542" t="s">
        <v>509</v>
      </c>
      <c r="AW97" s="542" t="s">
        <v>509</v>
      </c>
    </row>
    <row r="98" spans="1:49" ht="14.25" customHeight="1">
      <c r="A98" s="543" t="s">
        <v>263</v>
      </c>
      <c r="B98" s="740" t="s">
        <v>509</v>
      </c>
      <c r="C98" s="740" t="s">
        <v>509</v>
      </c>
      <c r="D98" s="740" t="s">
        <v>509</v>
      </c>
      <c r="E98" s="740" t="s">
        <v>509</v>
      </c>
      <c r="F98" s="740" t="s">
        <v>509</v>
      </c>
      <c r="G98" s="740" t="s">
        <v>509</v>
      </c>
      <c r="H98" s="740" t="s">
        <v>509</v>
      </c>
      <c r="I98" s="740" t="s">
        <v>509</v>
      </c>
      <c r="J98" s="740" t="s">
        <v>509</v>
      </c>
      <c r="K98" s="740" t="s">
        <v>509</v>
      </c>
      <c r="L98" s="740" t="s">
        <v>509</v>
      </c>
      <c r="M98" s="740" t="s">
        <v>509</v>
      </c>
      <c r="N98" s="740" t="s">
        <v>509</v>
      </c>
      <c r="O98" s="740" t="s">
        <v>509</v>
      </c>
      <c r="P98" s="740" t="s">
        <v>509</v>
      </c>
      <c r="Q98" s="740" t="s">
        <v>509</v>
      </c>
      <c r="R98" s="740" t="s">
        <v>509</v>
      </c>
      <c r="S98" s="740" t="s">
        <v>509</v>
      </c>
      <c r="T98" s="740" t="s">
        <v>509</v>
      </c>
      <c r="U98" s="740" t="s">
        <v>509</v>
      </c>
      <c r="V98" s="740" t="s">
        <v>509</v>
      </c>
      <c r="W98" s="740" t="s">
        <v>509</v>
      </c>
      <c r="X98" s="740" t="s">
        <v>509</v>
      </c>
      <c r="Y98" s="740" t="s">
        <v>509</v>
      </c>
      <c r="Z98" s="740" t="s">
        <v>509</v>
      </c>
      <c r="AA98" s="740" t="s">
        <v>509</v>
      </c>
      <c r="AB98" s="740" t="s">
        <v>509</v>
      </c>
      <c r="AC98" s="740" t="s">
        <v>509</v>
      </c>
      <c r="AD98" s="740" t="s">
        <v>509</v>
      </c>
      <c r="AE98" s="740" t="s">
        <v>509</v>
      </c>
      <c r="AF98" s="540">
        <v>5.5</v>
      </c>
      <c r="AG98" s="540">
        <v>26.8</v>
      </c>
      <c r="AH98" s="540">
        <v>1.1000000000000001</v>
      </c>
      <c r="AI98" s="540">
        <v>5</v>
      </c>
      <c r="AJ98" s="540">
        <v>6.1</v>
      </c>
      <c r="AK98" s="540">
        <v>34.200000000000003</v>
      </c>
      <c r="AL98" s="540">
        <v>15</v>
      </c>
      <c r="AM98" s="540">
        <v>12</v>
      </c>
      <c r="AN98" s="540">
        <v>31.6</v>
      </c>
      <c r="AO98" s="540">
        <v>6.5</v>
      </c>
      <c r="AP98" s="540">
        <v>23.6</v>
      </c>
      <c r="AQ98" s="540">
        <v>23.5</v>
      </c>
      <c r="AR98" s="540">
        <v>20.100000000000001</v>
      </c>
      <c r="AS98" s="540">
        <v>22.1</v>
      </c>
      <c r="AT98" s="540">
        <v>22.3</v>
      </c>
      <c r="AU98" s="540">
        <v>28.9</v>
      </c>
      <c r="AV98" s="540">
        <v>30.6</v>
      </c>
      <c r="AW98" s="540" t="s">
        <v>509</v>
      </c>
    </row>
    <row r="99" spans="1:49" ht="14.25" customHeight="1">
      <c r="A99" s="543" t="s">
        <v>20</v>
      </c>
      <c r="B99" s="741" t="s">
        <v>509</v>
      </c>
      <c r="C99" s="741" t="s">
        <v>509</v>
      </c>
      <c r="D99" s="741" t="s">
        <v>509</v>
      </c>
      <c r="E99" s="741" t="s">
        <v>509</v>
      </c>
      <c r="F99" s="741" t="s">
        <v>509</v>
      </c>
      <c r="G99" s="741" t="s">
        <v>509</v>
      </c>
      <c r="H99" s="741" t="s">
        <v>509</v>
      </c>
      <c r="I99" s="741" t="s">
        <v>509</v>
      </c>
      <c r="J99" s="741" t="s">
        <v>509</v>
      </c>
      <c r="K99" s="741" t="s">
        <v>509</v>
      </c>
      <c r="L99" s="741" t="s">
        <v>509</v>
      </c>
      <c r="M99" s="741" t="s">
        <v>509</v>
      </c>
      <c r="N99" s="741" t="s">
        <v>509</v>
      </c>
      <c r="O99" s="741" t="s">
        <v>509</v>
      </c>
      <c r="P99" s="741" t="s">
        <v>509</v>
      </c>
      <c r="Q99" s="741" t="s">
        <v>509</v>
      </c>
      <c r="R99" s="741" t="s">
        <v>509</v>
      </c>
      <c r="S99" s="741" t="s">
        <v>509</v>
      </c>
      <c r="T99" s="741" t="s">
        <v>509</v>
      </c>
      <c r="U99" s="741" t="s">
        <v>509</v>
      </c>
      <c r="V99" s="741" t="s">
        <v>509</v>
      </c>
      <c r="W99" s="741" t="s">
        <v>509</v>
      </c>
      <c r="X99" s="741" t="s">
        <v>509</v>
      </c>
      <c r="Y99" s="741" t="s">
        <v>509</v>
      </c>
      <c r="Z99" s="741" t="s">
        <v>509</v>
      </c>
      <c r="AA99" s="741" t="s">
        <v>509</v>
      </c>
      <c r="AB99" s="741" t="s">
        <v>509</v>
      </c>
      <c r="AC99" s="741" t="s">
        <v>509</v>
      </c>
      <c r="AD99" s="741" t="s">
        <v>509</v>
      </c>
      <c r="AE99" s="741" t="s">
        <v>509</v>
      </c>
      <c r="AF99" s="542">
        <v>4744.6009226229435</v>
      </c>
      <c r="AG99" s="542">
        <v>5463.3157524624867</v>
      </c>
      <c r="AH99" s="542">
        <v>7577.0724857815667</v>
      </c>
      <c r="AI99" s="542">
        <v>6934.5672064791324</v>
      </c>
      <c r="AJ99" s="542">
        <v>8557.0116605982603</v>
      </c>
      <c r="AK99" s="542">
        <v>15281.709058152932</v>
      </c>
      <c r="AL99" s="542">
        <v>16088.925151048332</v>
      </c>
      <c r="AM99" s="542">
        <v>18107.268899686616</v>
      </c>
      <c r="AN99" s="542">
        <v>20616.895670336507</v>
      </c>
      <c r="AO99" s="542">
        <v>22027.7</v>
      </c>
      <c r="AP99" s="542">
        <v>13315.55768878778</v>
      </c>
      <c r="AQ99" s="542">
        <v>16745.628083921863</v>
      </c>
      <c r="AR99" s="542">
        <v>20736.721424041032</v>
      </c>
      <c r="AS99" s="542">
        <v>20172.885658269206</v>
      </c>
      <c r="AT99" s="542">
        <v>19060.620332223782</v>
      </c>
      <c r="AU99" s="542">
        <v>22533.98115325849</v>
      </c>
      <c r="AV99" s="542">
        <v>38957.049882828316</v>
      </c>
      <c r="AW99" s="542">
        <v>36404.114909469834</v>
      </c>
    </row>
    <row r="100" spans="1:49" ht="14.25" customHeight="1">
      <c r="A100" s="543" t="s">
        <v>114</v>
      </c>
      <c r="B100" s="740">
        <v>11</v>
      </c>
      <c r="C100" s="740">
        <v>26</v>
      </c>
      <c r="D100" s="740">
        <v>23</v>
      </c>
      <c r="E100" s="740">
        <v>13</v>
      </c>
      <c r="F100" s="740">
        <v>14</v>
      </c>
      <c r="G100" s="740">
        <v>11</v>
      </c>
      <c r="H100" s="740">
        <v>123.3</v>
      </c>
      <c r="I100" s="740">
        <v>0</v>
      </c>
      <c r="J100" s="740">
        <v>0</v>
      </c>
      <c r="K100" s="740">
        <v>0</v>
      </c>
      <c r="L100" s="740">
        <v>20.5</v>
      </c>
      <c r="M100" s="740">
        <v>34.799999999999997</v>
      </c>
      <c r="N100" s="740">
        <v>43.6</v>
      </c>
      <c r="O100" s="740">
        <v>42.7</v>
      </c>
      <c r="P100" s="740">
        <v>35.700000000000003</v>
      </c>
      <c r="Q100" s="740">
        <v>17.100000000000001</v>
      </c>
      <c r="R100" s="740">
        <v>-46.3</v>
      </c>
      <c r="S100" s="740">
        <v>-35.6</v>
      </c>
      <c r="T100" s="740">
        <v>-73.8</v>
      </c>
      <c r="U100" s="740">
        <v>28.4</v>
      </c>
      <c r="V100" s="740">
        <v>87.5</v>
      </c>
      <c r="W100" s="740">
        <v>115.5</v>
      </c>
      <c r="X100" s="740">
        <v>95.6</v>
      </c>
      <c r="Y100" s="740">
        <v>239.4</v>
      </c>
      <c r="Z100" s="740">
        <v>220.2</v>
      </c>
      <c r="AA100" s="740">
        <v>363.5</v>
      </c>
      <c r="AB100" s="740">
        <v>-285.10000000000002</v>
      </c>
      <c r="AC100" s="740">
        <v>184.3</v>
      </c>
      <c r="AD100" s="740">
        <v>1046.0999999999999</v>
      </c>
      <c r="AE100" s="740">
        <v>970.9</v>
      </c>
      <c r="AF100" s="540">
        <v>2070.8000000000002</v>
      </c>
      <c r="AG100" s="540">
        <v>2892</v>
      </c>
      <c r="AH100" s="540">
        <v>3767.4</v>
      </c>
      <c r="AI100" s="540">
        <v>1367.5</v>
      </c>
      <c r="AJ100" s="540">
        <v>2325.6</v>
      </c>
      <c r="AK100" s="540">
        <v>3453.1</v>
      </c>
      <c r="AL100" s="540">
        <v>4220.7</v>
      </c>
      <c r="AM100" s="540">
        <v>3916.6</v>
      </c>
      <c r="AN100" s="540">
        <v>4022.7</v>
      </c>
      <c r="AO100" s="540">
        <v>4994.3</v>
      </c>
      <c r="AP100" s="540">
        <v>6387.4</v>
      </c>
      <c r="AQ100" s="540">
        <v>6137.8</v>
      </c>
      <c r="AR100" s="540">
        <v>6789.6</v>
      </c>
      <c r="AS100" s="540">
        <v>7195.1</v>
      </c>
      <c r="AT100" s="540">
        <v>6329.5</v>
      </c>
      <c r="AU100" s="540">
        <v>4496.6000000000004</v>
      </c>
      <c r="AV100" s="540">
        <v>9178.7000000000007</v>
      </c>
      <c r="AW100" s="540">
        <v>8811.5</v>
      </c>
    </row>
    <row r="101" spans="1:49" ht="14.25" customHeight="1">
      <c r="A101" s="543" t="s">
        <v>33</v>
      </c>
      <c r="B101" s="741">
        <v>0</v>
      </c>
      <c r="C101" s="741">
        <v>0</v>
      </c>
      <c r="D101" s="741">
        <v>0</v>
      </c>
      <c r="E101" s="741">
        <v>0</v>
      </c>
      <c r="F101" s="741">
        <v>0</v>
      </c>
      <c r="G101" s="741">
        <v>43.492654569281179</v>
      </c>
      <c r="H101" s="741">
        <v>25.853355922765815</v>
      </c>
      <c r="I101" s="741">
        <v>60.477435909892016</v>
      </c>
      <c r="J101" s="741">
        <v>65.224808464852302</v>
      </c>
      <c r="K101" s="741">
        <v>36.834286048485609</v>
      </c>
      <c r="L101" s="741">
        <v>75.382555730927464</v>
      </c>
      <c r="M101" s="741">
        <v>59.198516356880951</v>
      </c>
      <c r="N101" s="741">
        <v>135.49311973563971</v>
      </c>
      <c r="O101" s="741">
        <v>174.46548158732696</v>
      </c>
      <c r="P101" s="741">
        <v>188.32287294677431</v>
      </c>
      <c r="Q101" s="741">
        <v>264.57334325169205</v>
      </c>
      <c r="R101" s="741">
        <v>546.55475248264429</v>
      </c>
      <c r="S101" s="741">
        <v>462.81851662843491</v>
      </c>
      <c r="T101" s="741">
        <v>327.29614511882284</v>
      </c>
      <c r="U101" s="741">
        <v>1123.8670527055106</v>
      </c>
      <c r="V101" s="741">
        <v>1481.8573529682362</v>
      </c>
      <c r="W101" s="741">
        <v>1022.7020944711836</v>
      </c>
      <c r="X101" s="741">
        <v>1328.6097253559399</v>
      </c>
      <c r="Y101" s="741">
        <v>1717.7827980759407</v>
      </c>
      <c r="Z101" s="741">
        <v>6721.3</v>
      </c>
      <c r="AA101" s="741">
        <v>4761.2148900863494</v>
      </c>
      <c r="AB101" s="741">
        <v>5531.6525266063918</v>
      </c>
      <c r="AC101" s="741">
        <v>7962.5959423473969</v>
      </c>
      <c r="AD101" s="741">
        <v>9746.2682283828053</v>
      </c>
      <c r="AE101" s="741">
        <v>12439.833255194797</v>
      </c>
      <c r="AF101" s="542">
        <v>15803.850465258338</v>
      </c>
      <c r="AG101" s="542">
        <v>24868.950357544574</v>
      </c>
      <c r="AH101" s="542">
        <v>33745.360508537218</v>
      </c>
      <c r="AI101" s="542">
        <v>30964.280531479126</v>
      </c>
      <c r="AJ101" s="542">
        <v>24949.690910145295</v>
      </c>
      <c r="AK101" s="542">
        <v>24441.290721789232</v>
      </c>
      <c r="AL101" s="542">
        <v>28092.580987547179</v>
      </c>
      <c r="AM101" s="542">
        <v>21613.480381755457</v>
      </c>
      <c r="AN101" s="542">
        <v>23815.238392480544</v>
      </c>
      <c r="AO101" s="542">
        <v>27247.176398978212</v>
      </c>
      <c r="AP101" s="542">
        <v>12476.289546894852</v>
      </c>
      <c r="AQ101" s="542">
        <v>18009.694980723085</v>
      </c>
      <c r="AR101" s="542">
        <v>24670.418364434488</v>
      </c>
      <c r="AS101" s="542">
        <v>29749.770386282074</v>
      </c>
      <c r="AT101" s="542">
        <v>28320.342803489923</v>
      </c>
      <c r="AU101" s="542">
        <v>16480.571074630578</v>
      </c>
      <c r="AV101" s="542">
        <v>36338.901451370817</v>
      </c>
      <c r="AW101" s="542">
        <v>19866.008340381555</v>
      </c>
    </row>
    <row r="102" spans="1:49" ht="14.25" customHeight="1">
      <c r="A102" s="543" t="s">
        <v>264</v>
      </c>
      <c r="B102" s="740" t="s">
        <v>509</v>
      </c>
      <c r="C102" s="740">
        <v>1.2</v>
      </c>
      <c r="D102" s="740">
        <v>1.6</v>
      </c>
      <c r="E102" s="740">
        <v>1.8</v>
      </c>
      <c r="F102" s="740">
        <v>1.8</v>
      </c>
      <c r="G102" s="740">
        <v>1.8</v>
      </c>
      <c r="H102" s="740">
        <v>35.9</v>
      </c>
      <c r="I102" s="740">
        <v>60.9</v>
      </c>
      <c r="J102" s="740">
        <v>41</v>
      </c>
      <c r="K102" s="740">
        <v>12.5</v>
      </c>
      <c r="L102" s="740">
        <v>26.8</v>
      </c>
      <c r="M102" s="740">
        <v>1.3</v>
      </c>
      <c r="N102" s="740">
        <v>0.8</v>
      </c>
      <c r="O102" s="740">
        <v>1</v>
      </c>
      <c r="P102" s="740">
        <v>1.2</v>
      </c>
      <c r="Q102" s="740">
        <v>1</v>
      </c>
      <c r="R102" s="740">
        <v>1</v>
      </c>
      <c r="S102" s="740">
        <v>1</v>
      </c>
      <c r="T102" s="740">
        <v>42.7</v>
      </c>
      <c r="U102" s="740">
        <v>8.6</v>
      </c>
      <c r="V102" s="740">
        <v>14.9</v>
      </c>
      <c r="W102" s="740">
        <v>7.9</v>
      </c>
      <c r="X102" s="740">
        <v>5.4</v>
      </c>
      <c r="Y102" s="740">
        <v>7</v>
      </c>
      <c r="Z102" s="740">
        <v>8.1</v>
      </c>
      <c r="AA102" s="740">
        <v>6.3</v>
      </c>
      <c r="AB102" s="740">
        <v>5.7</v>
      </c>
      <c r="AC102" s="740">
        <v>17.2</v>
      </c>
      <c r="AD102" s="740">
        <v>8.4</v>
      </c>
      <c r="AE102" s="740">
        <v>24.915095000000001</v>
      </c>
      <c r="AF102" s="540">
        <v>24.362787999999998</v>
      </c>
      <c r="AG102" s="540">
        <v>-0.33174363000000001</v>
      </c>
      <c r="AH102" s="540">
        <v>9.5633839999999992</v>
      </c>
      <c r="AI102" s="540">
        <v>13.867312650000001</v>
      </c>
      <c r="AJ102" s="540">
        <v>10.90762765</v>
      </c>
      <c r="AK102" s="540">
        <v>5.2156974299999996</v>
      </c>
      <c r="AL102" s="540">
        <v>9.4</v>
      </c>
      <c r="AM102" s="540" t="s">
        <v>509</v>
      </c>
      <c r="AN102" s="540" t="s">
        <v>509</v>
      </c>
      <c r="AO102" s="540" t="s">
        <v>509</v>
      </c>
      <c r="AP102" s="540" t="s">
        <v>509</v>
      </c>
      <c r="AQ102" s="540" t="s">
        <v>509</v>
      </c>
      <c r="AR102" s="540" t="s">
        <v>509</v>
      </c>
      <c r="AS102" s="540" t="s">
        <v>509</v>
      </c>
      <c r="AT102" s="540" t="s">
        <v>509</v>
      </c>
      <c r="AU102" s="540" t="s">
        <v>509</v>
      </c>
      <c r="AV102" s="540" t="s">
        <v>509</v>
      </c>
      <c r="AW102" s="540" t="s">
        <v>509</v>
      </c>
    </row>
    <row r="103" spans="1:49" ht="14.25" customHeight="1">
      <c r="A103" s="543" t="s">
        <v>31</v>
      </c>
      <c r="B103" s="741" t="s">
        <v>509</v>
      </c>
      <c r="C103" s="741" t="s">
        <v>509</v>
      </c>
      <c r="D103" s="741" t="s">
        <v>509</v>
      </c>
      <c r="E103" s="741" t="s">
        <v>509</v>
      </c>
      <c r="F103" s="741" t="s">
        <v>509</v>
      </c>
      <c r="G103" s="741" t="s">
        <v>509</v>
      </c>
      <c r="H103" s="741" t="s">
        <v>509</v>
      </c>
      <c r="I103" s="741" t="s">
        <v>509</v>
      </c>
      <c r="J103" s="741" t="s">
        <v>509</v>
      </c>
      <c r="K103" s="741" t="s">
        <v>509</v>
      </c>
      <c r="L103" s="741" t="s">
        <v>509</v>
      </c>
      <c r="M103" s="741" t="s">
        <v>509</v>
      </c>
      <c r="N103" s="741" t="s">
        <v>509</v>
      </c>
      <c r="O103" s="741" t="s">
        <v>509</v>
      </c>
      <c r="P103" s="741" t="s">
        <v>509</v>
      </c>
      <c r="Q103" s="741" t="s">
        <v>509</v>
      </c>
      <c r="R103" s="741" t="s">
        <v>509</v>
      </c>
      <c r="S103" s="741" t="s">
        <v>509</v>
      </c>
      <c r="T103" s="741" t="s">
        <v>509</v>
      </c>
      <c r="U103" s="741" t="s">
        <v>509</v>
      </c>
      <c r="V103" s="741" t="s">
        <v>509</v>
      </c>
      <c r="W103" s="741">
        <v>15131</v>
      </c>
      <c r="X103" s="741">
        <v>11937.615798619125</v>
      </c>
      <c r="Y103" s="741">
        <v>5774.6070882173544</v>
      </c>
      <c r="Z103" s="741">
        <v>6756.7749086119238</v>
      </c>
      <c r="AA103" s="741">
        <v>20089.696438975694</v>
      </c>
      <c r="AB103" s="741">
        <v>13839.899231624311</v>
      </c>
      <c r="AC103" s="741">
        <v>12288.876018736983</v>
      </c>
      <c r="AD103" s="741">
        <v>16078.362922907176</v>
      </c>
      <c r="AE103" s="741">
        <v>27896.447039061459</v>
      </c>
      <c r="AF103" s="542">
        <v>34691.484539829537</v>
      </c>
      <c r="AG103" s="542">
        <v>40044.489242180098</v>
      </c>
      <c r="AH103" s="542">
        <v>42772.102751948049</v>
      </c>
      <c r="AI103" s="542">
        <v>25337.695473423482</v>
      </c>
      <c r="AJ103" s="542">
        <v>39703.963654017585</v>
      </c>
      <c r="AK103" s="542">
        <v>57460.703382721105</v>
      </c>
      <c r="AL103" s="542">
        <v>64600.389614553147</v>
      </c>
      <c r="AM103" s="542">
        <v>61996.071556925308</v>
      </c>
      <c r="AN103" s="542">
        <v>86672.962093953145</v>
      </c>
      <c r="AO103" s="542">
        <v>98852.946242858161</v>
      </c>
      <c r="AP103" s="542">
        <v>94863.978925594696</v>
      </c>
      <c r="AQ103" s="542">
        <v>109322.94035121183</v>
      </c>
      <c r="AR103" s="542">
        <v>118792.84078043126</v>
      </c>
      <c r="AS103" s="542">
        <v>128486.35791769832</v>
      </c>
      <c r="AT103" s="542">
        <v>134359.88476814658</v>
      </c>
      <c r="AU103" s="542">
        <v>118024.44699711534</v>
      </c>
      <c r="AV103" s="542">
        <v>187714.21901674932</v>
      </c>
      <c r="AW103" s="542">
        <v>208047.78052640075</v>
      </c>
    </row>
    <row r="104" spans="1:49" ht="14.25" customHeight="1">
      <c r="A104" s="543" t="s">
        <v>265</v>
      </c>
      <c r="B104" s="740">
        <v>0</v>
      </c>
      <c r="C104" s="740">
        <v>0</v>
      </c>
      <c r="D104" s="740">
        <v>0</v>
      </c>
      <c r="E104" s="740">
        <v>0</v>
      </c>
      <c r="F104" s="740">
        <v>0</v>
      </c>
      <c r="G104" s="740">
        <v>0</v>
      </c>
      <c r="H104" s="740">
        <v>0</v>
      </c>
      <c r="I104" s="740">
        <v>0</v>
      </c>
      <c r="J104" s="740">
        <v>0</v>
      </c>
      <c r="K104" s="740">
        <v>0</v>
      </c>
      <c r="L104" s="740">
        <v>0</v>
      </c>
      <c r="M104" s="740">
        <v>0</v>
      </c>
      <c r="N104" s="740">
        <v>0</v>
      </c>
      <c r="O104" s="740">
        <v>0</v>
      </c>
      <c r="P104" s="740">
        <v>0</v>
      </c>
      <c r="Q104" s="740">
        <v>0</v>
      </c>
      <c r="R104" s="740">
        <v>0</v>
      </c>
      <c r="S104" s="740">
        <v>0</v>
      </c>
      <c r="T104" s="740">
        <v>0</v>
      </c>
      <c r="U104" s="740">
        <v>0</v>
      </c>
      <c r="V104" s="740">
        <v>0</v>
      </c>
      <c r="W104" s="740" t="s">
        <v>509</v>
      </c>
      <c r="X104" s="740" t="s">
        <v>509</v>
      </c>
      <c r="Y104" s="740" t="s">
        <v>509</v>
      </c>
      <c r="Z104" s="740" t="s">
        <v>509</v>
      </c>
      <c r="AA104" s="740">
        <v>0</v>
      </c>
      <c r="AB104" s="740">
        <v>0</v>
      </c>
      <c r="AC104" s="740">
        <v>0</v>
      </c>
      <c r="AD104" s="740">
        <v>0</v>
      </c>
      <c r="AE104" s="740">
        <v>0</v>
      </c>
      <c r="AF104" s="540">
        <v>0</v>
      </c>
      <c r="AG104" s="540">
        <v>0</v>
      </c>
      <c r="AH104" s="540">
        <v>0</v>
      </c>
      <c r="AI104" s="540">
        <v>0</v>
      </c>
      <c r="AJ104" s="540">
        <v>0</v>
      </c>
      <c r="AK104" s="540">
        <v>0</v>
      </c>
      <c r="AL104" s="540">
        <v>0</v>
      </c>
      <c r="AM104" s="540" t="s">
        <v>509</v>
      </c>
      <c r="AN104" s="540" t="s">
        <v>509</v>
      </c>
      <c r="AO104" s="540" t="s">
        <v>509</v>
      </c>
      <c r="AP104" s="540" t="s">
        <v>509</v>
      </c>
      <c r="AQ104" s="540" t="s">
        <v>509</v>
      </c>
      <c r="AR104" s="540" t="s">
        <v>509</v>
      </c>
      <c r="AS104" s="540" t="s">
        <v>509</v>
      </c>
      <c r="AT104" s="540" t="s">
        <v>509</v>
      </c>
      <c r="AU104" s="540" t="s">
        <v>509</v>
      </c>
      <c r="AV104" s="540" t="s">
        <v>509</v>
      </c>
      <c r="AW104" s="540" t="s">
        <v>509</v>
      </c>
    </row>
    <row r="105" spans="1:49" ht="14.25" customHeight="1">
      <c r="A105" s="543" t="s">
        <v>551</v>
      </c>
      <c r="B105" s="741" t="s">
        <v>509</v>
      </c>
      <c r="C105" s="741" t="s">
        <v>509</v>
      </c>
      <c r="D105" s="741" t="s">
        <v>509</v>
      </c>
      <c r="E105" s="741" t="s">
        <v>509</v>
      </c>
      <c r="F105" s="741" t="s">
        <v>509</v>
      </c>
      <c r="G105" s="741" t="s">
        <v>509</v>
      </c>
      <c r="H105" s="741" t="s">
        <v>509</v>
      </c>
      <c r="I105" s="741" t="s">
        <v>509</v>
      </c>
      <c r="J105" s="741" t="s">
        <v>509</v>
      </c>
      <c r="K105" s="741" t="s">
        <v>509</v>
      </c>
      <c r="L105" s="741" t="s">
        <v>509</v>
      </c>
      <c r="M105" s="741" t="s">
        <v>509</v>
      </c>
      <c r="N105" s="741" t="s">
        <v>509</v>
      </c>
      <c r="O105" s="741" t="s">
        <v>509</v>
      </c>
      <c r="P105" s="741" t="s">
        <v>509</v>
      </c>
      <c r="Q105" s="741" t="s">
        <v>509</v>
      </c>
      <c r="R105" s="741" t="s">
        <v>509</v>
      </c>
      <c r="S105" s="741" t="s">
        <v>509</v>
      </c>
      <c r="T105" s="741" t="s">
        <v>509</v>
      </c>
      <c r="U105" s="741" t="s">
        <v>509</v>
      </c>
      <c r="V105" s="741">
        <v>0</v>
      </c>
      <c r="W105" s="741" t="s">
        <v>509</v>
      </c>
      <c r="X105" s="741" t="s">
        <v>509</v>
      </c>
      <c r="Y105" s="741" t="s">
        <v>509</v>
      </c>
      <c r="Z105" s="741" t="s">
        <v>509</v>
      </c>
      <c r="AA105" s="741">
        <v>0</v>
      </c>
      <c r="AB105" s="741">
        <v>0.42464000000000002</v>
      </c>
      <c r="AC105" s="741">
        <v>0.01</v>
      </c>
      <c r="AD105" s="741">
        <v>0.01</v>
      </c>
      <c r="AE105" s="741">
        <v>7.8792</v>
      </c>
      <c r="AF105" s="542">
        <v>-0.15634999999999999</v>
      </c>
      <c r="AG105" s="542">
        <v>1.8657999999999999</v>
      </c>
      <c r="AH105" s="542">
        <v>257.16766000000001</v>
      </c>
      <c r="AI105" s="542">
        <v>120.86011999999999</v>
      </c>
      <c r="AJ105" s="542">
        <v>40.608939999999997</v>
      </c>
      <c r="AK105" s="542">
        <v>291.45897000000002</v>
      </c>
      <c r="AL105" s="542">
        <v>116.63749</v>
      </c>
      <c r="AM105" s="542">
        <v>141.66809366561802</v>
      </c>
      <c r="AN105" s="542">
        <v>307.62531999999999</v>
      </c>
      <c r="AO105" s="542">
        <v>237.70771999999999</v>
      </c>
      <c r="AP105" s="542">
        <v>321.41475000000003</v>
      </c>
      <c r="AQ105" s="542">
        <v>113.22278</v>
      </c>
      <c r="AR105" s="542">
        <v>266.02461993103452</v>
      </c>
      <c r="AS105" s="542">
        <v>361.26193000000001</v>
      </c>
      <c r="AT105" s="542">
        <v>478.72084999999998</v>
      </c>
      <c r="AU105" s="542">
        <v>181.55033</v>
      </c>
      <c r="AV105" s="542">
        <v>398.62054000000001</v>
      </c>
      <c r="AW105" s="542">
        <v>1143.4917499999999</v>
      </c>
    </row>
    <row r="106" spans="1:49" ht="14.25" customHeight="1">
      <c r="A106" s="543" t="s">
        <v>267</v>
      </c>
      <c r="B106" s="740">
        <v>5.1748603475656205</v>
      </c>
      <c r="C106" s="740">
        <v>5.4976936583005775</v>
      </c>
      <c r="D106" s="740">
        <v>10.874081858674737</v>
      </c>
      <c r="E106" s="740">
        <v>6.4688213600225346</v>
      </c>
      <c r="F106" s="740">
        <v>12.307183283140526</v>
      </c>
      <c r="G106" s="740">
        <v>4.5820944557778489</v>
      </c>
      <c r="H106" s="740">
        <v>5.8579728950186958</v>
      </c>
      <c r="I106" s="740">
        <v>9.6133378200710435</v>
      </c>
      <c r="J106" s="740">
        <v>14.423600617321384</v>
      </c>
      <c r="K106" s="740">
        <v>6.8683820280116432</v>
      </c>
      <c r="L106" s="740">
        <v>5.416222499286623</v>
      </c>
      <c r="M106" s="740">
        <v>9.5527220379710727</v>
      </c>
      <c r="N106" s="740">
        <v>17.016630210899827</v>
      </c>
      <c r="O106" s="740">
        <v>0</v>
      </c>
      <c r="P106" s="740">
        <v>0</v>
      </c>
      <c r="Q106" s="740">
        <v>0</v>
      </c>
      <c r="R106" s="740">
        <v>0</v>
      </c>
      <c r="S106" s="740">
        <v>0</v>
      </c>
      <c r="T106" s="740">
        <v>0</v>
      </c>
      <c r="U106" s="740">
        <v>0</v>
      </c>
      <c r="V106" s="740">
        <v>0</v>
      </c>
      <c r="W106" s="740">
        <v>0</v>
      </c>
      <c r="X106" s="740">
        <v>0</v>
      </c>
      <c r="Y106" s="740">
        <v>0</v>
      </c>
      <c r="Z106" s="740">
        <v>0</v>
      </c>
      <c r="AA106" s="740">
        <v>0</v>
      </c>
      <c r="AB106" s="740">
        <v>0</v>
      </c>
      <c r="AC106" s="740">
        <v>0</v>
      </c>
      <c r="AD106" s="740">
        <v>0</v>
      </c>
      <c r="AE106" s="740">
        <v>0</v>
      </c>
      <c r="AF106" s="540">
        <v>0</v>
      </c>
      <c r="AG106" s="540">
        <v>0</v>
      </c>
      <c r="AH106" s="540">
        <v>0</v>
      </c>
      <c r="AI106" s="540">
        <v>0</v>
      </c>
      <c r="AJ106" s="540">
        <v>0</v>
      </c>
      <c r="AK106" s="540">
        <v>0</v>
      </c>
      <c r="AL106" s="540">
        <v>225.7</v>
      </c>
      <c r="AM106" s="540">
        <v>314.66243123151014</v>
      </c>
      <c r="AN106" s="540">
        <v>292.9740659251022</v>
      </c>
      <c r="AO106" s="540">
        <v>455.31090530229454</v>
      </c>
      <c r="AP106" s="540">
        <v>26.967742208102436</v>
      </c>
      <c r="AQ106" s="540">
        <v>21.92041589924678</v>
      </c>
      <c r="AR106" s="540">
        <v>38.72964138845574</v>
      </c>
      <c r="AS106" s="540">
        <v>43.884668088759028</v>
      </c>
      <c r="AT106" s="540">
        <v>28.768010369333421</v>
      </c>
      <c r="AU106" s="540">
        <v>-64.871000429214732</v>
      </c>
      <c r="AV106" s="540">
        <v>-59.836054451911352</v>
      </c>
      <c r="AW106" s="540" t="s">
        <v>509</v>
      </c>
    </row>
    <row r="107" spans="1:49" ht="14.25" customHeight="1">
      <c r="A107" s="543" t="s">
        <v>268</v>
      </c>
      <c r="B107" s="741" t="s">
        <v>509</v>
      </c>
      <c r="C107" s="741" t="s">
        <v>509</v>
      </c>
      <c r="D107" s="741" t="s">
        <v>509</v>
      </c>
      <c r="E107" s="741" t="s">
        <v>509</v>
      </c>
      <c r="F107" s="741">
        <v>0</v>
      </c>
      <c r="G107" s="741">
        <v>0</v>
      </c>
      <c r="H107" s="741">
        <v>0</v>
      </c>
      <c r="I107" s="741">
        <v>0</v>
      </c>
      <c r="J107" s="741">
        <v>0</v>
      </c>
      <c r="K107" s="741">
        <v>0</v>
      </c>
      <c r="L107" s="741">
        <v>0</v>
      </c>
      <c r="M107" s="741">
        <v>0</v>
      </c>
      <c r="N107" s="741">
        <v>0</v>
      </c>
      <c r="O107" s="741">
        <v>0</v>
      </c>
      <c r="P107" s="741">
        <v>0</v>
      </c>
      <c r="Q107" s="741">
        <v>0</v>
      </c>
      <c r="R107" s="741">
        <v>0</v>
      </c>
      <c r="S107" s="741">
        <v>0</v>
      </c>
      <c r="T107" s="741">
        <v>0</v>
      </c>
      <c r="U107" s="741">
        <v>2.7782838126583796E-2</v>
      </c>
      <c r="V107" s="741" t="s">
        <v>509</v>
      </c>
      <c r="W107" s="741" t="s">
        <v>509</v>
      </c>
      <c r="X107" s="741" t="s">
        <v>509</v>
      </c>
      <c r="Y107" s="741" t="s">
        <v>509</v>
      </c>
      <c r="Z107" s="741" t="s">
        <v>509</v>
      </c>
      <c r="AA107" s="741" t="s">
        <v>509</v>
      </c>
      <c r="AB107" s="741" t="s">
        <v>509</v>
      </c>
      <c r="AC107" s="741" t="s">
        <v>509</v>
      </c>
      <c r="AD107" s="741" t="s">
        <v>509</v>
      </c>
      <c r="AE107" s="741" t="s">
        <v>509</v>
      </c>
      <c r="AF107" s="542" t="s">
        <v>509</v>
      </c>
      <c r="AG107" s="542">
        <v>0</v>
      </c>
      <c r="AH107" s="542">
        <v>8.3676931734267164E-3</v>
      </c>
      <c r="AI107" s="542">
        <v>8.3880068278375814E-3</v>
      </c>
      <c r="AJ107" s="542">
        <v>6.0606908583828153E-2</v>
      </c>
      <c r="AK107" s="542">
        <v>7.1282689340768507E-2</v>
      </c>
      <c r="AL107" s="542">
        <v>8.015724565927386E-2</v>
      </c>
      <c r="AM107" s="542">
        <v>8.0461189761828547E-2</v>
      </c>
      <c r="AN107" s="542">
        <v>6.0170403545900773E-2</v>
      </c>
      <c r="AO107" s="542">
        <v>5.610398111040641E-2</v>
      </c>
      <c r="AP107" s="542">
        <v>4.6777463453050422E-2</v>
      </c>
      <c r="AQ107" s="542">
        <v>4.623031786663602E-2</v>
      </c>
      <c r="AR107" s="542">
        <v>4.7663750229053385E-2</v>
      </c>
      <c r="AS107" s="542">
        <v>4.6505173396979925E-2</v>
      </c>
      <c r="AT107" s="542">
        <v>4.3229059599116181E-2</v>
      </c>
      <c r="AU107" s="542">
        <v>4.2883081066547209E-2</v>
      </c>
      <c r="AV107" s="542">
        <v>1.8693142093485871E-2</v>
      </c>
      <c r="AW107" s="542" t="s">
        <v>509</v>
      </c>
    </row>
    <row r="108" spans="1:49" ht="14.25" customHeight="1">
      <c r="A108" s="543" t="s">
        <v>550</v>
      </c>
      <c r="B108" s="740" t="s">
        <v>509</v>
      </c>
      <c r="C108" s="740">
        <v>0</v>
      </c>
      <c r="D108" s="740">
        <v>6</v>
      </c>
      <c r="E108" s="740">
        <v>6</v>
      </c>
      <c r="F108" s="740">
        <v>17</v>
      </c>
      <c r="G108" s="740">
        <v>49.2</v>
      </c>
      <c r="H108" s="740">
        <v>38.200000000000003</v>
      </c>
      <c r="I108" s="740">
        <v>84.5</v>
      </c>
      <c r="J108" s="740">
        <v>77.400000000000006</v>
      </c>
      <c r="K108" s="740">
        <v>73.5</v>
      </c>
      <c r="L108" s="740">
        <v>35.5</v>
      </c>
      <c r="M108" s="740">
        <v>78.7</v>
      </c>
      <c r="N108" s="740">
        <v>49.7</v>
      </c>
      <c r="O108" s="740">
        <v>144.19999999999999</v>
      </c>
      <c r="P108" s="740">
        <v>248.3</v>
      </c>
      <c r="Q108" s="740">
        <v>176</v>
      </c>
      <c r="R108" s="740">
        <v>226.6</v>
      </c>
      <c r="S108" s="740">
        <v>426.9</v>
      </c>
      <c r="T108" s="740">
        <v>203.7</v>
      </c>
      <c r="U108" s="740">
        <v>252.6</v>
      </c>
      <c r="V108" s="740">
        <v>506.1</v>
      </c>
      <c r="W108" s="740">
        <v>556.9</v>
      </c>
      <c r="X108" s="740">
        <v>233.9</v>
      </c>
      <c r="Y108" s="740">
        <v>137.1</v>
      </c>
      <c r="Z108" s="740">
        <v>328.6</v>
      </c>
      <c r="AA108" s="740">
        <v>1044.4000000000001</v>
      </c>
      <c r="AB108" s="740">
        <v>1145.3</v>
      </c>
      <c r="AC108" s="740">
        <v>934.6</v>
      </c>
      <c r="AD108" s="740">
        <v>1448.7</v>
      </c>
      <c r="AE108" s="740">
        <v>3175.1</v>
      </c>
      <c r="AF108" s="540">
        <v>3300.6</v>
      </c>
      <c r="AG108" s="540">
        <v>2897.7</v>
      </c>
      <c r="AH108" s="540">
        <v>3991.6</v>
      </c>
      <c r="AI108" s="540">
        <v>2702.7</v>
      </c>
      <c r="AJ108" s="540">
        <v>2488.6999999999998</v>
      </c>
      <c r="AK108" s="540">
        <v>8870</v>
      </c>
      <c r="AL108" s="540">
        <v>12933</v>
      </c>
      <c r="AM108" s="540">
        <v>15529.4</v>
      </c>
      <c r="AN108" s="540">
        <v>15252.7</v>
      </c>
      <c r="AO108" s="540">
        <v>13498.6</v>
      </c>
      <c r="AP108" s="540">
        <v>10003.4</v>
      </c>
      <c r="AQ108" s="540">
        <v>10410.799999999999</v>
      </c>
      <c r="AR108" s="540">
        <v>11472.3</v>
      </c>
      <c r="AS108" s="540">
        <v>11830.6</v>
      </c>
      <c r="AT108" s="540">
        <v>15600.1</v>
      </c>
      <c r="AU108" s="540">
        <v>13096.6</v>
      </c>
      <c r="AV108" s="540">
        <v>29893</v>
      </c>
      <c r="AW108" s="540">
        <v>28197.7</v>
      </c>
    </row>
    <row r="109" spans="1:49" ht="14.25" customHeight="1">
      <c r="A109" s="543" t="s">
        <v>549</v>
      </c>
      <c r="B109" s="741" t="s">
        <v>509</v>
      </c>
      <c r="C109" s="741" t="s">
        <v>509</v>
      </c>
      <c r="D109" s="741" t="s">
        <v>509</v>
      </c>
      <c r="E109" s="741" t="s">
        <v>509</v>
      </c>
      <c r="F109" s="741" t="s">
        <v>509</v>
      </c>
      <c r="G109" s="741" t="s">
        <v>509</v>
      </c>
      <c r="H109" s="741" t="s">
        <v>509</v>
      </c>
      <c r="I109" s="741" t="s">
        <v>509</v>
      </c>
      <c r="J109" s="741" t="s">
        <v>509</v>
      </c>
      <c r="K109" s="741" t="s">
        <v>509</v>
      </c>
      <c r="L109" s="741" t="s">
        <v>509</v>
      </c>
      <c r="M109" s="741" t="s">
        <v>509</v>
      </c>
      <c r="N109" s="741" t="s">
        <v>509</v>
      </c>
      <c r="O109" s="741" t="s">
        <v>509</v>
      </c>
      <c r="P109" s="741" t="s">
        <v>509</v>
      </c>
      <c r="Q109" s="741" t="s">
        <v>509</v>
      </c>
      <c r="R109" s="741" t="s">
        <v>509</v>
      </c>
      <c r="S109" s="741" t="s">
        <v>509</v>
      </c>
      <c r="T109" s="741" t="s">
        <v>509</v>
      </c>
      <c r="U109" s="741" t="s">
        <v>509</v>
      </c>
      <c r="V109" s="741" t="s">
        <v>509</v>
      </c>
      <c r="W109" s="741" t="s">
        <v>509</v>
      </c>
      <c r="X109" s="741" t="s">
        <v>509</v>
      </c>
      <c r="Y109" s="741" t="s">
        <v>509</v>
      </c>
      <c r="Z109" s="741" t="s">
        <v>509</v>
      </c>
      <c r="AA109" s="741" t="s">
        <v>509</v>
      </c>
      <c r="AB109" s="741" t="s">
        <v>509</v>
      </c>
      <c r="AC109" s="741" t="s">
        <v>509</v>
      </c>
      <c r="AD109" s="741" t="s">
        <v>509</v>
      </c>
      <c r="AE109" s="741">
        <v>0</v>
      </c>
      <c r="AF109" s="542">
        <v>0</v>
      </c>
      <c r="AG109" s="542">
        <v>0</v>
      </c>
      <c r="AH109" s="542">
        <v>0</v>
      </c>
      <c r="AI109" s="542">
        <v>0</v>
      </c>
      <c r="AJ109" s="542">
        <v>0</v>
      </c>
      <c r="AK109" s="542">
        <v>0</v>
      </c>
      <c r="AL109" s="542">
        <v>0</v>
      </c>
      <c r="AM109" s="542">
        <v>0</v>
      </c>
      <c r="AN109" s="542">
        <v>0</v>
      </c>
      <c r="AO109" s="542">
        <v>0.82367036241394798</v>
      </c>
      <c r="AP109" s="542">
        <v>3.4984236574959171</v>
      </c>
      <c r="AQ109" s="542">
        <v>2.4889510665276098</v>
      </c>
      <c r="AR109" s="542">
        <v>0.41058984905057128</v>
      </c>
      <c r="AS109" s="542">
        <v>2.0015214026003658</v>
      </c>
      <c r="AT109" s="542">
        <v>2.3685360775955733</v>
      </c>
      <c r="AU109" s="542">
        <v>2.5669446853898528</v>
      </c>
      <c r="AV109" s="542">
        <v>3.2587575687998807</v>
      </c>
      <c r="AW109" s="542">
        <v>3.0874460089520102</v>
      </c>
    </row>
    <row r="110" spans="1:49" ht="14.25" customHeight="1">
      <c r="A110" s="543" t="s">
        <v>270</v>
      </c>
      <c r="B110" s="740">
        <v>0</v>
      </c>
      <c r="C110" s="740">
        <v>0</v>
      </c>
      <c r="D110" s="740">
        <v>0</v>
      </c>
      <c r="E110" s="740">
        <v>0</v>
      </c>
      <c r="F110" s="740">
        <v>0</v>
      </c>
      <c r="G110" s="740">
        <v>0</v>
      </c>
      <c r="H110" s="740">
        <v>0</v>
      </c>
      <c r="I110" s="740">
        <v>0</v>
      </c>
      <c r="J110" s="740">
        <v>0</v>
      </c>
      <c r="K110" s="740">
        <v>0</v>
      </c>
      <c r="L110" s="740">
        <v>0</v>
      </c>
      <c r="M110" s="740">
        <v>0</v>
      </c>
      <c r="N110" s="740" t="s">
        <v>509</v>
      </c>
      <c r="O110" s="740" t="s">
        <v>509</v>
      </c>
      <c r="P110" s="740" t="s">
        <v>509</v>
      </c>
      <c r="Q110" s="740" t="s">
        <v>509</v>
      </c>
      <c r="R110" s="740" t="s">
        <v>509</v>
      </c>
      <c r="S110" s="740" t="s">
        <v>509</v>
      </c>
      <c r="T110" s="740" t="s">
        <v>509</v>
      </c>
      <c r="U110" s="740" t="s">
        <v>509</v>
      </c>
      <c r="V110" s="740">
        <v>0</v>
      </c>
      <c r="W110" s="740">
        <v>0</v>
      </c>
      <c r="X110" s="740">
        <v>0</v>
      </c>
      <c r="Y110" s="740">
        <v>0</v>
      </c>
      <c r="Z110" s="740">
        <v>0</v>
      </c>
      <c r="AA110" s="740">
        <v>0</v>
      </c>
      <c r="AB110" s="740">
        <v>0</v>
      </c>
      <c r="AC110" s="740">
        <v>0</v>
      </c>
      <c r="AD110" s="740">
        <v>0</v>
      </c>
      <c r="AE110" s="740">
        <v>0</v>
      </c>
      <c r="AF110" s="540" t="s">
        <v>509</v>
      </c>
      <c r="AG110" s="540" t="s">
        <v>509</v>
      </c>
      <c r="AH110" s="540" t="s">
        <v>509</v>
      </c>
      <c r="AI110" s="540" t="s">
        <v>509</v>
      </c>
      <c r="AJ110" s="540">
        <v>1215</v>
      </c>
      <c r="AK110" s="540">
        <v>1569.1950083376464</v>
      </c>
      <c r="AL110" s="540">
        <v>2380.8268791037035</v>
      </c>
      <c r="AM110" s="540">
        <v>4833.343516827852</v>
      </c>
      <c r="AN110" s="540">
        <v>4176.9721610874449</v>
      </c>
      <c r="AO110" s="540">
        <v>4557.5748393649401</v>
      </c>
      <c r="AP110" s="540">
        <v>3939.7061443529828</v>
      </c>
      <c r="AQ110" s="540">
        <v>3482.8531511431643</v>
      </c>
      <c r="AR110" s="540">
        <v>4732.0930195352857</v>
      </c>
      <c r="AS110" s="540">
        <v>4209.2801169016202</v>
      </c>
      <c r="AT110" s="540">
        <v>13092.273054270254</v>
      </c>
      <c r="AU110" s="540">
        <v>14441.966815750657</v>
      </c>
      <c r="AV110" s="540">
        <v>7906.6959236055663</v>
      </c>
      <c r="AW110" s="540">
        <v>10035.104573834866</v>
      </c>
    </row>
    <row r="111" spans="1:49" ht="14.25" customHeight="1">
      <c r="A111" s="543" t="s">
        <v>548</v>
      </c>
      <c r="B111" s="741" t="s">
        <v>509</v>
      </c>
      <c r="C111" s="741" t="s">
        <v>509</v>
      </c>
      <c r="D111" s="741" t="s">
        <v>509</v>
      </c>
      <c r="E111" s="741" t="s">
        <v>509</v>
      </c>
      <c r="F111" s="741" t="s">
        <v>509</v>
      </c>
      <c r="G111" s="741" t="s">
        <v>509</v>
      </c>
      <c r="H111" s="741" t="s">
        <v>509</v>
      </c>
      <c r="I111" s="741" t="s">
        <v>509</v>
      </c>
      <c r="J111" s="741" t="s">
        <v>509</v>
      </c>
      <c r="K111" s="741" t="s">
        <v>509</v>
      </c>
      <c r="L111" s="741" t="s">
        <v>509</v>
      </c>
      <c r="M111" s="741" t="s">
        <v>509</v>
      </c>
      <c r="N111" s="741" t="s">
        <v>509</v>
      </c>
      <c r="O111" s="741" t="s">
        <v>509</v>
      </c>
      <c r="P111" s="741" t="s">
        <v>509</v>
      </c>
      <c r="Q111" s="741" t="s">
        <v>509</v>
      </c>
      <c r="R111" s="741" t="s">
        <v>509</v>
      </c>
      <c r="S111" s="741" t="s">
        <v>509</v>
      </c>
      <c r="T111" s="741" t="s">
        <v>509</v>
      </c>
      <c r="U111" s="741" t="s">
        <v>509</v>
      </c>
      <c r="V111" s="741" t="s">
        <v>509</v>
      </c>
      <c r="W111" s="741" t="s">
        <v>509</v>
      </c>
      <c r="X111" s="741" t="s">
        <v>509</v>
      </c>
      <c r="Y111" s="741">
        <v>0</v>
      </c>
      <c r="Z111" s="741">
        <v>0</v>
      </c>
      <c r="AA111" s="741">
        <v>0</v>
      </c>
      <c r="AB111" s="741">
        <v>0</v>
      </c>
      <c r="AC111" s="741">
        <v>0</v>
      </c>
      <c r="AD111" s="741">
        <v>0</v>
      </c>
      <c r="AE111" s="741">
        <v>0</v>
      </c>
      <c r="AF111" s="542">
        <v>0</v>
      </c>
      <c r="AG111" s="542">
        <v>0</v>
      </c>
      <c r="AH111" s="542">
        <v>0</v>
      </c>
      <c r="AI111" s="542">
        <v>0</v>
      </c>
      <c r="AJ111" s="542">
        <v>0</v>
      </c>
      <c r="AK111" s="542">
        <v>41.1</v>
      </c>
      <c r="AL111" s="542">
        <v>0</v>
      </c>
      <c r="AM111" s="542">
        <v>0.74209999999999898</v>
      </c>
      <c r="AN111" s="542">
        <v>0</v>
      </c>
      <c r="AO111" s="542">
        <v>3.9964</v>
      </c>
      <c r="AP111" s="542">
        <v>0</v>
      </c>
      <c r="AQ111" s="542">
        <v>0</v>
      </c>
      <c r="AR111" s="542">
        <v>0</v>
      </c>
      <c r="AS111" s="542">
        <v>0</v>
      </c>
      <c r="AT111" s="542">
        <v>0</v>
      </c>
      <c r="AU111" s="542">
        <v>0</v>
      </c>
      <c r="AV111" s="542">
        <v>0</v>
      </c>
      <c r="AW111" s="542" t="s">
        <v>509</v>
      </c>
    </row>
    <row r="112" spans="1:49" ht="14.25" customHeight="1">
      <c r="A112" s="543" t="s">
        <v>547</v>
      </c>
      <c r="B112" s="740" t="s">
        <v>509</v>
      </c>
      <c r="C112" s="740" t="s">
        <v>509</v>
      </c>
      <c r="D112" s="740" t="s">
        <v>509</v>
      </c>
      <c r="E112" s="740" t="s">
        <v>509</v>
      </c>
      <c r="F112" s="740" t="s">
        <v>509</v>
      </c>
      <c r="G112" s="740" t="s">
        <v>509</v>
      </c>
      <c r="H112" s="740" t="s">
        <v>509</v>
      </c>
      <c r="I112" s="740" t="s">
        <v>509</v>
      </c>
      <c r="J112" s="740" t="s">
        <v>509</v>
      </c>
      <c r="K112" s="740">
        <v>0</v>
      </c>
      <c r="L112" s="740">
        <v>0</v>
      </c>
      <c r="M112" s="740">
        <v>0</v>
      </c>
      <c r="N112" s="740">
        <v>0</v>
      </c>
      <c r="O112" s="740">
        <v>0</v>
      </c>
      <c r="P112" s="740">
        <v>0</v>
      </c>
      <c r="Q112" s="740">
        <v>0</v>
      </c>
      <c r="R112" s="740">
        <v>0</v>
      </c>
      <c r="S112" s="740">
        <v>0</v>
      </c>
      <c r="T112" s="740" t="s">
        <v>509</v>
      </c>
      <c r="U112" s="740">
        <v>0</v>
      </c>
      <c r="V112" s="740">
        <v>0</v>
      </c>
      <c r="W112" s="740">
        <v>0</v>
      </c>
      <c r="X112" s="740">
        <v>0</v>
      </c>
      <c r="Y112" s="740">
        <v>0</v>
      </c>
      <c r="Z112" s="740">
        <v>0</v>
      </c>
      <c r="AA112" s="740" t="s">
        <v>509</v>
      </c>
      <c r="AB112" s="740">
        <v>0</v>
      </c>
      <c r="AC112" s="740">
        <v>0</v>
      </c>
      <c r="AD112" s="740">
        <v>0</v>
      </c>
      <c r="AE112" s="740">
        <v>0</v>
      </c>
      <c r="AF112" s="540">
        <v>0</v>
      </c>
      <c r="AG112" s="540">
        <v>0</v>
      </c>
      <c r="AH112" s="540">
        <v>0</v>
      </c>
      <c r="AI112" s="540">
        <v>0</v>
      </c>
      <c r="AJ112" s="540">
        <v>0</v>
      </c>
      <c r="AK112" s="540">
        <v>2</v>
      </c>
      <c r="AL112" s="540">
        <v>1.31255217</v>
      </c>
      <c r="AM112" s="540">
        <v>1.3</v>
      </c>
      <c r="AN112" s="540">
        <v>11.008175570000001</v>
      </c>
      <c r="AO112" s="540">
        <v>0.18372239000000001</v>
      </c>
      <c r="AP112" s="540">
        <v>0</v>
      </c>
      <c r="AQ112" s="540">
        <v>0</v>
      </c>
      <c r="AR112" s="540">
        <v>0</v>
      </c>
      <c r="AS112" s="540">
        <v>0</v>
      </c>
      <c r="AT112" s="540">
        <v>0</v>
      </c>
      <c r="AU112" s="540">
        <v>0</v>
      </c>
      <c r="AV112" s="540">
        <v>0</v>
      </c>
      <c r="AW112" s="540" t="s">
        <v>509</v>
      </c>
    </row>
    <row r="113" spans="1:49" ht="14.25" customHeight="1">
      <c r="A113" s="543" t="s">
        <v>96</v>
      </c>
      <c r="B113" s="741" t="s">
        <v>509</v>
      </c>
      <c r="C113" s="741" t="s">
        <v>509</v>
      </c>
      <c r="D113" s="741" t="s">
        <v>509</v>
      </c>
      <c r="E113" s="741" t="s">
        <v>509</v>
      </c>
      <c r="F113" s="741" t="s">
        <v>509</v>
      </c>
      <c r="G113" s="741" t="s">
        <v>509</v>
      </c>
      <c r="H113" s="741" t="s">
        <v>509</v>
      </c>
      <c r="I113" s="741" t="s">
        <v>509</v>
      </c>
      <c r="J113" s="741" t="s">
        <v>509</v>
      </c>
      <c r="K113" s="741" t="s">
        <v>509</v>
      </c>
      <c r="L113" s="741" t="s">
        <v>509</v>
      </c>
      <c r="M113" s="741" t="s">
        <v>509</v>
      </c>
      <c r="N113" s="741" t="s">
        <v>509</v>
      </c>
      <c r="O113" s="741" t="s">
        <v>509</v>
      </c>
      <c r="P113" s="741" t="s">
        <v>509</v>
      </c>
      <c r="Q113" s="741" t="s">
        <v>509</v>
      </c>
      <c r="R113" s="741" t="s">
        <v>509</v>
      </c>
      <c r="S113" s="741">
        <v>0.196877</v>
      </c>
      <c r="T113" s="741">
        <v>4.952</v>
      </c>
      <c r="U113" s="741">
        <v>0.23599999999999999</v>
      </c>
      <c r="V113" s="741">
        <v>1.7000000000000001E-2</v>
      </c>
      <c r="W113" s="741">
        <v>1.1180000000000001</v>
      </c>
      <c r="X113" s="741">
        <v>1.5580000000000001</v>
      </c>
      <c r="Y113" s="741">
        <v>8.1</v>
      </c>
      <c r="Z113" s="741">
        <v>0</v>
      </c>
      <c r="AA113" s="741">
        <v>-0.4</v>
      </c>
      <c r="AB113" s="741">
        <v>0.89985400185610043</v>
      </c>
      <c r="AC113" s="741">
        <v>0.87659677419350235</v>
      </c>
      <c r="AD113" s="741">
        <v>4.4598996299399003</v>
      </c>
      <c r="AE113" s="741">
        <v>6.3473693001443019</v>
      </c>
      <c r="AF113" s="542">
        <v>35.043475433867094</v>
      </c>
      <c r="AG113" s="542">
        <v>33.960803185631313</v>
      </c>
      <c r="AH113" s="542">
        <v>67.268129445563986</v>
      </c>
      <c r="AI113" s="542">
        <v>54.776072905975184</v>
      </c>
      <c r="AJ113" s="542">
        <v>-75.964069911485709</v>
      </c>
      <c r="AK113" s="542">
        <v>-33.889512121212192</v>
      </c>
      <c r="AL113" s="542">
        <v>53.991053760822503</v>
      </c>
      <c r="AM113" s="542">
        <v>74.093235344292395</v>
      </c>
      <c r="AN113" s="542">
        <v>87.708507518735701</v>
      </c>
      <c r="AO113" s="542">
        <v>44.5266734708838</v>
      </c>
      <c r="AP113" s="542">
        <v>146.40053956398546</v>
      </c>
      <c r="AQ113" s="542">
        <v>102.00716908371896</v>
      </c>
      <c r="AR113" s="542">
        <v>202.4400886565042</v>
      </c>
      <c r="AS113" s="542">
        <v>148.29936608058674</v>
      </c>
      <c r="AT113" s="542">
        <v>108.04687429653617</v>
      </c>
      <c r="AU113" s="542">
        <v>115.99355872847731</v>
      </c>
      <c r="AV113" s="542">
        <v>350.49509401154995</v>
      </c>
      <c r="AW113" s="542">
        <v>603.24599431818388</v>
      </c>
    </row>
    <row r="114" spans="1:49" ht="14.25" customHeight="1">
      <c r="A114" s="543" t="s">
        <v>194</v>
      </c>
      <c r="B114" s="740" t="s">
        <v>509</v>
      </c>
      <c r="C114" s="740" t="s">
        <v>509</v>
      </c>
      <c r="D114" s="740" t="s">
        <v>509</v>
      </c>
      <c r="E114" s="740" t="s">
        <v>509</v>
      </c>
      <c r="F114" s="740" t="s">
        <v>509</v>
      </c>
      <c r="G114" s="740" t="s">
        <v>509</v>
      </c>
      <c r="H114" s="740" t="s">
        <v>509</v>
      </c>
      <c r="I114" s="740" t="s">
        <v>509</v>
      </c>
      <c r="J114" s="740" t="s">
        <v>509</v>
      </c>
      <c r="K114" s="740" t="s">
        <v>509</v>
      </c>
      <c r="L114" s="740" t="s">
        <v>509</v>
      </c>
      <c r="M114" s="740" t="s">
        <v>509</v>
      </c>
      <c r="N114" s="740" t="s">
        <v>509</v>
      </c>
      <c r="O114" s="740" t="s">
        <v>509</v>
      </c>
      <c r="P114" s="740" t="s">
        <v>509</v>
      </c>
      <c r="Q114" s="740" t="s">
        <v>509</v>
      </c>
      <c r="R114" s="740" t="s">
        <v>509</v>
      </c>
      <c r="S114" s="740" t="s">
        <v>509</v>
      </c>
      <c r="T114" s="740" t="s">
        <v>509</v>
      </c>
      <c r="U114" s="740" t="s">
        <v>509</v>
      </c>
      <c r="V114" s="740" t="s">
        <v>509</v>
      </c>
      <c r="W114" s="740" t="s">
        <v>509</v>
      </c>
      <c r="X114" s="740" t="s">
        <v>509</v>
      </c>
      <c r="Y114" s="740" t="s">
        <v>509</v>
      </c>
      <c r="Z114" s="740" t="s">
        <v>509</v>
      </c>
      <c r="AA114" s="740" t="s">
        <v>509</v>
      </c>
      <c r="AB114" s="740" t="s">
        <v>509</v>
      </c>
      <c r="AC114" s="740">
        <v>0</v>
      </c>
      <c r="AD114" s="740">
        <v>87.17</v>
      </c>
      <c r="AE114" s="740">
        <v>63.226999999999997</v>
      </c>
      <c r="AF114" s="540">
        <v>121.538</v>
      </c>
      <c r="AG114" s="540">
        <v>78.599000000000004</v>
      </c>
      <c r="AH114" s="540">
        <v>68.400000000000006</v>
      </c>
      <c r="AI114" s="540">
        <v>121.32</v>
      </c>
      <c r="AJ114" s="540">
        <v>136.53700000000001</v>
      </c>
      <c r="AK114" s="540">
        <v>195.98013689208588</v>
      </c>
      <c r="AL114" s="540">
        <v>434.59557151999996</v>
      </c>
      <c r="AM114" s="540">
        <v>368.31058020000006</v>
      </c>
      <c r="AN114" s="540">
        <v>493.74891180999998</v>
      </c>
      <c r="AO114" s="540">
        <v>251.92951244</v>
      </c>
      <c r="AP114" s="540">
        <v>513.59029943999997</v>
      </c>
      <c r="AQ114" s="540">
        <v>692.69866609999985</v>
      </c>
      <c r="AR114" s="540">
        <v>1008.1604674000001</v>
      </c>
      <c r="AS114" s="540">
        <v>330.53676313145007</v>
      </c>
      <c r="AT114" s="540">
        <v>463.61938668789253</v>
      </c>
      <c r="AU114" s="540">
        <v>491.93476044308312</v>
      </c>
      <c r="AV114" s="540">
        <v>110.40364769339701</v>
      </c>
      <c r="AW114" s="540" t="s">
        <v>509</v>
      </c>
    </row>
    <row r="115" spans="1:49" ht="14.25" customHeight="1">
      <c r="A115" s="543" t="s">
        <v>546</v>
      </c>
      <c r="B115" s="741">
        <v>0</v>
      </c>
      <c r="C115" s="741">
        <v>0</v>
      </c>
      <c r="D115" s="741">
        <v>0</v>
      </c>
      <c r="E115" s="741">
        <v>0</v>
      </c>
      <c r="F115" s="741">
        <v>0</v>
      </c>
      <c r="G115" s="741">
        <v>0</v>
      </c>
      <c r="H115" s="741">
        <v>0</v>
      </c>
      <c r="I115" s="741">
        <v>0</v>
      </c>
      <c r="J115" s="741">
        <v>0</v>
      </c>
      <c r="K115" s="741">
        <v>0</v>
      </c>
      <c r="L115" s="741">
        <v>0</v>
      </c>
      <c r="M115" s="741">
        <v>0</v>
      </c>
      <c r="N115" s="741">
        <v>0</v>
      </c>
      <c r="O115" s="741">
        <v>0</v>
      </c>
      <c r="P115" s="741">
        <v>0</v>
      </c>
      <c r="Q115" s="741">
        <v>0</v>
      </c>
      <c r="R115" s="741">
        <v>0</v>
      </c>
      <c r="S115" s="741">
        <v>0</v>
      </c>
      <c r="T115" s="741">
        <v>0</v>
      </c>
      <c r="U115" s="741">
        <v>0</v>
      </c>
      <c r="V115" s="741">
        <v>0</v>
      </c>
      <c r="W115" s="741">
        <v>0</v>
      </c>
      <c r="X115" s="741">
        <v>0</v>
      </c>
      <c r="Y115" s="741">
        <v>0</v>
      </c>
      <c r="Z115" s="741">
        <v>0</v>
      </c>
      <c r="AA115" s="741">
        <v>0</v>
      </c>
      <c r="AB115" s="741">
        <v>0</v>
      </c>
      <c r="AC115" s="741">
        <v>0</v>
      </c>
      <c r="AD115" s="741">
        <v>0</v>
      </c>
      <c r="AE115" s="741">
        <v>0</v>
      </c>
      <c r="AF115" s="542">
        <v>0</v>
      </c>
      <c r="AG115" s="542">
        <v>0</v>
      </c>
      <c r="AH115" s="542">
        <v>0</v>
      </c>
      <c r="AI115" s="542">
        <v>0</v>
      </c>
      <c r="AJ115" s="542">
        <v>0</v>
      </c>
      <c r="AK115" s="542">
        <v>0</v>
      </c>
      <c r="AL115" s="542">
        <v>0</v>
      </c>
      <c r="AM115" s="542">
        <v>0</v>
      </c>
      <c r="AN115" s="542">
        <v>0</v>
      </c>
      <c r="AO115" s="542">
        <v>0</v>
      </c>
      <c r="AP115" s="542">
        <v>0</v>
      </c>
      <c r="AQ115" s="542" t="s">
        <v>509</v>
      </c>
      <c r="AR115" s="542" t="s">
        <v>509</v>
      </c>
      <c r="AS115" s="542" t="s">
        <v>509</v>
      </c>
      <c r="AT115" s="542" t="s">
        <v>509</v>
      </c>
      <c r="AU115" s="542" t="s">
        <v>509</v>
      </c>
      <c r="AV115" s="542" t="s">
        <v>509</v>
      </c>
      <c r="AW115" s="542">
        <v>0</v>
      </c>
    </row>
    <row r="116" spans="1:49" ht="14.25" customHeight="1">
      <c r="A116" s="543" t="s">
        <v>274</v>
      </c>
      <c r="B116" s="740" t="s">
        <v>509</v>
      </c>
      <c r="C116" s="740" t="s">
        <v>509</v>
      </c>
      <c r="D116" s="740" t="s">
        <v>509</v>
      </c>
      <c r="E116" s="740" t="s">
        <v>509</v>
      </c>
      <c r="F116" s="740">
        <v>0</v>
      </c>
      <c r="G116" s="740">
        <v>0</v>
      </c>
      <c r="H116" s="740">
        <v>0</v>
      </c>
      <c r="I116" s="740">
        <v>0</v>
      </c>
      <c r="J116" s="740">
        <v>0</v>
      </c>
      <c r="K116" s="740">
        <v>0</v>
      </c>
      <c r="L116" s="740">
        <v>0</v>
      </c>
      <c r="M116" s="740">
        <v>0</v>
      </c>
      <c r="N116" s="740">
        <v>0</v>
      </c>
      <c r="O116" s="740" t="s">
        <v>509</v>
      </c>
      <c r="P116" s="740" t="s">
        <v>509</v>
      </c>
      <c r="Q116" s="740" t="s">
        <v>509</v>
      </c>
      <c r="R116" s="740" t="s">
        <v>509</v>
      </c>
      <c r="S116" s="740" t="s">
        <v>509</v>
      </c>
      <c r="T116" s="740" t="s">
        <v>509</v>
      </c>
      <c r="U116" s="740" t="s">
        <v>509</v>
      </c>
      <c r="V116" s="740" t="s">
        <v>509</v>
      </c>
      <c r="W116" s="740" t="s">
        <v>509</v>
      </c>
      <c r="X116" s="740" t="s">
        <v>509</v>
      </c>
      <c r="Y116" s="740" t="s">
        <v>509</v>
      </c>
      <c r="Z116" s="740" t="s">
        <v>509</v>
      </c>
      <c r="AA116" s="740" t="s">
        <v>509</v>
      </c>
      <c r="AB116" s="740" t="s">
        <v>509</v>
      </c>
      <c r="AC116" s="740" t="s">
        <v>509</v>
      </c>
      <c r="AD116" s="740" t="s">
        <v>509</v>
      </c>
      <c r="AE116" s="740" t="s">
        <v>509</v>
      </c>
      <c r="AF116" s="540" t="s">
        <v>509</v>
      </c>
      <c r="AG116" s="540" t="s">
        <v>509</v>
      </c>
      <c r="AH116" s="540" t="s">
        <v>509</v>
      </c>
      <c r="AI116" s="540" t="s">
        <v>509</v>
      </c>
      <c r="AJ116" s="540" t="s">
        <v>509</v>
      </c>
      <c r="AK116" s="540" t="s">
        <v>509</v>
      </c>
      <c r="AL116" s="540" t="s">
        <v>509</v>
      </c>
      <c r="AM116" s="540" t="s">
        <v>509</v>
      </c>
      <c r="AN116" s="540" t="s">
        <v>509</v>
      </c>
      <c r="AO116" s="540" t="s">
        <v>509</v>
      </c>
      <c r="AP116" s="540" t="s">
        <v>509</v>
      </c>
      <c r="AQ116" s="540" t="s">
        <v>509</v>
      </c>
      <c r="AR116" s="540" t="s">
        <v>509</v>
      </c>
      <c r="AS116" s="540">
        <v>8.29622222849199</v>
      </c>
      <c r="AT116" s="540">
        <v>8.2475140002756095</v>
      </c>
      <c r="AU116" s="540" t="s">
        <v>509</v>
      </c>
      <c r="AV116" s="540" t="s">
        <v>509</v>
      </c>
      <c r="AW116" s="540" t="s">
        <v>509</v>
      </c>
    </row>
    <row r="117" spans="1:49" ht="14.25" customHeight="1">
      <c r="A117" s="543" t="s">
        <v>275</v>
      </c>
      <c r="B117" s="741" t="s">
        <v>509</v>
      </c>
      <c r="C117" s="741" t="s">
        <v>509</v>
      </c>
      <c r="D117" s="741">
        <v>0</v>
      </c>
      <c r="E117" s="741">
        <v>0</v>
      </c>
      <c r="F117" s="741">
        <v>0</v>
      </c>
      <c r="G117" s="741">
        <v>0</v>
      </c>
      <c r="H117" s="741">
        <v>0</v>
      </c>
      <c r="I117" s="741">
        <v>0</v>
      </c>
      <c r="J117" s="741">
        <v>0</v>
      </c>
      <c r="K117" s="741">
        <v>0</v>
      </c>
      <c r="L117" s="741">
        <v>0</v>
      </c>
      <c r="M117" s="741">
        <v>0</v>
      </c>
      <c r="N117" s="741">
        <v>9.7633681285453804</v>
      </c>
      <c r="O117" s="741">
        <v>18.196693737174101</v>
      </c>
      <c r="P117" s="741">
        <v>18.0239324117675</v>
      </c>
      <c r="Q117" s="741">
        <v>17.656789394996999</v>
      </c>
      <c r="R117" s="741">
        <v>18.8794634291779</v>
      </c>
      <c r="S117" s="741">
        <v>16.337933585284901</v>
      </c>
      <c r="T117" s="741">
        <v>16.098815512629901</v>
      </c>
      <c r="U117" s="741">
        <v>14.6396825316984</v>
      </c>
      <c r="V117" s="741">
        <v>13.1533340448267</v>
      </c>
      <c r="W117" s="741">
        <v>12.3626438949135</v>
      </c>
      <c r="X117" s="741">
        <v>11.500086085847199</v>
      </c>
      <c r="Y117" s="741">
        <v>20.1037508599901</v>
      </c>
      <c r="Z117" s="741">
        <v>21.991727425364498</v>
      </c>
      <c r="AA117" s="741">
        <v>0</v>
      </c>
      <c r="AB117" s="741">
        <v>0</v>
      </c>
      <c r="AC117" s="741">
        <v>873</v>
      </c>
      <c r="AD117" s="741">
        <v>232</v>
      </c>
      <c r="AE117" s="741">
        <v>156</v>
      </c>
      <c r="AF117" s="542">
        <v>224</v>
      </c>
      <c r="AG117" s="542">
        <v>320</v>
      </c>
      <c r="AH117" s="542">
        <v>174.5</v>
      </c>
      <c r="AI117" s="542">
        <v>236</v>
      </c>
      <c r="AJ117" s="542">
        <v>394.9</v>
      </c>
      <c r="AK117" s="542">
        <v>572.6</v>
      </c>
      <c r="AL117" s="542">
        <v>246.8</v>
      </c>
      <c r="AM117" s="542">
        <v>364.1</v>
      </c>
      <c r="AN117" s="542">
        <v>202.1</v>
      </c>
      <c r="AO117" s="542">
        <v>314.2</v>
      </c>
      <c r="AP117" s="542">
        <v>356.8</v>
      </c>
      <c r="AQ117" s="542">
        <v>220.8</v>
      </c>
      <c r="AR117" s="542">
        <v>795.8</v>
      </c>
      <c r="AS117" s="542">
        <v>254.2</v>
      </c>
      <c r="AT117" s="542">
        <v>435.3</v>
      </c>
      <c r="AU117" s="542">
        <v>52.5</v>
      </c>
      <c r="AV117" s="542" t="s">
        <v>509</v>
      </c>
      <c r="AW117" s="542" t="s">
        <v>509</v>
      </c>
    </row>
    <row r="118" spans="1:49" ht="14.25" customHeight="1">
      <c r="A118" s="543" t="s">
        <v>276</v>
      </c>
      <c r="B118" s="740" t="s">
        <v>509</v>
      </c>
      <c r="C118" s="740" t="s">
        <v>509</v>
      </c>
      <c r="D118" s="740" t="s">
        <v>509</v>
      </c>
      <c r="E118" s="740" t="s">
        <v>509</v>
      </c>
      <c r="F118" s="740" t="s">
        <v>509</v>
      </c>
      <c r="G118" s="740" t="s">
        <v>509</v>
      </c>
      <c r="H118" s="740" t="s">
        <v>509</v>
      </c>
      <c r="I118" s="740" t="s">
        <v>509</v>
      </c>
      <c r="J118" s="740" t="s">
        <v>509</v>
      </c>
      <c r="K118" s="740" t="s">
        <v>509</v>
      </c>
      <c r="L118" s="740" t="s">
        <v>509</v>
      </c>
      <c r="M118" s="740" t="s">
        <v>509</v>
      </c>
      <c r="N118" s="740" t="s">
        <v>509</v>
      </c>
      <c r="O118" s="740" t="s">
        <v>509</v>
      </c>
      <c r="P118" s="740" t="s">
        <v>509</v>
      </c>
      <c r="Q118" s="740" t="s">
        <v>509</v>
      </c>
      <c r="R118" s="740" t="s">
        <v>509</v>
      </c>
      <c r="S118" s="740" t="s">
        <v>509</v>
      </c>
      <c r="T118" s="740">
        <v>8.3928416620590862E-3</v>
      </c>
      <c r="U118" s="740">
        <v>2.5568908207619534E-2</v>
      </c>
      <c r="V118" s="740">
        <v>0.01</v>
      </c>
      <c r="W118" s="740">
        <v>7.4999999999999997E-2</v>
      </c>
      <c r="X118" s="740">
        <v>0.1225</v>
      </c>
      <c r="Y118" s="740">
        <v>-0.5</v>
      </c>
      <c r="Z118" s="740">
        <v>-0.51249999999999996</v>
      </c>
      <c r="AA118" s="740">
        <v>0.23</v>
      </c>
      <c r="AB118" s="740">
        <v>-0.45</v>
      </c>
      <c r="AC118" s="740">
        <v>-0.42984975540144543</v>
      </c>
      <c r="AD118" s="740">
        <v>-1.063419587247266</v>
      </c>
      <c r="AE118" s="740">
        <v>5.2</v>
      </c>
      <c r="AF118" s="540">
        <v>4.5086928106883279</v>
      </c>
      <c r="AG118" s="540">
        <v>4.3449801558549446</v>
      </c>
      <c r="AH118" s="540">
        <v>-20.177184754706932</v>
      </c>
      <c r="AI118" s="540">
        <v>22.025713030791053</v>
      </c>
      <c r="AJ118" s="540">
        <v>-51.195785380066724</v>
      </c>
      <c r="AK118" s="540">
        <v>56.667531975468144</v>
      </c>
      <c r="AL118" s="540">
        <v>48.12889618614691</v>
      </c>
      <c r="AM118" s="540">
        <v>90.356713015476998</v>
      </c>
      <c r="AN118" s="540">
        <v>148.56510655204954</v>
      </c>
      <c r="AO118" s="540">
        <v>103.16050892533919</v>
      </c>
      <c r="AP118" s="540">
        <v>123.13446807841268</v>
      </c>
      <c r="AQ118" s="540">
        <v>132.42596944340505</v>
      </c>
      <c r="AR118" s="540" t="s">
        <v>509</v>
      </c>
      <c r="AS118" s="540">
        <v>289.28638013241681</v>
      </c>
      <c r="AT118" s="540">
        <v>212.20304701569032</v>
      </c>
      <c r="AU118" s="540">
        <v>300.92626827029068</v>
      </c>
      <c r="AV118" s="540">
        <v>380.65649482972395</v>
      </c>
      <c r="AW118" s="540">
        <v>161.29934581790999</v>
      </c>
    </row>
    <row r="119" spans="1:49" ht="14.25" customHeight="1">
      <c r="A119" s="543" t="s">
        <v>19</v>
      </c>
      <c r="B119" s="741"/>
      <c r="C119" s="741"/>
      <c r="D119" s="741"/>
      <c r="E119" s="741"/>
      <c r="F119" s="741"/>
      <c r="G119" s="741"/>
      <c r="H119" s="741"/>
      <c r="I119" s="741"/>
      <c r="J119" s="741"/>
      <c r="K119" s="741"/>
      <c r="L119" s="741"/>
      <c r="M119" s="741"/>
      <c r="N119" s="741"/>
      <c r="O119" s="741"/>
      <c r="P119" s="741"/>
      <c r="Q119" s="741"/>
      <c r="R119" s="741"/>
      <c r="S119" s="741"/>
      <c r="T119" s="741"/>
      <c r="U119" s="741"/>
      <c r="V119" s="741"/>
      <c r="W119" s="741"/>
      <c r="X119" s="741"/>
      <c r="Y119" s="741"/>
      <c r="Z119" s="741"/>
      <c r="AA119" s="741"/>
      <c r="AB119" s="741"/>
      <c r="AC119" s="741">
        <v>16255.9</v>
      </c>
      <c r="AD119" s="741">
        <v>17220.803586372465</v>
      </c>
      <c r="AE119" s="741">
        <v>22977.427649925747</v>
      </c>
      <c r="AF119" s="542">
        <v>29551.411236086959</v>
      </c>
      <c r="AG119" s="542">
        <v>34713.477486412186</v>
      </c>
      <c r="AH119" s="542">
        <v>40421.178978482552</v>
      </c>
      <c r="AI119" s="542">
        <v>56274.666029796441</v>
      </c>
      <c r="AJ119" s="542">
        <v>39767.687042367252</v>
      </c>
      <c r="AK119" s="542">
        <v>49974.792351647731</v>
      </c>
      <c r="AL119" s="542">
        <v>66958.683278394994</v>
      </c>
      <c r="AM119" s="542">
        <v>78268.551706138911</v>
      </c>
      <c r="AN119" s="542">
        <v>101610.92743470955</v>
      </c>
      <c r="AO119" s="542">
        <v>100344.41441318992</v>
      </c>
      <c r="AP119" s="542">
        <v>110835.91484045428</v>
      </c>
      <c r="AQ119" s="542">
        <v>143503.78990761752</v>
      </c>
      <c r="AR119" s="542">
        <v>138528.26010858861</v>
      </c>
      <c r="AS119" s="542">
        <v>165377.4577487944</v>
      </c>
      <c r="AT119" s="542">
        <v>139032.2609343004</v>
      </c>
      <c r="AU119" s="542">
        <v>132108.54978054625</v>
      </c>
      <c r="AV119" s="542">
        <v>125292.11452915626</v>
      </c>
      <c r="AW119" s="542">
        <v>110510.74573147985</v>
      </c>
    </row>
    <row r="120" spans="1:49" ht="14.25" customHeight="1">
      <c r="A120" s="543" t="s">
        <v>545</v>
      </c>
      <c r="B120" s="740">
        <v>0</v>
      </c>
      <c r="C120" s="740">
        <v>0</v>
      </c>
      <c r="D120" s="740">
        <v>0</v>
      </c>
      <c r="E120" s="740">
        <v>0</v>
      </c>
      <c r="F120" s="740">
        <v>0</v>
      </c>
      <c r="G120" s="740">
        <v>0</v>
      </c>
      <c r="H120" s="740">
        <v>0</v>
      </c>
      <c r="I120" s="740">
        <v>0</v>
      </c>
      <c r="J120" s="740">
        <v>0</v>
      </c>
      <c r="K120" s="740">
        <v>0</v>
      </c>
      <c r="L120" s="740">
        <v>0</v>
      </c>
      <c r="M120" s="740">
        <v>0</v>
      </c>
      <c r="N120" s="740">
        <v>0</v>
      </c>
      <c r="O120" s="740">
        <v>0</v>
      </c>
      <c r="P120" s="740">
        <v>0</v>
      </c>
      <c r="Q120" s="740">
        <v>0</v>
      </c>
      <c r="R120" s="740" t="s">
        <v>509</v>
      </c>
      <c r="S120" s="740" t="s">
        <v>509</v>
      </c>
      <c r="T120" s="740" t="s">
        <v>509</v>
      </c>
      <c r="U120" s="740" t="s">
        <v>509</v>
      </c>
      <c r="V120" s="740" t="s">
        <v>509</v>
      </c>
      <c r="W120" s="740" t="s">
        <v>509</v>
      </c>
      <c r="X120" s="740" t="s">
        <v>509</v>
      </c>
      <c r="Y120" s="740" t="s">
        <v>509</v>
      </c>
      <c r="Z120" s="740" t="s">
        <v>509</v>
      </c>
      <c r="AA120" s="740" t="s">
        <v>509</v>
      </c>
      <c r="AB120" s="740">
        <v>0</v>
      </c>
      <c r="AC120" s="740">
        <v>0</v>
      </c>
      <c r="AD120" s="740" t="s">
        <v>509</v>
      </c>
      <c r="AE120" s="740" t="s">
        <v>509</v>
      </c>
      <c r="AF120" s="540">
        <v>0</v>
      </c>
      <c r="AG120" s="540">
        <v>0</v>
      </c>
      <c r="AH120" s="540">
        <v>0</v>
      </c>
      <c r="AI120" s="540">
        <v>0</v>
      </c>
      <c r="AJ120" s="540">
        <v>0</v>
      </c>
      <c r="AK120" s="540">
        <v>0</v>
      </c>
      <c r="AL120" s="540">
        <v>0</v>
      </c>
      <c r="AM120" s="540">
        <v>0</v>
      </c>
      <c r="AN120" s="540">
        <v>0</v>
      </c>
      <c r="AO120" s="540">
        <v>0</v>
      </c>
      <c r="AP120" s="540">
        <v>0</v>
      </c>
      <c r="AQ120" s="540">
        <v>0</v>
      </c>
      <c r="AR120" s="540">
        <v>0</v>
      </c>
      <c r="AS120" s="540">
        <v>0</v>
      </c>
      <c r="AT120" s="540">
        <v>0</v>
      </c>
      <c r="AU120" s="540">
        <v>0</v>
      </c>
      <c r="AV120" s="540">
        <v>0</v>
      </c>
      <c r="AW120" s="540" t="s">
        <v>509</v>
      </c>
    </row>
    <row r="121" spans="1:49" ht="14.25" customHeight="1">
      <c r="A121" s="543" t="s">
        <v>280</v>
      </c>
      <c r="B121" s="741" t="s">
        <v>509</v>
      </c>
      <c r="C121" s="741" t="s">
        <v>509</v>
      </c>
      <c r="D121" s="741">
        <v>0</v>
      </c>
      <c r="E121" s="741">
        <v>0</v>
      </c>
      <c r="F121" s="741">
        <v>0</v>
      </c>
      <c r="G121" s="741">
        <v>0</v>
      </c>
      <c r="H121" s="741">
        <v>0</v>
      </c>
      <c r="I121" s="741">
        <v>0</v>
      </c>
      <c r="J121" s="741">
        <v>0</v>
      </c>
      <c r="K121" s="741">
        <v>0</v>
      </c>
      <c r="L121" s="741">
        <v>0</v>
      </c>
      <c r="M121" s="741">
        <v>0</v>
      </c>
      <c r="N121" s="741">
        <v>0</v>
      </c>
      <c r="O121" s="741">
        <v>0</v>
      </c>
      <c r="P121" s="741">
        <v>0</v>
      </c>
      <c r="Q121" s="741">
        <v>0</v>
      </c>
      <c r="R121" s="741">
        <v>0</v>
      </c>
      <c r="S121" s="741">
        <v>0</v>
      </c>
      <c r="T121" s="741">
        <v>0</v>
      </c>
      <c r="U121" s="741">
        <v>0</v>
      </c>
      <c r="V121" s="741">
        <v>0</v>
      </c>
      <c r="W121" s="741">
        <v>0</v>
      </c>
      <c r="X121" s="741">
        <v>0</v>
      </c>
      <c r="Y121" s="741">
        <v>0</v>
      </c>
      <c r="Z121" s="741">
        <v>0</v>
      </c>
      <c r="AA121" s="741">
        <v>0</v>
      </c>
      <c r="AB121" s="741">
        <v>0</v>
      </c>
      <c r="AC121" s="741">
        <v>0</v>
      </c>
      <c r="AD121" s="741">
        <v>1</v>
      </c>
      <c r="AE121" s="741">
        <v>0.19017882334467309</v>
      </c>
      <c r="AF121" s="542" t="s">
        <v>509</v>
      </c>
      <c r="AG121" s="542" t="s">
        <v>509</v>
      </c>
      <c r="AH121" s="542" t="s">
        <v>509</v>
      </c>
      <c r="AI121" s="542">
        <v>0</v>
      </c>
      <c r="AJ121" s="542">
        <v>-0.39000294683651993</v>
      </c>
      <c r="AK121" s="542">
        <v>0.31000178532863071</v>
      </c>
      <c r="AL121" s="542">
        <v>-0.28220787034325662</v>
      </c>
      <c r="AM121" s="542">
        <v>-7.9885457367660326E-2</v>
      </c>
      <c r="AN121" s="542">
        <v>-7.3867582526631767E-2</v>
      </c>
      <c r="AO121" s="542">
        <v>-8.3292139477302171E-2</v>
      </c>
      <c r="AP121" s="542">
        <v>-8.9798672315521189E-2</v>
      </c>
      <c r="AQ121" s="542">
        <v>-7.4140218429310206E-2</v>
      </c>
      <c r="AR121" s="542">
        <v>-0.11712751100994401</v>
      </c>
      <c r="AS121" s="542">
        <v>0</v>
      </c>
      <c r="AT121" s="542">
        <v>0</v>
      </c>
      <c r="AU121" s="542">
        <v>0</v>
      </c>
      <c r="AV121" s="542">
        <v>0</v>
      </c>
      <c r="AW121" s="542" t="s">
        <v>509</v>
      </c>
    </row>
    <row r="122" spans="1:49" ht="14.25" customHeight="1">
      <c r="A122" s="543" t="s">
        <v>81</v>
      </c>
      <c r="B122" s="740" t="s">
        <v>509</v>
      </c>
      <c r="C122" s="740" t="s">
        <v>509</v>
      </c>
      <c r="D122" s="740" t="s">
        <v>509</v>
      </c>
      <c r="E122" s="740" t="s">
        <v>509</v>
      </c>
      <c r="F122" s="740" t="s">
        <v>509</v>
      </c>
      <c r="G122" s="740" t="s">
        <v>509</v>
      </c>
      <c r="H122" s="740" t="s">
        <v>509</v>
      </c>
      <c r="I122" s="740" t="s">
        <v>509</v>
      </c>
      <c r="J122" s="740" t="s">
        <v>509</v>
      </c>
      <c r="K122" s="740" t="s">
        <v>509</v>
      </c>
      <c r="L122" s="740">
        <v>31.815817293977439</v>
      </c>
      <c r="M122" s="740">
        <v>44.936130650508538</v>
      </c>
      <c r="N122" s="740">
        <v>27.781764975528933</v>
      </c>
      <c r="O122" s="740">
        <v>36.658244604682885</v>
      </c>
      <c r="P122" s="740">
        <v>60.911644275997354</v>
      </c>
      <c r="Q122" s="740">
        <v>40.667313646656496</v>
      </c>
      <c r="R122" s="740">
        <v>47.271581294998846</v>
      </c>
      <c r="S122" s="740">
        <v>74.193780546050618</v>
      </c>
      <c r="T122" s="740">
        <v>90.905735802291687</v>
      </c>
      <c r="U122" s="740">
        <v>89.168107286253644</v>
      </c>
      <c r="V122" s="740">
        <v>68.279713904005689</v>
      </c>
      <c r="W122" s="740">
        <v>109.70044029225627</v>
      </c>
      <c r="X122" s="740">
        <v>54.031156782183871</v>
      </c>
      <c r="Y122" s="740">
        <v>-110.33604077082337</v>
      </c>
      <c r="Z122" s="740" t="s">
        <v>509</v>
      </c>
      <c r="AA122" s="740" t="s">
        <v>509</v>
      </c>
      <c r="AB122" s="740">
        <v>-84.736842105263165</v>
      </c>
      <c r="AC122" s="740">
        <v>120.26315789473684</v>
      </c>
      <c r="AD122" s="740">
        <v>389.47368421052636</v>
      </c>
      <c r="AE122" s="740">
        <v>1047.7631578947369</v>
      </c>
      <c r="AF122" s="540">
        <v>968.73631582347866</v>
      </c>
      <c r="AG122" s="540">
        <v>2958.0626919147808</v>
      </c>
      <c r="AH122" s="540">
        <v>3883.9969647528628</v>
      </c>
      <c r="AI122" s="540">
        <v>3641.6425162902819</v>
      </c>
      <c r="AJ122" s="540">
        <v>3822.4072567357139</v>
      </c>
      <c r="AK122" s="540">
        <v>5005.1000000000004</v>
      </c>
      <c r="AL122" s="540">
        <v>8181.5389592860683</v>
      </c>
      <c r="AM122" s="540">
        <v>3604.3765897952171</v>
      </c>
      <c r="AN122" s="540">
        <v>5937.2134524079593</v>
      </c>
      <c r="AO122" s="540">
        <v>6032.4207247137711</v>
      </c>
      <c r="AP122" s="540">
        <v>3771.2252582902474</v>
      </c>
      <c r="AQ122" s="540">
        <v>4185.083820588563</v>
      </c>
      <c r="AR122" s="540">
        <v>5242.5232411273073</v>
      </c>
      <c r="AS122" s="540">
        <v>5212.3441853959512</v>
      </c>
      <c r="AT122" s="540">
        <v>6432.4403692743781</v>
      </c>
      <c r="AU122" s="540">
        <v>3355.7575056757546</v>
      </c>
      <c r="AV122" s="540">
        <v>13278.29413969706</v>
      </c>
      <c r="AW122" s="540">
        <v>10053.292458091888</v>
      </c>
    </row>
    <row r="123" spans="1:49" ht="14.25" customHeight="1">
      <c r="A123" s="543" t="s">
        <v>281</v>
      </c>
      <c r="B123" s="741" t="s">
        <v>509</v>
      </c>
      <c r="C123" s="741" t="s">
        <v>509</v>
      </c>
      <c r="D123" s="741">
        <v>0</v>
      </c>
      <c r="E123" s="741">
        <v>0</v>
      </c>
      <c r="F123" s="741">
        <v>0</v>
      </c>
      <c r="G123" s="741">
        <v>0</v>
      </c>
      <c r="H123" s="741">
        <v>0</v>
      </c>
      <c r="I123" s="741">
        <v>0</v>
      </c>
      <c r="J123" s="741">
        <v>0</v>
      </c>
      <c r="K123" s="741">
        <v>0</v>
      </c>
      <c r="L123" s="741">
        <v>0</v>
      </c>
      <c r="M123" s="741">
        <v>0</v>
      </c>
      <c r="N123" s="741">
        <v>0</v>
      </c>
      <c r="O123" s="741">
        <v>0</v>
      </c>
      <c r="P123" s="741">
        <v>0</v>
      </c>
      <c r="Q123" s="741">
        <v>0</v>
      </c>
      <c r="R123" s="741">
        <v>0</v>
      </c>
      <c r="S123" s="741">
        <v>0</v>
      </c>
      <c r="T123" s="741">
        <v>0</v>
      </c>
      <c r="U123" s="741">
        <v>0</v>
      </c>
      <c r="V123" s="741">
        <v>0</v>
      </c>
      <c r="W123" s="741">
        <v>0</v>
      </c>
      <c r="X123" s="741">
        <v>0</v>
      </c>
      <c r="Y123" s="741">
        <v>0</v>
      </c>
      <c r="Z123" s="741">
        <v>0</v>
      </c>
      <c r="AA123" s="741">
        <v>0</v>
      </c>
      <c r="AB123" s="741">
        <v>0</v>
      </c>
      <c r="AC123" s="741">
        <v>0</v>
      </c>
      <c r="AD123" s="741">
        <v>0</v>
      </c>
      <c r="AE123" s="741">
        <v>0</v>
      </c>
      <c r="AF123" s="542">
        <v>0</v>
      </c>
      <c r="AG123" s="542">
        <v>0</v>
      </c>
      <c r="AH123" s="542">
        <v>0</v>
      </c>
      <c r="AI123" s="542">
        <v>0</v>
      </c>
      <c r="AJ123" s="542">
        <v>0</v>
      </c>
      <c r="AK123" s="542">
        <v>0</v>
      </c>
      <c r="AL123" s="542">
        <v>0</v>
      </c>
      <c r="AM123" s="542">
        <v>0</v>
      </c>
      <c r="AN123" s="542">
        <v>0</v>
      </c>
      <c r="AO123" s="542">
        <v>0</v>
      </c>
      <c r="AP123" s="542">
        <v>0</v>
      </c>
      <c r="AQ123" s="542">
        <v>0</v>
      </c>
      <c r="AR123" s="542">
        <v>0</v>
      </c>
      <c r="AS123" s="542">
        <v>0</v>
      </c>
      <c r="AT123" s="542">
        <v>0</v>
      </c>
      <c r="AU123" s="542">
        <v>0</v>
      </c>
      <c r="AV123" s="542">
        <v>0</v>
      </c>
      <c r="AW123" s="542">
        <v>0</v>
      </c>
    </row>
    <row r="124" spans="1:49" ht="14.25" customHeight="1">
      <c r="A124" s="543" t="s">
        <v>282</v>
      </c>
      <c r="B124" s="740">
        <v>0</v>
      </c>
      <c r="C124" s="740">
        <v>0</v>
      </c>
      <c r="D124" s="740">
        <v>0</v>
      </c>
      <c r="E124" s="740">
        <v>0</v>
      </c>
      <c r="F124" s="740">
        <v>0</v>
      </c>
      <c r="G124" s="740">
        <v>0</v>
      </c>
      <c r="H124" s="740">
        <v>0</v>
      </c>
      <c r="I124" s="740">
        <v>0</v>
      </c>
      <c r="J124" s="740">
        <v>0</v>
      </c>
      <c r="K124" s="740">
        <v>0</v>
      </c>
      <c r="L124" s="740">
        <v>0</v>
      </c>
      <c r="M124" s="740">
        <v>0</v>
      </c>
      <c r="N124" s="740">
        <v>0</v>
      </c>
      <c r="O124" s="740">
        <v>0</v>
      </c>
      <c r="P124" s="740">
        <v>0</v>
      </c>
      <c r="Q124" s="740">
        <v>0</v>
      </c>
      <c r="R124" s="740">
        <v>0</v>
      </c>
      <c r="S124" s="740">
        <v>0</v>
      </c>
      <c r="T124" s="740">
        <v>0</v>
      </c>
      <c r="U124" s="740">
        <v>0</v>
      </c>
      <c r="V124" s="740" t="s">
        <v>509</v>
      </c>
      <c r="W124" s="740">
        <v>2.7367673715364561E-2</v>
      </c>
      <c r="X124" s="740">
        <v>0</v>
      </c>
      <c r="Y124" s="740">
        <v>0</v>
      </c>
      <c r="Z124" s="740">
        <v>6.349584436634057</v>
      </c>
      <c r="AA124" s="740">
        <v>0.62094487004124832</v>
      </c>
      <c r="AB124" s="740">
        <v>0.76870804643558677</v>
      </c>
      <c r="AC124" s="740">
        <v>1.153214281411977E-2</v>
      </c>
      <c r="AD124" s="740">
        <v>0.64839053085946052</v>
      </c>
      <c r="AE124" s="740">
        <v>0.12515691256553868</v>
      </c>
      <c r="AF124" s="540">
        <v>36</v>
      </c>
      <c r="AG124" s="540">
        <v>35.813710331981007</v>
      </c>
      <c r="AH124" s="540">
        <v>18.99155794735114</v>
      </c>
      <c r="AI124" s="540">
        <v>49.41703576796958</v>
      </c>
      <c r="AJ124" s="540">
        <v>29.87496593121768</v>
      </c>
      <c r="AK124" s="540">
        <v>4.7494487697618544</v>
      </c>
      <c r="AL124" s="540">
        <v>1.4620732292828686</v>
      </c>
      <c r="AM124" s="540">
        <v>1.4474406531458994</v>
      </c>
      <c r="AN124" s="540">
        <v>1.1014788708621448</v>
      </c>
      <c r="AO124" s="540">
        <v>1.3245372988491206</v>
      </c>
      <c r="AP124" s="540">
        <v>1.6012369227982455</v>
      </c>
      <c r="AQ124" s="540">
        <v>5.6766252537823962E-2</v>
      </c>
      <c r="AR124" s="540">
        <v>0.53560042179952849</v>
      </c>
      <c r="AS124" s="540">
        <v>0.60815942723648631</v>
      </c>
      <c r="AT124" s="540">
        <v>0.59372497217919751</v>
      </c>
      <c r="AU124" s="540">
        <v>1.7274047530825491</v>
      </c>
      <c r="AV124" s="540">
        <v>7.5782101679931975</v>
      </c>
      <c r="AW124" s="540" t="s">
        <v>509</v>
      </c>
    </row>
    <row r="125" spans="1:49" ht="14.25" customHeight="1">
      <c r="A125" s="543" t="s">
        <v>87</v>
      </c>
      <c r="B125" s="741">
        <v>0</v>
      </c>
      <c r="C125" s="741">
        <v>0</v>
      </c>
      <c r="D125" s="741">
        <v>0</v>
      </c>
      <c r="E125" s="741">
        <v>0</v>
      </c>
      <c r="F125" s="741">
        <v>0</v>
      </c>
      <c r="G125" s="741">
        <v>0</v>
      </c>
      <c r="H125" s="741">
        <v>0</v>
      </c>
      <c r="I125" s="741">
        <v>0</v>
      </c>
      <c r="J125" s="741">
        <v>0</v>
      </c>
      <c r="K125" s="741">
        <v>0</v>
      </c>
      <c r="L125" s="741">
        <v>0</v>
      </c>
      <c r="M125" s="741">
        <v>0</v>
      </c>
      <c r="N125" s="741">
        <v>0</v>
      </c>
      <c r="O125" s="741">
        <v>0</v>
      </c>
      <c r="P125" s="741">
        <v>0</v>
      </c>
      <c r="Q125" s="741">
        <v>1.2586928474778941E-2</v>
      </c>
      <c r="R125" s="741">
        <v>1.8561915589688855E-2</v>
      </c>
      <c r="S125" s="741">
        <v>1.5677749093303529E-2</v>
      </c>
      <c r="T125" s="741">
        <v>0.38714132751110014</v>
      </c>
      <c r="U125" s="741">
        <v>8.2027707283685622E-2</v>
      </c>
      <c r="V125" s="741">
        <v>12.261290790342922</v>
      </c>
      <c r="W125" s="741">
        <v>11.304540821216589</v>
      </c>
      <c r="X125" s="741">
        <v>9.1215410831945913</v>
      </c>
      <c r="Y125" s="741">
        <v>25.852682792298253</v>
      </c>
      <c r="Z125" s="741">
        <v>11.562636348923615</v>
      </c>
      <c r="AA125" s="741">
        <v>12.753963912676719</v>
      </c>
      <c r="AB125" s="741">
        <v>15.347845580099817</v>
      </c>
      <c r="AC125" s="741">
        <v>-10.162251328344761</v>
      </c>
      <c r="AD125" s="741">
        <v>2.290206698446184</v>
      </c>
      <c r="AE125" s="741">
        <v>30.3</v>
      </c>
      <c r="AF125" s="542">
        <v>24.820251360808928</v>
      </c>
      <c r="AG125" s="542">
        <v>12.295712506390789</v>
      </c>
      <c r="AH125" s="542">
        <v>54.200465395772191</v>
      </c>
      <c r="AI125" s="542">
        <v>25.562688795012892</v>
      </c>
      <c r="AJ125" s="542">
        <v>7.7825296379536129</v>
      </c>
      <c r="AK125" s="542">
        <v>6.642000947518043</v>
      </c>
      <c r="AL125" s="542">
        <v>41.289821605407589</v>
      </c>
      <c r="AM125" s="542">
        <v>23.798924678133261</v>
      </c>
      <c r="AN125" s="542">
        <v>30.536163484416477</v>
      </c>
      <c r="AO125" s="542">
        <v>33.217949614294589</v>
      </c>
      <c r="AP125" s="542">
        <v>65.297136516992154</v>
      </c>
      <c r="AQ125" s="542">
        <v>60.253174108720046</v>
      </c>
      <c r="AR125" s="542">
        <v>39.356829023518138</v>
      </c>
      <c r="AS125" s="542">
        <v>32.677285019573269</v>
      </c>
      <c r="AT125" s="542">
        <v>143.0173730561915</v>
      </c>
      <c r="AU125" s="542">
        <v>138.80466385618075</v>
      </c>
      <c r="AV125" s="542">
        <v>151.76693056479797</v>
      </c>
      <c r="AW125" s="542">
        <v>147.58004577952832</v>
      </c>
    </row>
    <row r="126" spans="1:49" ht="14.25" customHeight="1">
      <c r="A126" s="543" t="s">
        <v>544</v>
      </c>
      <c r="B126" s="740" t="s">
        <v>509</v>
      </c>
      <c r="C126" s="740" t="s">
        <v>509</v>
      </c>
      <c r="D126" s="740" t="s">
        <v>509</v>
      </c>
      <c r="E126" s="740" t="s">
        <v>509</v>
      </c>
      <c r="F126" s="740" t="s">
        <v>509</v>
      </c>
      <c r="G126" s="740" t="s">
        <v>509</v>
      </c>
      <c r="H126" s="740" t="s">
        <v>509</v>
      </c>
      <c r="I126" s="740" t="s">
        <v>509</v>
      </c>
      <c r="J126" s="740" t="s">
        <v>509</v>
      </c>
      <c r="K126" s="740" t="s">
        <v>509</v>
      </c>
      <c r="L126" s="740" t="s">
        <v>509</v>
      </c>
      <c r="M126" s="740" t="s">
        <v>509</v>
      </c>
      <c r="N126" s="740" t="s">
        <v>509</v>
      </c>
      <c r="O126" s="740" t="s">
        <v>509</v>
      </c>
      <c r="P126" s="740" t="s">
        <v>509</v>
      </c>
      <c r="Q126" s="740" t="s">
        <v>509</v>
      </c>
      <c r="R126" s="740" t="s">
        <v>509</v>
      </c>
      <c r="S126" s="740" t="s">
        <v>509</v>
      </c>
      <c r="T126" s="740" t="s">
        <v>509</v>
      </c>
      <c r="U126" s="740" t="s">
        <v>509</v>
      </c>
      <c r="V126" s="740" t="s">
        <v>509</v>
      </c>
      <c r="W126" s="740" t="s">
        <v>509</v>
      </c>
      <c r="X126" s="740" t="s">
        <v>509</v>
      </c>
      <c r="Y126" s="740" t="s">
        <v>509</v>
      </c>
      <c r="Z126" s="740" t="s">
        <v>509</v>
      </c>
      <c r="AA126" s="740" t="s">
        <v>509</v>
      </c>
      <c r="AB126" s="740" t="s">
        <v>509</v>
      </c>
      <c r="AC126" s="740" t="s">
        <v>509</v>
      </c>
      <c r="AD126" s="740" t="s">
        <v>509</v>
      </c>
      <c r="AE126" s="740" t="s">
        <v>509</v>
      </c>
      <c r="AF126" s="540" t="s">
        <v>509</v>
      </c>
      <c r="AG126" s="540" t="s">
        <v>509</v>
      </c>
      <c r="AH126" s="540">
        <v>0.8</v>
      </c>
      <c r="AI126" s="540">
        <v>1.123</v>
      </c>
      <c r="AJ126" s="540">
        <v>1.363078612</v>
      </c>
      <c r="AK126" s="540">
        <v>0.83689188263999992</v>
      </c>
      <c r="AL126" s="540">
        <v>1.2624</v>
      </c>
      <c r="AM126" s="540">
        <v>1.5805476852</v>
      </c>
      <c r="AN126" s="540">
        <v>0.53238097307999999</v>
      </c>
      <c r="AO126" s="540">
        <v>8.8874934720000007E-2</v>
      </c>
      <c r="AP126" s="540">
        <v>0</v>
      </c>
      <c r="AQ126" s="540">
        <v>1</v>
      </c>
      <c r="AR126" s="540">
        <v>0.1110936684</v>
      </c>
      <c r="AS126" s="540">
        <v>0.1110936684</v>
      </c>
      <c r="AT126" s="540">
        <v>4</v>
      </c>
      <c r="AU126" s="540">
        <v>5</v>
      </c>
      <c r="AV126" s="540">
        <v>6</v>
      </c>
      <c r="AW126" s="540" t="s">
        <v>509</v>
      </c>
    </row>
    <row r="127" spans="1:49" ht="14.25" customHeight="1">
      <c r="A127" s="543" t="s">
        <v>543</v>
      </c>
      <c r="B127" s="741">
        <v>0</v>
      </c>
      <c r="C127" s="741">
        <v>0</v>
      </c>
      <c r="D127" s="741">
        <v>0</v>
      </c>
      <c r="E127" s="741">
        <v>0</v>
      </c>
      <c r="F127" s="741">
        <v>2.1790052840878139E-2</v>
      </c>
      <c r="G127" s="741">
        <v>0</v>
      </c>
      <c r="H127" s="741">
        <v>4.1411439910275245E-2</v>
      </c>
      <c r="I127" s="741">
        <v>0</v>
      </c>
      <c r="J127" s="741">
        <v>0</v>
      </c>
      <c r="K127" s="741">
        <v>1.5673162321840611E-2</v>
      </c>
      <c r="L127" s="741">
        <v>0.19459038723592251</v>
      </c>
      <c r="M127" s="741">
        <v>5.3781512605162562E-2</v>
      </c>
      <c r="N127" s="741">
        <v>0</v>
      </c>
      <c r="O127" s="741">
        <v>0</v>
      </c>
      <c r="P127" s="741">
        <v>0</v>
      </c>
      <c r="Q127" s="741">
        <v>0</v>
      </c>
      <c r="R127" s="741">
        <v>0</v>
      </c>
      <c r="S127" s="741">
        <v>0</v>
      </c>
      <c r="T127" s="741">
        <v>0</v>
      </c>
      <c r="U127" s="741">
        <v>0</v>
      </c>
      <c r="V127" s="741">
        <v>0</v>
      </c>
      <c r="W127" s="741">
        <v>0</v>
      </c>
      <c r="X127" s="741">
        <v>0</v>
      </c>
      <c r="Y127" s="741">
        <v>0</v>
      </c>
      <c r="Z127" s="741" t="s">
        <v>509</v>
      </c>
      <c r="AA127" s="741" t="s">
        <v>509</v>
      </c>
      <c r="AB127" s="741" t="s">
        <v>509</v>
      </c>
      <c r="AC127" s="741" t="s">
        <v>509</v>
      </c>
      <c r="AD127" s="741" t="s">
        <v>509</v>
      </c>
      <c r="AE127" s="741" t="s">
        <v>509</v>
      </c>
      <c r="AF127" s="542" t="s">
        <v>509</v>
      </c>
      <c r="AG127" s="542" t="s">
        <v>509</v>
      </c>
      <c r="AH127" s="542" t="s">
        <v>509</v>
      </c>
      <c r="AI127" s="542" t="s">
        <v>509</v>
      </c>
      <c r="AJ127" s="542" t="s">
        <v>509</v>
      </c>
      <c r="AK127" s="542" t="s">
        <v>509</v>
      </c>
      <c r="AL127" s="542" t="s">
        <v>509</v>
      </c>
      <c r="AM127" s="542">
        <v>0</v>
      </c>
      <c r="AN127" s="542">
        <v>0</v>
      </c>
      <c r="AO127" s="542">
        <v>0</v>
      </c>
      <c r="AP127" s="542">
        <v>0</v>
      </c>
      <c r="AQ127" s="542" t="s">
        <v>509</v>
      </c>
      <c r="AR127" s="542" t="s">
        <v>509</v>
      </c>
      <c r="AS127" s="542">
        <v>0</v>
      </c>
      <c r="AT127" s="542" t="s">
        <v>509</v>
      </c>
      <c r="AU127" s="542">
        <v>0</v>
      </c>
      <c r="AV127" s="542">
        <v>0.27131194851923601</v>
      </c>
      <c r="AW127" s="542" t="s">
        <v>509</v>
      </c>
    </row>
    <row r="128" spans="1:49" ht="14.25" customHeight="1">
      <c r="A128" s="543" t="s">
        <v>201</v>
      </c>
      <c r="B128" s="740" t="s">
        <v>509</v>
      </c>
      <c r="C128" s="740">
        <v>0.44899929289331392</v>
      </c>
      <c r="D128" s="740">
        <v>0.3026951217355574</v>
      </c>
      <c r="E128" s="740">
        <v>0.64900560183490197</v>
      </c>
      <c r="F128" s="740">
        <v>0.47557838926496665</v>
      </c>
      <c r="G128" s="740">
        <v>0.6506780608471624</v>
      </c>
      <c r="H128" s="740">
        <v>0.44760044203465371</v>
      </c>
      <c r="I128" s="740">
        <v>0.64382320617226685</v>
      </c>
      <c r="J128" s="740">
        <v>0.68339854097816766</v>
      </c>
      <c r="K128" s="740">
        <v>0.72462017828281933</v>
      </c>
      <c r="L128" s="740">
        <v>0.25902569643115442</v>
      </c>
      <c r="M128" s="740">
        <v>1.1138868897369583</v>
      </c>
      <c r="N128" s="740">
        <v>0.31060201140685806</v>
      </c>
      <c r="O128" s="740">
        <v>1.6371818890474392</v>
      </c>
      <c r="P128" s="740">
        <v>3.4098882387271425</v>
      </c>
      <c r="Q128" s="740">
        <v>2.018371667444109</v>
      </c>
      <c r="R128" s="740">
        <v>3.5138587120004208</v>
      </c>
      <c r="S128" s="740">
        <v>5.2045823884856759</v>
      </c>
      <c r="T128" s="740">
        <v>2.0398883161146926</v>
      </c>
      <c r="U128" s="740">
        <v>1.1135630118909949</v>
      </c>
      <c r="V128" s="740">
        <v>1.5529453717914152</v>
      </c>
      <c r="W128" s="740">
        <v>1.8943544522901223</v>
      </c>
      <c r="X128" s="740">
        <v>1.8995825271650224</v>
      </c>
      <c r="Y128" s="740">
        <v>2.1256509806128125</v>
      </c>
      <c r="Z128" s="740">
        <v>0.5161636993319989</v>
      </c>
      <c r="AA128" s="740">
        <v>0.94781683672076977</v>
      </c>
      <c r="AB128" s="740">
        <v>2.3112095047782031</v>
      </c>
      <c r="AC128" s="740">
        <v>5.2203949888767855</v>
      </c>
      <c r="AD128" s="740">
        <v>2.7098596011500153</v>
      </c>
      <c r="AE128" s="740">
        <v>3.9311415557455875</v>
      </c>
      <c r="AF128" s="540">
        <v>4.4591270919868062</v>
      </c>
      <c r="AG128" s="540">
        <v>2.3828240233327942</v>
      </c>
      <c r="AH128" s="540">
        <v>4.0730642251161395</v>
      </c>
      <c r="AI128" s="540">
        <v>5.9974544497151552</v>
      </c>
      <c r="AJ128" s="540">
        <v>25.699299268501399</v>
      </c>
      <c r="AK128" s="540">
        <v>4177.3994442949288</v>
      </c>
      <c r="AL128" s="540">
        <v>424.09459288991377</v>
      </c>
      <c r="AM128" s="540">
        <v>775.39429914211064</v>
      </c>
      <c r="AN128" s="540">
        <v>3914.2</v>
      </c>
      <c r="AO128" s="540">
        <v>6336.7319243252605</v>
      </c>
      <c r="AP128" s="540">
        <v>5570.1031917203691</v>
      </c>
      <c r="AQ128" s="540">
        <v>6234.9289827161838</v>
      </c>
      <c r="AR128" s="540">
        <v>8994.258602347687</v>
      </c>
      <c r="AS128" s="540">
        <v>5723.7630298633148</v>
      </c>
      <c r="AT128" s="540">
        <v>6721.199322799207</v>
      </c>
      <c r="AU128" s="540">
        <v>6188.0249580548307</v>
      </c>
      <c r="AV128" s="540">
        <v>6168.9112722210602</v>
      </c>
      <c r="AW128" s="540">
        <v>3550.347411481891</v>
      </c>
    </row>
    <row r="129" spans="1:49" ht="14.25" customHeight="1">
      <c r="A129" s="543" t="s">
        <v>38</v>
      </c>
      <c r="B129" s="741" t="s">
        <v>509</v>
      </c>
      <c r="C129" s="741" t="s">
        <v>509</v>
      </c>
      <c r="D129" s="741" t="s">
        <v>509</v>
      </c>
      <c r="E129" s="741" t="s">
        <v>509</v>
      </c>
      <c r="F129" s="741">
        <v>0</v>
      </c>
      <c r="G129" s="741">
        <v>0</v>
      </c>
      <c r="H129" s="741">
        <v>0</v>
      </c>
      <c r="I129" s="741">
        <v>0</v>
      </c>
      <c r="J129" s="741">
        <v>0</v>
      </c>
      <c r="K129" s="741">
        <v>0</v>
      </c>
      <c r="L129" s="741">
        <v>0</v>
      </c>
      <c r="M129" s="741">
        <v>0</v>
      </c>
      <c r="N129" s="741">
        <v>0</v>
      </c>
      <c r="O129" s="741">
        <v>0</v>
      </c>
      <c r="P129" s="741">
        <v>0</v>
      </c>
      <c r="Q129" s="741">
        <v>0</v>
      </c>
      <c r="R129" s="741">
        <v>0</v>
      </c>
      <c r="S129" s="741">
        <v>0</v>
      </c>
      <c r="T129" s="741">
        <v>0</v>
      </c>
      <c r="U129" s="741">
        <v>0</v>
      </c>
      <c r="V129" s="741">
        <v>0</v>
      </c>
      <c r="W129" s="741">
        <v>0</v>
      </c>
      <c r="X129" s="741">
        <v>0</v>
      </c>
      <c r="Y129" s="741">
        <v>0</v>
      </c>
      <c r="Z129" s="741">
        <v>0</v>
      </c>
      <c r="AA129" s="741">
        <v>0</v>
      </c>
      <c r="AB129" s="741">
        <v>0</v>
      </c>
      <c r="AC129" s="741">
        <v>325.80700000000002</v>
      </c>
      <c r="AD129" s="741">
        <v>1523.123</v>
      </c>
      <c r="AE129" s="741">
        <v>1964.193</v>
      </c>
      <c r="AF129" s="542">
        <v>1045.605</v>
      </c>
      <c r="AG129" s="542">
        <v>823.6</v>
      </c>
      <c r="AH129" s="542">
        <v>625.44299999999998</v>
      </c>
      <c r="AI129" s="542">
        <v>1505.4749999999999</v>
      </c>
      <c r="AJ129" s="542">
        <v>2026.545243</v>
      </c>
      <c r="AK129" s="542">
        <v>6566.6298649999999</v>
      </c>
      <c r="AL129" s="542">
        <v>6904.3442539999996</v>
      </c>
      <c r="AM129" s="542">
        <v>6779.0711890000002</v>
      </c>
      <c r="AN129" s="542">
        <v>8076.2969249999996</v>
      </c>
      <c r="AO129" s="542">
        <v>7331.5949659999997</v>
      </c>
      <c r="AP129" s="542">
        <v>3430.4694030000001</v>
      </c>
      <c r="AQ129" s="542">
        <v>2980.0337209999998</v>
      </c>
      <c r="AR129" s="542">
        <v>4764.1201190000002</v>
      </c>
      <c r="AS129" s="542">
        <v>5227.4958290000004</v>
      </c>
      <c r="AT129" s="542">
        <v>6090.9029140000002</v>
      </c>
      <c r="AU129" s="542">
        <v>5081.3645740000002</v>
      </c>
      <c r="AV129" s="542">
        <v>5908.4633409999997</v>
      </c>
      <c r="AW129" s="542">
        <v>9215.0252220000002</v>
      </c>
    </row>
    <row r="130" spans="1:49" ht="14.25" customHeight="1">
      <c r="A130" s="543" t="s">
        <v>284</v>
      </c>
      <c r="B130" s="740" t="s">
        <v>509</v>
      </c>
      <c r="C130" s="740" t="s">
        <v>509</v>
      </c>
      <c r="D130" s="740" t="s">
        <v>509</v>
      </c>
      <c r="E130" s="740" t="s">
        <v>509</v>
      </c>
      <c r="F130" s="740" t="s">
        <v>509</v>
      </c>
      <c r="G130" s="740" t="s">
        <v>509</v>
      </c>
      <c r="H130" s="740" t="s">
        <v>509</v>
      </c>
      <c r="I130" s="740" t="s">
        <v>509</v>
      </c>
      <c r="J130" s="740" t="s">
        <v>509</v>
      </c>
      <c r="K130" s="740" t="s">
        <v>509</v>
      </c>
      <c r="L130" s="740" t="s">
        <v>509</v>
      </c>
      <c r="M130" s="740" t="s">
        <v>509</v>
      </c>
      <c r="N130" s="740" t="s">
        <v>509</v>
      </c>
      <c r="O130" s="740" t="s">
        <v>509</v>
      </c>
      <c r="P130" s="740" t="s">
        <v>509</v>
      </c>
      <c r="Q130" s="740" t="s">
        <v>509</v>
      </c>
      <c r="R130" s="740" t="s">
        <v>509</v>
      </c>
      <c r="S130" s="740" t="s">
        <v>509</v>
      </c>
      <c r="T130" s="740" t="s">
        <v>509</v>
      </c>
      <c r="U130" s="740" t="s">
        <v>509</v>
      </c>
      <c r="V130" s="740" t="s">
        <v>509</v>
      </c>
      <c r="W130" s="740" t="s">
        <v>509</v>
      </c>
      <c r="X130" s="740" t="s">
        <v>509</v>
      </c>
      <c r="Y130" s="740" t="s">
        <v>509</v>
      </c>
      <c r="Z130" s="740" t="s">
        <v>509</v>
      </c>
      <c r="AA130" s="740" t="s">
        <v>509</v>
      </c>
      <c r="AB130" s="740" t="s">
        <v>509</v>
      </c>
      <c r="AC130" s="740" t="s">
        <v>509</v>
      </c>
      <c r="AD130" s="740" t="s">
        <v>509</v>
      </c>
      <c r="AE130" s="740" t="s">
        <v>509</v>
      </c>
      <c r="AF130" s="540" t="s">
        <v>509</v>
      </c>
      <c r="AG130" s="540" t="s">
        <v>509</v>
      </c>
      <c r="AH130" s="540" t="s">
        <v>509</v>
      </c>
      <c r="AI130" s="540" t="s">
        <v>509</v>
      </c>
      <c r="AJ130" s="540" t="s">
        <v>509</v>
      </c>
      <c r="AK130" s="540" t="s">
        <v>509</v>
      </c>
      <c r="AL130" s="540" t="s">
        <v>509</v>
      </c>
      <c r="AM130" s="540" t="s">
        <v>509</v>
      </c>
      <c r="AN130" s="540" t="s">
        <v>509</v>
      </c>
      <c r="AO130" s="540">
        <v>2.1720000000000002</v>
      </c>
      <c r="AP130" s="540" t="s">
        <v>509</v>
      </c>
      <c r="AQ130" s="540" t="s">
        <v>509</v>
      </c>
      <c r="AR130" s="540" t="s">
        <v>509</v>
      </c>
      <c r="AS130" s="540" t="s">
        <v>509</v>
      </c>
      <c r="AT130" s="540" t="s">
        <v>509</v>
      </c>
      <c r="AU130" s="540" t="s">
        <v>509</v>
      </c>
      <c r="AV130" s="540" t="s">
        <v>509</v>
      </c>
      <c r="AW130" s="540" t="s">
        <v>509</v>
      </c>
    </row>
    <row r="131" spans="1:49" ht="14.25" customHeight="1">
      <c r="A131" s="543" t="s">
        <v>542</v>
      </c>
      <c r="B131" s="741" t="s">
        <v>509</v>
      </c>
      <c r="C131" s="741" t="s">
        <v>509</v>
      </c>
      <c r="D131" s="741" t="s">
        <v>509</v>
      </c>
      <c r="E131" s="741" t="s">
        <v>509</v>
      </c>
      <c r="F131" s="741" t="s">
        <v>509</v>
      </c>
      <c r="G131" s="741" t="s">
        <v>509</v>
      </c>
      <c r="H131" s="741" t="s">
        <v>509</v>
      </c>
      <c r="I131" s="741" t="s">
        <v>509</v>
      </c>
      <c r="J131" s="741" t="s">
        <v>509</v>
      </c>
      <c r="K131" s="741" t="s">
        <v>509</v>
      </c>
      <c r="L131" s="741" t="s">
        <v>509</v>
      </c>
      <c r="M131" s="741" t="s">
        <v>509</v>
      </c>
      <c r="N131" s="741" t="s">
        <v>509</v>
      </c>
      <c r="O131" s="741" t="s">
        <v>509</v>
      </c>
      <c r="P131" s="741" t="s">
        <v>509</v>
      </c>
      <c r="Q131" s="741" t="s">
        <v>509</v>
      </c>
      <c r="R131" s="741" t="s">
        <v>509</v>
      </c>
      <c r="S131" s="741" t="s">
        <v>509</v>
      </c>
      <c r="T131" s="741" t="s">
        <v>509</v>
      </c>
      <c r="U131" s="741" t="s">
        <v>509</v>
      </c>
      <c r="V131" s="741" t="s">
        <v>509</v>
      </c>
      <c r="W131" s="741" t="s">
        <v>509</v>
      </c>
      <c r="X131" s="741">
        <v>0.02</v>
      </c>
      <c r="Y131" s="741">
        <v>0</v>
      </c>
      <c r="Z131" s="741">
        <v>0</v>
      </c>
      <c r="AA131" s="741">
        <v>0</v>
      </c>
      <c r="AB131" s="741">
        <v>0</v>
      </c>
      <c r="AC131" s="741">
        <v>0</v>
      </c>
      <c r="AD131" s="741">
        <v>0</v>
      </c>
      <c r="AE131" s="741">
        <v>0</v>
      </c>
      <c r="AF131" s="542">
        <v>0</v>
      </c>
      <c r="AG131" s="542">
        <v>0</v>
      </c>
      <c r="AH131" s="542">
        <v>0.03</v>
      </c>
      <c r="AI131" s="542">
        <v>1.02</v>
      </c>
      <c r="AJ131" s="542">
        <v>2.1</v>
      </c>
      <c r="AK131" s="542">
        <v>6.16</v>
      </c>
      <c r="AL131" s="542">
        <v>6.27</v>
      </c>
      <c r="AM131" s="542">
        <v>6.1</v>
      </c>
      <c r="AN131" s="542">
        <v>6.16</v>
      </c>
      <c r="AO131" s="542">
        <v>6.51</v>
      </c>
      <c r="AP131" s="542">
        <v>6.16</v>
      </c>
      <c r="AQ131" s="542">
        <v>7.46</v>
      </c>
      <c r="AR131" s="542">
        <v>11.38</v>
      </c>
      <c r="AS131" s="542">
        <v>11.55</v>
      </c>
      <c r="AT131" s="542">
        <v>9.5500000000000007</v>
      </c>
      <c r="AU131" s="542">
        <v>8.52</v>
      </c>
      <c r="AV131" s="542">
        <v>8.61</v>
      </c>
      <c r="AW131" s="542">
        <v>10.73</v>
      </c>
    </row>
    <row r="132" spans="1:49" ht="14.25" customHeight="1">
      <c r="A132" s="543" t="s">
        <v>287</v>
      </c>
      <c r="B132" s="740" t="s">
        <v>509</v>
      </c>
      <c r="C132" s="740" t="s">
        <v>509</v>
      </c>
      <c r="D132" s="740" t="s">
        <v>509</v>
      </c>
      <c r="E132" s="740" t="s">
        <v>509</v>
      </c>
      <c r="F132" s="740" t="s">
        <v>509</v>
      </c>
      <c r="G132" s="740" t="s">
        <v>509</v>
      </c>
      <c r="H132" s="740">
        <v>0</v>
      </c>
      <c r="I132" s="740">
        <v>0</v>
      </c>
      <c r="J132" s="740">
        <v>0</v>
      </c>
      <c r="K132" s="740">
        <v>0</v>
      </c>
      <c r="L132" s="740">
        <v>0</v>
      </c>
      <c r="M132" s="740">
        <v>0</v>
      </c>
      <c r="N132" s="740">
        <v>0</v>
      </c>
      <c r="O132" s="740">
        <v>0</v>
      </c>
      <c r="P132" s="740" t="s">
        <v>509</v>
      </c>
      <c r="Q132" s="740" t="s">
        <v>509</v>
      </c>
      <c r="R132" s="740" t="s">
        <v>509</v>
      </c>
      <c r="S132" s="740" t="s">
        <v>509</v>
      </c>
      <c r="T132" s="740" t="s">
        <v>509</v>
      </c>
      <c r="U132" s="740" t="s">
        <v>509</v>
      </c>
      <c r="V132" s="740" t="s">
        <v>509</v>
      </c>
      <c r="W132" s="740" t="s">
        <v>509</v>
      </c>
      <c r="X132" s="740" t="s">
        <v>509</v>
      </c>
      <c r="Y132" s="740" t="s">
        <v>509</v>
      </c>
      <c r="Z132" s="740" t="s">
        <v>509</v>
      </c>
      <c r="AA132" s="740" t="s">
        <v>509</v>
      </c>
      <c r="AB132" s="740" t="s">
        <v>509</v>
      </c>
      <c r="AC132" s="740" t="s">
        <v>509</v>
      </c>
      <c r="AD132" s="740" t="s">
        <v>509</v>
      </c>
      <c r="AE132" s="740" t="s">
        <v>509</v>
      </c>
      <c r="AF132" s="540" t="s">
        <v>509</v>
      </c>
      <c r="AG132" s="540" t="s">
        <v>509</v>
      </c>
      <c r="AH132" s="540">
        <v>0</v>
      </c>
      <c r="AI132" s="540">
        <v>4.0000000000000001E-3</v>
      </c>
      <c r="AJ132" s="540">
        <v>0</v>
      </c>
      <c r="AK132" s="540">
        <v>0.83665191000000005</v>
      </c>
      <c r="AL132" s="540">
        <v>0.13933926999999999</v>
      </c>
      <c r="AM132" s="540">
        <v>16.254558893705703</v>
      </c>
      <c r="AN132" s="540">
        <v>0.56725507000000008</v>
      </c>
      <c r="AO132" s="540">
        <v>0.93040188331834994</v>
      </c>
      <c r="AP132" s="540">
        <v>0.82106268999999998</v>
      </c>
      <c r="AQ132" s="540">
        <v>1.7527246399999998</v>
      </c>
      <c r="AR132" s="540">
        <v>3.210791421683195</v>
      </c>
      <c r="AS132" s="540">
        <v>1.6144194632878279</v>
      </c>
      <c r="AT132" s="540">
        <v>2.0368883559333195</v>
      </c>
      <c r="AU132" s="540">
        <v>0.14093945625149201</v>
      </c>
      <c r="AV132" s="540">
        <v>3.7653667040911745</v>
      </c>
      <c r="AW132" s="540">
        <v>1.3733958284081467</v>
      </c>
    </row>
    <row r="133" spans="1:49" ht="14.25" customHeight="1">
      <c r="A133" s="543" t="s">
        <v>288</v>
      </c>
      <c r="B133" s="741" t="s">
        <v>509</v>
      </c>
      <c r="C133" s="741" t="s">
        <v>509</v>
      </c>
      <c r="D133" s="741" t="s">
        <v>509</v>
      </c>
      <c r="E133" s="741" t="s">
        <v>509</v>
      </c>
      <c r="F133" s="741" t="s">
        <v>509</v>
      </c>
      <c r="G133" s="741" t="s">
        <v>509</v>
      </c>
      <c r="H133" s="741" t="s">
        <v>509</v>
      </c>
      <c r="I133" s="741" t="s">
        <v>509</v>
      </c>
      <c r="J133" s="741" t="s">
        <v>509</v>
      </c>
      <c r="K133" s="741" t="s">
        <v>509</v>
      </c>
      <c r="L133" s="741" t="s">
        <v>509</v>
      </c>
      <c r="M133" s="741" t="s">
        <v>509</v>
      </c>
      <c r="N133" s="741" t="s">
        <v>509</v>
      </c>
      <c r="O133" s="741" t="s">
        <v>509</v>
      </c>
      <c r="P133" s="741" t="s">
        <v>509</v>
      </c>
      <c r="Q133" s="741" t="s">
        <v>509</v>
      </c>
      <c r="R133" s="741" t="s">
        <v>509</v>
      </c>
      <c r="S133" s="741" t="s">
        <v>509</v>
      </c>
      <c r="T133" s="741" t="s">
        <v>509</v>
      </c>
      <c r="U133" s="741" t="s">
        <v>509</v>
      </c>
      <c r="V133" s="741" t="s">
        <v>509</v>
      </c>
      <c r="W133" s="741" t="s">
        <v>509</v>
      </c>
      <c r="X133" s="741" t="s">
        <v>509</v>
      </c>
      <c r="Y133" s="741" t="s">
        <v>509</v>
      </c>
      <c r="Z133" s="741" t="s">
        <v>509</v>
      </c>
      <c r="AA133" s="741" t="s">
        <v>509</v>
      </c>
      <c r="AB133" s="741" t="s">
        <v>509</v>
      </c>
      <c r="AC133" s="741" t="s">
        <v>509</v>
      </c>
      <c r="AD133" s="741" t="s">
        <v>509</v>
      </c>
      <c r="AE133" s="741" t="s">
        <v>509</v>
      </c>
      <c r="AF133" s="542" t="s">
        <v>509</v>
      </c>
      <c r="AG133" s="542" t="s">
        <v>509</v>
      </c>
      <c r="AH133" s="542">
        <v>1.5456567662898766</v>
      </c>
      <c r="AI133" s="542">
        <v>1.016781171955871</v>
      </c>
      <c r="AJ133" s="542">
        <v>1.9022474790046211</v>
      </c>
      <c r="AK133" s="542">
        <v>2.2000000000000002</v>
      </c>
      <c r="AL133" s="542">
        <v>2.8910963445726838</v>
      </c>
      <c r="AM133" s="542">
        <v>0.85807444453307447</v>
      </c>
      <c r="AN133" s="542">
        <v>0.76501054093458709</v>
      </c>
      <c r="AO133" s="542">
        <v>1.8092678639398398</v>
      </c>
      <c r="AP133" s="542">
        <v>1.5011751477844417</v>
      </c>
      <c r="AQ133" s="542">
        <v>2.666940143453032</v>
      </c>
      <c r="AR133" s="542">
        <v>1.1502000616939334</v>
      </c>
      <c r="AS133" s="542">
        <v>20.139504354397179</v>
      </c>
      <c r="AT133" s="542">
        <v>12.92814423341364</v>
      </c>
      <c r="AU133" s="542">
        <v>7.6100337196992243</v>
      </c>
      <c r="AV133" s="542">
        <v>10.215607780154381</v>
      </c>
      <c r="AW133" s="542">
        <v>6.2809383545624096</v>
      </c>
    </row>
    <row r="134" spans="1:49" ht="14.25" customHeight="1">
      <c r="A134" s="543" t="s">
        <v>289</v>
      </c>
      <c r="B134" s="740" t="s">
        <v>509</v>
      </c>
      <c r="C134" s="740" t="s">
        <v>509</v>
      </c>
      <c r="D134" s="740" t="s">
        <v>509</v>
      </c>
      <c r="E134" s="740" t="s">
        <v>509</v>
      </c>
      <c r="F134" s="740" t="s">
        <v>509</v>
      </c>
      <c r="G134" s="740" t="s">
        <v>509</v>
      </c>
      <c r="H134" s="740" t="s">
        <v>509</v>
      </c>
      <c r="I134" s="740" t="s">
        <v>509</v>
      </c>
      <c r="J134" s="740" t="s">
        <v>509</v>
      </c>
      <c r="K134" s="740" t="s">
        <v>509</v>
      </c>
      <c r="L134" s="740" t="s">
        <v>509</v>
      </c>
      <c r="M134" s="740">
        <v>0</v>
      </c>
      <c r="N134" s="740">
        <v>0</v>
      </c>
      <c r="O134" s="740">
        <v>0</v>
      </c>
      <c r="P134" s="740">
        <v>0</v>
      </c>
      <c r="Q134" s="740">
        <v>0</v>
      </c>
      <c r="R134" s="740">
        <v>0</v>
      </c>
      <c r="S134" s="740">
        <v>0</v>
      </c>
      <c r="T134" s="740">
        <v>0</v>
      </c>
      <c r="U134" s="740">
        <v>0</v>
      </c>
      <c r="V134" s="740">
        <v>0</v>
      </c>
      <c r="W134" s="740">
        <v>0</v>
      </c>
      <c r="X134" s="740">
        <v>0</v>
      </c>
      <c r="Y134" s="740">
        <v>0</v>
      </c>
      <c r="Z134" s="740">
        <v>0</v>
      </c>
      <c r="AA134" s="740">
        <v>0</v>
      </c>
      <c r="AB134" s="740">
        <v>0</v>
      </c>
      <c r="AC134" s="740">
        <v>0</v>
      </c>
      <c r="AD134" s="740">
        <v>0</v>
      </c>
      <c r="AE134" s="740">
        <v>0</v>
      </c>
      <c r="AF134" s="540">
        <v>0</v>
      </c>
      <c r="AG134" s="540">
        <v>2.7074074074074072E-4</v>
      </c>
      <c r="AH134" s="540">
        <v>2.8148148148148146E-4</v>
      </c>
      <c r="AI134" s="540">
        <v>0</v>
      </c>
      <c r="AJ134" s="540">
        <v>0</v>
      </c>
      <c r="AK134" s="540">
        <v>0</v>
      </c>
      <c r="AL134" s="540">
        <v>0</v>
      </c>
      <c r="AM134" s="540">
        <v>0</v>
      </c>
      <c r="AN134" s="540">
        <v>0</v>
      </c>
      <c r="AO134" s="540">
        <v>0</v>
      </c>
      <c r="AP134" s="540">
        <v>0</v>
      </c>
      <c r="AQ134" s="540">
        <v>0</v>
      </c>
      <c r="AR134" s="540">
        <v>0</v>
      </c>
      <c r="AS134" s="540">
        <v>0</v>
      </c>
      <c r="AT134" s="540">
        <v>0</v>
      </c>
      <c r="AU134" s="540">
        <v>0</v>
      </c>
      <c r="AV134" s="540">
        <v>0</v>
      </c>
      <c r="AW134" s="540" t="s">
        <v>509</v>
      </c>
    </row>
    <row r="135" spans="1:49" ht="14.25" customHeight="1">
      <c r="A135" s="543" t="s">
        <v>290</v>
      </c>
      <c r="B135" s="741">
        <v>0</v>
      </c>
      <c r="C135" s="741">
        <v>0</v>
      </c>
      <c r="D135" s="741">
        <v>0</v>
      </c>
      <c r="E135" s="741">
        <v>0</v>
      </c>
      <c r="F135" s="741">
        <v>0</v>
      </c>
      <c r="G135" s="741">
        <v>0</v>
      </c>
      <c r="H135" s="741">
        <v>0</v>
      </c>
      <c r="I135" s="741">
        <v>0</v>
      </c>
      <c r="J135" s="741">
        <v>0</v>
      </c>
      <c r="K135" s="741">
        <v>0</v>
      </c>
      <c r="L135" s="741">
        <v>0</v>
      </c>
      <c r="M135" s="741">
        <v>0</v>
      </c>
      <c r="N135" s="741">
        <v>0</v>
      </c>
      <c r="O135" s="741">
        <v>0</v>
      </c>
      <c r="P135" s="741">
        <v>0</v>
      </c>
      <c r="Q135" s="741">
        <v>0</v>
      </c>
      <c r="R135" s="741">
        <v>2.2971211329401431</v>
      </c>
      <c r="S135" s="741">
        <v>0.81987614014025745</v>
      </c>
      <c r="T135" s="741">
        <v>0.32262542533905453</v>
      </c>
      <c r="U135" s="741">
        <v>1.5212901844727347</v>
      </c>
      <c r="V135" s="741">
        <v>4.2153402672428166</v>
      </c>
      <c r="W135" s="741">
        <v>7.1134560869815076</v>
      </c>
      <c r="X135" s="741">
        <v>1.0496366158036083</v>
      </c>
      <c r="Y135" s="741">
        <v>2.6029693459579666</v>
      </c>
      <c r="Z135" s="741">
        <v>6.3236790416702382</v>
      </c>
      <c r="AA135" s="741">
        <v>8.8935851480076593</v>
      </c>
      <c r="AB135" s="741">
        <v>9.2984369159446949</v>
      </c>
      <c r="AC135" s="741">
        <v>6.2973073113189901</v>
      </c>
      <c r="AD135" s="741">
        <v>10.817997041834387</v>
      </c>
      <c r="AE135" s="741">
        <v>26.32670774768464</v>
      </c>
      <c r="AF135" s="542">
        <v>21.056051353165742</v>
      </c>
      <c r="AG135" s="542">
        <v>24.582257191642992</v>
      </c>
      <c r="AH135" s="542">
        <v>16.621048643019627</v>
      </c>
      <c r="AI135" s="542">
        <v>43.551664238910675</v>
      </c>
      <c r="AJ135" s="542">
        <v>35.617839555707249</v>
      </c>
      <c r="AK135" s="542">
        <v>73.89375359605495</v>
      </c>
      <c r="AL135" s="542">
        <v>168.14679055331391</v>
      </c>
      <c r="AM135" s="542">
        <v>165.43034310086384</v>
      </c>
      <c r="AN135" s="542">
        <v>186.65626517570388</v>
      </c>
      <c r="AO135" s="542">
        <v>283.7</v>
      </c>
      <c r="AP135" s="542">
        <v>273.21925775019236</v>
      </c>
      <c r="AQ135" s="542">
        <v>312.28364237075743</v>
      </c>
      <c r="AR135" s="542">
        <v>379.36936063657095</v>
      </c>
      <c r="AS135" s="542">
        <v>404.97281582074265</v>
      </c>
      <c r="AT135" s="542">
        <v>312.2950904148617</v>
      </c>
      <c r="AU135" s="542">
        <v>410.09486738150395</v>
      </c>
      <c r="AV135" s="542">
        <v>578.4058839732952</v>
      </c>
      <c r="AW135" s="542">
        <v>439.52987072108436</v>
      </c>
    </row>
    <row r="136" spans="1:49" ht="14.25" customHeight="1">
      <c r="A136" s="543" t="s">
        <v>541</v>
      </c>
      <c r="B136" s="740" t="s">
        <v>509</v>
      </c>
      <c r="C136" s="740" t="s">
        <v>509</v>
      </c>
      <c r="D136" s="740" t="s">
        <v>509</v>
      </c>
      <c r="E136" s="740" t="s">
        <v>509</v>
      </c>
      <c r="F136" s="740" t="s">
        <v>509</v>
      </c>
      <c r="G136" s="740" t="s">
        <v>509</v>
      </c>
      <c r="H136" s="740" t="s">
        <v>509</v>
      </c>
      <c r="I136" s="740" t="s">
        <v>509</v>
      </c>
      <c r="J136" s="740" t="s">
        <v>509</v>
      </c>
      <c r="K136" s="740" t="s">
        <v>509</v>
      </c>
      <c r="L136" s="740" t="s">
        <v>509</v>
      </c>
      <c r="M136" s="740" t="s">
        <v>509</v>
      </c>
      <c r="N136" s="740" t="s">
        <v>509</v>
      </c>
      <c r="O136" s="740" t="s">
        <v>509</v>
      </c>
      <c r="P136" s="740" t="s">
        <v>509</v>
      </c>
      <c r="Q136" s="740" t="s">
        <v>509</v>
      </c>
      <c r="R136" s="740" t="s">
        <v>509</v>
      </c>
      <c r="S136" s="740" t="s">
        <v>509</v>
      </c>
      <c r="T136" s="740" t="s">
        <v>509</v>
      </c>
      <c r="U136" s="740" t="s">
        <v>509</v>
      </c>
      <c r="V136" s="740" t="s">
        <v>509</v>
      </c>
      <c r="W136" s="740" t="s">
        <v>509</v>
      </c>
      <c r="X136" s="740" t="s">
        <v>509</v>
      </c>
      <c r="Y136" s="740" t="s">
        <v>509</v>
      </c>
      <c r="Z136" s="740" t="s">
        <v>509</v>
      </c>
      <c r="AA136" s="740" t="s">
        <v>509</v>
      </c>
      <c r="AB136" s="740" t="s">
        <v>509</v>
      </c>
      <c r="AC136" s="740" t="s">
        <v>509</v>
      </c>
      <c r="AD136" s="740" t="s">
        <v>509</v>
      </c>
      <c r="AE136" s="740" t="s">
        <v>509</v>
      </c>
      <c r="AF136" s="540">
        <v>3.9220999999999999E-2</v>
      </c>
      <c r="AG136" s="540">
        <v>1.2664E-2</v>
      </c>
      <c r="AH136" s="540">
        <v>4.0818149999999997</v>
      </c>
      <c r="AI136" s="540">
        <v>2.9151026500000001</v>
      </c>
      <c r="AJ136" s="540">
        <v>2.02458866</v>
      </c>
      <c r="AK136" s="540" t="s">
        <v>509</v>
      </c>
      <c r="AL136" s="540" t="s">
        <v>509</v>
      </c>
      <c r="AM136" s="540" t="s">
        <v>509</v>
      </c>
      <c r="AN136" s="540" t="s">
        <v>509</v>
      </c>
      <c r="AO136" s="540">
        <v>1.4534630900000001</v>
      </c>
      <c r="AP136" s="540">
        <v>0</v>
      </c>
      <c r="AQ136" s="540">
        <v>7.5225700000001198E-3</v>
      </c>
      <c r="AR136" s="540">
        <v>8.1912913851541589</v>
      </c>
      <c r="AS136" s="540">
        <v>12.268834523935217</v>
      </c>
      <c r="AT136" s="540">
        <v>17.338992055864701</v>
      </c>
      <c r="AU136" s="540">
        <v>10.891788663830301</v>
      </c>
      <c r="AV136" s="540">
        <v>12.570294552388061</v>
      </c>
      <c r="AW136" s="540">
        <v>20.987880890822499</v>
      </c>
    </row>
    <row r="137" spans="1:49" ht="14.25" customHeight="1">
      <c r="A137" s="543" t="s">
        <v>292</v>
      </c>
      <c r="B137" s="741" t="s">
        <v>509</v>
      </c>
      <c r="C137" s="741">
        <v>0</v>
      </c>
      <c r="D137" s="741">
        <v>0</v>
      </c>
      <c r="E137" s="741">
        <v>0</v>
      </c>
      <c r="F137" s="741">
        <v>0</v>
      </c>
      <c r="G137" s="741">
        <v>0</v>
      </c>
      <c r="H137" s="741">
        <v>0</v>
      </c>
      <c r="I137" s="741">
        <v>0</v>
      </c>
      <c r="J137" s="741">
        <v>0</v>
      </c>
      <c r="K137" s="741">
        <v>0</v>
      </c>
      <c r="L137" s="741">
        <v>0</v>
      </c>
      <c r="M137" s="741">
        <v>0</v>
      </c>
      <c r="N137" s="741">
        <v>0</v>
      </c>
      <c r="O137" s="741">
        <v>0</v>
      </c>
      <c r="P137" s="741">
        <v>0</v>
      </c>
      <c r="Q137" s="741">
        <v>0</v>
      </c>
      <c r="R137" s="741">
        <v>0</v>
      </c>
      <c r="S137" s="741" t="s">
        <v>509</v>
      </c>
      <c r="T137" s="741" t="s">
        <v>509</v>
      </c>
      <c r="U137" s="741" t="s">
        <v>509</v>
      </c>
      <c r="V137" s="741" t="s">
        <v>509</v>
      </c>
      <c r="W137" s="741" t="s">
        <v>509</v>
      </c>
      <c r="X137" s="741" t="s">
        <v>509</v>
      </c>
      <c r="Y137" s="741" t="s">
        <v>509</v>
      </c>
      <c r="Z137" s="741" t="s">
        <v>509</v>
      </c>
      <c r="AA137" s="741" t="s">
        <v>509</v>
      </c>
      <c r="AB137" s="741" t="s">
        <v>509</v>
      </c>
      <c r="AC137" s="741" t="s">
        <v>509</v>
      </c>
      <c r="AD137" s="741" t="s">
        <v>509</v>
      </c>
      <c r="AE137" s="741" t="s">
        <v>509</v>
      </c>
      <c r="AF137" s="542" t="s">
        <v>509</v>
      </c>
      <c r="AG137" s="542" t="s">
        <v>509</v>
      </c>
      <c r="AH137" s="542" t="s">
        <v>509</v>
      </c>
      <c r="AI137" s="542" t="s">
        <v>509</v>
      </c>
      <c r="AJ137" s="542" t="s">
        <v>509</v>
      </c>
      <c r="AK137" s="542" t="s">
        <v>509</v>
      </c>
      <c r="AL137" s="542" t="s">
        <v>509</v>
      </c>
      <c r="AM137" s="542" t="s">
        <v>509</v>
      </c>
      <c r="AN137" s="542">
        <v>0.7</v>
      </c>
      <c r="AO137" s="542">
        <v>2.6119187707100222</v>
      </c>
      <c r="AP137" s="542">
        <v>4.4102910480748019</v>
      </c>
      <c r="AQ137" s="542">
        <v>1.2569245935047371</v>
      </c>
      <c r="AR137" s="542">
        <v>27.102945133196712</v>
      </c>
      <c r="AS137" s="542">
        <v>27.810436339599171</v>
      </c>
      <c r="AT137" s="542">
        <v>62.421609072153402</v>
      </c>
      <c r="AU137" s="542" t="s">
        <v>509</v>
      </c>
      <c r="AV137" s="542" t="s">
        <v>509</v>
      </c>
      <c r="AW137" s="542" t="s">
        <v>509</v>
      </c>
    </row>
    <row r="138" spans="1:49" ht="14.25" customHeight="1">
      <c r="A138" s="543" t="s">
        <v>293</v>
      </c>
      <c r="B138" s="740" t="s">
        <v>509</v>
      </c>
      <c r="C138" s="740" t="s">
        <v>509</v>
      </c>
      <c r="D138" s="740" t="s">
        <v>509</v>
      </c>
      <c r="E138" s="740" t="s">
        <v>509</v>
      </c>
      <c r="F138" s="740" t="s">
        <v>509</v>
      </c>
      <c r="G138" s="740" t="s">
        <v>509</v>
      </c>
      <c r="H138" s="740" t="s">
        <v>509</v>
      </c>
      <c r="I138" s="740" t="s">
        <v>509</v>
      </c>
      <c r="J138" s="740" t="s">
        <v>509</v>
      </c>
      <c r="K138" s="740" t="s">
        <v>509</v>
      </c>
      <c r="L138" s="740" t="s">
        <v>509</v>
      </c>
      <c r="M138" s="740" t="s">
        <v>509</v>
      </c>
      <c r="N138" s="740" t="s">
        <v>509</v>
      </c>
      <c r="O138" s="740" t="s">
        <v>509</v>
      </c>
      <c r="P138" s="740" t="s">
        <v>509</v>
      </c>
      <c r="Q138" s="740">
        <v>3.3239016550260367</v>
      </c>
      <c r="R138" s="740">
        <v>7.9672185172644197</v>
      </c>
      <c r="S138" s="740">
        <v>9.116364253683864</v>
      </c>
      <c r="T138" s="740">
        <v>0.8568609018170279</v>
      </c>
      <c r="U138" s="740">
        <v>-3.6893111830719794</v>
      </c>
      <c r="V138" s="740">
        <v>3.8598488869160774</v>
      </c>
      <c r="W138" s="740">
        <v>-2.1398587654449233</v>
      </c>
      <c r="X138" s="740">
        <v>0.71615179090393133</v>
      </c>
      <c r="Y138" s="740">
        <v>0.1808879518223028</v>
      </c>
      <c r="Z138" s="740">
        <v>0.49134358494778607</v>
      </c>
      <c r="AA138" s="740">
        <v>-0.24093132109112228</v>
      </c>
      <c r="AB138" s="740">
        <v>-1.9738745314387249</v>
      </c>
      <c r="AC138" s="740">
        <v>-0.88915614222965911</v>
      </c>
      <c r="AD138" s="740">
        <v>-1.5804236414930304</v>
      </c>
      <c r="AE138" s="740">
        <v>-1.9897119494284885</v>
      </c>
      <c r="AF138" s="540">
        <v>2.3272350411926142</v>
      </c>
      <c r="AG138" s="540">
        <v>-1.0250172949174809</v>
      </c>
      <c r="AH138" s="540">
        <v>-0.29684241717178489</v>
      </c>
      <c r="AI138" s="540">
        <v>2.8155515799121771</v>
      </c>
      <c r="AJ138" s="540">
        <v>0.3</v>
      </c>
      <c r="AK138" s="540">
        <v>0.59175351935977161</v>
      </c>
      <c r="AL138" s="540">
        <v>-0.23676805352484948</v>
      </c>
      <c r="AM138" s="540">
        <v>22.522890081245034</v>
      </c>
      <c r="AN138" s="540">
        <v>-2.2230856675663535</v>
      </c>
      <c r="AO138" s="540">
        <v>8.7772851454719536</v>
      </c>
      <c r="AP138" s="540">
        <v>-1.8480640707044189</v>
      </c>
      <c r="AQ138" s="540">
        <v>5.4175271147679025</v>
      </c>
      <c r="AR138" s="540">
        <v>8.5212960587998463</v>
      </c>
      <c r="AS138" s="540">
        <v>-2.5149734549211349</v>
      </c>
      <c r="AT138" s="540">
        <v>-3.2484419503820114</v>
      </c>
      <c r="AU138" s="540">
        <v>2.2629913279447331</v>
      </c>
      <c r="AV138" s="540">
        <v>3.7277548219188494</v>
      </c>
      <c r="AW138" s="540">
        <v>7.2707800074109734</v>
      </c>
    </row>
    <row r="139" spans="1:49" ht="14.25" customHeight="1">
      <c r="A139" s="543" t="s">
        <v>540</v>
      </c>
      <c r="B139" s="741" t="s">
        <v>509</v>
      </c>
      <c r="C139" s="741" t="s">
        <v>509</v>
      </c>
      <c r="D139" s="741" t="s">
        <v>509</v>
      </c>
      <c r="E139" s="741" t="s">
        <v>509</v>
      </c>
      <c r="F139" s="741" t="s">
        <v>509</v>
      </c>
      <c r="G139" s="741" t="s">
        <v>509</v>
      </c>
      <c r="H139" s="741" t="s">
        <v>509</v>
      </c>
      <c r="I139" s="741" t="s">
        <v>509</v>
      </c>
      <c r="J139" s="741" t="s">
        <v>509</v>
      </c>
      <c r="K139" s="741" t="s">
        <v>509</v>
      </c>
      <c r="L139" s="741" t="s">
        <v>509</v>
      </c>
      <c r="M139" s="741" t="s">
        <v>509</v>
      </c>
      <c r="N139" s="741" t="s">
        <v>509</v>
      </c>
      <c r="O139" s="741" t="s">
        <v>509</v>
      </c>
      <c r="P139" s="741" t="s">
        <v>509</v>
      </c>
      <c r="Q139" s="741" t="s">
        <v>509</v>
      </c>
      <c r="R139" s="741" t="s">
        <v>509</v>
      </c>
      <c r="S139" s="741" t="s">
        <v>509</v>
      </c>
      <c r="T139" s="741" t="s">
        <v>509</v>
      </c>
      <c r="U139" s="741" t="s">
        <v>509</v>
      </c>
      <c r="V139" s="741" t="s">
        <v>509</v>
      </c>
      <c r="W139" s="741" t="s">
        <v>509</v>
      </c>
      <c r="X139" s="741" t="s">
        <v>509</v>
      </c>
      <c r="Y139" s="741" t="s">
        <v>509</v>
      </c>
      <c r="Z139" s="741" t="s">
        <v>509</v>
      </c>
      <c r="AA139" s="741" t="s">
        <v>509</v>
      </c>
      <c r="AB139" s="741" t="s">
        <v>509</v>
      </c>
      <c r="AC139" s="741" t="s">
        <v>509</v>
      </c>
      <c r="AD139" s="741" t="s">
        <v>509</v>
      </c>
      <c r="AE139" s="741" t="s">
        <v>509</v>
      </c>
      <c r="AF139" s="542" t="s">
        <v>509</v>
      </c>
      <c r="AG139" s="542" t="s">
        <v>509</v>
      </c>
      <c r="AH139" s="542" t="s">
        <v>509</v>
      </c>
      <c r="AI139" s="542">
        <v>4.0999999999999996</v>
      </c>
      <c r="AJ139" s="542">
        <v>3.9428861045940082</v>
      </c>
      <c r="AK139" s="542">
        <v>4.785937448776024</v>
      </c>
      <c r="AL139" s="542">
        <v>5.5487880004320989</v>
      </c>
      <c r="AM139" s="542">
        <v>5.7374720793525666</v>
      </c>
      <c r="AN139" s="542">
        <v>5.5058214270677146</v>
      </c>
      <c r="AO139" s="542">
        <v>1.1822737724943282</v>
      </c>
      <c r="AP139" s="542">
        <v>0.98485077133045174</v>
      </c>
      <c r="AQ139" s="542">
        <v>0.74260439208959461</v>
      </c>
      <c r="AR139" s="542">
        <v>0.76801317365428912</v>
      </c>
      <c r="AS139" s="542">
        <v>0.77531604468722293</v>
      </c>
      <c r="AT139" s="542" t="s">
        <v>509</v>
      </c>
      <c r="AU139" s="542" t="s">
        <v>509</v>
      </c>
      <c r="AV139" s="542" t="s">
        <v>509</v>
      </c>
      <c r="AW139" s="542" t="s">
        <v>509</v>
      </c>
    </row>
    <row r="140" spans="1:49" ht="14.25" customHeight="1">
      <c r="A140" s="543" t="s">
        <v>294</v>
      </c>
      <c r="B140" s="740" t="s">
        <v>509</v>
      </c>
      <c r="C140" s="740">
        <v>0</v>
      </c>
      <c r="D140" s="740">
        <v>0</v>
      </c>
      <c r="E140" s="740">
        <v>0</v>
      </c>
      <c r="F140" s="740">
        <v>0</v>
      </c>
      <c r="G140" s="740">
        <v>0</v>
      </c>
      <c r="H140" s="740">
        <v>0</v>
      </c>
      <c r="I140" s="740">
        <v>0</v>
      </c>
      <c r="J140" s="740">
        <v>0</v>
      </c>
      <c r="K140" s="740">
        <v>0</v>
      </c>
      <c r="L140" s="740">
        <v>0</v>
      </c>
      <c r="M140" s="740">
        <v>0</v>
      </c>
      <c r="N140" s="740">
        <v>0</v>
      </c>
      <c r="O140" s="740">
        <v>0</v>
      </c>
      <c r="P140" s="740">
        <v>0</v>
      </c>
      <c r="Q140" s="740">
        <v>0</v>
      </c>
      <c r="R140" s="740">
        <v>0</v>
      </c>
      <c r="S140" s="740">
        <v>0</v>
      </c>
      <c r="T140" s="740">
        <v>0</v>
      </c>
      <c r="U140" s="740">
        <v>0</v>
      </c>
      <c r="V140" s="740" t="s">
        <v>509</v>
      </c>
      <c r="W140" s="740" t="s">
        <v>509</v>
      </c>
      <c r="X140" s="740" t="s">
        <v>509</v>
      </c>
      <c r="Y140" s="740" t="s">
        <v>509</v>
      </c>
      <c r="Z140" s="740">
        <v>0</v>
      </c>
      <c r="AA140" s="740">
        <v>0</v>
      </c>
      <c r="AB140" s="740" t="s">
        <v>509</v>
      </c>
      <c r="AC140" s="740" t="s">
        <v>509</v>
      </c>
      <c r="AD140" s="740" t="s">
        <v>509</v>
      </c>
      <c r="AE140" s="740" t="s">
        <v>509</v>
      </c>
      <c r="AF140" s="540" t="s">
        <v>509</v>
      </c>
      <c r="AG140" s="540" t="s">
        <v>509</v>
      </c>
      <c r="AH140" s="540" t="s">
        <v>509</v>
      </c>
      <c r="AI140" s="540" t="s">
        <v>509</v>
      </c>
      <c r="AJ140" s="540">
        <v>0</v>
      </c>
      <c r="AK140" s="540">
        <v>0</v>
      </c>
      <c r="AL140" s="540">
        <v>0</v>
      </c>
      <c r="AM140" s="540">
        <v>0</v>
      </c>
      <c r="AN140" s="540">
        <v>0</v>
      </c>
      <c r="AO140" s="540">
        <v>0</v>
      </c>
      <c r="AP140" s="540">
        <v>0</v>
      </c>
      <c r="AQ140" s="540">
        <v>0</v>
      </c>
      <c r="AR140" s="540" t="s">
        <v>509</v>
      </c>
      <c r="AS140" s="540" t="s">
        <v>509</v>
      </c>
      <c r="AT140" s="540" t="s">
        <v>509</v>
      </c>
      <c r="AU140" s="540" t="s">
        <v>509</v>
      </c>
      <c r="AV140" s="540" t="s">
        <v>509</v>
      </c>
      <c r="AW140" s="540" t="s">
        <v>509</v>
      </c>
    </row>
    <row r="141" spans="1:49" ht="14.25" customHeight="1">
      <c r="A141" s="543" t="s">
        <v>539</v>
      </c>
      <c r="B141" s="741" t="s">
        <v>509</v>
      </c>
      <c r="C141" s="741">
        <v>0</v>
      </c>
      <c r="D141" s="741">
        <v>0</v>
      </c>
      <c r="E141" s="741">
        <v>0</v>
      </c>
      <c r="F141" s="741">
        <v>0</v>
      </c>
      <c r="G141" s="741">
        <v>0</v>
      </c>
      <c r="H141" s="741">
        <v>0</v>
      </c>
      <c r="I141" s="741">
        <v>0</v>
      </c>
      <c r="J141" s="741">
        <v>0</v>
      </c>
      <c r="K141" s="741">
        <v>0</v>
      </c>
      <c r="L141" s="741">
        <v>0</v>
      </c>
      <c r="M141" s="741">
        <v>0</v>
      </c>
      <c r="N141" s="741">
        <v>0.55555555555555547</v>
      </c>
      <c r="O141" s="741">
        <v>0.61111111111111116</v>
      </c>
      <c r="P141" s="741">
        <v>5.631970260223059</v>
      </c>
      <c r="Q141" s="741">
        <v>14.748603351955307</v>
      </c>
      <c r="R141" s="741">
        <v>33.519553072625698</v>
      </c>
      <c r="S141" s="741">
        <v>45.027932960893857</v>
      </c>
      <c r="T141" s="741">
        <v>28.435754189944134</v>
      </c>
      <c r="U141" s="741">
        <v>14.52513966480447</v>
      </c>
      <c r="V141" s="741">
        <v>2.8491620111731844</v>
      </c>
      <c r="W141" s="741">
        <v>13.240223463687149</v>
      </c>
      <c r="X141" s="741">
        <v>5.8100558659217878</v>
      </c>
      <c r="Y141" s="741">
        <v>19.72067039106145</v>
      </c>
      <c r="Z141" s="741">
        <v>4.5251396648044686</v>
      </c>
      <c r="AA141" s="741">
        <v>9.6379888268156417</v>
      </c>
      <c r="AB141" s="741">
        <v>15.147486033519552</v>
      </c>
      <c r="AC141" s="741">
        <v>12.067039106145254</v>
      </c>
      <c r="AD141" s="741">
        <v>12.891620111731845</v>
      </c>
      <c r="AE141" s="741">
        <v>25.339664804469272</v>
      </c>
      <c r="AF141" s="542">
        <v>14.76145251396648</v>
      </c>
      <c r="AG141" s="542">
        <v>30.52513966480447</v>
      </c>
      <c r="AH141" s="542">
        <v>19.094972067039105</v>
      </c>
      <c r="AI141" s="542">
        <v>19.703910614525139</v>
      </c>
      <c r="AJ141" s="542">
        <v>21.776536312849164</v>
      </c>
      <c r="AK141" s="542" t="s">
        <v>509</v>
      </c>
      <c r="AL141" s="542" t="s">
        <v>509</v>
      </c>
      <c r="AM141" s="542" t="s">
        <v>509</v>
      </c>
      <c r="AN141" s="542" t="s">
        <v>509</v>
      </c>
      <c r="AO141" s="542" t="s">
        <v>509</v>
      </c>
      <c r="AP141" s="542" t="s">
        <v>509</v>
      </c>
      <c r="AQ141" s="542" t="s">
        <v>509</v>
      </c>
      <c r="AR141" s="542" t="s">
        <v>509</v>
      </c>
      <c r="AS141" s="542" t="s">
        <v>509</v>
      </c>
      <c r="AT141" s="542" t="s">
        <v>509</v>
      </c>
      <c r="AU141" s="542" t="s">
        <v>509</v>
      </c>
      <c r="AV141" s="542" t="s">
        <v>509</v>
      </c>
      <c r="AW141" s="542" t="s">
        <v>509</v>
      </c>
    </row>
    <row r="142" spans="1:49" ht="14.25" customHeight="1">
      <c r="A142" s="543" t="s">
        <v>538</v>
      </c>
      <c r="B142" s="740">
        <v>1289.900900405363</v>
      </c>
      <c r="C142" s="740">
        <v>1775.4452809600912</v>
      </c>
      <c r="D142" s="740">
        <v>1805.2041293820503</v>
      </c>
      <c r="E142" s="740">
        <v>1681.7996805822872</v>
      </c>
      <c r="F142" s="740">
        <v>4720.5994769002946</v>
      </c>
      <c r="G142" s="740">
        <v>4044.1348203583971</v>
      </c>
      <c r="H142" s="740">
        <v>2825.7420617408757</v>
      </c>
      <c r="I142" s="740">
        <v>2410.8293891132471</v>
      </c>
      <c r="J142" s="740">
        <v>3219.2176163560775</v>
      </c>
      <c r="K142" s="740">
        <v>3829.6560040091549</v>
      </c>
      <c r="L142" s="740">
        <v>1685.9030369302197</v>
      </c>
      <c r="M142" s="740">
        <v>3387.5841756485534</v>
      </c>
      <c r="N142" s="740">
        <v>4158.7421979356805</v>
      </c>
      <c r="O142" s="740">
        <v>5102.8123978884314</v>
      </c>
      <c r="P142" s="740">
        <v>7236.9464864223346</v>
      </c>
      <c r="Q142" s="740">
        <v>4911.320830081333</v>
      </c>
      <c r="R142" s="740">
        <v>5459.3314099371364</v>
      </c>
      <c r="S142" s="740">
        <v>5724.8827006845713</v>
      </c>
      <c r="T142" s="740">
        <v>6588.0132197143039</v>
      </c>
      <c r="U142" s="740">
        <v>8874.5188058023105</v>
      </c>
      <c r="V142" s="740">
        <v>12355.3571811124</v>
      </c>
      <c r="W142" s="740">
        <v>12381.979668729517</v>
      </c>
      <c r="X142" s="740">
        <v>14504.732617455375</v>
      </c>
      <c r="Y142" s="740">
        <v>8324.6467354510769</v>
      </c>
      <c r="Z142" s="740">
        <v>15718.242867326138</v>
      </c>
      <c r="AA142" s="740">
        <v>17615.863524706361</v>
      </c>
      <c r="AB142" s="740">
        <v>13881.388244036743</v>
      </c>
      <c r="AC142" s="740">
        <v>11348.664641542087</v>
      </c>
      <c r="AD142" s="740">
        <v>19834.364739199427</v>
      </c>
      <c r="AE142" s="740">
        <v>83056</v>
      </c>
      <c r="AF142" s="540">
        <v>107144.34947918568</v>
      </c>
      <c r="AG142" s="540">
        <v>129249.50139661705</v>
      </c>
      <c r="AH142" s="540">
        <v>190676.62194521143</v>
      </c>
      <c r="AI142" s="540">
        <v>141027.23552468899</v>
      </c>
      <c r="AJ142" s="540">
        <v>128724.98232135703</v>
      </c>
      <c r="AK142" s="540">
        <v>192507.82332611762</v>
      </c>
      <c r="AL142" s="540">
        <v>214974.33229090093</v>
      </c>
      <c r="AM142" s="540">
        <v>189321.39008885133</v>
      </c>
      <c r="AN142" s="540">
        <v>192474.85300639126</v>
      </c>
      <c r="AO142" s="540">
        <v>219761.29340891779</v>
      </c>
      <c r="AP142" s="540">
        <v>184601.67242558819</v>
      </c>
      <c r="AQ142" s="540">
        <v>190772.26469321511</v>
      </c>
      <c r="AR142" s="540">
        <v>199395.71305703919</v>
      </c>
      <c r="AS142" s="540">
        <v>249560.80333053114</v>
      </c>
      <c r="AT142" s="540">
        <v>199773.79727943489</v>
      </c>
      <c r="AU142" s="540">
        <v>142986.13436504549</v>
      </c>
      <c r="AV142" s="540">
        <v>193161.29207763332</v>
      </c>
      <c r="AW142" s="540">
        <v>195375.33270243561</v>
      </c>
    </row>
    <row r="143" spans="1:49" ht="14.25" customHeight="1">
      <c r="A143" s="543" t="s">
        <v>537</v>
      </c>
      <c r="B143" s="741" t="s">
        <v>509</v>
      </c>
      <c r="C143" s="741" t="s">
        <v>509</v>
      </c>
      <c r="D143" s="741" t="s">
        <v>509</v>
      </c>
      <c r="E143" s="741" t="s">
        <v>509</v>
      </c>
      <c r="F143" s="741" t="s">
        <v>509</v>
      </c>
      <c r="G143" s="741" t="s">
        <v>509</v>
      </c>
      <c r="H143" s="741" t="s">
        <v>509</v>
      </c>
      <c r="I143" s="741" t="s">
        <v>509</v>
      </c>
      <c r="J143" s="741" t="s">
        <v>509</v>
      </c>
      <c r="K143" s="741" t="s">
        <v>509</v>
      </c>
      <c r="L143" s="741" t="s">
        <v>509</v>
      </c>
      <c r="M143" s="741" t="s">
        <v>509</v>
      </c>
      <c r="N143" s="741" t="s">
        <v>509</v>
      </c>
      <c r="O143" s="741" t="s">
        <v>509</v>
      </c>
      <c r="P143" s="741" t="s">
        <v>509</v>
      </c>
      <c r="Q143" s="741" t="s">
        <v>509</v>
      </c>
      <c r="R143" s="741" t="s">
        <v>509</v>
      </c>
      <c r="S143" s="741" t="s">
        <v>509</v>
      </c>
      <c r="T143" s="741" t="s">
        <v>509</v>
      </c>
      <c r="U143" s="741" t="s">
        <v>509</v>
      </c>
      <c r="V143" s="741" t="s">
        <v>509</v>
      </c>
      <c r="W143" s="741" t="s">
        <v>509</v>
      </c>
      <c r="X143" s="741" t="s">
        <v>509</v>
      </c>
      <c r="Y143" s="741" t="s">
        <v>509</v>
      </c>
      <c r="Z143" s="741" t="s">
        <v>509</v>
      </c>
      <c r="AA143" s="741" t="s">
        <v>509</v>
      </c>
      <c r="AB143" s="741" t="s">
        <v>509</v>
      </c>
      <c r="AC143" s="741">
        <v>1.7271825053226635</v>
      </c>
      <c r="AD143" s="741">
        <v>9.4578779033400971E-3</v>
      </c>
      <c r="AE143" s="741">
        <v>1.0509275913637</v>
      </c>
      <c r="AF143" s="542">
        <v>2.8512324183797024</v>
      </c>
      <c r="AG143" s="542">
        <v>6.4855906751587264</v>
      </c>
      <c r="AH143" s="542">
        <v>31.030050268605564</v>
      </c>
      <c r="AI143" s="542" t="s">
        <v>509</v>
      </c>
      <c r="AJ143" s="542" t="s">
        <v>509</v>
      </c>
      <c r="AK143" s="542" t="s">
        <v>509</v>
      </c>
      <c r="AL143" s="542" t="s">
        <v>509</v>
      </c>
      <c r="AM143" s="542" t="s">
        <v>509</v>
      </c>
      <c r="AN143" s="542" t="s">
        <v>509</v>
      </c>
      <c r="AO143" s="542" t="s">
        <v>509</v>
      </c>
      <c r="AP143" s="542" t="s">
        <v>509</v>
      </c>
      <c r="AQ143" s="542" t="s">
        <v>509</v>
      </c>
      <c r="AR143" s="542" t="s">
        <v>509</v>
      </c>
      <c r="AS143" s="542" t="s">
        <v>509</v>
      </c>
      <c r="AT143" s="542" t="s">
        <v>509</v>
      </c>
      <c r="AU143" s="542" t="s">
        <v>509</v>
      </c>
      <c r="AV143" s="542" t="s">
        <v>509</v>
      </c>
      <c r="AW143" s="542" t="s">
        <v>509</v>
      </c>
    </row>
    <row r="144" spans="1:49" ht="14.25" customHeight="1">
      <c r="A144" s="543" t="s">
        <v>116</v>
      </c>
      <c r="B144" s="740" t="s">
        <v>509</v>
      </c>
      <c r="C144" s="740" t="s">
        <v>509</v>
      </c>
      <c r="D144" s="740" t="s">
        <v>509</v>
      </c>
      <c r="E144" s="740" t="s">
        <v>509</v>
      </c>
      <c r="F144" s="740" t="s">
        <v>509</v>
      </c>
      <c r="G144" s="740" t="s">
        <v>509</v>
      </c>
      <c r="H144" s="740" t="s">
        <v>509</v>
      </c>
      <c r="I144" s="740" t="s">
        <v>509</v>
      </c>
      <c r="J144" s="740" t="s">
        <v>509</v>
      </c>
      <c r="K144" s="740" t="s">
        <v>509</v>
      </c>
      <c r="L144" s="740" t="s">
        <v>509</v>
      </c>
      <c r="M144" s="740" t="s">
        <v>509</v>
      </c>
      <c r="N144" s="740" t="s">
        <v>509</v>
      </c>
      <c r="O144" s="740" t="s">
        <v>509</v>
      </c>
      <c r="P144" s="740" t="s">
        <v>509</v>
      </c>
      <c r="Q144" s="740" t="s">
        <v>509</v>
      </c>
      <c r="R144" s="740" t="s">
        <v>509</v>
      </c>
      <c r="S144" s="740" t="s">
        <v>509</v>
      </c>
      <c r="T144" s="740" t="s">
        <v>509</v>
      </c>
      <c r="U144" s="740" t="s">
        <v>509</v>
      </c>
      <c r="V144" s="740" t="s">
        <v>509</v>
      </c>
      <c r="W144" s="740" t="s">
        <v>509</v>
      </c>
      <c r="X144" s="740" t="s">
        <v>509</v>
      </c>
      <c r="Y144" s="740" t="s">
        <v>509</v>
      </c>
      <c r="Z144" s="740" t="s">
        <v>509</v>
      </c>
      <c r="AA144" s="740">
        <v>424.4</v>
      </c>
      <c r="AB144" s="740">
        <v>-166.34058131095952</v>
      </c>
      <c r="AC144" s="740">
        <v>309.07445437587188</v>
      </c>
      <c r="AD144" s="740">
        <v>596.74886695415501</v>
      </c>
      <c r="AE144" s="740">
        <v>537.83753919168475</v>
      </c>
      <c r="AF144" s="540">
        <v>381.13469099353568</v>
      </c>
      <c r="AG144" s="540">
        <v>377.97086039991154</v>
      </c>
      <c r="AH144" s="540">
        <v>822.64617379937795</v>
      </c>
      <c r="AI144" s="540">
        <v>279.65383009398755</v>
      </c>
      <c r="AJ144" s="540">
        <v>220.5542085068173</v>
      </c>
      <c r="AK144" s="540">
        <v>651.93105547730374</v>
      </c>
      <c r="AL144" s="540">
        <v>393.99243891059206</v>
      </c>
      <c r="AM144" s="540">
        <v>605.52135815294605</v>
      </c>
      <c r="AN144" s="540">
        <v>508.2914904693568</v>
      </c>
      <c r="AO144" s="540">
        <v>685.10992622721687</v>
      </c>
      <c r="AP144" s="540">
        <v>500.37159614165876</v>
      </c>
      <c r="AQ144" s="540">
        <v>762.00271602867872</v>
      </c>
      <c r="AR144" s="540">
        <v>563.90991150772072</v>
      </c>
      <c r="AS144" s="540">
        <v>419.55009879250116</v>
      </c>
      <c r="AT144" s="540">
        <v>607.2620911227267</v>
      </c>
      <c r="AU144" s="540">
        <v>562.4643146082168</v>
      </c>
      <c r="AV144" s="540">
        <v>1001.1411648916137</v>
      </c>
      <c r="AW144" s="540">
        <v>1116.8204153005374</v>
      </c>
    </row>
    <row r="145" spans="1:49" ht="14.25" customHeight="1">
      <c r="A145" s="543" t="s">
        <v>295</v>
      </c>
      <c r="B145" s="741" t="s">
        <v>509</v>
      </c>
      <c r="C145" s="741" t="s">
        <v>509</v>
      </c>
      <c r="D145" s="741">
        <v>0</v>
      </c>
      <c r="E145" s="741">
        <v>0</v>
      </c>
      <c r="F145" s="741">
        <v>0</v>
      </c>
      <c r="G145" s="741">
        <v>0</v>
      </c>
      <c r="H145" s="741">
        <v>0</v>
      </c>
      <c r="I145" s="741">
        <v>0</v>
      </c>
      <c r="J145" s="741">
        <v>0</v>
      </c>
      <c r="K145" s="741">
        <v>0</v>
      </c>
      <c r="L145" s="741">
        <v>0</v>
      </c>
      <c r="M145" s="741">
        <v>0</v>
      </c>
      <c r="N145" s="741">
        <v>0</v>
      </c>
      <c r="O145" s="741">
        <v>0</v>
      </c>
      <c r="P145" s="741">
        <v>0</v>
      </c>
      <c r="Q145" s="741">
        <v>0</v>
      </c>
      <c r="R145" s="741">
        <v>0</v>
      </c>
      <c r="S145" s="741">
        <v>0</v>
      </c>
      <c r="T145" s="741">
        <v>0</v>
      </c>
      <c r="U145" s="741">
        <v>0</v>
      </c>
      <c r="V145" s="741">
        <v>0</v>
      </c>
      <c r="W145" s="741">
        <v>0</v>
      </c>
      <c r="X145" s="741">
        <v>0</v>
      </c>
      <c r="Y145" s="741">
        <v>0</v>
      </c>
      <c r="Z145" s="741">
        <v>0</v>
      </c>
      <c r="AA145" s="741">
        <v>0</v>
      </c>
      <c r="AB145" s="741">
        <v>0</v>
      </c>
      <c r="AC145" s="741">
        <v>0</v>
      </c>
      <c r="AD145" s="741">
        <v>0</v>
      </c>
      <c r="AE145" s="741">
        <v>0</v>
      </c>
      <c r="AF145" s="542" t="s">
        <v>509</v>
      </c>
      <c r="AG145" s="542" t="s">
        <v>509</v>
      </c>
      <c r="AH145" s="542" t="s">
        <v>509</v>
      </c>
      <c r="AI145" s="542" t="s">
        <v>509</v>
      </c>
      <c r="AJ145" s="542" t="s">
        <v>509</v>
      </c>
      <c r="AK145" s="542" t="s">
        <v>509</v>
      </c>
      <c r="AL145" s="542" t="s">
        <v>509</v>
      </c>
      <c r="AM145" s="542" t="s">
        <v>509</v>
      </c>
      <c r="AN145" s="542" t="s">
        <v>509</v>
      </c>
      <c r="AO145" s="542" t="s">
        <v>509</v>
      </c>
      <c r="AP145" s="542" t="s">
        <v>509</v>
      </c>
      <c r="AQ145" s="542" t="s">
        <v>509</v>
      </c>
      <c r="AR145" s="542" t="s">
        <v>509</v>
      </c>
      <c r="AS145" s="542" t="s">
        <v>509</v>
      </c>
      <c r="AT145" s="542" t="s">
        <v>509</v>
      </c>
      <c r="AU145" s="542">
        <v>2.8</v>
      </c>
      <c r="AV145" s="542">
        <v>2.1</v>
      </c>
      <c r="AW145" s="542">
        <v>1.705135735702938</v>
      </c>
    </row>
    <row r="146" spans="1:49" ht="14.25" customHeight="1">
      <c r="A146" s="543" t="s">
        <v>296</v>
      </c>
      <c r="B146" s="740">
        <v>1.8664298759577175E-2</v>
      </c>
      <c r="C146" s="740">
        <v>0</v>
      </c>
      <c r="D146" s="740">
        <v>7.7336471181353644E-2</v>
      </c>
      <c r="E146" s="740">
        <v>0.12851427820191857</v>
      </c>
      <c r="F146" s="740">
        <v>0</v>
      </c>
      <c r="G146" s="740">
        <v>0</v>
      </c>
      <c r="H146" s="740">
        <v>0.2465669666546644</v>
      </c>
      <c r="I146" s="740">
        <v>3.0431557275205604E-3</v>
      </c>
      <c r="J146" s="740">
        <v>0.54321293537328463</v>
      </c>
      <c r="K146" s="740">
        <v>2.0597008135279024E-2</v>
      </c>
      <c r="L146" s="740">
        <v>8.2357111693961774E-2</v>
      </c>
      <c r="M146" s="740">
        <v>0.11839243737740221</v>
      </c>
      <c r="N146" s="740" t="s">
        <v>509</v>
      </c>
      <c r="O146" s="740" t="s">
        <v>509</v>
      </c>
      <c r="P146" s="740" t="s">
        <v>509</v>
      </c>
      <c r="Q146" s="740" t="s">
        <v>509</v>
      </c>
      <c r="R146" s="740" t="s">
        <v>509</v>
      </c>
      <c r="S146" s="740" t="s">
        <v>509</v>
      </c>
      <c r="T146" s="740" t="s">
        <v>509</v>
      </c>
      <c r="U146" s="740">
        <v>10.125995050096641</v>
      </c>
      <c r="V146" s="740" t="s">
        <v>509</v>
      </c>
      <c r="W146" s="740">
        <v>0</v>
      </c>
      <c r="X146" s="740" t="s">
        <v>509</v>
      </c>
      <c r="Y146" s="740">
        <v>0</v>
      </c>
      <c r="Z146" s="740">
        <v>0</v>
      </c>
      <c r="AA146" s="740">
        <v>-0.55899118686252958</v>
      </c>
      <c r="AB146" s="740">
        <v>6.8268920642592075E-3</v>
      </c>
      <c r="AC146" s="740">
        <v>4.3245535552949143E-3</v>
      </c>
      <c r="AD146" s="740">
        <v>1.2071100308553784E-2</v>
      </c>
      <c r="AE146" s="740">
        <v>6.0625249920004123</v>
      </c>
      <c r="AF146" s="540">
        <v>13.706752726845776</v>
      </c>
      <c r="AG146" s="540">
        <v>-0.31200613490715678</v>
      </c>
      <c r="AH146" s="540">
        <v>6.0171272704478858</v>
      </c>
      <c r="AI146" s="540">
        <v>15.834079246524555</v>
      </c>
      <c r="AJ146" s="540">
        <v>30.315116674830637</v>
      </c>
      <c r="AK146" s="540">
        <v>0.85692182058681965</v>
      </c>
      <c r="AL146" s="540">
        <v>1</v>
      </c>
      <c r="AM146" s="540">
        <v>2.9888963960766479</v>
      </c>
      <c r="AN146" s="540">
        <v>3.4217478985276726</v>
      </c>
      <c r="AO146" s="540">
        <v>2.4586976770685509</v>
      </c>
      <c r="AP146" s="540">
        <v>0.95549530215252287</v>
      </c>
      <c r="AQ146" s="540">
        <v>3.9589061263796865</v>
      </c>
      <c r="AR146" s="540">
        <v>1.5138031214205325</v>
      </c>
      <c r="AS146" s="540">
        <v>1.3333418348470747</v>
      </c>
      <c r="AT146" s="540">
        <v>0.76120774309920969</v>
      </c>
      <c r="AU146" s="540">
        <v>0.78949105162156352</v>
      </c>
      <c r="AV146" s="540">
        <v>2.1477621592870411</v>
      </c>
      <c r="AW146" s="540" t="s">
        <v>509</v>
      </c>
    </row>
    <row r="147" spans="1:49" ht="14.25" customHeight="1">
      <c r="A147" s="543" t="s">
        <v>82</v>
      </c>
      <c r="B147" s="741" t="s">
        <v>509</v>
      </c>
      <c r="C147" s="741" t="s">
        <v>509</v>
      </c>
      <c r="D147" s="741">
        <v>0</v>
      </c>
      <c r="E147" s="741">
        <v>0</v>
      </c>
      <c r="F147" s="741">
        <v>0</v>
      </c>
      <c r="G147" s="741">
        <v>0</v>
      </c>
      <c r="H147" s="741">
        <v>0</v>
      </c>
      <c r="I147" s="741">
        <v>0</v>
      </c>
      <c r="J147" s="741">
        <v>0</v>
      </c>
      <c r="K147" s="741">
        <v>0</v>
      </c>
      <c r="L147" s="741">
        <v>0</v>
      </c>
      <c r="M147" s="741">
        <v>0</v>
      </c>
      <c r="N147" s="741">
        <v>0</v>
      </c>
      <c r="O147" s="741">
        <v>0</v>
      </c>
      <c r="P147" s="741">
        <v>0</v>
      </c>
      <c r="Q147" s="741">
        <v>0</v>
      </c>
      <c r="R147" s="741">
        <v>0</v>
      </c>
      <c r="S147" s="741">
        <v>0</v>
      </c>
      <c r="T147" s="741">
        <v>0</v>
      </c>
      <c r="U147" s="741">
        <v>0</v>
      </c>
      <c r="V147" s="741">
        <v>0</v>
      </c>
      <c r="W147" s="741">
        <v>0</v>
      </c>
      <c r="X147" s="741">
        <v>0</v>
      </c>
      <c r="Y147" s="741">
        <v>0</v>
      </c>
      <c r="Z147" s="741">
        <v>0</v>
      </c>
      <c r="AA147" s="741">
        <v>0</v>
      </c>
      <c r="AB147" s="741">
        <v>0</v>
      </c>
      <c r="AC147" s="741">
        <v>0</v>
      </c>
      <c r="AD147" s="741">
        <v>0</v>
      </c>
      <c r="AE147" s="741">
        <v>0</v>
      </c>
      <c r="AF147" s="542">
        <v>0</v>
      </c>
      <c r="AG147" s="542">
        <v>13.746925475767863</v>
      </c>
      <c r="AH147" s="542">
        <v>20.795321022300357</v>
      </c>
      <c r="AI147" s="542">
        <v>70.326562976693651</v>
      </c>
      <c r="AJ147" s="542">
        <v>103.07317302525524</v>
      </c>
      <c r="AK147" s="542">
        <v>139.37630103837387</v>
      </c>
      <c r="AL147" s="542">
        <v>274.96820743914213</v>
      </c>
      <c r="AM147" s="542">
        <v>319.95155087936507</v>
      </c>
      <c r="AN147" s="542">
        <v>309.71096522826173</v>
      </c>
      <c r="AO147" s="542">
        <v>313.7</v>
      </c>
      <c r="AP147" s="542">
        <v>297.60386694506872</v>
      </c>
      <c r="AQ147" s="542">
        <v>343.68662273053241</v>
      </c>
      <c r="AR147" s="542">
        <v>374.20930484321764</v>
      </c>
      <c r="AS147" s="542">
        <v>443.037222303254</v>
      </c>
      <c r="AT147" s="542">
        <v>432.13334259005399</v>
      </c>
      <c r="AU147" s="542">
        <v>515.4317883715114</v>
      </c>
      <c r="AV147" s="542">
        <v>573.88331530891662</v>
      </c>
      <c r="AW147" s="542">
        <v>461.76372578892898</v>
      </c>
    </row>
    <row r="148" spans="1:49" ht="14.25" customHeight="1">
      <c r="A148" s="543" t="s">
        <v>536</v>
      </c>
      <c r="B148" s="740" t="s">
        <v>509</v>
      </c>
      <c r="C148" s="740" t="s">
        <v>509</v>
      </c>
      <c r="D148" s="740" t="s">
        <v>509</v>
      </c>
      <c r="E148" s="740" t="s">
        <v>509</v>
      </c>
      <c r="F148" s="740" t="s">
        <v>509</v>
      </c>
      <c r="G148" s="740" t="s">
        <v>509</v>
      </c>
      <c r="H148" s="740" t="s">
        <v>509</v>
      </c>
      <c r="I148" s="740" t="s">
        <v>509</v>
      </c>
      <c r="J148" s="740" t="s">
        <v>509</v>
      </c>
      <c r="K148" s="740" t="s">
        <v>509</v>
      </c>
      <c r="L148" s="740" t="s">
        <v>509</v>
      </c>
      <c r="M148" s="740" t="s">
        <v>509</v>
      </c>
      <c r="N148" s="740" t="s">
        <v>509</v>
      </c>
      <c r="O148" s="740" t="s">
        <v>509</v>
      </c>
      <c r="P148" s="740" t="s">
        <v>509</v>
      </c>
      <c r="Q148" s="740" t="s">
        <v>509</v>
      </c>
      <c r="R148" s="740" t="s">
        <v>509</v>
      </c>
      <c r="S148" s="740" t="s">
        <v>509</v>
      </c>
      <c r="T148" s="740" t="s">
        <v>509</v>
      </c>
      <c r="U148" s="740" t="s">
        <v>509</v>
      </c>
      <c r="V148" s="740" t="s">
        <v>509</v>
      </c>
      <c r="W148" s="740">
        <v>0.08</v>
      </c>
      <c r="X148" s="740" t="s">
        <v>509</v>
      </c>
      <c r="Y148" s="740">
        <v>0</v>
      </c>
      <c r="Z148" s="740">
        <v>0.28533399999999998</v>
      </c>
      <c r="AA148" s="740">
        <v>3.4243000000000003E-2</v>
      </c>
      <c r="AB148" s="740">
        <v>2.0496E-2</v>
      </c>
      <c r="AC148" s="740">
        <v>2.5285999999999999E-2</v>
      </c>
      <c r="AD148" s="740">
        <v>0.89019999999999999</v>
      </c>
      <c r="AE148" s="740">
        <v>0.44066</v>
      </c>
      <c r="AF148" s="540">
        <v>0.60729798000000002</v>
      </c>
      <c r="AG148" s="540">
        <v>0.52848408999999996</v>
      </c>
      <c r="AH148" s="540">
        <v>2.48138215</v>
      </c>
      <c r="AI148" s="540">
        <v>3.4526894100000001</v>
      </c>
      <c r="AJ148" s="540">
        <v>2.3928624199999997</v>
      </c>
      <c r="AK148" s="540">
        <v>2.1347616899999999</v>
      </c>
      <c r="AL148" s="540">
        <v>2.81719936</v>
      </c>
      <c r="AM148" s="540">
        <v>-18.79955004</v>
      </c>
      <c r="AN148" s="540">
        <v>26.977568399999999</v>
      </c>
      <c r="AO148" s="540">
        <v>40.7027061</v>
      </c>
      <c r="AP148" s="540">
        <v>35.556121618163196</v>
      </c>
      <c r="AQ148" s="540">
        <v>32.757545478924918</v>
      </c>
      <c r="AR148" s="540">
        <v>24.19535234621808</v>
      </c>
      <c r="AS148" s="540">
        <v>15.79766227815816</v>
      </c>
      <c r="AT148" s="540">
        <v>16.815001376580522</v>
      </c>
      <c r="AU148" s="540">
        <v>19.63040619287808</v>
      </c>
      <c r="AV148" s="540">
        <v>41.500187859899604</v>
      </c>
      <c r="AW148" s="540">
        <v>15.814290880524959</v>
      </c>
    </row>
    <row r="149" spans="1:49" ht="14.25" customHeight="1">
      <c r="A149" s="543" t="s">
        <v>117</v>
      </c>
      <c r="B149" s="741">
        <v>21.371182175693281</v>
      </c>
      <c r="C149" s="741">
        <v>19.554991818497285</v>
      </c>
      <c r="D149" s="741">
        <v>22.531589649892233</v>
      </c>
      <c r="E149" s="741">
        <v>16.701914310299788</v>
      </c>
      <c r="F149" s="741">
        <v>24.210868082038285</v>
      </c>
      <c r="G149" s="741">
        <v>30.909970673769092</v>
      </c>
      <c r="H149" s="741">
        <v>35.253651770601927</v>
      </c>
      <c r="I149" s="741">
        <v>51.672980069619008</v>
      </c>
      <c r="J149" s="741">
        <v>45.861375791237855</v>
      </c>
      <c r="K149" s="741">
        <v>52.993564836387534</v>
      </c>
      <c r="L149" s="741">
        <v>52.547615091967607</v>
      </c>
      <c r="M149" s="741">
        <v>102.35856151002925</v>
      </c>
      <c r="N149" s="741">
        <v>74.648839727524972</v>
      </c>
      <c r="O149" s="741">
        <v>81.473479161030326</v>
      </c>
      <c r="P149" s="741">
        <v>57.264698893132739</v>
      </c>
      <c r="Q149" s="741">
        <v>85.809356582160262</v>
      </c>
      <c r="R149" s="741">
        <v>167.172206812517</v>
      </c>
      <c r="S149" s="741">
        <v>-343.3904117533711</v>
      </c>
      <c r="T149" s="741">
        <v>-42.993296687225502</v>
      </c>
      <c r="U149" s="741">
        <v>528.13879748039949</v>
      </c>
      <c r="V149" s="741">
        <v>901.91112657169333</v>
      </c>
      <c r="W149" s="741">
        <v>1270.4193409440941</v>
      </c>
      <c r="X149" s="741">
        <v>1246.9494888223114</v>
      </c>
      <c r="Y149" s="741">
        <v>1586.6303515302711</v>
      </c>
      <c r="Z149" s="741">
        <v>1036.1022510268992</v>
      </c>
      <c r="AA149" s="741">
        <v>1919.5072455849115</v>
      </c>
      <c r="AB149" s="741">
        <v>2888.4774155028658</v>
      </c>
      <c r="AC149" s="741">
        <v>1694.6741419554446</v>
      </c>
      <c r="AD149" s="741">
        <v>4128.1470358717961</v>
      </c>
      <c r="AE149" s="741">
        <v>4892.1784707179986</v>
      </c>
      <c r="AF149" s="542">
        <v>14149.786774038135</v>
      </c>
      <c r="AG149" s="542">
        <v>12560.85880200334</v>
      </c>
      <c r="AH149" s="542">
        <v>15160.576363086628</v>
      </c>
      <c r="AI149" s="542">
        <v>13837.593958350531</v>
      </c>
      <c r="AJ149" s="542">
        <v>10546.325419821684</v>
      </c>
      <c r="AK149" s="542">
        <v>18725.995385530205</v>
      </c>
      <c r="AL149" s="542">
        <v>20293.099777479714</v>
      </c>
      <c r="AM149" s="542">
        <v>10484.799999999999</v>
      </c>
      <c r="AN149" s="542">
        <v>8131.0352104277745</v>
      </c>
      <c r="AO149" s="542">
        <v>13295.789029761463</v>
      </c>
      <c r="AP149" s="542">
        <v>9235.6849849840582</v>
      </c>
      <c r="AQ149" s="542">
        <v>6459.8817245947694</v>
      </c>
      <c r="AR149" s="542">
        <v>7778.3805349893555</v>
      </c>
      <c r="AS149" s="542">
        <v>11041.930220094528</v>
      </c>
      <c r="AT149" s="542">
        <v>4310.1976856925357</v>
      </c>
      <c r="AU149" s="542">
        <v>-68.673615191182847</v>
      </c>
      <c r="AV149" s="542">
        <v>13236.08619332647</v>
      </c>
      <c r="AW149" s="542">
        <v>8064.6028268293539</v>
      </c>
    </row>
    <row r="150" spans="1:49" ht="14.25" customHeight="1">
      <c r="A150" s="543" t="s">
        <v>297</v>
      </c>
      <c r="B150" s="740">
        <v>0</v>
      </c>
      <c r="C150" s="740">
        <v>0</v>
      </c>
      <c r="D150" s="740">
        <v>0</v>
      </c>
      <c r="E150" s="740">
        <v>0</v>
      </c>
      <c r="F150" s="740">
        <v>0</v>
      </c>
      <c r="G150" s="740">
        <v>0</v>
      </c>
      <c r="H150" s="740">
        <v>0</v>
      </c>
      <c r="I150" s="740">
        <v>0</v>
      </c>
      <c r="J150" s="740">
        <v>0</v>
      </c>
      <c r="K150" s="740">
        <v>0</v>
      </c>
      <c r="L150" s="740">
        <v>0</v>
      </c>
      <c r="M150" s="740">
        <v>0</v>
      </c>
      <c r="N150" s="740">
        <v>0</v>
      </c>
      <c r="O150" s="740">
        <v>0</v>
      </c>
      <c r="P150" s="740">
        <v>0</v>
      </c>
      <c r="Q150" s="740">
        <v>0</v>
      </c>
      <c r="R150" s="740">
        <v>0</v>
      </c>
      <c r="S150" s="740">
        <v>0</v>
      </c>
      <c r="T150" s="740">
        <v>0</v>
      </c>
      <c r="U150" s="740">
        <v>0</v>
      </c>
      <c r="V150" s="740">
        <v>0</v>
      </c>
      <c r="W150" s="740">
        <v>0</v>
      </c>
      <c r="X150" s="740">
        <v>0</v>
      </c>
      <c r="Y150" s="740">
        <v>0</v>
      </c>
      <c r="Z150" s="740">
        <v>0</v>
      </c>
      <c r="AA150" s="740">
        <v>0</v>
      </c>
      <c r="AB150" s="740" t="s">
        <v>509</v>
      </c>
      <c r="AC150" s="740" t="s">
        <v>509</v>
      </c>
      <c r="AD150" s="740" t="s">
        <v>509</v>
      </c>
      <c r="AE150" s="740" t="s">
        <v>509</v>
      </c>
      <c r="AF150" s="540" t="s">
        <v>509</v>
      </c>
      <c r="AG150" s="540" t="s">
        <v>509</v>
      </c>
      <c r="AH150" s="540" t="s">
        <v>509</v>
      </c>
      <c r="AI150" s="540" t="s">
        <v>509</v>
      </c>
      <c r="AJ150" s="540" t="s">
        <v>509</v>
      </c>
      <c r="AK150" s="540" t="s">
        <v>509</v>
      </c>
      <c r="AL150" s="540" t="s">
        <v>509</v>
      </c>
      <c r="AM150" s="540" t="s">
        <v>509</v>
      </c>
      <c r="AN150" s="540" t="s">
        <v>509</v>
      </c>
      <c r="AO150" s="540" t="s">
        <v>509</v>
      </c>
      <c r="AP150" s="540" t="s">
        <v>509</v>
      </c>
      <c r="AQ150" s="540" t="s">
        <v>509</v>
      </c>
      <c r="AR150" s="540">
        <v>153.6</v>
      </c>
      <c r="AS150" s="540">
        <v>176.85305591677502</v>
      </c>
      <c r="AT150" s="540">
        <v>189.85695708712615</v>
      </c>
      <c r="AU150" s="540">
        <v>161.37841352405721</v>
      </c>
      <c r="AV150" s="540">
        <v>161.24837451235368</v>
      </c>
      <c r="AW150" s="540" t="s">
        <v>509</v>
      </c>
    </row>
    <row r="151" spans="1:49" ht="14.25" customHeight="1">
      <c r="A151" s="543" t="s">
        <v>298</v>
      </c>
      <c r="B151" s="741" t="s">
        <v>509</v>
      </c>
      <c r="C151" s="741">
        <v>0</v>
      </c>
      <c r="D151" s="741">
        <v>0</v>
      </c>
      <c r="E151" s="741">
        <v>0</v>
      </c>
      <c r="F151" s="741">
        <v>0</v>
      </c>
      <c r="G151" s="741">
        <v>0</v>
      </c>
      <c r="H151" s="741">
        <v>0</v>
      </c>
      <c r="I151" s="741">
        <v>0</v>
      </c>
      <c r="J151" s="741">
        <v>0</v>
      </c>
      <c r="K151" s="741">
        <v>0.35240954622609399</v>
      </c>
      <c r="L151" s="741">
        <v>0.56579441398842101</v>
      </c>
      <c r="M151" s="741">
        <v>1.8389978130050961</v>
      </c>
      <c r="N151" s="741">
        <v>0.80565534658734506</v>
      </c>
      <c r="O151" s="741">
        <v>0</v>
      </c>
      <c r="P151" s="741">
        <v>0.82506671837635304</v>
      </c>
      <c r="Q151" s="741">
        <v>0</v>
      </c>
      <c r="R151" s="741">
        <v>8.1609736082165096E-2</v>
      </c>
      <c r="S151" s="741">
        <v>4.061862453903E-2</v>
      </c>
      <c r="T151" s="741">
        <v>10.317890704503442</v>
      </c>
      <c r="U151" s="741">
        <v>29.722148857205241</v>
      </c>
      <c r="V151" s="741">
        <v>8.181563834042441</v>
      </c>
      <c r="W151" s="741">
        <v>21.236317171036898</v>
      </c>
      <c r="X151" s="741">
        <v>13.944756004507347</v>
      </c>
      <c r="Y151" s="741">
        <v>4</v>
      </c>
      <c r="Z151" s="741">
        <v>12</v>
      </c>
      <c r="AA151" s="741">
        <v>2</v>
      </c>
      <c r="AB151" s="741">
        <v>3</v>
      </c>
      <c r="AC151" s="741">
        <v>2</v>
      </c>
      <c r="AD151" s="741">
        <v>3</v>
      </c>
      <c r="AE151" s="741">
        <v>18</v>
      </c>
      <c r="AF151" s="542">
        <v>18</v>
      </c>
      <c r="AG151" s="542">
        <v>48</v>
      </c>
      <c r="AH151" s="542">
        <v>20</v>
      </c>
      <c r="AI151" s="542">
        <v>44</v>
      </c>
      <c r="AJ151" s="542">
        <v>38</v>
      </c>
      <c r="AK151" s="542">
        <v>23</v>
      </c>
      <c r="AL151" s="542">
        <v>59</v>
      </c>
      <c r="AM151" s="542">
        <v>31</v>
      </c>
      <c r="AN151" s="542">
        <v>16</v>
      </c>
      <c r="AO151" s="542">
        <v>15</v>
      </c>
      <c r="AP151" s="542">
        <v>29</v>
      </c>
      <c r="AQ151" s="542">
        <v>24</v>
      </c>
      <c r="AR151" s="542">
        <v>34</v>
      </c>
      <c r="AS151" s="542">
        <v>-21</v>
      </c>
      <c r="AT151" s="542">
        <v>9</v>
      </c>
      <c r="AU151" s="542">
        <v>-34</v>
      </c>
      <c r="AV151" s="542">
        <v>28</v>
      </c>
      <c r="AW151" s="542">
        <v>57</v>
      </c>
    </row>
    <row r="152" spans="1:49" ht="14.25" customHeight="1">
      <c r="A152" s="543" t="s">
        <v>535</v>
      </c>
      <c r="B152" s="740" t="s">
        <v>509</v>
      </c>
      <c r="C152" s="740" t="s">
        <v>509</v>
      </c>
      <c r="D152" s="740" t="s">
        <v>509</v>
      </c>
      <c r="E152" s="740" t="s">
        <v>509</v>
      </c>
      <c r="F152" s="740" t="s">
        <v>509</v>
      </c>
      <c r="G152" s="740" t="s">
        <v>509</v>
      </c>
      <c r="H152" s="740" t="s">
        <v>509</v>
      </c>
      <c r="I152" s="740" t="s">
        <v>509</v>
      </c>
      <c r="J152" s="740" t="s">
        <v>509</v>
      </c>
      <c r="K152" s="740" t="s">
        <v>509</v>
      </c>
      <c r="L152" s="740" t="s">
        <v>509</v>
      </c>
      <c r="M152" s="740" t="s">
        <v>509</v>
      </c>
      <c r="N152" s="740" t="s">
        <v>509</v>
      </c>
      <c r="O152" s="740" t="s">
        <v>509</v>
      </c>
      <c r="P152" s="740" t="s">
        <v>509</v>
      </c>
      <c r="Q152" s="740" t="s">
        <v>509</v>
      </c>
      <c r="R152" s="740" t="s">
        <v>509</v>
      </c>
      <c r="S152" s="740" t="s">
        <v>509</v>
      </c>
      <c r="T152" s="740" t="s">
        <v>509</v>
      </c>
      <c r="U152" s="740" t="s">
        <v>509</v>
      </c>
      <c r="V152" s="740" t="s">
        <v>509</v>
      </c>
      <c r="W152" s="740" t="s">
        <v>509</v>
      </c>
      <c r="X152" s="740" t="s">
        <v>509</v>
      </c>
      <c r="Y152" s="740" t="s">
        <v>509</v>
      </c>
      <c r="Z152" s="740" t="s">
        <v>509</v>
      </c>
      <c r="AA152" s="740" t="s">
        <v>509</v>
      </c>
      <c r="AB152" s="740" t="s">
        <v>509</v>
      </c>
      <c r="AC152" s="740" t="s">
        <v>509</v>
      </c>
      <c r="AD152" s="740" t="s">
        <v>509</v>
      </c>
      <c r="AE152" s="740" t="s">
        <v>509</v>
      </c>
      <c r="AF152" s="540" t="s">
        <v>509</v>
      </c>
      <c r="AG152" s="540" t="s">
        <v>509</v>
      </c>
      <c r="AH152" s="540" t="s">
        <v>509</v>
      </c>
      <c r="AI152" s="540" t="s">
        <v>509</v>
      </c>
      <c r="AJ152" s="540" t="s">
        <v>509</v>
      </c>
      <c r="AK152" s="540" t="s">
        <v>509</v>
      </c>
      <c r="AL152" s="540" t="s">
        <v>509</v>
      </c>
      <c r="AM152" s="540" t="s">
        <v>509</v>
      </c>
      <c r="AN152" s="540" t="s">
        <v>509</v>
      </c>
      <c r="AO152" s="540" t="s">
        <v>509</v>
      </c>
      <c r="AP152" s="540" t="s">
        <v>509</v>
      </c>
      <c r="AQ152" s="540" t="s">
        <v>509</v>
      </c>
      <c r="AR152" s="540" t="s">
        <v>509</v>
      </c>
      <c r="AS152" s="540" t="s">
        <v>509</v>
      </c>
      <c r="AT152" s="540" t="s">
        <v>509</v>
      </c>
      <c r="AU152" s="540" t="s">
        <v>509</v>
      </c>
      <c r="AV152" s="540" t="s">
        <v>509</v>
      </c>
      <c r="AW152" s="540" t="s">
        <v>509</v>
      </c>
    </row>
    <row r="153" spans="1:49" ht="14.25" customHeight="1">
      <c r="A153" s="543" t="s">
        <v>207</v>
      </c>
      <c r="B153" s="741" t="s">
        <v>509</v>
      </c>
      <c r="C153" s="741" t="s">
        <v>509</v>
      </c>
      <c r="D153" s="741">
        <v>0</v>
      </c>
      <c r="E153" s="741">
        <v>0</v>
      </c>
      <c r="F153" s="741">
        <v>0</v>
      </c>
      <c r="G153" s="741" t="s">
        <v>509</v>
      </c>
      <c r="H153" s="741" t="s">
        <v>509</v>
      </c>
      <c r="I153" s="741" t="s">
        <v>509</v>
      </c>
      <c r="J153" s="741" t="s">
        <v>509</v>
      </c>
      <c r="K153" s="741" t="s">
        <v>509</v>
      </c>
      <c r="L153" s="741" t="s">
        <v>509</v>
      </c>
      <c r="M153" s="741" t="s">
        <v>509</v>
      </c>
      <c r="N153" s="741" t="s">
        <v>509</v>
      </c>
      <c r="O153" s="741" t="s">
        <v>509</v>
      </c>
      <c r="P153" s="741" t="s">
        <v>509</v>
      </c>
      <c r="Q153" s="741" t="s">
        <v>509</v>
      </c>
      <c r="R153" s="741" t="s">
        <v>509</v>
      </c>
      <c r="S153" s="741" t="s">
        <v>509</v>
      </c>
      <c r="T153" s="741" t="s">
        <v>509</v>
      </c>
      <c r="U153" s="741" t="s">
        <v>509</v>
      </c>
      <c r="V153" s="741" t="s">
        <v>509</v>
      </c>
      <c r="W153" s="741" t="s">
        <v>509</v>
      </c>
      <c r="X153" s="741" t="s">
        <v>509</v>
      </c>
      <c r="Y153" s="741">
        <v>0</v>
      </c>
      <c r="Z153" s="741">
        <v>0</v>
      </c>
      <c r="AA153" s="741">
        <v>0</v>
      </c>
      <c r="AB153" s="741">
        <v>0</v>
      </c>
      <c r="AC153" s="741">
        <v>0</v>
      </c>
      <c r="AD153" s="741">
        <v>0</v>
      </c>
      <c r="AE153" s="741">
        <v>0</v>
      </c>
      <c r="AF153" s="542">
        <v>0</v>
      </c>
      <c r="AG153" s="542">
        <v>0</v>
      </c>
      <c r="AH153" s="542">
        <v>0</v>
      </c>
      <c r="AI153" s="542">
        <v>0</v>
      </c>
      <c r="AJ153" s="542">
        <v>0</v>
      </c>
      <c r="AK153" s="542">
        <v>213.1</v>
      </c>
      <c r="AL153" s="542">
        <v>343.9</v>
      </c>
      <c r="AM153" s="542">
        <v>325</v>
      </c>
      <c r="AN153" s="542">
        <v>496.8</v>
      </c>
      <c r="AO153" s="542">
        <v>432.3</v>
      </c>
      <c r="AP153" s="542">
        <v>323.89999999999998</v>
      </c>
      <c r="AQ153" s="542">
        <v>425.26213795999996</v>
      </c>
      <c r="AR153" s="542">
        <v>535.64014668000004</v>
      </c>
      <c r="AS153" s="542">
        <v>542.58036914000002</v>
      </c>
      <c r="AT153" s="542">
        <v>235.66898469</v>
      </c>
      <c r="AU153" s="542">
        <v>139.07387154</v>
      </c>
      <c r="AV153" s="542">
        <v>87.320541860000006</v>
      </c>
      <c r="AW153" s="542" t="s">
        <v>509</v>
      </c>
    </row>
    <row r="154" spans="1:49" ht="14.25" customHeight="1">
      <c r="A154" s="543" t="s">
        <v>300</v>
      </c>
      <c r="B154" s="740" t="s">
        <v>509</v>
      </c>
      <c r="C154" s="740">
        <v>0</v>
      </c>
      <c r="D154" s="740">
        <v>0</v>
      </c>
      <c r="E154" s="740">
        <v>0</v>
      </c>
      <c r="F154" s="740">
        <v>0</v>
      </c>
      <c r="G154" s="740">
        <v>0</v>
      </c>
      <c r="H154" s="740">
        <v>0</v>
      </c>
      <c r="I154" s="740">
        <v>0</v>
      </c>
      <c r="J154" s="740">
        <v>0</v>
      </c>
      <c r="K154" s="740">
        <v>0</v>
      </c>
      <c r="L154" s="740">
        <v>0</v>
      </c>
      <c r="M154" s="740">
        <v>0</v>
      </c>
      <c r="N154" s="740">
        <v>0</v>
      </c>
      <c r="O154" s="740">
        <v>0</v>
      </c>
      <c r="P154" s="740">
        <v>0</v>
      </c>
      <c r="Q154" s="740">
        <v>0</v>
      </c>
      <c r="R154" s="740">
        <v>23.121944518811748</v>
      </c>
      <c r="S154" s="740">
        <v>1.4524388852127523</v>
      </c>
      <c r="T154" s="740">
        <v>10.284238691594544</v>
      </c>
      <c r="U154" s="740">
        <v>8.6345843886714499E-2</v>
      </c>
      <c r="V154" s="740">
        <v>3.9300213118398273</v>
      </c>
      <c r="W154" s="740">
        <v>7.7425349059281792E-2</v>
      </c>
      <c r="X154" s="740">
        <v>0.89818355441276632</v>
      </c>
      <c r="Y154" s="740">
        <v>0.77672099087001345</v>
      </c>
      <c r="Z154" s="740">
        <v>5.4209270493205945</v>
      </c>
      <c r="AA154" s="740">
        <v>1.1869281991953484</v>
      </c>
      <c r="AB154" s="740">
        <v>1.5919614425222401</v>
      </c>
      <c r="AC154" s="740">
        <v>7.4765878179063074</v>
      </c>
      <c r="AD154" s="740">
        <v>6.781666302999807</v>
      </c>
      <c r="AE154" s="740">
        <v>2.146693788444979</v>
      </c>
      <c r="AF154" s="540">
        <v>0.87060139077347032</v>
      </c>
      <c r="AG154" s="540">
        <v>2.140756408666781</v>
      </c>
      <c r="AH154" s="540">
        <v>2.8788326283975438</v>
      </c>
      <c r="AI154" s="540">
        <v>1.94697593728079</v>
      </c>
      <c r="AJ154" s="540">
        <v>7.9430887572141664</v>
      </c>
      <c r="AK154" s="540">
        <v>14.053895663407461</v>
      </c>
      <c r="AL154" s="540">
        <v>2.1060528683204485</v>
      </c>
      <c r="AM154" s="540">
        <v>3.2599423630255524</v>
      </c>
      <c r="AN154" s="540">
        <v>2.7352905447378033</v>
      </c>
      <c r="AO154" s="540">
        <v>4.7596245649785667</v>
      </c>
      <c r="AP154" s="540">
        <v>4.5999999999999996</v>
      </c>
      <c r="AQ154" s="540">
        <v>0.32661253745407498</v>
      </c>
      <c r="AR154" s="540">
        <v>10.440654672529003</v>
      </c>
      <c r="AS154" s="540">
        <v>13.204897933125807</v>
      </c>
      <c r="AT154" s="540">
        <v>3.2137388022450639</v>
      </c>
      <c r="AU154" s="540">
        <v>12.548007161837852</v>
      </c>
      <c r="AV154" s="540">
        <v>28.290459450000014</v>
      </c>
      <c r="AW154" s="540" t="s">
        <v>509</v>
      </c>
    </row>
    <row r="155" spans="1:49" ht="14.25" customHeight="1">
      <c r="A155" s="543" t="s">
        <v>301</v>
      </c>
      <c r="B155" s="741">
        <v>0</v>
      </c>
      <c r="C155" s="741">
        <v>0</v>
      </c>
      <c r="D155" s="741">
        <v>0</v>
      </c>
      <c r="E155" s="741">
        <v>0</v>
      </c>
      <c r="F155" s="741">
        <v>0</v>
      </c>
      <c r="G155" s="741">
        <v>0</v>
      </c>
      <c r="H155" s="741">
        <v>0</v>
      </c>
      <c r="I155" s="741">
        <v>0</v>
      </c>
      <c r="J155" s="741">
        <v>0</v>
      </c>
      <c r="K155" s="741">
        <v>0</v>
      </c>
      <c r="L155" s="741">
        <v>0</v>
      </c>
      <c r="M155" s="741">
        <v>0</v>
      </c>
      <c r="N155" s="741">
        <v>0</v>
      </c>
      <c r="O155" s="741">
        <v>0</v>
      </c>
      <c r="P155" s="741">
        <v>0</v>
      </c>
      <c r="Q155" s="741">
        <v>0</v>
      </c>
      <c r="R155" s="741">
        <v>0.1</v>
      </c>
      <c r="S155" s="741">
        <v>0.5</v>
      </c>
      <c r="T155" s="741" t="s">
        <v>509</v>
      </c>
      <c r="U155" s="741" t="s">
        <v>509</v>
      </c>
      <c r="V155" s="741">
        <v>0</v>
      </c>
      <c r="W155" s="741">
        <v>0</v>
      </c>
      <c r="X155" s="741">
        <v>0</v>
      </c>
      <c r="Y155" s="741">
        <v>0</v>
      </c>
      <c r="Z155" s="741">
        <v>0</v>
      </c>
      <c r="AA155" s="741">
        <v>0</v>
      </c>
      <c r="AB155" s="741">
        <v>0</v>
      </c>
      <c r="AC155" s="741">
        <v>0</v>
      </c>
      <c r="AD155" s="741">
        <v>0</v>
      </c>
      <c r="AE155" s="741">
        <v>0</v>
      </c>
      <c r="AF155" s="542">
        <v>0</v>
      </c>
      <c r="AG155" s="542">
        <v>0</v>
      </c>
      <c r="AH155" s="542">
        <v>0</v>
      </c>
      <c r="AI155" s="542">
        <v>0</v>
      </c>
      <c r="AJ155" s="542">
        <v>0</v>
      </c>
      <c r="AK155" s="542">
        <v>0</v>
      </c>
      <c r="AL155" s="542">
        <v>0</v>
      </c>
      <c r="AM155" s="542">
        <v>0</v>
      </c>
      <c r="AN155" s="542">
        <v>0</v>
      </c>
      <c r="AO155" s="542">
        <v>0</v>
      </c>
      <c r="AP155" s="542">
        <v>0</v>
      </c>
      <c r="AQ155" s="542">
        <v>0</v>
      </c>
      <c r="AR155" s="542">
        <v>0</v>
      </c>
      <c r="AS155" s="542">
        <v>0</v>
      </c>
      <c r="AT155" s="542">
        <v>0</v>
      </c>
      <c r="AU155" s="542">
        <v>0</v>
      </c>
      <c r="AV155" s="542">
        <v>0</v>
      </c>
      <c r="AW155" s="542">
        <v>0</v>
      </c>
    </row>
    <row r="156" spans="1:49" ht="14.25" customHeight="1">
      <c r="A156" s="543" t="s">
        <v>302</v>
      </c>
      <c r="B156" s="740" t="s">
        <v>509</v>
      </c>
      <c r="C156" s="740" t="s">
        <v>509</v>
      </c>
      <c r="D156" s="740">
        <v>0</v>
      </c>
      <c r="E156" s="740">
        <v>0</v>
      </c>
      <c r="F156" s="740">
        <v>0</v>
      </c>
      <c r="G156" s="740">
        <v>0</v>
      </c>
      <c r="H156" s="740">
        <v>0</v>
      </c>
      <c r="I156" s="740">
        <v>0</v>
      </c>
      <c r="J156" s="740">
        <v>0</v>
      </c>
      <c r="K156" s="740">
        <v>0</v>
      </c>
      <c r="L156" s="740" t="s">
        <v>509</v>
      </c>
      <c r="M156" s="740" t="s">
        <v>509</v>
      </c>
      <c r="N156" s="740" t="s">
        <v>509</v>
      </c>
      <c r="O156" s="740" t="s">
        <v>509</v>
      </c>
      <c r="P156" s="740" t="s">
        <v>509</v>
      </c>
      <c r="Q156" s="740" t="s">
        <v>509</v>
      </c>
      <c r="R156" s="740">
        <v>0</v>
      </c>
      <c r="S156" s="740">
        <v>0</v>
      </c>
      <c r="T156" s="740">
        <v>0</v>
      </c>
      <c r="U156" s="740">
        <v>0</v>
      </c>
      <c r="V156" s="740">
        <v>0</v>
      </c>
      <c r="W156" s="740">
        <v>0</v>
      </c>
      <c r="X156" s="740">
        <v>0</v>
      </c>
      <c r="Y156" s="740">
        <v>0</v>
      </c>
      <c r="Z156" s="740">
        <v>0</v>
      </c>
      <c r="AA156" s="740">
        <v>0</v>
      </c>
      <c r="AB156" s="740">
        <v>0</v>
      </c>
      <c r="AC156" s="740">
        <v>0</v>
      </c>
      <c r="AD156" s="740">
        <v>0</v>
      </c>
      <c r="AE156" s="740">
        <v>0</v>
      </c>
      <c r="AF156" s="540">
        <v>0</v>
      </c>
      <c r="AG156" s="540">
        <v>0</v>
      </c>
      <c r="AH156" s="540">
        <v>0</v>
      </c>
      <c r="AI156" s="540">
        <v>0</v>
      </c>
      <c r="AJ156" s="540">
        <v>0</v>
      </c>
      <c r="AK156" s="540">
        <v>223.9120208666285</v>
      </c>
      <c r="AL156" s="540">
        <v>250.11996735891771</v>
      </c>
      <c r="AM156" s="540">
        <v>269.62166345803303</v>
      </c>
      <c r="AN156" s="540">
        <v>306.98930634496537</v>
      </c>
      <c r="AO156" s="540">
        <v>379.73583212980901</v>
      </c>
      <c r="AP156" s="540">
        <v>474.55798732730597</v>
      </c>
      <c r="AQ156" s="540">
        <v>485.21123143755</v>
      </c>
      <c r="AR156" s="540">
        <v>563.69951958906904</v>
      </c>
      <c r="AS156" s="540">
        <v>553.70000000000005</v>
      </c>
      <c r="AT156" s="540">
        <v>606.70877923471403</v>
      </c>
      <c r="AU156" s="540">
        <v>413.58909728474538</v>
      </c>
      <c r="AV156" s="540">
        <v>561.15057741526607</v>
      </c>
      <c r="AW156" s="540">
        <v>627.12640079216692</v>
      </c>
    </row>
    <row r="157" spans="1:49" ht="14.25" customHeight="1">
      <c r="A157" s="543" t="s">
        <v>303</v>
      </c>
      <c r="B157" s="741" t="s">
        <v>509</v>
      </c>
      <c r="C157" s="741" t="s">
        <v>509</v>
      </c>
      <c r="D157" s="741">
        <v>1</v>
      </c>
      <c r="E157" s="741">
        <v>2</v>
      </c>
      <c r="F157" s="741">
        <v>13</v>
      </c>
      <c r="G157" s="741">
        <v>5</v>
      </c>
      <c r="H157" s="741">
        <v>5</v>
      </c>
      <c r="I157" s="741">
        <v>4</v>
      </c>
      <c r="J157" s="741">
        <v>1</v>
      </c>
      <c r="K157" s="741">
        <v>4</v>
      </c>
      <c r="L157" s="741">
        <v>13</v>
      </c>
      <c r="M157" s="741">
        <v>6</v>
      </c>
      <c r="N157" s="741">
        <v>6</v>
      </c>
      <c r="O157" s="741">
        <v>8</v>
      </c>
      <c r="P157" s="741">
        <v>11</v>
      </c>
      <c r="Q157" s="741">
        <v>17</v>
      </c>
      <c r="R157" s="741">
        <v>50</v>
      </c>
      <c r="S157" s="741">
        <v>110</v>
      </c>
      <c r="T157" s="741">
        <v>70</v>
      </c>
      <c r="U157" s="741">
        <v>116</v>
      </c>
      <c r="V157" s="741">
        <v>342</v>
      </c>
      <c r="W157" s="741">
        <v>700</v>
      </c>
      <c r="X157" s="741">
        <v>589</v>
      </c>
      <c r="Y157" s="741">
        <v>303</v>
      </c>
      <c r="Z157" s="741">
        <v>35</v>
      </c>
      <c r="AA157" s="741">
        <v>57</v>
      </c>
      <c r="AB157" s="741">
        <v>10</v>
      </c>
      <c r="AC157" s="741">
        <v>19</v>
      </c>
      <c r="AD157" s="741">
        <v>20</v>
      </c>
      <c r="AE157" s="741">
        <v>18</v>
      </c>
      <c r="AF157" s="542">
        <v>17</v>
      </c>
      <c r="AG157" s="542">
        <v>53</v>
      </c>
      <c r="AH157" s="542">
        <v>44</v>
      </c>
      <c r="AI157" s="542">
        <v>28</v>
      </c>
      <c r="AJ157" s="542">
        <v>70</v>
      </c>
      <c r="AK157" s="542">
        <v>116</v>
      </c>
      <c r="AL157" s="542">
        <v>105</v>
      </c>
      <c r="AM157" s="542">
        <v>70.300325220000005</v>
      </c>
      <c r="AN157" s="542">
        <v>181.89018259078921</v>
      </c>
      <c r="AO157" s="542">
        <v>132.7020587539449</v>
      </c>
      <c r="AP157" s="542">
        <v>140.78835484398297</v>
      </c>
      <c r="AQ157" s="542">
        <v>133.4973932239449</v>
      </c>
      <c r="AR157" s="542">
        <v>240.03575793473641</v>
      </c>
      <c r="AS157" s="542">
        <v>378.84777137743833</v>
      </c>
      <c r="AT157" s="542">
        <v>564.57391950459316</v>
      </c>
      <c r="AU157" s="542">
        <v>362.47237517863402</v>
      </c>
      <c r="AV157" s="542">
        <v>233.61969468118821</v>
      </c>
      <c r="AW157" s="542">
        <v>181.57384404644478</v>
      </c>
    </row>
    <row r="158" spans="1:49" ht="14.25" customHeight="1">
      <c r="A158" s="543" t="s">
        <v>534</v>
      </c>
      <c r="B158" s="740" t="s">
        <v>509</v>
      </c>
      <c r="C158" s="740">
        <v>0</v>
      </c>
      <c r="D158" s="740">
        <v>0</v>
      </c>
      <c r="E158" s="740">
        <v>0</v>
      </c>
      <c r="F158" s="740">
        <v>0</v>
      </c>
      <c r="G158" s="740">
        <v>0</v>
      </c>
      <c r="H158" s="740">
        <v>0</v>
      </c>
      <c r="I158" s="740">
        <v>0</v>
      </c>
      <c r="J158" s="740">
        <v>0</v>
      </c>
      <c r="K158" s="740" t="s">
        <v>509</v>
      </c>
      <c r="L158" s="740" t="s">
        <v>509</v>
      </c>
      <c r="M158" s="740" t="s">
        <v>509</v>
      </c>
      <c r="N158" s="740" t="s">
        <v>509</v>
      </c>
      <c r="O158" s="740" t="s">
        <v>509</v>
      </c>
      <c r="P158" s="740" t="s">
        <v>509</v>
      </c>
      <c r="Q158" s="740" t="s">
        <v>509</v>
      </c>
      <c r="R158" s="740">
        <v>2</v>
      </c>
      <c r="S158" s="740">
        <v>3</v>
      </c>
      <c r="T158" s="740">
        <v>3</v>
      </c>
      <c r="U158" s="740">
        <v>12</v>
      </c>
      <c r="V158" s="740">
        <v>20</v>
      </c>
      <c r="W158" s="740">
        <v>26</v>
      </c>
      <c r="X158" s="740">
        <v>5</v>
      </c>
      <c r="Y158" s="740">
        <v>2</v>
      </c>
      <c r="Z158" s="740">
        <v>-21</v>
      </c>
      <c r="AA158" s="740">
        <v>5</v>
      </c>
      <c r="AB158" s="740">
        <v>27</v>
      </c>
      <c r="AC158" s="740">
        <v>-54</v>
      </c>
      <c r="AD158" s="740">
        <v>2</v>
      </c>
      <c r="AE158" s="740">
        <v>56</v>
      </c>
      <c r="AF158" s="540">
        <v>100</v>
      </c>
      <c r="AG158" s="540">
        <v>641</v>
      </c>
      <c r="AH158" s="540">
        <v>63</v>
      </c>
      <c r="AI158" s="540">
        <v>841</v>
      </c>
      <c r="AJ158" s="540">
        <v>-1047</v>
      </c>
      <c r="AK158" s="540">
        <v>677</v>
      </c>
      <c r="AL158" s="540">
        <v>585</v>
      </c>
      <c r="AM158" s="540">
        <v>951</v>
      </c>
      <c r="AN158" s="540">
        <v>315</v>
      </c>
      <c r="AO158" s="540">
        <v>1653</v>
      </c>
      <c r="AP158" s="540">
        <v>910</v>
      </c>
      <c r="AQ158" s="540">
        <v>933</v>
      </c>
      <c r="AR158" s="540">
        <v>1990</v>
      </c>
      <c r="AS158" s="540">
        <v>2088</v>
      </c>
      <c r="AT158" s="540">
        <v>2195</v>
      </c>
      <c r="AU158" s="540">
        <v>1154</v>
      </c>
      <c r="AV158" s="540">
        <v>3370</v>
      </c>
      <c r="AW158" s="540">
        <v>1957</v>
      </c>
    </row>
    <row r="159" spans="1:49" ht="14.25" customHeight="1">
      <c r="A159" s="543" t="s">
        <v>42</v>
      </c>
      <c r="B159" s="741">
        <v>0</v>
      </c>
      <c r="C159" s="741">
        <v>0</v>
      </c>
      <c r="D159" s="741">
        <v>0</v>
      </c>
      <c r="E159" s="741">
        <v>0</v>
      </c>
      <c r="F159" s="741">
        <v>0</v>
      </c>
      <c r="G159" s="741">
        <v>0</v>
      </c>
      <c r="H159" s="741">
        <v>11.402748534201605</v>
      </c>
      <c r="I159" s="741">
        <v>0</v>
      </c>
      <c r="J159" s="741">
        <v>0.78222982434133503</v>
      </c>
      <c r="K159" s="741">
        <v>1.4474433325970242</v>
      </c>
      <c r="L159" s="741">
        <v>6.8186123768724016</v>
      </c>
      <c r="M159" s="741">
        <v>2.014924789797079</v>
      </c>
      <c r="N159" s="741">
        <v>4.941560168201284</v>
      </c>
      <c r="O159" s="741">
        <v>3.9362330249950799</v>
      </c>
      <c r="P159" s="741">
        <v>0</v>
      </c>
      <c r="Q159" s="741">
        <v>1.38657442750253</v>
      </c>
      <c r="R159" s="741">
        <v>0</v>
      </c>
      <c r="S159" s="741">
        <v>0</v>
      </c>
      <c r="T159" s="741">
        <v>44.410596190509857</v>
      </c>
      <c r="U159" s="741">
        <v>61.581470949243787</v>
      </c>
      <c r="V159" s="741">
        <v>43.02711366844219</v>
      </c>
      <c r="W159" s="741">
        <v>340.80002949215651</v>
      </c>
      <c r="X159" s="741">
        <v>359.84898274150305</v>
      </c>
      <c r="Y159" s="741">
        <v>567.2720949433151</v>
      </c>
      <c r="Z159" s="741">
        <v>598.20000000000005</v>
      </c>
      <c r="AA159" s="741">
        <v>458.65254915633648</v>
      </c>
      <c r="AB159" s="741">
        <v>527.37440467634929</v>
      </c>
      <c r="AC159" s="741">
        <v>141.19981461620756</v>
      </c>
      <c r="AD159" s="741">
        <v>1193.2079952284819</v>
      </c>
      <c r="AE159" s="741">
        <v>1860.9351378066378</v>
      </c>
      <c r="AF159" s="542">
        <v>2681.5267969759793</v>
      </c>
      <c r="AG159" s="542">
        <v>3195.0313441506123</v>
      </c>
      <c r="AH159" s="542">
        <v>3354.4217040299009</v>
      </c>
      <c r="AI159" s="542">
        <v>3785.9032536336267</v>
      </c>
      <c r="AJ159" s="542">
        <v>3114.7779500223246</v>
      </c>
      <c r="AK159" s="542">
        <v>7509.2114916305836</v>
      </c>
      <c r="AL159" s="542">
        <v>4831.4069654220511</v>
      </c>
      <c r="AM159" s="542">
        <v>2631.2766184087973</v>
      </c>
      <c r="AN159" s="542">
        <v>3154.8449129790706</v>
      </c>
      <c r="AO159" s="542">
        <v>2173.0234080119362</v>
      </c>
      <c r="AP159" s="542">
        <v>2300.3747877419401</v>
      </c>
      <c r="AQ159" s="542">
        <v>2881.5968859348222</v>
      </c>
      <c r="AR159" s="542">
        <v>4143.7262189542625</v>
      </c>
      <c r="AS159" s="542">
        <v>4974.5118195695923</v>
      </c>
      <c r="AT159" s="542">
        <v>3181.2405948051783</v>
      </c>
      <c r="AU159" s="542">
        <v>2966.2493167099151</v>
      </c>
      <c r="AV159" s="542">
        <v>3615.8042236651791</v>
      </c>
      <c r="AW159" s="542" t="s">
        <v>509</v>
      </c>
    </row>
    <row r="160" spans="1:49" ht="14.25" customHeight="1">
      <c r="A160" s="543" t="s">
        <v>304</v>
      </c>
      <c r="B160" s="740" t="s">
        <v>509</v>
      </c>
      <c r="C160" s="740" t="s">
        <v>509</v>
      </c>
      <c r="D160" s="740" t="s">
        <v>509</v>
      </c>
      <c r="E160" s="740" t="s">
        <v>509</v>
      </c>
      <c r="F160" s="740" t="s">
        <v>509</v>
      </c>
      <c r="G160" s="740" t="s">
        <v>509</v>
      </c>
      <c r="H160" s="740" t="s">
        <v>509</v>
      </c>
      <c r="I160" s="740" t="s">
        <v>509</v>
      </c>
      <c r="J160" s="740" t="s">
        <v>509</v>
      </c>
      <c r="K160" s="740" t="s">
        <v>509</v>
      </c>
      <c r="L160" s="740" t="s">
        <v>509</v>
      </c>
      <c r="M160" s="740" t="s">
        <v>509</v>
      </c>
      <c r="N160" s="740" t="s">
        <v>509</v>
      </c>
      <c r="O160" s="740" t="s">
        <v>509</v>
      </c>
      <c r="P160" s="740" t="s">
        <v>509</v>
      </c>
      <c r="Q160" s="740" t="s">
        <v>509</v>
      </c>
      <c r="R160" s="740" t="s">
        <v>509</v>
      </c>
      <c r="S160" s="740" t="s">
        <v>509</v>
      </c>
      <c r="T160" s="740" t="s">
        <v>509</v>
      </c>
      <c r="U160" s="740" t="s">
        <v>509</v>
      </c>
      <c r="V160" s="740" t="s">
        <v>509</v>
      </c>
      <c r="W160" s="740" t="s">
        <v>509</v>
      </c>
      <c r="X160" s="740" t="s">
        <v>509</v>
      </c>
      <c r="Y160" s="740" t="s">
        <v>509</v>
      </c>
      <c r="Z160" s="740" t="s">
        <v>509</v>
      </c>
      <c r="AA160" s="740" t="s">
        <v>509</v>
      </c>
      <c r="AB160" s="740" t="s">
        <v>509</v>
      </c>
      <c r="AC160" s="740" t="s">
        <v>509</v>
      </c>
      <c r="AD160" s="740" t="s">
        <v>509</v>
      </c>
      <c r="AE160" s="740" t="s">
        <v>509</v>
      </c>
      <c r="AF160" s="540" t="s">
        <v>509</v>
      </c>
      <c r="AG160" s="540" t="s">
        <v>509</v>
      </c>
      <c r="AH160" s="540" t="s">
        <v>509</v>
      </c>
      <c r="AI160" s="540" t="s">
        <v>509</v>
      </c>
      <c r="AJ160" s="540" t="s">
        <v>509</v>
      </c>
      <c r="AK160" s="540" t="s">
        <v>509</v>
      </c>
      <c r="AL160" s="540" t="s">
        <v>509</v>
      </c>
      <c r="AM160" s="540" t="s">
        <v>509</v>
      </c>
      <c r="AN160" s="540" t="s">
        <v>509</v>
      </c>
      <c r="AO160" s="540" t="s">
        <v>509</v>
      </c>
      <c r="AP160" s="540" t="s">
        <v>509</v>
      </c>
      <c r="AQ160" s="540" t="s">
        <v>509</v>
      </c>
      <c r="AR160" s="540" t="s">
        <v>509</v>
      </c>
      <c r="AS160" s="540" t="s">
        <v>509</v>
      </c>
      <c r="AT160" s="540" t="s">
        <v>509</v>
      </c>
      <c r="AU160" s="540" t="s">
        <v>509</v>
      </c>
      <c r="AV160" s="540" t="s">
        <v>509</v>
      </c>
      <c r="AW160" s="540" t="s">
        <v>509</v>
      </c>
    </row>
    <row r="161" spans="1:49" ht="14.25" customHeight="1">
      <c r="A161" s="543" t="s">
        <v>305</v>
      </c>
      <c r="B161" s="741">
        <v>0</v>
      </c>
      <c r="C161" s="741">
        <v>0</v>
      </c>
      <c r="D161" s="741">
        <v>0</v>
      </c>
      <c r="E161" s="741">
        <v>0</v>
      </c>
      <c r="F161" s="741">
        <v>0</v>
      </c>
      <c r="G161" s="741">
        <v>0</v>
      </c>
      <c r="H161" s="741">
        <v>0</v>
      </c>
      <c r="I161" s="741">
        <v>0</v>
      </c>
      <c r="J161" s="741">
        <v>0</v>
      </c>
      <c r="K161" s="741">
        <v>0</v>
      </c>
      <c r="L161" s="741">
        <v>23</v>
      </c>
      <c r="M161" s="741">
        <v>15</v>
      </c>
      <c r="N161" s="741">
        <v>23</v>
      </c>
      <c r="O161" s="741">
        <v>15</v>
      </c>
      <c r="P161" s="741">
        <v>10</v>
      </c>
      <c r="Q161" s="741">
        <v>1</v>
      </c>
      <c r="R161" s="741">
        <v>18</v>
      </c>
      <c r="S161" s="741">
        <v>1</v>
      </c>
      <c r="T161" s="741">
        <v>2</v>
      </c>
      <c r="U161" s="741">
        <v>2</v>
      </c>
      <c r="V161" s="741">
        <v>6</v>
      </c>
      <c r="W161" s="741">
        <v>5</v>
      </c>
      <c r="X161" s="741">
        <v>4</v>
      </c>
      <c r="Y161" s="741">
        <v>13</v>
      </c>
      <c r="Z161" s="741">
        <v>2</v>
      </c>
      <c r="AA161" s="741">
        <v>6</v>
      </c>
      <c r="AB161" s="741">
        <v>14</v>
      </c>
      <c r="AC161" s="741">
        <v>11</v>
      </c>
      <c r="AD161" s="741">
        <v>10</v>
      </c>
      <c r="AE161" s="741">
        <v>5</v>
      </c>
      <c r="AF161" s="542">
        <v>-76.900000000000006</v>
      </c>
      <c r="AG161" s="542">
        <v>-28.097510816600728</v>
      </c>
      <c r="AH161" s="542">
        <v>23.856052898287967</v>
      </c>
      <c r="AI161" s="542">
        <v>-46.080639631215639</v>
      </c>
      <c r="AJ161" s="542">
        <v>-218.06769908440833</v>
      </c>
      <c r="AK161" s="542">
        <v>-216.16793145929603</v>
      </c>
      <c r="AL161" s="542">
        <v>-35.945647680302102</v>
      </c>
      <c r="AM161" s="542">
        <v>1.9939666916910326</v>
      </c>
      <c r="AN161" s="542">
        <v>22.014589060448778</v>
      </c>
      <c r="AO161" s="542">
        <v>-203.29726379798245</v>
      </c>
      <c r="AP161" s="542">
        <v>-123.83894134794653</v>
      </c>
      <c r="AQ161" s="542">
        <v>19.715257513872775</v>
      </c>
      <c r="AR161" s="542">
        <v>14.129603343565893</v>
      </c>
      <c r="AS161" s="542">
        <v>50.785536216215938</v>
      </c>
      <c r="AT161" s="542">
        <v>155.50866622372925</v>
      </c>
      <c r="AU161" s="542">
        <v>53.317134205838293</v>
      </c>
      <c r="AV161" s="542">
        <v>149.80005187620282</v>
      </c>
      <c r="AW161" s="542">
        <v>0</v>
      </c>
    </row>
    <row r="162" spans="1:49" ht="14.25" customHeight="1">
      <c r="A162" s="543" t="s">
        <v>172</v>
      </c>
      <c r="B162" s="740" t="s">
        <v>509</v>
      </c>
      <c r="C162" s="740" t="s">
        <v>509</v>
      </c>
      <c r="D162" s="740" t="s">
        <v>509</v>
      </c>
      <c r="E162" s="740" t="s">
        <v>509</v>
      </c>
      <c r="F162" s="740" t="s">
        <v>509</v>
      </c>
      <c r="G162" s="740" t="s">
        <v>509</v>
      </c>
      <c r="H162" s="740" t="s">
        <v>509</v>
      </c>
      <c r="I162" s="740" t="s">
        <v>509</v>
      </c>
      <c r="J162" s="740" t="s">
        <v>509</v>
      </c>
      <c r="K162" s="740" t="s">
        <v>509</v>
      </c>
      <c r="L162" s="740" t="s">
        <v>509</v>
      </c>
      <c r="M162" s="740" t="s">
        <v>509</v>
      </c>
      <c r="N162" s="740" t="s">
        <v>509</v>
      </c>
      <c r="O162" s="740" t="s">
        <v>509</v>
      </c>
      <c r="P162" s="740" t="s">
        <v>509</v>
      </c>
      <c r="Q162" s="740" t="s">
        <v>509</v>
      </c>
      <c r="R162" s="740" t="s">
        <v>509</v>
      </c>
      <c r="S162" s="740" t="s">
        <v>509</v>
      </c>
      <c r="T162" s="740" t="s">
        <v>509</v>
      </c>
      <c r="U162" s="740">
        <v>104.5</v>
      </c>
      <c r="V162" s="740">
        <v>100.2</v>
      </c>
      <c r="W162" s="740">
        <v>145.47</v>
      </c>
      <c r="X162" s="740">
        <v>22.13</v>
      </c>
      <c r="Y162" s="740">
        <v>12.96</v>
      </c>
      <c r="Z162" s="740">
        <v>9.6999999999999993</v>
      </c>
      <c r="AA162" s="740">
        <v>61.76</v>
      </c>
      <c r="AB162" s="740">
        <v>599.16</v>
      </c>
      <c r="AC162" s="740">
        <v>691.32</v>
      </c>
      <c r="AD162" s="740">
        <v>6337.47</v>
      </c>
      <c r="AE162" s="740">
        <v>6335.27</v>
      </c>
      <c r="AF162" s="540">
        <v>8077.82</v>
      </c>
      <c r="AG162" s="540">
        <v>12327.89</v>
      </c>
      <c r="AH162" s="540">
        <v>17268.96</v>
      </c>
      <c r="AI162" s="540">
        <v>28540.03</v>
      </c>
      <c r="AJ162" s="540">
        <v>10102.129999999999</v>
      </c>
      <c r="AK162" s="540">
        <v>16976.23</v>
      </c>
      <c r="AL162" s="540">
        <v>20073.310000000001</v>
      </c>
      <c r="AM162" s="540">
        <v>22507.78</v>
      </c>
      <c r="AN162" s="540">
        <v>17162.59</v>
      </c>
      <c r="AO162" s="540">
        <v>21496.59</v>
      </c>
      <c r="AP162" s="540">
        <v>13234.75</v>
      </c>
      <c r="AQ162" s="540">
        <v>18824.62</v>
      </c>
      <c r="AR162" s="540">
        <v>23440.3</v>
      </c>
      <c r="AS162" s="540">
        <v>29736.04</v>
      </c>
      <c r="AT162" s="540">
        <v>31770.66</v>
      </c>
      <c r="AU162" s="540">
        <v>24767</v>
      </c>
      <c r="AV162" s="540">
        <v>59754</v>
      </c>
      <c r="AW162" s="540" t="s">
        <v>509</v>
      </c>
    </row>
    <row r="163" spans="1:49" ht="14.25" customHeight="1">
      <c r="A163" s="543" t="s">
        <v>306</v>
      </c>
      <c r="B163" s="741" t="s">
        <v>509</v>
      </c>
      <c r="C163" s="741" t="s">
        <v>509</v>
      </c>
      <c r="D163" s="741" t="s">
        <v>509</v>
      </c>
      <c r="E163" s="741" t="s">
        <v>509</v>
      </c>
      <c r="F163" s="741" t="s">
        <v>509</v>
      </c>
      <c r="G163" s="741" t="s">
        <v>509</v>
      </c>
      <c r="H163" s="741" t="s">
        <v>509</v>
      </c>
      <c r="I163" s="741" t="s">
        <v>509</v>
      </c>
      <c r="J163" s="741" t="s">
        <v>509</v>
      </c>
      <c r="K163" s="741" t="s">
        <v>509</v>
      </c>
      <c r="L163" s="741" t="s">
        <v>509</v>
      </c>
      <c r="M163" s="741" t="s">
        <v>509</v>
      </c>
      <c r="N163" s="741" t="s">
        <v>509</v>
      </c>
      <c r="O163" s="741" t="s">
        <v>509</v>
      </c>
      <c r="P163" s="741" t="s">
        <v>509</v>
      </c>
      <c r="Q163" s="741" t="s">
        <v>509</v>
      </c>
      <c r="R163" s="741" t="s">
        <v>509</v>
      </c>
      <c r="S163" s="741" t="s">
        <v>509</v>
      </c>
      <c r="T163" s="741" t="s">
        <v>509</v>
      </c>
      <c r="U163" s="741" t="s">
        <v>509</v>
      </c>
      <c r="V163" s="741" t="s">
        <v>509</v>
      </c>
      <c r="W163" s="741" t="s">
        <v>509</v>
      </c>
      <c r="X163" s="741" t="s">
        <v>509</v>
      </c>
      <c r="Y163" s="741" t="s">
        <v>509</v>
      </c>
      <c r="Z163" s="741" t="s">
        <v>509</v>
      </c>
      <c r="AA163" s="741" t="s">
        <v>509</v>
      </c>
      <c r="AB163" s="741" t="s">
        <v>509</v>
      </c>
      <c r="AC163" s="741" t="s">
        <v>509</v>
      </c>
      <c r="AD163" s="741" t="s">
        <v>509</v>
      </c>
      <c r="AE163" s="741" t="s">
        <v>509</v>
      </c>
      <c r="AF163" s="542" t="s">
        <v>509</v>
      </c>
      <c r="AG163" s="542" t="s">
        <v>509</v>
      </c>
      <c r="AH163" s="542" t="s">
        <v>509</v>
      </c>
      <c r="AI163" s="542" t="s">
        <v>509</v>
      </c>
      <c r="AJ163" s="542" t="s">
        <v>509</v>
      </c>
      <c r="AK163" s="542">
        <v>0</v>
      </c>
      <c r="AL163" s="542">
        <v>2.3192280922823501</v>
      </c>
      <c r="AM163" s="542">
        <v>0</v>
      </c>
      <c r="AN163" s="542">
        <v>3.8217815744619301</v>
      </c>
      <c r="AO163" s="542">
        <v>3.98725463799996</v>
      </c>
      <c r="AP163" s="542">
        <v>3.63509810189545</v>
      </c>
      <c r="AQ163" s="542">
        <v>3.7649845295393001</v>
      </c>
      <c r="AR163" s="542">
        <v>4.0915901875321401</v>
      </c>
      <c r="AS163" s="542">
        <v>4.2464490151834404</v>
      </c>
      <c r="AT163" s="542">
        <v>0</v>
      </c>
      <c r="AU163" s="542">
        <v>0</v>
      </c>
      <c r="AV163" s="542">
        <v>0</v>
      </c>
      <c r="AW163" s="542">
        <v>0</v>
      </c>
    </row>
    <row r="164" spans="1:49" ht="14.25" customHeight="1">
      <c r="A164" s="543" t="s">
        <v>307</v>
      </c>
      <c r="B164" s="740" t="s">
        <v>509</v>
      </c>
      <c r="C164" s="740" t="s">
        <v>509</v>
      </c>
      <c r="D164" s="740">
        <v>0</v>
      </c>
      <c r="E164" s="740">
        <v>0</v>
      </c>
      <c r="F164" s="740">
        <v>0</v>
      </c>
      <c r="G164" s="740">
        <v>0</v>
      </c>
      <c r="H164" s="740">
        <v>0</v>
      </c>
      <c r="I164" s="740">
        <v>0</v>
      </c>
      <c r="J164" s="740">
        <v>0</v>
      </c>
      <c r="K164" s="740">
        <v>0</v>
      </c>
      <c r="L164" s="740">
        <v>0</v>
      </c>
      <c r="M164" s="740">
        <v>0</v>
      </c>
      <c r="N164" s="740">
        <v>0</v>
      </c>
      <c r="O164" s="740">
        <v>0</v>
      </c>
      <c r="P164" s="740">
        <v>0</v>
      </c>
      <c r="Q164" s="740">
        <v>0</v>
      </c>
      <c r="R164" s="740">
        <v>0</v>
      </c>
      <c r="S164" s="740">
        <v>0</v>
      </c>
      <c r="T164" s="740">
        <v>0</v>
      </c>
      <c r="U164" s="740">
        <v>0</v>
      </c>
      <c r="V164" s="740">
        <v>0</v>
      </c>
      <c r="W164" s="740">
        <v>0</v>
      </c>
      <c r="X164" s="740">
        <v>0</v>
      </c>
      <c r="Y164" s="740">
        <v>0</v>
      </c>
      <c r="Z164" s="740">
        <v>3.3187837852189338E-2</v>
      </c>
      <c r="AA164" s="740" t="s">
        <v>509</v>
      </c>
      <c r="AB164" s="740" t="s">
        <v>509</v>
      </c>
      <c r="AC164" s="740" t="s">
        <v>509</v>
      </c>
      <c r="AD164" s="740" t="s">
        <v>509</v>
      </c>
      <c r="AE164" s="740">
        <v>0</v>
      </c>
      <c r="AF164" s="540" t="s">
        <v>509</v>
      </c>
      <c r="AG164" s="540" t="s">
        <v>509</v>
      </c>
      <c r="AH164" s="540" t="s">
        <v>509</v>
      </c>
      <c r="AI164" s="540" t="s">
        <v>509</v>
      </c>
      <c r="AJ164" s="540" t="s">
        <v>509</v>
      </c>
      <c r="AK164" s="540">
        <v>0</v>
      </c>
      <c r="AL164" s="540">
        <v>0</v>
      </c>
      <c r="AM164" s="540">
        <v>0</v>
      </c>
      <c r="AN164" s="540">
        <v>3.5290356686353802E-2</v>
      </c>
      <c r="AO164" s="540">
        <v>5.8204733904435139E-2</v>
      </c>
      <c r="AP164" s="540">
        <v>0.46355961862909967</v>
      </c>
      <c r="AQ164" s="540">
        <v>2.3489515213590959</v>
      </c>
      <c r="AR164" s="540">
        <v>1.2366594791646097</v>
      </c>
      <c r="AS164" s="540">
        <v>0.41277789840470797</v>
      </c>
      <c r="AT164" s="540">
        <v>0.13071882942140209</v>
      </c>
      <c r="AU164" s="540">
        <v>0</v>
      </c>
      <c r="AV164" s="540">
        <v>0.44241010213237458</v>
      </c>
      <c r="AW164" s="540">
        <v>7.5105982776208433E-2</v>
      </c>
    </row>
    <row r="165" spans="1:49" ht="14.25" customHeight="1">
      <c r="A165" s="543" t="s">
        <v>533</v>
      </c>
      <c r="B165" s="741" t="s">
        <v>509</v>
      </c>
      <c r="C165" s="741" t="s">
        <v>509</v>
      </c>
      <c r="D165" s="741" t="s">
        <v>509</v>
      </c>
      <c r="E165" s="741" t="s">
        <v>509</v>
      </c>
      <c r="F165" s="741" t="s">
        <v>509</v>
      </c>
      <c r="G165" s="741" t="s">
        <v>509</v>
      </c>
      <c r="H165" s="741" t="s">
        <v>509</v>
      </c>
      <c r="I165" s="741" t="s">
        <v>509</v>
      </c>
      <c r="J165" s="741" t="s">
        <v>509</v>
      </c>
      <c r="K165" s="741" t="s">
        <v>509</v>
      </c>
      <c r="L165" s="741" t="s">
        <v>509</v>
      </c>
      <c r="M165" s="741" t="s">
        <v>509</v>
      </c>
      <c r="N165" s="741" t="s">
        <v>509</v>
      </c>
      <c r="O165" s="741" t="s">
        <v>509</v>
      </c>
      <c r="P165" s="741" t="s">
        <v>509</v>
      </c>
      <c r="Q165" s="741" t="s">
        <v>509</v>
      </c>
      <c r="R165" s="741" t="s">
        <v>509</v>
      </c>
      <c r="S165" s="741" t="s">
        <v>509</v>
      </c>
      <c r="T165" s="741" t="s">
        <v>509</v>
      </c>
      <c r="U165" s="741" t="s">
        <v>509</v>
      </c>
      <c r="V165" s="741" t="s">
        <v>509</v>
      </c>
      <c r="W165" s="741" t="s">
        <v>509</v>
      </c>
      <c r="X165" s="741" t="s">
        <v>509</v>
      </c>
      <c r="Y165" s="741" t="s">
        <v>509</v>
      </c>
      <c r="Z165" s="741" t="s">
        <v>509</v>
      </c>
      <c r="AA165" s="741" t="s">
        <v>509</v>
      </c>
      <c r="AB165" s="741" t="s">
        <v>509</v>
      </c>
      <c r="AC165" s="741" t="s">
        <v>509</v>
      </c>
      <c r="AD165" s="741" t="s">
        <v>509</v>
      </c>
      <c r="AE165" s="741" t="s">
        <v>509</v>
      </c>
      <c r="AF165" s="542" t="s">
        <v>509</v>
      </c>
      <c r="AG165" s="542" t="s">
        <v>509</v>
      </c>
      <c r="AH165" s="542" t="s">
        <v>509</v>
      </c>
      <c r="AI165" s="542" t="s">
        <v>509</v>
      </c>
      <c r="AJ165" s="542" t="s">
        <v>509</v>
      </c>
      <c r="AK165" s="542" t="s">
        <v>509</v>
      </c>
      <c r="AL165" s="542" t="s">
        <v>509</v>
      </c>
      <c r="AM165" s="542" t="s">
        <v>509</v>
      </c>
      <c r="AN165" s="542" t="s">
        <v>509</v>
      </c>
      <c r="AO165" s="542" t="s">
        <v>509</v>
      </c>
      <c r="AP165" s="542" t="s">
        <v>509</v>
      </c>
      <c r="AQ165" s="542" t="s">
        <v>509</v>
      </c>
      <c r="AR165" s="542" t="s">
        <v>509</v>
      </c>
      <c r="AS165" s="542" t="s">
        <v>509</v>
      </c>
      <c r="AT165" s="542" t="s">
        <v>509</v>
      </c>
      <c r="AU165" s="542" t="s">
        <v>509</v>
      </c>
      <c r="AV165" s="542">
        <v>29.223418074103794</v>
      </c>
      <c r="AW165" s="542" t="s">
        <v>509</v>
      </c>
    </row>
    <row r="166" spans="1:49" ht="14.25" customHeight="1">
      <c r="A166" s="543" t="s">
        <v>532</v>
      </c>
      <c r="B166" s="740">
        <v>0</v>
      </c>
      <c r="C166" s="740">
        <v>0</v>
      </c>
      <c r="D166" s="740">
        <v>0</v>
      </c>
      <c r="E166" s="740">
        <v>0</v>
      </c>
      <c r="F166" s="740">
        <v>0</v>
      </c>
      <c r="G166" s="740">
        <v>0</v>
      </c>
      <c r="H166" s="740">
        <v>0</v>
      </c>
      <c r="I166" s="740">
        <v>0</v>
      </c>
      <c r="J166" s="740">
        <v>0</v>
      </c>
      <c r="K166" s="740">
        <v>0</v>
      </c>
      <c r="L166" s="740">
        <v>0</v>
      </c>
      <c r="M166" s="740">
        <v>0</v>
      </c>
      <c r="N166" s="740">
        <v>0</v>
      </c>
      <c r="O166" s="740">
        <v>0</v>
      </c>
      <c r="P166" s="740">
        <v>0</v>
      </c>
      <c r="Q166" s="740">
        <v>0</v>
      </c>
      <c r="R166" s="740" t="s">
        <v>509</v>
      </c>
      <c r="S166" s="740" t="s">
        <v>509</v>
      </c>
      <c r="T166" s="740" t="s">
        <v>509</v>
      </c>
      <c r="U166" s="740" t="s">
        <v>509</v>
      </c>
      <c r="V166" s="740" t="s">
        <v>509</v>
      </c>
      <c r="W166" s="740" t="s">
        <v>509</v>
      </c>
      <c r="X166" s="740">
        <v>0</v>
      </c>
      <c r="Y166" s="740">
        <v>0</v>
      </c>
      <c r="Z166" s="740">
        <v>0</v>
      </c>
      <c r="AA166" s="740">
        <v>0</v>
      </c>
      <c r="AB166" s="740">
        <v>0</v>
      </c>
      <c r="AC166" s="740">
        <v>0</v>
      </c>
      <c r="AD166" s="740">
        <v>0</v>
      </c>
      <c r="AE166" s="740">
        <v>0</v>
      </c>
      <c r="AF166" s="540">
        <v>0</v>
      </c>
      <c r="AG166" s="540">
        <v>0</v>
      </c>
      <c r="AH166" s="540">
        <v>0</v>
      </c>
      <c r="AI166" s="540">
        <v>0</v>
      </c>
      <c r="AJ166" s="540">
        <v>0</v>
      </c>
      <c r="AK166" s="540">
        <v>0</v>
      </c>
      <c r="AL166" s="540">
        <v>0</v>
      </c>
      <c r="AM166" s="540">
        <v>0</v>
      </c>
      <c r="AN166" s="540">
        <v>0</v>
      </c>
      <c r="AO166" s="540">
        <v>0</v>
      </c>
      <c r="AP166" s="540">
        <v>0</v>
      </c>
      <c r="AQ166" s="540">
        <v>0</v>
      </c>
      <c r="AR166" s="540">
        <v>0</v>
      </c>
      <c r="AS166" s="540">
        <v>1.41861518455233E-3</v>
      </c>
      <c r="AT166" s="540">
        <v>0</v>
      </c>
      <c r="AU166" s="540">
        <v>0</v>
      </c>
      <c r="AV166" s="540">
        <v>0</v>
      </c>
      <c r="AW166" s="540" t="s">
        <v>509</v>
      </c>
    </row>
    <row r="167" spans="1:49" ht="14.25" customHeight="1">
      <c r="A167" s="543" t="s">
        <v>309</v>
      </c>
      <c r="B167" s="741">
        <v>0</v>
      </c>
      <c r="C167" s="741">
        <v>0</v>
      </c>
      <c r="D167" s="741">
        <v>0</v>
      </c>
      <c r="E167" s="741">
        <v>0</v>
      </c>
      <c r="F167" s="741">
        <v>0</v>
      </c>
      <c r="G167" s="741">
        <v>0</v>
      </c>
      <c r="H167" s="741">
        <v>0</v>
      </c>
      <c r="I167" s="741">
        <v>0</v>
      </c>
      <c r="J167" s="741">
        <v>0</v>
      </c>
      <c r="K167" s="741">
        <v>0</v>
      </c>
      <c r="L167" s="741">
        <v>0</v>
      </c>
      <c r="M167" s="741">
        <v>0</v>
      </c>
      <c r="N167" s="741">
        <v>0</v>
      </c>
      <c r="O167" s="741">
        <v>0</v>
      </c>
      <c r="P167" s="741">
        <v>0</v>
      </c>
      <c r="Q167" s="741">
        <v>0</v>
      </c>
      <c r="R167" s="741">
        <v>0</v>
      </c>
      <c r="S167" s="741">
        <v>0</v>
      </c>
      <c r="T167" s="741">
        <v>0</v>
      </c>
      <c r="U167" s="741">
        <v>0</v>
      </c>
      <c r="V167" s="741">
        <v>0</v>
      </c>
      <c r="W167" s="741">
        <v>0</v>
      </c>
      <c r="X167" s="741">
        <v>0</v>
      </c>
      <c r="Y167" s="741">
        <v>0</v>
      </c>
      <c r="Z167" s="741">
        <v>0</v>
      </c>
      <c r="AA167" s="741">
        <v>0</v>
      </c>
      <c r="AB167" s="741">
        <v>0</v>
      </c>
      <c r="AC167" s="741">
        <v>0</v>
      </c>
      <c r="AD167" s="741">
        <v>0</v>
      </c>
      <c r="AE167" s="741">
        <v>0</v>
      </c>
      <c r="AF167" s="542" t="s">
        <v>509</v>
      </c>
      <c r="AG167" s="542" t="s">
        <v>509</v>
      </c>
      <c r="AH167" s="542" t="s">
        <v>509</v>
      </c>
      <c r="AI167" s="542" t="s">
        <v>509</v>
      </c>
      <c r="AJ167" s="542" t="s">
        <v>509</v>
      </c>
      <c r="AK167" s="542" t="s">
        <v>509</v>
      </c>
      <c r="AL167" s="542" t="s">
        <v>509</v>
      </c>
      <c r="AM167" s="542" t="s">
        <v>509</v>
      </c>
      <c r="AN167" s="542" t="s">
        <v>509</v>
      </c>
      <c r="AO167" s="542" t="s">
        <v>509</v>
      </c>
      <c r="AP167" s="542" t="s">
        <v>509</v>
      </c>
      <c r="AQ167" s="542" t="s">
        <v>509</v>
      </c>
      <c r="AR167" s="542" t="s">
        <v>509</v>
      </c>
      <c r="AS167" s="542" t="s">
        <v>509</v>
      </c>
      <c r="AT167" s="542" t="s">
        <v>509</v>
      </c>
      <c r="AU167" s="542" t="s">
        <v>509</v>
      </c>
      <c r="AV167" s="542" t="s">
        <v>509</v>
      </c>
      <c r="AW167" s="542" t="s">
        <v>509</v>
      </c>
    </row>
    <row r="168" spans="1:49" ht="14.25" customHeight="1">
      <c r="A168" s="543" t="s">
        <v>310</v>
      </c>
      <c r="B168" s="740">
        <v>0.79323269728202983</v>
      </c>
      <c r="C168" s="740">
        <v>0.92069280155629518</v>
      </c>
      <c r="D168" s="740">
        <v>1.7502464530516877</v>
      </c>
      <c r="E168" s="740">
        <v>2.3487092223109252</v>
      </c>
      <c r="F168" s="740">
        <v>3.2906853575116215</v>
      </c>
      <c r="G168" s="740">
        <v>1.798564935703912</v>
      </c>
      <c r="H168" s="740">
        <v>12.953966009319682</v>
      </c>
      <c r="I168" s="740">
        <v>13.055138071063206</v>
      </c>
      <c r="J168" s="740">
        <v>15.377912083514241</v>
      </c>
      <c r="K168" s="740">
        <v>8.3532310770853826</v>
      </c>
      <c r="L168" s="740">
        <v>5.8095151762497359</v>
      </c>
      <c r="M168" s="740">
        <v>7.7676989401271204</v>
      </c>
      <c r="N168" s="740">
        <v>5.3903591198860168</v>
      </c>
      <c r="O168" s="740">
        <v>9.434335418013859</v>
      </c>
      <c r="P168" s="740">
        <v>16.049739170482471</v>
      </c>
      <c r="Q168" s="740">
        <v>31.403252929762655</v>
      </c>
      <c r="R168" s="740">
        <v>26.798351135467261</v>
      </c>
      <c r="S168" s="740">
        <v>37.628668405128955</v>
      </c>
      <c r="T168" s="740">
        <v>27.475381859203274</v>
      </c>
      <c r="U168" s="740">
        <v>3.620286383972652</v>
      </c>
      <c r="V168" s="740">
        <v>8.7909723286747994</v>
      </c>
      <c r="W168" s="740">
        <v>0.46916012083482106</v>
      </c>
      <c r="X168" s="740">
        <v>0.14220379538734085</v>
      </c>
      <c r="Y168" s="740">
        <v>1.5408039083646397</v>
      </c>
      <c r="Z168" s="740">
        <v>1.6361390807805771</v>
      </c>
      <c r="AA168" s="740">
        <v>11.060140485655339</v>
      </c>
      <c r="AB168" s="740">
        <v>6.4418553518349881</v>
      </c>
      <c r="AC168" s="740">
        <v>3.0199798994476148</v>
      </c>
      <c r="AD168" s="740">
        <v>36.546118405597198</v>
      </c>
      <c r="AE168" s="740">
        <v>67.300285256832851</v>
      </c>
      <c r="AF168" s="540">
        <v>111.9</v>
      </c>
      <c r="AG168" s="540">
        <v>72.756768023441907</v>
      </c>
      <c r="AH168" s="540">
        <v>83.592104892576359</v>
      </c>
      <c r="AI168" s="540">
        <v>155.42599452974824</v>
      </c>
      <c r="AJ168" s="540">
        <v>45.652350074252219</v>
      </c>
      <c r="AK168" s="540">
        <v>75.445498968174476</v>
      </c>
      <c r="AL168" s="540">
        <v>124.02158183662881</v>
      </c>
      <c r="AM168" s="540">
        <v>94.55371790340773</v>
      </c>
      <c r="AN168" s="540">
        <v>116.19445982240561</v>
      </c>
      <c r="AO168" s="540">
        <v>109.80778759009353</v>
      </c>
      <c r="AP168" s="540">
        <v>96.930592198271469</v>
      </c>
      <c r="AQ168" s="540">
        <v>103.54424332188337</v>
      </c>
      <c r="AR168" s="540">
        <v>97.251603533552938</v>
      </c>
      <c r="AS168" s="540">
        <v>160.6511278464657</v>
      </c>
      <c r="AT168" s="540">
        <v>167.78562702957194</v>
      </c>
      <c r="AU168" s="540">
        <v>178.61970095564581</v>
      </c>
      <c r="AV168" s="540">
        <v>164.85039352339308</v>
      </c>
      <c r="AW168" s="540" t="s">
        <v>509</v>
      </c>
    </row>
    <row r="169" spans="1:49" ht="14.25" customHeight="1">
      <c r="A169" s="543" t="s">
        <v>531</v>
      </c>
      <c r="B169" s="741" t="s">
        <v>509</v>
      </c>
      <c r="C169" s="741" t="s">
        <v>509</v>
      </c>
      <c r="D169" s="741" t="s">
        <v>509</v>
      </c>
      <c r="E169" s="741" t="s">
        <v>509</v>
      </c>
      <c r="F169" s="741" t="s">
        <v>509</v>
      </c>
      <c r="G169" s="741" t="s">
        <v>509</v>
      </c>
      <c r="H169" s="741" t="s">
        <v>509</v>
      </c>
      <c r="I169" s="741" t="s">
        <v>509</v>
      </c>
      <c r="J169" s="741" t="s">
        <v>509</v>
      </c>
      <c r="K169" s="741" t="s">
        <v>509</v>
      </c>
      <c r="L169" s="741" t="s">
        <v>509</v>
      </c>
      <c r="M169" s="741" t="s">
        <v>509</v>
      </c>
      <c r="N169" s="741" t="s">
        <v>509</v>
      </c>
      <c r="O169" s="741" t="s">
        <v>509</v>
      </c>
      <c r="P169" s="741" t="s">
        <v>509</v>
      </c>
      <c r="Q169" s="741" t="s">
        <v>509</v>
      </c>
      <c r="R169" s="741" t="s">
        <v>509</v>
      </c>
      <c r="S169" s="741" t="s">
        <v>509</v>
      </c>
      <c r="T169" s="741" t="s">
        <v>509</v>
      </c>
      <c r="U169" s="741" t="s">
        <v>509</v>
      </c>
      <c r="V169" s="741" t="s">
        <v>509</v>
      </c>
      <c r="W169" s="741" t="s">
        <v>509</v>
      </c>
      <c r="X169" s="741" t="s">
        <v>509</v>
      </c>
      <c r="Y169" s="741" t="s">
        <v>509</v>
      </c>
      <c r="Z169" s="741" t="s">
        <v>509</v>
      </c>
      <c r="AA169" s="741" t="s">
        <v>509</v>
      </c>
      <c r="AB169" s="741" t="s">
        <v>509</v>
      </c>
      <c r="AC169" s="741" t="s">
        <v>509</v>
      </c>
      <c r="AD169" s="741" t="s">
        <v>509</v>
      </c>
      <c r="AE169" s="741" t="s">
        <v>509</v>
      </c>
      <c r="AF169" s="542" t="s">
        <v>509</v>
      </c>
      <c r="AG169" s="542" t="s">
        <v>509</v>
      </c>
      <c r="AH169" s="542">
        <v>77.099999999999994</v>
      </c>
      <c r="AI169" s="542">
        <v>81.092808490714418</v>
      </c>
      <c r="AJ169" s="542">
        <v>144.14383722831658</v>
      </c>
      <c r="AK169" s="542">
        <v>127.34044390780002</v>
      </c>
      <c r="AL169" s="542">
        <v>239.98128111233902</v>
      </c>
      <c r="AM169" s="542">
        <v>325.46183619203566</v>
      </c>
      <c r="AN169" s="542">
        <v>354.07741281117472</v>
      </c>
      <c r="AO169" s="542">
        <v>427.37735207924737</v>
      </c>
      <c r="AP169" s="542">
        <v>374.84013785088325</v>
      </c>
      <c r="AQ169" s="542">
        <v>268.36958640250532</v>
      </c>
      <c r="AR169" s="542">
        <v>161.45492060128527</v>
      </c>
      <c r="AS169" s="542">
        <v>154.6377364662653</v>
      </c>
      <c r="AT169" s="542">
        <v>205.34916585970009</v>
      </c>
      <c r="AU169" s="542">
        <v>196.9510201485314</v>
      </c>
      <c r="AV169" s="542">
        <v>186.80490837907266</v>
      </c>
      <c r="AW169" s="542">
        <v>223.67980368046844</v>
      </c>
    </row>
    <row r="170" spans="1:49" ht="14.25" customHeight="1">
      <c r="A170" s="543" t="s">
        <v>202</v>
      </c>
      <c r="B170" s="740" t="s">
        <v>509</v>
      </c>
      <c r="C170" s="740">
        <v>0</v>
      </c>
      <c r="D170" s="740">
        <v>0.30091386235601358</v>
      </c>
      <c r="E170" s="740">
        <v>0.51780183539431568</v>
      </c>
      <c r="F170" s="740">
        <v>1.2494456823448119</v>
      </c>
      <c r="G170" s="740">
        <v>1.4750901459790429</v>
      </c>
      <c r="H170" s="740">
        <v>0.64189659056228499</v>
      </c>
      <c r="I170" s="740">
        <v>0.52095478616358304</v>
      </c>
      <c r="J170" s="740">
        <v>0.5911879169264711</v>
      </c>
      <c r="K170" s="740">
        <v>0.60818860180713596</v>
      </c>
      <c r="L170" s="740">
        <v>0.56159451351991896</v>
      </c>
      <c r="M170" s="740">
        <v>0.48632220281899302</v>
      </c>
      <c r="N170" s="740">
        <v>0.62578935892382692</v>
      </c>
      <c r="O170" s="740">
        <v>0.74336398413889204</v>
      </c>
      <c r="P170" s="740">
        <v>0.92130324015823495</v>
      </c>
      <c r="Q170" s="740">
        <v>1.1257087759914561</v>
      </c>
      <c r="R170" s="740">
        <v>1.135042779453395</v>
      </c>
      <c r="S170" s="740">
        <v>1.1720845434351628</v>
      </c>
      <c r="T170" s="740">
        <v>0.50178196930123597</v>
      </c>
      <c r="U170" s="740">
        <v>6.6655348663184402</v>
      </c>
      <c r="V170" s="740">
        <v>8.4838748628457683</v>
      </c>
      <c r="W170" s="740">
        <v>6.2374454642704995</v>
      </c>
      <c r="X170" s="740">
        <v>4.9539011971927902</v>
      </c>
      <c r="Y170" s="740">
        <v>1.5012756091805899</v>
      </c>
      <c r="Z170" s="740">
        <v>4.4922088253185901</v>
      </c>
      <c r="AA170" s="740">
        <v>3.5002873152504601</v>
      </c>
      <c r="AB170" s="740">
        <v>2.5608012462566099</v>
      </c>
      <c r="AC170" s="740">
        <v>2.0030900055352499</v>
      </c>
      <c r="AD170" s="740">
        <v>2.8946158380215001</v>
      </c>
      <c r="AE170" s="740">
        <v>2.4190909090909103</v>
      </c>
      <c r="AF170" s="540">
        <v>2.540045454545456</v>
      </c>
      <c r="AG170" s="540">
        <v>2.6707822222613</v>
      </c>
      <c r="AH170" s="540">
        <v>2.6</v>
      </c>
      <c r="AI170" s="540">
        <v>2.5</v>
      </c>
      <c r="AJ170" s="540">
        <v>1.778451390471204</v>
      </c>
      <c r="AK170" s="540">
        <v>2.0505025049999999</v>
      </c>
      <c r="AL170" s="540">
        <v>1.9724414931379</v>
      </c>
      <c r="AM170" s="540">
        <v>4.7607067129902401</v>
      </c>
      <c r="AN170" s="540">
        <v>10.37379225027599</v>
      </c>
      <c r="AO170" s="540">
        <v>1.7781999254436782</v>
      </c>
      <c r="AP170" s="540">
        <v>1.813763923952552</v>
      </c>
      <c r="AQ170" s="540">
        <v>1.8500392024316028</v>
      </c>
      <c r="AR170" s="540">
        <v>-0.41296001351976497</v>
      </c>
      <c r="AS170" s="540">
        <v>0.96607250027259806</v>
      </c>
      <c r="AT170" s="540">
        <v>0.98539395027804999</v>
      </c>
      <c r="AU170" s="540">
        <v>3.2864989264611673</v>
      </c>
      <c r="AV170" s="540">
        <v>2.54672927603754</v>
      </c>
      <c r="AW170" s="540" t="s">
        <v>509</v>
      </c>
    </row>
    <row r="171" spans="1:49" ht="14.25" customHeight="1">
      <c r="A171" s="543" t="s">
        <v>312</v>
      </c>
      <c r="B171" s="741" t="s">
        <v>509</v>
      </c>
      <c r="C171" s="741" t="s">
        <v>509</v>
      </c>
      <c r="D171" s="741">
        <v>0</v>
      </c>
      <c r="E171" s="741">
        <v>0</v>
      </c>
      <c r="F171" s="741">
        <v>0</v>
      </c>
      <c r="G171" s="741">
        <v>0</v>
      </c>
      <c r="H171" s="741">
        <v>0.25882184082785409</v>
      </c>
      <c r="I171" s="741">
        <v>0.16146605667821262</v>
      </c>
      <c r="J171" s="741">
        <v>0.26520553783030887</v>
      </c>
      <c r="K171" s="741">
        <v>0.1593657244432769</v>
      </c>
      <c r="L171" s="741">
        <v>0.17667280931850918</v>
      </c>
      <c r="M171" s="741">
        <v>0.11185589646344724</v>
      </c>
      <c r="N171" s="741">
        <v>0.15862513136143691</v>
      </c>
      <c r="O171" s="741">
        <v>0.15993069669809765</v>
      </c>
      <c r="P171" s="741">
        <v>0.19895420862689425</v>
      </c>
      <c r="Q171" s="741">
        <v>0.6880347759099803</v>
      </c>
      <c r="R171" s="741">
        <v>0.87017124089691866</v>
      </c>
      <c r="S171" s="741">
        <v>6.6674430889683237E-2</v>
      </c>
      <c r="T171" s="741">
        <v>7.9829614584206843E-2</v>
      </c>
      <c r="U171" s="741">
        <v>0.32194855285417961</v>
      </c>
      <c r="V171" s="741">
        <v>0</v>
      </c>
      <c r="W171" s="741">
        <v>0</v>
      </c>
      <c r="X171" s="741">
        <v>0</v>
      </c>
      <c r="Y171" s="741">
        <v>0.16327517334796607</v>
      </c>
      <c r="Z171" s="741">
        <v>0.20601985927241789</v>
      </c>
      <c r="AA171" s="741">
        <v>0.82800979864969837</v>
      </c>
      <c r="AB171" s="741">
        <v>1.2622887196151671</v>
      </c>
      <c r="AC171" s="741">
        <v>2.3772841788891467E-4</v>
      </c>
      <c r="AD171" s="741">
        <v>0</v>
      </c>
      <c r="AE171" s="741">
        <v>0</v>
      </c>
      <c r="AF171" s="542">
        <v>0</v>
      </c>
      <c r="AG171" s="542">
        <v>0</v>
      </c>
      <c r="AH171" s="542">
        <v>0</v>
      </c>
      <c r="AI171" s="542">
        <v>0</v>
      </c>
      <c r="AJ171" s="542" t="s">
        <v>509</v>
      </c>
      <c r="AK171" s="542" t="s">
        <v>509</v>
      </c>
      <c r="AL171" s="542" t="s">
        <v>509</v>
      </c>
      <c r="AM171" s="542" t="s">
        <v>509</v>
      </c>
      <c r="AN171" s="542" t="s">
        <v>509</v>
      </c>
      <c r="AO171" s="542" t="s">
        <v>509</v>
      </c>
      <c r="AP171" s="542" t="s">
        <v>509</v>
      </c>
      <c r="AQ171" s="542">
        <v>0</v>
      </c>
      <c r="AR171" s="542">
        <v>0</v>
      </c>
      <c r="AS171" s="542">
        <v>0</v>
      </c>
      <c r="AT171" s="542">
        <v>0</v>
      </c>
      <c r="AU171" s="542">
        <v>0</v>
      </c>
      <c r="AV171" s="542">
        <v>0</v>
      </c>
      <c r="AW171" s="542" t="s">
        <v>509</v>
      </c>
    </row>
    <row r="172" spans="1:49" ht="14.25" customHeight="1">
      <c r="A172" s="543" t="s">
        <v>22</v>
      </c>
      <c r="B172" s="740">
        <v>0</v>
      </c>
      <c r="C172" s="740">
        <v>0</v>
      </c>
      <c r="D172" s="740">
        <v>0</v>
      </c>
      <c r="E172" s="740">
        <v>0</v>
      </c>
      <c r="F172" s="740">
        <v>0</v>
      </c>
      <c r="G172" s="740">
        <v>0</v>
      </c>
      <c r="H172" s="740">
        <v>0</v>
      </c>
      <c r="I172" s="740">
        <v>0</v>
      </c>
      <c r="J172" s="740">
        <v>0</v>
      </c>
      <c r="K172" s="740">
        <v>0</v>
      </c>
      <c r="L172" s="740">
        <v>0</v>
      </c>
      <c r="M172" s="740">
        <v>0</v>
      </c>
      <c r="N172" s="740" t="s">
        <v>509</v>
      </c>
      <c r="O172" s="740" t="s">
        <v>509</v>
      </c>
      <c r="P172" s="740" t="s">
        <v>509</v>
      </c>
      <c r="Q172" s="740" t="s">
        <v>509</v>
      </c>
      <c r="R172" s="740" t="s">
        <v>509</v>
      </c>
      <c r="S172" s="740" t="s">
        <v>509</v>
      </c>
      <c r="T172" s="740" t="s">
        <v>509</v>
      </c>
      <c r="U172" s="740" t="s">
        <v>509</v>
      </c>
      <c r="V172" s="740" t="s">
        <v>509</v>
      </c>
      <c r="W172" s="740" t="s">
        <v>509</v>
      </c>
      <c r="X172" s="740" t="s">
        <v>509</v>
      </c>
      <c r="Y172" s="740" t="s">
        <v>509</v>
      </c>
      <c r="Z172" s="740" t="s">
        <v>509</v>
      </c>
      <c r="AA172" s="740" t="s">
        <v>509</v>
      </c>
      <c r="AB172" s="740" t="s">
        <v>509</v>
      </c>
      <c r="AC172" s="740" t="s">
        <v>509</v>
      </c>
      <c r="AD172" s="740" t="s">
        <v>509</v>
      </c>
      <c r="AE172" s="740" t="s">
        <v>509</v>
      </c>
      <c r="AF172" s="540" t="s">
        <v>509</v>
      </c>
      <c r="AG172" s="540" t="s">
        <v>509</v>
      </c>
      <c r="AH172" s="540" t="s">
        <v>509</v>
      </c>
      <c r="AI172" s="540" t="s">
        <v>509</v>
      </c>
      <c r="AJ172" s="540" t="s">
        <v>509</v>
      </c>
      <c r="AK172" s="540" t="s">
        <v>509</v>
      </c>
      <c r="AL172" s="540" t="s">
        <v>509</v>
      </c>
      <c r="AM172" s="540" t="s">
        <v>509</v>
      </c>
      <c r="AN172" s="540" t="s">
        <v>509</v>
      </c>
      <c r="AO172" s="540" t="s">
        <v>509</v>
      </c>
      <c r="AP172" s="540" t="s">
        <v>509</v>
      </c>
      <c r="AQ172" s="540" t="s">
        <v>509</v>
      </c>
      <c r="AR172" s="540" t="s">
        <v>509</v>
      </c>
      <c r="AS172" s="540" t="s">
        <v>509</v>
      </c>
      <c r="AT172" s="540" t="s">
        <v>509</v>
      </c>
      <c r="AU172" s="540" t="s">
        <v>509</v>
      </c>
      <c r="AV172" s="540" t="s">
        <v>509</v>
      </c>
      <c r="AW172" s="540" t="s">
        <v>509</v>
      </c>
    </row>
    <row r="173" spans="1:49" ht="14.25" customHeight="1">
      <c r="A173" s="543" t="s">
        <v>530</v>
      </c>
      <c r="B173" s="741" t="s">
        <v>509</v>
      </c>
      <c r="C173" s="741" t="s">
        <v>509</v>
      </c>
      <c r="D173" s="741" t="s">
        <v>509</v>
      </c>
      <c r="E173" s="741" t="s">
        <v>509</v>
      </c>
      <c r="F173" s="741" t="s">
        <v>509</v>
      </c>
      <c r="G173" s="741" t="s">
        <v>509</v>
      </c>
      <c r="H173" s="741" t="s">
        <v>509</v>
      </c>
      <c r="I173" s="741" t="s">
        <v>509</v>
      </c>
      <c r="J173" s="741" t="s">
        <v>509</v>
      </c>
      <c r="K173" s="741" t="s">
        <v>509</v>
      </c>
      <c r="L173" s="741" t="s">
        <v>509</v>
      </c>
      <c r="M173" s="741" t="s">
        <v>509</v>
      </c>
      <c r="N173" s="741" t="s">
        <v>509</v>
      </c>
      <c r="O173" s="741" t="s">
        <v>509</v>
      </c>
      <c r="P173" s="741" t="s">
        <v>509</v>
      </c>
      <c r="Q173" s="741" t="s">
        <v>509</v>
      </c>
      <c r="R173" s="741" t="s">
        <v>509</v>
      </c>
      <c r="S173" s="741" t="s">
        <v>509</v>
      </c>
      <c r="T173" s="741" t="s">
        <v>509</v>
      </c>
      <c r="U173" s="741" t="s">
        <v>509</v>
      </c>
      <c r="V173" s="741" t="s">
        <v>509</v>
      </c>
      <c r="W173" s="741" t="s">
        <v>509</v>
      </c>
      <c r="X173" s="741" t="s">
        <v>509</v>
      </c>
      <c r="Y173" s="741" t="s">
        <v>509</v>
      </c>
      <c r="Z173" s="741" t="s">
        <v>509</v>
      </c>
      <c r="AA173" s="741" t="s">
        <v>509</v>
      </c>
      <c r="AB173" s="741" t="s">
        <v>509</v>
      </c>
      <c r="AC173" s="741" t="s">
        <v>509</v>
      </c>
      <c r="AD173" s="741" t="s">
        <v>509</v>
      </c>
      <c r="AE173" s="741" t="s">
        <v>509</v>
      </c>
      <c r="AF173" s="542" t="s">
        <v>509</v>
      </c>
      <c r="AG173" s="542" t="s">
        <v>509</v>
      </c>
      <c r="AH173" s="542" t="s">
        <v>509</v>
      </c>
      <c r="AI173" s="542" t="s">
        <v>509</v>
      </c>
      <c r="AJ173" s="542" t="s">
        <v>509</v>
      </c>
      <c r="AK173" s="542" t="s">
        <v>509</v>
      </c>
      <c r="AL173" s="542">
        <v>0.3</v>
      </c>
      <c r="AM173" s="542">
        <v>0.30502793296089387</v>
      </c>
      <c r="AN173" s="542">
        <v>0</v>
      </c>
      <c r="AO173" s="542">
        <v>0.2960893854748603</v>
      </c>
      <c r="AP173" s="542">
        <v>0</v>
      </c>
      <c r="AQ173" s="542">
        <v>0.24022346368715083</v>
      </c>
      <c r="AR173" s="542">
        <v>1.9888268156424582</v>
      </c>
      <c r="AS173" s="542">
        <v>0</v>
      </c>
      <c r="AT173" s="542">
        <v>2.6025992737430168</v>
      </c>
      <c r="AU173" s="542">
        <v>2.6569089664804468</v>
      </c>
      <c r="AV173" s="542">
        <v>3.3074134301675979</v>
      </c>
      <c r="AW173" s="542" t="s">
        <v>509</v>
      </c>
    </row>
    <row r="174" spans="1:49" ht="14.25" customHeight="1">
      <c r="A174" s="543" t="s">
        <v>529</v>
      </c>
      <c r="B174" s="740" t="s">
        <v>509</v>
      </c>
      <c r="C174" s="740" t="s">
        <v>509</v>
      </c>
      <c r="D174" s="740" t="s">
        <v>509</v>
      </c>
      <c r="E174" s="740" t="s">
        <v>509</v>
      </c>
      <c r="F174" s="740" t="s">
        <v>509</v>
      </c>
      <c r="G174" s="740" t="s">
        <v>509</v>
      </c>
      <c r="H174" s="740" t="s">
        <v>509</v>
      </c>
      <c r="I174" s="740" t="s">
        <v>509</v>
      </c>
      <c r="J174" s="740" t="s">
        <v>509</v>
      </c>
      <c r="K174" s="740" t="s">
        <v>509</v>
      </c>
      <c r="L174" s="740" t="s">
        <v>509</v>
      </c>
      <c r="M174" s="740" t="s">
        <v>509</v>
      </c>
      <c r="N174" s="740" t="s">
        <v>509</v>
      </c>
      <c r="O174" s="740" t="s">
        <v>509</v>
      </c>
      <c r="P174" s="740" t="s">
        <v>509</v>
      </c>
      <c r="Q174" s="740" t="s">
        <v>509</v>
      </c>
      <c r="R174" s="740" t="s">
        <v>509</v>
      </c>
      <c r="S174" s="740" t="s">
        <v>509</v>
      </c>
      <c r="T174" s="740" t="s">
        <v>509</v>
      </c>
      <c r="U174" s="740">
        <v>0</v>
      </c>
      <c r="V174" s="740">
        <v>3.4106412005457026E-2</v>
      </c>
      <c r="W174" s="740">
        <v>0.82326614595354664</v>
      </c>
      <c r="X174" s="740">
        <v>0.59538736858025854</v>
      </c>
      <c r="Y174" s="740">
        <v>9.0822386318984218</v>
      </c>
      <c r="Z174" s="740">
        <v>12.190028619147467</v>
      </c>
      <c r="AA174" s="740">
        <v>26.239504454859954</v>
      </c>
      <c r="AB174" s="740">
        <v>9.9898599206211376</v>
      </c>
      <c r="AC174" s="740">
        <v>9.7003127619020031</v>
      </c>
      <c r="AD174" s="740">
        <v>19.372326847451408</v>
      </c>
      <c r="AE174" s="740">
        <v>112.1</v>
      </c>
      <c r="AF174" s="540">
        <v>30.934686195374589</v>
      </c>
      <c r="AG174" s="540">
        <v>234.64959633109211</v>
      </c>
      <c r="AH174" s="540">
        <v>175.99067960441056</v>
      </c>
      <c r="AI174" s="540">
        <v>403.39226269321108</v>
      </c>
      <c r="AJ174" s="540">
        <v>447.08085076763234</v>
      </c>
      <c r="AK174" s="540">
        <v>397.53803629278354</v>
      </c>
      <c r="AL174" s="540">
        <v>337.97621238909409</v>
      </c>
      <c r="AM174" s="540">
        <v>163.49023189619015</v>
      </c>
      <c r="AN174" s="540">
        <v>282.01573941645091</v>
      </c>
      <c r="AO174" s="540">
        <v>799.20173071431395</v>
      </c>
      <c r="AP174" s="540">
        <v>335.25624244285285</v>
      </c>
      <c r="AQ174" s="540">
        <v>181.85762793368983</v>
      </c>
      <c r="AR174" s="540">
        <v>351.65320179756321</v>
      </c>
      <c r="AS174" s="540">
        <v>389.88020129342505</v>
      </c>
      <c r="AT174" s="540">
        <v>368.58871082239813</v>
      </c>
      <c r="AU174" s="540">
        <v>349.31487447585874</v>
      </c>
      <c r="AV174" s="540">
        <v>354.97622294372252</v>
      </c>
      <c r="AW174" s="540">
        <v>505.65793344155998</v>
      </c>
    </row>
    <row r="175" spans="1:49" ht="14.25" customHeight="1">
      <c r="A175" s="543" t="s">
        <v>528</v>
      </c>
      <c r="B175" s="741" t="s">
        <v>509</v>
      </c>
      <c r="C175" s="741" t="s">
        <v>509</v>
      </c>
      <c r="D175" s="741" t="s">
        <v>509</v>
      </c>
      <c r="E175" s="741" t="s">
        <v>509</v>
      </c>
      <c r="F175" s="741" t="s">
        <v>509</v>
      </c>
      <c r="G175" s="741" t="s">
        <v>509</v>
      </c>
      <c r="H175" s="741" t="s">
        <v>509</v>
      </c>
      <c r="I175" s="741" t="s">
        <v>509</v>
      </c>
      <c r="J175" s="741" t="s">
        <v>509</v>
      </c>
      <c r="K175" s="741" t="s">
        <v>509</v>
      </c>
      <c r="L175" s="741" t="s">
        <v>509</v>
      </c>
      <c r="M175" s="741" t="s">
        <v>509</v>
      </c>
      <c r="N175" s="741" t="s">
        <v>509</v>
      </c>
      <c r="O175" s="741" t="s">
        <v>509</v>
      </c>
      <c r="P175" s="741" t="s">
        <v>509</v>
      </c>
      <c r="Q175" s="741" t="s">
        <v>509</v>
      </c>
      <c r="R175" s="741" t="s">
        <v>509</v>
      </c>
      <c r="S175" s="741">
        <v>7.7</v>
      </c>
      <c r="T175" s="741">
        <v>2.8</v>
      </c>
      <c r="U175" s="741">
        <v>-2.1</v>
      </c>
      <c r="V175" s="741">
        <v>-1.4</v>
      </c>
      <c r="W175" s="741">
        <v>5.5</v>
      </c>
      <c r="X175" s="741">
        <v>10.7</v>
      </c>
      <c r="Y175" s="741">
        <v>-12.5</v>
      </c>
      <c r="Z175" s="741">
        <v>6.8</v>
      </c>
      <c r="AA175" s="741">
        <v>22.6</v>
      </c>
      <c r="AB175" s="741">
        <v>4.4000000000000004</v>
      </c>
      <c r="AC175" s="741">
        <v>-4</v>
      </c>
      <c r="AD175" s="741">
        <v>23.5</v>
      </c>
      <c r="AE175" s="741">
        <v>32.4</v>
      </c>
      <c r="AF175" s="542">
        <v>82.2</v>
      </c>
      <c r="AG175" s="542">
        <v>219.91957044523886</v>
      </c>
      <c r="AH175" s="542">
        <v>288.50063293494514</v>
      </c>
      <c r="AI175" s="542">
        <v>172.9</v>
      </c>
      <c r="AJ175" s="542">
        <v>-201.37992318350493</v>
      </c>
      <c r="AK175" s="542">
        <v>-378.55401274631822</v>
      </c>
      <c r="AL175" s="542">
        <v>-126.2019077706567</v>
      </c>
      <c r="AM175" s="542">
        <v>-434.18119207039183</v>
      </c>
      <c r="AN175" s="542">
        <v>-592.97038916848578</v>
      </c>
      <c r="AO175" s="542">
        <v>-126.51608462266439</v>
      </c>
      <c r="AP175" s="542">
        <v>21.545452796979422</v>
      </c>
      <c r="AQ175" s="542">
        <v>147.65699791556884</v>
      </c>
      <c r="AR175" s="542">
        <v>198.00331665517174</v>
      </c>
      <c r="AS175" s="542">
        <v>331.85168584005623</v>
      </c>
      <c r="AT175" s="542">
        <v>356.51121407318425</v>
      </c>
      <c r="AU175" s="542">
        <v>262.91899207740761</v>
      </c>
      <c r="AV175" s="542">
        <v>563.07675096226774</v>
      </c>
      <c r="AW175" s="542">
        <v>398.64280787816671</v>
      </c>
    </row>
    <row r="176" spans="1:49" ht="14.25" customHeight="1">
      <c r="A176" s="543" t="s">
        <v>313</v>
      </c>
      <c r="B176" s="740">
        <v>0</v>
      </c>
      <c r="C176" s="740">
        <v>0</v>
      </c>
      <c r="D176" s="740">
        <v>0</v>
      </c>
      <c r="E176" s="740">
        <v>0</v>
      </c>
      <c r="F176" s="740">
        <v>0</v>
      </c>
      <c r="G176" s="740">
        <v>0</v>
      </c>
      <c r="H176" s="740">
        <v>0</v>
      </c>
      <c r="I176" s="740">
        <v>0</v>
      </c>
      <c r="J176" s="740">
        <v>0</v>
      </c>
      <c r="K176" s="740">
        <v>0</v>
      </c>
      <c r="L176" s="740">
        <v>0</v>
      </c>
      <c r="M176" s="740">
        <v>0</v>
      </c>
      <c r="N176" s="740">
        <v>0</v>
      </c>
      <c r="O176" s="740">
        <v>0</v>
      </c>
      <c r="P176" s="740">
        <v>0</v>
      </c>
      <c r="Q176" s="740">
        <v>0</v>
      </c>
      <c r="R176" s="740">
        <v>0</v>
      </c>
      <c r="S176" s="740">
        <v>0</v>
      </c>
      <c r="T176" s="740">
        <v>0.125481010540405</v>
      </c>
      <c r="U176" s="740">
        <v>0.4861214847973106</v>
      </c>
      <c r="V176" s="740">
        <v>0.23488652044980771</v>
      </c>
      <c r="W176" s="740">
        <v>0.64491556513063109</v>
      </c>
      <c r="X176" s="740">
        <v>0.29594222848981999</v>
      </c>
      <c r="Y176" s="740">
        <v>0.39454701417029414</v>
      </c>
      <c r="Z176" s="740">
        <v>0</v>
      </c>
      <c r="AA176" s="740">
        <v>7.8601972221735553E-2</v>
      </c>
      <c r="AB176" s="740">
        <v>0.39733724491584499</v>
      </c>
      <c r="AC176" s="740">
        <v>1.726239947411449E-4</v>
      </c>
      <c r="AD176" s="740">
        <v>2.2115806560766869E-2</v>
      </c>
      <c r="AE176" s="740">
        <v>1.0622941947483959E-3</v>
      </c>
      <c r="AF176" s="540">
        <v>0.11933574404723456</v>
      </c>
      <c r="AG176" s="540">
        <v>0.4</v>
      </c>
      <c r="AH176" s="540">
        <v>2.0774062175607515</v>
      </c>
      <c r="AI176" s="540">
        <v>3.5280022793380623</v>
      </c>
      <c r="AJ176" s="540">
        <v>2.5341136338798922</v>
      </c>
      <c r="AK176" s="540">
        <v>2.5725744112198501</v>
      </c>
      <c r="AL176" s="540">
        <v>3.96417192631993</v>
      </c>
      <c r="AM176" s="540">
        <v>3.4464900142430777</v>
      </c>
      <c r="AN176" s="540">
        <v>3.8666589201681623</v>
      </c>
      <c r="AO176" s="540">
        <v>4.3100604671742628</v>
      </c>
      <c r="AP176" s="540">
        <v>4.1729951080661687</v>
      </c>
      <c r="AQ176" s="540">
        <v>4.5639451982940633</v>
      </c>
      <c r="AR176" s="540">
        <v>4.8860652876385187</v>
      </c>
      <c r="AS176" s="540">
        <v>5.437577657190416</v>
      </c>
      <c r="AT176" s="540">
        <v>5.640321252707766</v>
      </c>
      <c r="AU176" s="540">
        <v>5.8719093185495268</v>
      </c>
      <c r="AV176" s="540">
        <v>5.923837250128317</v>
      </c>
      <c r="AW176" s="540">
        <v>6.3821005039821941</v>
      </c>
    </row>
    <row r="177" spans="1:49" ht="14.25" customHeight="1">
      <c r="A177" s="543" t="s">
        <v>527</v>
      </c>
      <c r="B177" s="741" t="s">
        <v>509</v>
      </c>
      <c r="C177" s="741" t="s">
        <v>509</v>
      </c>
      <c r="D177" s="741" t="s">
        <v>509</v>
      </c>
      <c r="E177" s="741" t="s">
        <v>509</v>
      </c>
      <c r="F177" s="741" t="s">
        <v>509</v>
      </c>
      <c r="G177" s="741" t="s">
        <v>509</v>
      </c>
      <c r="H177" s="741" t="s">
        <v>509</v>
      </c>
      <c r="I177" s="741" t="s">
        <v>509</v>
      </c>
      <c r="J177" s="741" t="s">
        <v>509</v>
      </c>
      <c r="K177" s="741" t="s">
        <v>509</v>
      </c>
      <c r="L177" s="741" t="s">
        <v>509</v>
      </c>
      <c r="M177" s="741" t="s">
        <v>509</v>
      </c>
      <c r="N177" s="741" t="s">
        <v>509</v>
      </c>
      <c r="O177" s="741" t="s">
        <v>509</v>
      </c>
      <c r="P177" s="741" t="s">
        <v>509</v>
      </c>
      <c r="Q177" s="741" t="s">
        <v>509</v>
      </c>
      <c r="R177" s="741" t="s">
        <v>509</v>
      </c>
      <c r="S177" s="741" t="s">
        <v>509</v>
      </c>
      <c r="T177" s="741" t="s">
        <v>509</v>
      </c>
      <c r="U177" s="741" t="s">
        <v>509</v>
      </c>
      <c r="V177" s="741" t="s">
        <v>509</v>
      </c>
      <c r="W177" s="741" t="s">
        <v>509</v>
      </c>
      <c r="X177" s="741" t="s">
        <v>509</v>
      </c>
      <c r="Y177" s="741" t="s">
        <v>509</v>
      </c>
      <c r="Z177" s="741" t="s">
        <v>509</v>
      </c>
      <c r="AA177" s="741" t="s">
        <v>509</v>
      </c>
      <c r="AB177" s="741" t="s">
        <v>509</v>
      </c>
      <c r="AC177" s="741" t="s">
        <v>509</v>
      </c>
      <c r="AD177" s="741" t="s">
        <v>509</v>
      </c>
      <c r="AE177" s="741" t="s">
        <v>509</v>
      </c>
      <c r="AF177" s="542" t="s">
        <v>509</v>
      </c>
      <c r="AG177" s="542" t="s">
        <v>509</v>
      </c>
      <c r="AH177" s="542" t="s">
        <v>509</v>
      </c>
      <c r="AI177" s="542" t="s">
        <v>509</v>
      </c>
      <c r="AJ177" s="542" t="s">
        <v>509</v>
      </c>
      <c r="AK177" s="542" t="s">
        <v>509</v>
      </c>
      <c r="AL177" s="542" t="s">
        <v>509</v>
      </c>
      <c r="AM177" s="542" t="s">
        <v>509</v>
      </c>
      <c r="AN177" s="542" t="s">
        <v>509</v>
      </c>
      <c r="AO177" s="542" t="s">
        <v>509</v>
      </c>
      <c r="AP177" s="542" t="s">
        <v>509</v>
      </c>
      <c r="AQ177" s="542" t="s">
        <v>509</v>
      </c>
      <c r="AR177" s="542" t="s">
        <v>509</v>
      </c>
      <c r="AS177" s="542" t="s">
        <v>509</v>
      </c>
      <c r="AT177" s="542" t="s">
        <v>509</v>
      </c>
      <c r="AU177" s="542" t="s">
        <v>509</v>
      </c>
      <c r="AV177" s="542" t="s">
        <v>509</v>
      </c>
      <c r="AW177" s="542" t="s">
        <v>509</v>
      </c>
    </row>
    <row r="178" spans="1:49" ht="14.25" customHeight="1">
      <c r="A178" s="543" t="s">
        <v>39</v>
      </c>
      <c r="B178" s="740">
        <v>193.6537838555233</v>
      </c>
      <c r="C178" s="740">
        <v>240.34999979100002</v>
      </c>
      <c r="D178" s="740">
        <v>172.49999984999999</v>
      </c>
      <c r="E178" s="740">
        <v>272.54999976300002</v>
      </c>
      <c r="F178" s="740">
        <v>335.3513564599445</v>
      </c>
      <c r="G178" s="740">
        <v>315.56044513425002</v>
      </c>
      <c r="H178" s="740">
        <v>308.54377377571586</v>
      </c>
      <c r="I178" s="740">
        <v>192.64387476476961</v>
      </c>
      <c r="J178" s="740">
        <v>393.45189147251494</v>
      </c>
      <c r="K178" s="740">
        <v>315.9079025419191</v>
      </c>
      <c r="L178" s="740">
        <v>595.46229914172773</v>
      </c>
      <c r="M178" s="740">
        <v>806.6456364149019</v>
      </c>
      <c r="N178" s="740">
        <v>997.71409332147266</v>
      </c>
      <c r="O178" s="740">
        <v>900.41922433543971</v>
      </c>
      <c r="P178" s="740">
        <v>814.63748995481637</v>
      </c>
      <c r="Q178" s="740">
        <v>344.56706232561731</v>
      </c>
      <c r="R178" s="740">
        <v>483.04287157068825</v>
      </c>
      <c r="S178" s="740">
        <v>584.84735534367769</v>
      </c>
      <c r="T178" s="740">
        <v>426.71836463718228</v>
      </c>
      <c r="U178" s="740">
        <v>567.04969460775658</v>
      </c>
      <c r="V178" s="740">
        <v>655.07457182876965</v>
      </c>
      <c r="W178" s="740">
        <v>637.60019966184416</v>
      </c>
      <c r="X178" s="740">
        <v>616.8995325865983</v>
      </c>
      <c r="Y178" s="740">
        <v>444.79462162764787</v>
      </c>
      <c r="Z178" s="740">
        <v>589.94649611722855</v>
      </c>
      <c r="AA178" s="740">
        <v>756.41197257921931</v>
      </c>
      <c r="AB178" s="740">
        <v>578.2044046739868</v>
      </c>
      <c r="AC178" s="740">
        <v>441.6</v>
      </c>
      <c r="AD178" s="740">
        <v>630.86769823376255</v>
      </c>
      <c r="AE178" s="740">
        <v>736.77141625582806</v>
      </c>
      <c r="AF178" s="540">
        <v>1061.1112065616226</v>
      </c>
      <c r="AG178" s="540">
        <v>937.92511093418727</v>
      </c>
      <c r="AH178" s="540">
        <v>1090.1366645204048</v>
      </c>
      <c r="AI178" s="540">
        <v>743.5380223030977</v>
      </c>
      <c r="AJ178" s="540">
        <v>594.93175036988737</v>
      </c>
      <c r="AK178" s="540">
        <v>738.93149533753376</v>
      </c>
      <c r="AL178" s="540">
        <v>741.07644032896803</v>
      </c>
      <c r="AM178" s="540">
        <v>1051.4096984670555</v>
      </c>
      <c r="AN178" s="540">
        <v>1741.8943141325981</v>
      </c>
      <c r="AO178" s="540">
        <v>2245.9880739175273</v>
      </c>
      <c r="AP178" s="540">
        <v>2861.8949392464233</v>
      </c>
      <c r="AQ178" s="540">
        <v>1700.301383341709</v>
      </c>
      <c r="AR178" s="540">
        <v>1896.6250886248595</v>
      </c>
      <c r="AS178" s="540">
        <v>2268.0839563952973</v>
      </c>
      <c r="AT178" s="540">
        <v>3057.2332046212532</v>
      </c>
      <c r="AU178" s="540">
        <v>3312.1341197037773</v>
      </c>
      <c r="AV178" s="540">
        <v>4444.3245682151801</v>
      </c>
      <c r="AW178" s="540">
        <v>4543.8824027584096</v>
      </c>
    </row>
    <row r="179" spans="1:49" ht="14.25" customHeight="1">
      <c r="A179" s="543" t="s">
        <v>526</v>
      </c>
      <c r="B179" s="741" t="s">
        <v>509</v>
      </c>
      <c r="C179" s="741" t="s">
        <v>509</v>
      </c>
      <c r="D179" s="741" t="s">
        <v>509</v>
      </c>
      <c r="E179" s="741" t="s">
        <v>509</v>
      </c>
      <c r="F179" s="741" t="s">
        <v>509</v>
      </c>
      <c r="G179" s="741" t="s">
        <v>509</v>
      </c>
      <c r="H179" s="741" t="s">
        <v>509</v>
      </c>
      <c r="I179" s="741" t="s">
        <v>509</v>
      </c>
      <c r="J179" s="741" t="s">
        <v>509</v>
      </c>
      <c r="K179" s="741" t="s">
        <v>509</v>
      </c>
      <c r="L179" s="741" t="s">
        <v>509</v>
      </c>
      <c r="M179" s="741" t="s">
        <v>509</v>
      </c>
      <c r="N179" s="741" t="s">
        <v>509</v>
      </c>
      <c r="O179" s="741" t="s">
        <v>509</v>
      </c>
      <c r="P179" s="741" t="s">
        <v>509</v>
      </c>
      <c r="Q179" s="741" t="s">
        <v>509</v>
      </c>
      <c r="R179" s="741" t="s">
        <v>509</v>
      </c>
      <c r="S179" s="741" t="s">
        <v>509</v>
      </c>
      <c r="T179" s="741" t="s">
        <v>509</v>
      </c>
      <c r="U179" s="741" t="s">
        <v>509</v>
      </c>
      <c r="V179" s="741" t="s">
        <v>509</v>
      </c>
      <c r="W179" s="741" t="s">
        <v>509</v>
      </c>
      <c r="X179" s="741" t="s">
        <v>509</v>
      </c>
      <c r="Y179" s="741" t="s">
        <v>509</v>
      </c>
      <c r="Z179" s="741" t="s">
        <v>509</v>
      </c>
      <c r="AA179" s="741" t="s">
        <v>509</v>
      </c>
      <c r="AB179" s="741" t="s">
        <v>509</v>
      </c>
      <c r="AC179" s="741" t="s">
        <v>509</v>
      </c>
      <c r="AD179" s="741" t="s">
        <v>509</v>
      </c>
      <c r="AE179" s="741" t="s">
        <v>509</v>
      </c>
      <c r="AF179" s="542" t="s">
        <v>509</v>
      </c>
      <c r="AG179" s="542" t="s">
        <v>509</v>
      </c>
      <c r="AH179" s="542" t="s">
        <v>509</v>
      </c>
      <c r="AI179" s="542" t="s">
        <v>509</v>
      </c>
      <c r="AJ179" s="542" t="s">
        <v>509</v>
      </c>
      <c r="AK179" s="542" t="s">
        <v>509</v>
      </c>
      <c r="AL179" s="542" t="s">
        <v>509</v>
      </c>
      <c r="AM179" s="542" t="s">
        <v>509</v>
      </c>
      <c r="AN179" s="542" t="s">
        <v>509</v>
      </c>
      <c r="AO179" s="542" t="s">
        <v>509</v>
      </c>
      <c r="AP179" s="542">
        <v>2.98</v>
      </c>
      <c r="AQ179" s="542">
        <v>3.9923999999999999</v>
      </c>
      <c r="AR179" s="542">
        <v>182.35</v>
      </c>
      <c r="AS179" s="542">
        <v>0.02</v>
      </c>
      <c r="AT179" s="542">
        <v>0.25</v>
      </c>
      <c r="AU179" s="542" t="s">
        <v>509</v>
      </c>
      <c r="AV179" s="542" t="s">
        <v>509</v>
      </c>
      <c r="AW179" s="542" t="s">
        <v>509</v>
      </c>
    </row>
    <row r="180" spans="1:49" ht="14.25" customHeight="1">
      <c r="A180" s="543" t="s">
        <v>30</v>
      </c>
      <c r="B180" s="740">
        <v>0</v>
      </c>
      <c r="C180" s="740">
        <v>2.9366360473129265</v>
      </c>
      <c r="D180" s="740">
        <v>53.831334687008336</v>
      </c>
      <c r="E180" s="740">
        <v>60.576719815503068</v>
      </c>
      <c r="F180" s="740">
        <v>22.824283965170196</v>
      </c>
      <c r="G180" s="740">
        <v>69.716764953600205</v>
      </c>
      <c r="H180" s="740">
        <v>101.73758125979631</v>
      </c>
      <c r="I180" s="740">
        <v>138.23499838111948</v>
      </c>
      <c r="J180" s="740">
        <v>123.69399241073978</v>
      </c>
      <c r="K180" s="740">
        <v>105.25112164571956</v>
      </c>
      <c r="L180" s="740">
        <v>129.24857941101359</v>
      </c>
      <c r="M180" s="740">
        <v>135.5667463098217</v>
      </c>
      <c r="N180" s="740">
        <v>146.42263158424245</v>
      </c>
      <c r="O180" s="740">
        <v>296.21492704412236</v>
      </c>
      <c r="P180" s="740">
        <v>371.24743452610994</v>
      </c>
      <c r="Q180" s="740">
        <v>351.5480087870618</v>
      </c>
      <c r="R180" s="740">
        <v>494.68526554491638</v>
      </c>
      <c r="S180" s="740">
        <v>560.7193431354541</v>
      </c>
      <c r="T180" s="740">
        <v>338.50131181324491</v>
      </c>
      <c r="U180" s="740">
        <v>421.73381089717617</v>
      </c>
      <c r="V180" s="740">
        <v>942.40679208257677</v>
      </c>
      <c r="W180" s="740">
        <v>1893.390173627068</v>
      </c>
      <c r="X180" s="740">
        <v>2494.863759772873</v>
      </c>
      <c r="Y180" s="740">
        <v>2351.5089256475922</v>
      </c>
      <c r="Z180" s="740" t="s">
        <v>509</v>
      </c>
      <c r="AA180" s="740" t="s">
        <v>509</v>
      </c>
      <c r="AB180" s="740" t="s">
        <v>509</v>
      </c>
      <c r="AC180" s="740" t="s">
        <v>509</v>
      </c>
      <c r="AD180" s="740" t="s">
        <v>509</v>
      </c>
      <c r="AE180" s="740" t="s">
        <v>509</v>
      </c>
      <c r="AF180" s="540" t="s">
        <v>509</v>
      </c>
      <c r="AG180" s="540" t="s">
        <v>509</v>
      </c>
      <c r="AH180" s="540" t="s">
        <v>509</v>
      </c>
      <c r="AI180" s="540" t="s">
        <v>509</v>
      </c>
      <c r="AJ180" s="540" t="s">
        <v>509</v>
      </c>
      <c r="AK180" s="540" t="s">
        <v>509</v>
      </c>
      <c r="AL180" s="540" t="s">
        <v>509</v>
      </c>
      <c r="AM180" s="540" t="s">
        <v>509</v>
      </c>
      <c r="AN180" s="540">
        <v>39910.38220365603</v>
      </c>
      <c r="AO180" s="540">
        <v>37704.781062605398</v>
      </c>
      <c r="AP180" s="540">
        <v>33676.978574339155</v>
      </c>
      <c r="AQ180" s="540">
        <v>35666.006656588048</v>
      </c>
      <c r="AR180" s="540">
        <v>37827.515738269954</v>
      </c>
      <c r="AS180" s="540">
        <v>44723.782252362653</v>
      </c>
      <c r="AT180" s="540">
        <v>44169.937511173717</v>
      </c>
      <c r="AU180" s="540">
        <v>29630.320958345947</v>
      </c>
      <c r="AV180" s="540">
        <v>37943.237829725789</v>
      </c>
      <c r="AW180" s="540">
        <v>36849.030412811262</v>
      </c>
    </row>
    <row r="181" spans="1:49" ht="14.25" customHeight="1">
      <c r="A181" s="543" t="s">
        <v>525</v>
      </c>
      <c r="B181" s="741">
        <v>0</v>
      </c>
      <c r="C181" s="741">
        <v>0</v>
      </c>
      <c r="D181" s="741">
        <v>0</v>
      </c>
      <c r="E181" s="741">
        <v>0</v>
      </c>
      <c r="F181" s="741">
        <v>0</v>
      </c>
      <c r="G181" s="741">
        <v>0</v>
      </c>
      <c r="H181" s="741">
        <v>0</v>
      </c>
      <c r="I181" s="741">
        <v>0.33466241930000001</v>
      </c>
      <c r="J181" s="741">
        <v>0.1753129524</v>
      </c>
      <c r="K181" s="741">
        <v>3.9433213300000006E-2</v>
      </c>
      <c r="L181" s="741">
        <v>0.18822702690000001</v>
      </c>
      <c r="M181" s="741">
        <v>0.24934688899999999</v>
      </c>
      <c r="N181" s="741">
        <v>0</v>
      </c>
      <c r="O181" s="741">
        <v>0.44151748120000001</v>
      </c>
      <c r="P181" s="741">
        <v>0.50130987910000002</v>
      </c>
      <c r="Q181" s="741">
        <v>0.29989709999999997</v>
      </c>
      <c r="R181" s="741">
        <v>2.1529133859999998</v>
      </c>
      <c r="S181" s="741">
        <v>1.9186281214000001</v>
      </c>
      <c r="T181" s="741">
        <v>5.7663047556000002</v>
      </c>
      <c r="U181" s="741">
        <v>0.67567401150000006</v>
      </c>
      <c r="V181" s="741">
        <v>1.0620289441999999</v>
      </c>
      <c r="W181" s="741">
        <v>1.4315333997999999</v>
      </c>
      <c r="X181" s="741">
        <v>2.034818907</v>
      </c>
      <c r="Y181" s="741">
        <v>2.0319983265000001</v>
      </c>
      <c r="Z181" s="741">
        <v>2.0530792822000001</v>
      </c>
      <c r="AA181" s="741">
        <v>2.0999951705000002</v>
      </c>
      <c r="AB181" s="741">
        <v>3</v>
      </c>
      <c r="AC181" s="741">
        <v>2.4</v>
      </c>
      <c r="AD181" s="741">
        <v>2.4</v>
      </c>
      <c r="AE181" s="741">
        <v>3.12</v>
      </c>
      <c r="AF181" s="542">
        <v>2.83</v>
      </c>
      <c r="AG181" s="542">
        <v>2.83</v>
      </c>
      <c r="AH181" s="542">
        <v>2.83</v>
      </c>
      <c r="AI181" s="542">
        <v>6</v>
      </c>
      <c r="AJ181" s="542">
        <v>7.2</v>
      </c>
      <c r="AK181" s="542">
        <v>9</v>
      </c>
      <c r="AL181" s="542">
        <v>10</v>
      </c>
      <c r="AM181" s="542">
        <v>15</v>
      </c>
      <c r="AN181" s="542">
        <v>6.1648215034426403</v>
      </c>
      <c r="AO181" s="542">
        <v>16.532261427730358</v>
      </c>
      <c r="AP181" s="542">
        <v>16.5</v>
      </c>
      <c r="AQ181" s="542">
        <v>14.5324523493868</v>
      </c>
      <c r="AR181" s="542">
        <v>27.08944145100164</v>
      </c>
      <c r="AS181" s="542">
        <v>22.896711389455518</v>
      </c>
      <c r="AT181" s="542">
        <v>26.30841766901132</v>
      </c>
      <c r="AU181" s="542">
        <v>16.85841766901132</v>
      </c>
      <c r="AV181" s="542" t="s">
        <v>509</v>
      </c>
      <c r="AW181" s="542" t="s">
        <v>509</v>
      </c>
    </row>
    <row r="182" spans="1:49" ht="14.25" customHeight="1">
      <c r="A182" s="543" t="s">
        <v>524</v>
      </c>
      <c r="B182" s="740" t="s">
        <v>509</v>
      </c>
      <c r="C182" s="740" t="s">
        <v>509</v>
      </c>
      <c r="D182" s="740" t="s">
        <v>509</v>
      </c>
      <c r="E182" s="740" t="s">
        <v>509</v>
      </c>
      <c r="F182" s="740" t="s">
        <v>509</v>
      </c>
      <c r="G182" s="740">
        <v>0</v>
      </c>
      <c r="H182" s="740">
        <v>0</v>
      </c>
      <c r="I182" s="740">
        <v>0</v>
      </c>
      <c r="J182" s="740">
        <v>0</v>
      </c>
      <c r="K182" s="740">
        <v>0</v>
      </c>
      <c r="L182" s="740">
        <v>0</v>
      </c>
      <c r="M182" s="740">
        <v>0</v>
      </c>
      <c r="N182" s="740">
        <v>0</v>
      </c>
      <c r="O182" s="740">
        <v>0</v>
      </c>
      <c r="P182" s="740">
        <v>0</v>
      </c>
      <c r="Q182" s="740">
        <v>0</v>
      </c>
      <c r="R182" s="740">
        <v>0</v>
      </c>
      <c r="S182" s="740">
        <v>0</v>
      </c>
      <c r="T182" s="740">
        <v>0</v>
      </c>
      <c r="U182" s="740">
        <v>0</v>
      </c>
      <c r="V182" s="740">
        <v>0</v>
      </c>
      <c r="W182" s="740">
        <v>0</v>
      </c>
      <c r="X182" s="740">
        <v>0</v>
      </c>
      <c r="Y182" s="740">
        <v>0</v>
      </c>
      <c r="Z182" s="740">
        <v>0</v>
      </c>
      <c r="AA182" s="740">
        <v>0</v>
      </c>
      <c r="AB182" s="740">
        <v>0</v>
      </c>
      <c r="AC182" s="740">
        <v>0.13351851851851851</v>
      </c>
      <c r="AD182" s="740">
        <v>0.16071851851851851</v>
      </c>
      <c r="AE182" s="740">
        <v>0.13351851851851851</v>
      </c>
      <c r="AF182" s="540">
        <v>5.9025925925925919E-2</v>
      </c>
      <c r="AG182" s="540">
        <v>5.9026296296296292E-2</v>
      </c>
      <c r="AH182" s="540">
        <v>2.3228148148148147E-2</v>
      </c>
      <c r="AI182" s="540">
        <v>2.3228148148148147E-2</v>
      </c>
      <c r="AJ182" s="540">
        <v>2.3678888888888888E-2</v>
      </c>
      <c r="AK182" s="540">
        <v>2.3678888888888888E-2</v>
      </c>
      <c r="AL182" s="540">
        <v>4.7382592592592594E-2</v>
      </c>
      <c r="AM182" s="540">
        <v>2.3703703703703699E-2</v>
      </c>
      <c r="AN182" s="540">
        <v>2.39437037037037E-2</v>
      </c>
      <c r="AO182" s="540">
        <v>0</v>
      </c>
      <c r="AP182" s="540">
        <v>0</v>
      </c>
      <c r="AQ182" s="540">
        <v>4.1491725925925919E-2</v>
      </c>
      <c r="AR182" s="540">
        <v>3.3105081481481481E-2</v>
      </c>
      <c r="AS182" s="540">
        <v>0</v>
      </c>
      <c r="AT182" s="540">
        <v>0.5421111111111111</v>
      </c>
      <c r="AU182" s="540">
        <v>7.8222222222222221E-2</v>
      </c>
      <c r="AV182" s="540">
        <v>3.911111111111111E-2</v>
      </c>
      <c r="AW182" s="540" t="s">
        <v>509</v>
      </c>
    </row>
    <row r="183" spans="1:49" ht="14.25" customHeight="1">
      <c r="A183" s="543" t="s">
        <v>523</v>
      </c>
      <c r="B183" s="741" t="s">
        <v>509</v>
      </c>
      <c r="C183" s="741">
        <v>0</v>
      </c>
      <c r="D183" s="741">
        <v>0</v>
      </c>
      <c r="E183" s="741">
        <v>0</v>
      </c>
      <c r="F183" s="741">
        <v>0</v>
      </c>
      <c r="G183" s="741">
        <v>0</v>
      </c>
      <c r="H183" s="741">
        <v>0</v>
      </c>
      <c r="I183" s="741">
        <v>0</v>
      </c>
      <c r="J183" s="741">
        <v>0</v>
      </c>
      <c r="K183" s="741">
        <v>0</v>
      </c>
      <c r="L183" s="741">
        <v>0</v>
      </c>
      <c r="M183" s="741">
        <v>0</v>
      </c>
      <c r="N183" s="741">
        <v>0</v>
      </c>
      <c r="O183" s="741">
        <v>0</v>
      </c>
      <c r="P183" s="741">
        <v>0</v>
      </c>
      <c r="Q183" s="741">
        <v>0</v>
      </c>
      <c r="R183" s="741">
        <v>0</v>
      </c>
      <c r="S183" s="741">
        <v>0</v>
      </c>
      <c r="T183" s="741">
        <v>0</v>
      </c>
      <c r="U183" s="741">
        <v>0</v>
      </c>
      <c r="V183" s="741">
        <v>0</v>
      </c>
      <c r="W183" s="741">
        <v>0</v>
      </c>
      <c r="X183" s="741">
        <v>0</v>
      </c>
      <c r="Y183" s="741">
        <v>0</v>
      </c>
      <c r="Z183" s="741">
        <v>0</v>
      </c>
      <c r="AA183" s="741">
        <v>0</v>
      </c>
      <c r="AB183" s="741">
        <v>0</v>
      </c>
      <c r="AC183" s="741">
        <v>0</v>
      </c>
      <c r="AD183" s="741">
        <v>0</v>
      </c>
      <c r="AE183" s="741">
        <v>1.6296296296296295E-2</v>
      </c>
      <c r="AF183" s="542">
        <v>3.1555555555555552E-2</v>
      </c>
      <c r="AG183" s="542">
        <v>4.3370370370370365E-2</v>
      </c>
      <c r="AH183" s="542">
        <v>5.7377777777777771E-2</v>
      </c>
      <c r="AI183" s="542">
        <v>0</v>
      </c>
      <c r="AJ183" s="542">
        <v>0</v>
      </c>
      <c r="AK183" s="542">
        <v>0</v>
      </c>
      <c r="AL183" s="542">
        <v>0</v>
      </c>
      <c r="AM183" s="542">
        <v>0</v>
      </c>
      <c r="AN183" s="542">
        <v>0</v>
      </c>
      <c r="AO183" s="542">
        <v>4</v>
      </c>
      <c r="AP183" s="542">
        <v>1.8875662962962962</v>
      </c>
      <c r="AQ183" s="542">
        <v>2.35</v>
      </c>
      <c r="AR183" s="542">
        <v>13.747777777777776</v>
      </c>
      <c r="AS183" s="542">
        <v>24.263000000000002</v>
      </c>
      <c r="AT183" s="542">
        <v>21</v>
      </c>
      <c r="AU183" s="542">
        <v>31.097777777777775</v>
      </c>
      <c r="AV183" s="542">
        <v>26.072854257559925</v>
      </c>
      <c r="AW183" s="542" t="s">
        <v>509</v>
      </c>
    </row>
    <row r="184" spans="1:49" ht="14.25" customHeight="1">
      <c r="A184" s="543" t="s">
        <v>522</v>
      </c>
      <c r="B184" s="740" t="s">
        <v>509</v>
      </c>
      <c r="C184" s="740" t="s">
        <v>509</v>
      </c>
      <c r="D184" s="740" t="s">
        <v>509</v>
      </c>
      <c r="E184" s="740">
        <v>0</v>
      </c>
      <c r="F184" s="740">
        <v>0</v>
      </c>
      <c r="G184" s="740">
        <v>0</v>
      </c>
      <c r="H184" s="740">
        <v>0</v>
      </c>
      <c r="I184" s="740">
        <v>0</v>
      </c>
      <c r="J184" s="740">
        <v>0</v>
      </c>
      <c r="K184" s="740">
        <v>0</v>
      </c>
      <c r="L184" s="740">
        <v>0</v>
      </c>
      <c r="M184" s="740">
        <v>0</v>
      </c>
      <c r="N184" s="740">
        <v>0</v>
      </c>
      <c r="O184" s="740">
        <v>0</v>
      </c>
      <c r="P184" s="740">
        <v>0</v>
      </c>
      <c r="Q184" s="740">
        <v>0</v>
      </c>
      <c r="R184" s="740">
        <v>0.49999999999999994</v>
      </c>
      <c r="S184" s="740">
        <v>0</v>
      </c>
      <c r="T184" s="740">
        <v>0</v>
      </c>
      <c r="U184" s="740">
        <v>0</v>
      </c>
      <c r="V184" s="740">
        <v>0</v>
      </c>
      <c r="W184" s="740">
        <v>0</v>
      </c>
      <c r="X184" s="740">
        <v>0</v>
      </c>
      <c r="Y184" s="740">
        <v>5.1851851851851843E-2</v>
      </c>
      <c r="Z184" s="740">
        <v>0</v>
      </c>
      <c r="AA184" s="740">
        <v>0</v>
      </c>
      <c r="AB184" s="740">
        <v>0</v>
      </c>
      <c r="AC184" s="740">
        <v>0</v>
      </c>
      <c r="AD184" s="740">
        <v>0</v>
      </c>
      <c r="AE184" s="740">
        <v>0</v>
      </c>
      <c r="AF184" s="540">
        <v>2.2222222222222221E-4</v>
      </c>
      <c r="AG184" s="540">
        <v>2.2222222222222221E-4</v>
      </c>
      <c r="AH184" s="540">
        <v>3.3333333333333331E-3</v>
      </c>
      <c r="AI184" s="540">
        <v>3.3333333333333331E-3</v>
      </c>
      <c r="AJ184" s="540">
        <v>4.4444444444444441E-4</v>
      </c>
      <c r="AK184" s="540">
        <v>5.5555555555555556E-4</v>
      </c>
      <c r="AL184" s="540">
        <v>5.5555555555555556E-4</v>
      </c>
      <c r="AM184" s="540">
        <v>5.5555555555555556E-4</v>
      </c>
      <c r="AN184" s="540">
        <v>0</v>
      </c>
      <c r="AO184" s="540">
        <v>0</v>
      </c>
      <c r="AP184" s="540">
        <v>0</v>
      </c>
      <c r="AQ184" s="540">
        <v>0</v>
      </c>
      <c r="AR184" s="540">
        <v>5.7944222222222229E-3</v>
      </c>
      <c r="AS184" s="540">
        <v>0</v>
      </c>
      <c r="AT184" s="540">
        <v>0</v>
      </c>
      <c r="AU184" s="540">
        <v>0</v>
      </c>
      <c r="AV184" s="540">
        <v>2.7138074074074072E-3</v>
      </c>
      <c r="AW184" s="540" t="s">
        <v>509</v>
      </c>
    </row>
    <row r="185" spans="1:49" ht="14.25" customHeight="1">
      <c r="A185" s="543" t="s">
        <v>315</v>
      </c>
      <c r="B185" s="741" t="s">
        <v>509</v>
      </c>
      <c r="C185" s="741" t="s">
        <v>509</v>
      </c>
      <c r="D185" s="741">
        <v>0</v>
      </c>
      <c r="E185" s="741">
        <v>0</v>
      </c>
      <c r="F185" s="741">
        <v>0</v>
      </c>
      <c r="G185" s="741">
        <v>0</v>
      </c>
      <c r="H185" s="741">
        <v>0</v>
      </c>
      <c r="I185" s="741">
        <v>0</v>
      </c>
      <c r="J185" s="741">
        <v>0</v>
      </c>
      <c r="K185" s="741">
        <v>0</v>
      </c>
      <c r="L185" s="741">
        <v>0</v>
      </c>
      <c r="M185" s="741">
        <v>0</v>
      </c>
      <c r="N185" s="741">
        <v>0</v>
      </c>
      <c r="O185" s="741">
        <v>0</v>
      </c>
      <c r="P185" s="741">
        <v>0</v>
      </c>
      <c r="Q185" s="741">
        <v>0</v>
      </c>
      <c r="R185" s="741">
        <v>0</v>
      </c>
      <c r="S185" s="741">
        <v>0</v>
      </c>
      <c r="T185" s="741" t="s">
        <v>509</v>
      </c>
      <c r="U185" s="741" t="s">
        <v>509</v>
      </c>
      <c r="V185" s="741" t="s">
        <v>509</v>
      </c>
      <c r="W185" s="741" t="s">
        <v>509</v>
      </c>
      <c r="X185" s="741" t="s">
        <v>509</v>
      </c>
      <c r="Y185" s="741" t="s">
        <v>509</v>
      </c>
      <c r="Z185" s="741">
        <v>0</v>
      </c>
      <c r="AA185" s="741">
        <v>0</v>
      </c>
      <c r="AB185" s="741" t="s">
        <v>509</v>
      </c>
      <c r="AC185" s="741" t="s">
        <v>509</v>
      </c>
      <c r="AD185" s="741" t="s">
        <v>509</v>
      </c>
      <c r="AE185" s="741" t="s">
        <v>509</v>
      </c>
      <c r="AF185" s="542">
        <v>6.9999999999999999E-4</v>
      </c>
      <c r="AG185" s="542">
        <v>12.677717811016985</v>
      </c>
      <c r="AH185" s="542">
        <v>12.929326679474228</v>
      </c>
      <c r="AI185" s="542">
        <v>39.283094472672062</v>
      </c>
      <c r="AJ185" s="542">
        <v>1.356418643532002</v>
      </c>
      <c r="AK185" s="542">
        <v>6.5</v>
      </c>
      <c r="AL185" s="542">
        <v>2.6877705330036354</v>
      </c>
      <c r="AM185" s="542">
        <v>3.3522642546440102</v>
      </c>
      <c r="AN185" s="542">
        <v>2.5030644826477975</v>
      </c>
      <c r="AO185" s="542">
        <v>8.3062844263282098</v>
      </c>
      <c r="AP185" s="542">
        <v>4.5700910728999551</v>
      </c>
      <c r="AQ185" s="542">
        <v>2.4177322489070542E-2</v>
      </c>
      <c r="AR185" s="542">
        <v>6.063737057220709E-2</v>
      </c>
      <c r="AS185" s="542">
        <v>0.65220666314064024</v>
      </c>
      <c r="AT185" s="542">
        <v>0.11059115823524129</v>
      </c>
      <c r="AU185" s="542">
        <v>6.4887431346713582E-3</v>
      </c>
      <c r="AV185" s="542">
        <v>1.13441328614212E-4</v>
      </c>
      <c r="AW185" s="542">
        <v>0</v>
      </c>
    </row>
    <row r="186" spans="1:49" ht="14.25" customHeight="1">
      <c r="A186" s="543" t="s">
        <v>316</v>
      </c>
      <c r="B186" s="740" t="s">
        <v>509</v>
      </c>
      <c r="C186" s="740" t="s">
        <v>509</v>
      </c>
      <c r="D186" s="740" t="s">
        <v>509</v>
      </c>
      <c r="E186" s="740" t="s">
        <v>509</v>
      </c>
      <c r="F186" s="740" t="s">
        <v>509</v>
      </c>
      <c r="G186" s="740" t="s">
        <v>509</v>
      </c>
      <c r="H186" s="740" t="s">
        <v>509</v>
      </c>
      <c r="I186" s="740" t="s">
        <v>509</v>
      </c>
      <c r="J186" s="740" t="s">
        <v>509</v>
      </c>
      <c r="K186" s="740" t="s">
        <v>509</v>
      </c>
      <c r="L186" s="740" t="s">
        <v>509</v>
      </c>
      <c r="M186" s="740" t="s">
        <v>509</v>
      </c>
      <c r="N186" s="740" t="s">
        <v>509</v>
      </c>
      <c r="O186" s="740" t="s">
        <v>509</v>
      </c>
      <c r="P186" s="740" t="s">
        <v>509</v>
      </c>
      <c r="Q186" s="740" t="s">
        <v>509</v>
      </c>
      <c r="R186" s="740" t="s">
        <v>509</v>
      </c>
      <c r="S186" s="740" t="s">
        <v>509</v>
      </c>
      <c r="T186" s="740" t="s">
        <v>509</v>
      </c>
      <c r="U186" s="740" t="s">
        <v>509</v>
      </c>
      <c r="V186" s="740" t="s">
        <v>509</v>
      </c>
      <c r="W186" s="740" t="s">
        <v>509</v>
      </c>
      <c r="X186" s="740" t="s">
        <v>509</v>
      </c>
      <c r="Y186" s="740" t="s">
        <v>509</v>
      </c>
      <c r="Z186" s="740" t="s">
        <v>509</v>
      </c>
      <c r="AA186" s="740" t="s">
        <v>509</v>
      </c>
      <c r="AB186" s="740" t="s">
        <v>509</v>
      </c>
      <c r="AC186" s="740" t="s">
        <v>509</v>
      </c>
      <c r="AD186" s="740" t="s">
        <v>509</v>
      </c>
      <c r="AE186" s="740" t="s">
        <v>509</v>
      </c>
      <c r="AF186" s="540" t="s">
        <v>509</v>
      </c>
      <c r="AG186" s="540" t="s">
        <v>509</v>
      </c>
      <c r="AH186" s="540" t="s">
        <v>509</v>
      </c>
      <c r="AI186" s="540" t="s">
        <v>509</v>
      </c>
      <c r="AJ186" s="540" t="s">
        <v>509</v>
      </c>
      <c r="AK186" s="540" t="s">
        <v>509</v>
      </c>
      <c r="AL186" s="540" t="s">
        <v>509</v>
      </c>
      <c r="AM186" s="540">
        <v>0.15258184</v>
      </c>
      <c r="AN186" s="540">
        <v>4.2351390000000003E-2</v>
      </c>
      <c r="AO186" s="540">
        <v>0</v>
      </c>
      <c r="AP186" s="540">
        <v>0</v>
      </c>
      <c r="AQ186" s="540">
        <v>0</v>
      </c>
      <c r="AR186" s="540">
        <v>0</v>
      </c>
      <c r="AS186" s="540">
        <v>4.1978646000000001E-3</v>
      </c>
      <c r="AT186" s="540">
        <v>0</v>
      </c>
      <c r="AU186" s="540">
        <v>0</v>
      </c>
      <c r="AV186" s="540">
        <v>0</v>
      </c>
      <c r="AW186" s="540">
        <v>0</v>
      </c>
    </row>
    <row r="187" spans="1:49" ht="14.25" customHeight="1">
      <c r="A187" s="543" t="s">
        <v>100</v>
      </c>
      <c r="B187" s="741">
        <v>155.19417538828543</v>
      </c>
      <c r="C187" s="741">
        <v>181.54870895703073</v>
      </c>
      <c r="D187" s="741">
        <v>172.70800780905245</v>
      </c>
      <c r="E187" s="741">
        <v>154.65964144919855</v>
      </c>
      <c r="F187" s="741">
        <v>179.63515793412373</v>
      </c>
      <c r="G187" s="741">
        <v>103.85335952636441</v>
      </c>
      <c r="H187" s="741">
        <v>129.9060197645729</v>
      </c>
      <c r="I187" s="741">
        <v>732.85868671994763</v>
      </c>
      <c r="J187" s="741">
        <v>696.59982150447149</v>
      </c>
      <c r="K187" s="741">
        <v>773.16744196432774</v>
      </c>
      <c r="L187" s="741">
        <v>890.41262806699876</v>
      </c>
      <c r="M187" s="741">
        <v>1198.6062223800816</v>
      </c>
      <c r="N187" s="741">
        <v>2169.6752320568562</v>
      </c>
      <c r="O187" s="741">
        <v>2997.8341355491489</v>
      </c>
      <c r="P187" s="741">
        <v>3276.2595785290364</v>
      </c>
      <c r="Q187" s="741">
        <v>3690.0127227034918</v>
      </c>
      <c r="R187" s="741">
        <v>2545.8498890921605</v>
      </c>
      <c r="S187" s="741">
        <v>1101.4406824498908</v>
      </c>
      <c r="T187" s="741">
        <v>1596.828667743845</v>
      </c>
      <c r="U187" s="741">
        <v>4472.8604966148096</v>
      </c>
      <c r="V187" s="741">
        <v>7243.1294251934341</v>
      </c>
      <c r="W187" s="741">
        <v>6092.1415925829679</v>
      </c>
      <c r="X187" s="741">
        <v>6630.6468783400187</v>
      </c>
      <c r="Y187" s="741">
        <v>9182.6405758692272</v>
      </c>
      <c r="Z187" s="741">
        <v>10654.786035390911</v>
      </c>
      <c r="AA187" s="741">
        <v>12037.889339079424</v>
      </c>
      <c r="AB187" s="741">
        <v>9407.5730151221942</v>
      </c>
      <c r="AC187" s="741">
        <v>9992.8008866740802</v>
      </c>
      <c r="AD187" s="741">
        <v>15513.648367381764</v>
      </c>
      <c r="AE187" s="741">
        <v>19193.389215564075</v>
      </c>
      <c r="AF187" s="542">
        <v>23910.155397402617</v>
      </c>
      <c r="AG187" s="542">
        <v>30489.654575689012</v>
      </c>
      <c r="AH187" s="542">
        <v>39364.618438466357</v>
      </c>
      <c r="AI187" s="542">
        <v>38299.824086451372</v>
      </c>
      <c r="AJ187" s="542">
        <v>24286.337172097999</v>
      </c>
      <c r="AK187" s="542">
        <v>34324.387876940986</v>
      </c>
      <c r="AL187" s="542">
        <v>34047.5</v>
      </c>
      <c r="AM187" s="542">
        <v>32755.946315442186</v>
      </c>
      <c r="AN187" s="542">
        <v>33888.211619312322</v>
      </c>
      <c r="AO187" s="542">
        <v>35130.049277828672</v>
      </c>
      <c r="AP187" s="542">
        <v>25346.875465021909</v>
      </c>
      <c r="AQ187" s="542">
        <v>24172.461220007142</v>
      </c>
      <c r="AR187" s="542">
        <v>29162.03814932235</v>
      </c>
      <c r="AS187" s="542">
        <v>33097.237389609545</v>
      </c>
      <c r="AT187" s="542">
        <v>32261.577272836003</v>
      </c>
      <c r="AU187" s="542">
        <v>30876.199097318502</v>
      </c>
      <c r="AV187" s="542">
        <v>45172.176644610678</v>
      </c>
      <c r="AW187" s="542">
        <v>38412.716188244718</v>
      </c>
    </row>
    <row r="188" spans="1:49" ht="14.25" customHeight="1">
      <c r="A188" s="543" t="s">
        <v>21</v>
      </c>
      <c r="B188" s="740" t="s">
        <v>509</v>
      </c>
      <c r="C188" s="740" t="s">
        <v>509</v>
      </c>
      <c r="D188" s="740">
        <v>0</v>
      </c>
      <c r="E188" s="740">
        <v>0</v>
      </c>
      <c r="F188" s="740">
        <v>0</v>
      </c>
      <c r="G188" s="740">
        <v>0</v>
      </c>
      <c r="H188" s="740">
        <v>0</v>
      </c>
      <c r="I188" s="740">
        <v>0</v>
      </c>
      <c r="J188" s="740">
        <v>1039.9488684438259</v>
      </c>
      <c r="K188" s="740">
        <v>1057.5893207717911</v>
      </c>
      <c r="L188" s="740">
        <v>1074.8333926845398</v>
      </c>
      <c r="M188" s="740">
        <v>1561.4953445649228</v>
      </c>
      <c r="N188" s="740">
        <v>2185.500410745316</v>
      </c>
      <c r="O188" s="740">
        <v>3219.4355224492583</v>
      </c>
      <c r="P188" s="740">
        <v>3057.597383743142</v>
      </c>
      <c r="Q188" s="740">
        <v>2828.9071920047577</v>
      </c>
      <c r="R188" s="740">
        <v>2391.9246392645182</v>
      </c>
      <c r="S188" s="740">
        <v>2104.2251618110563</v>
      </c>
      <c r="T188" s="740">
        <v>5094.623098006914</v>
      </c>
      <c r="U188" s="740">
        <v>5379.1331019216668</v>
      </c>
      <c r="V188" s="740">
        <v>5590.8434539871569</v>
      </c>
      <c r="W188" s="740">
        <v>7900.421517625261</v>
      </c>
      <c r="X188" s="740">
        <v>9569.9582274665172</v>
      </c>
      <c r="Y188" s="740">
        <v>18025.769145437771</v>
      </c>
      <c r="Z188" s="740">
        <v>23212.6</v>
      </c>
      <c r="AA188" s="740">
        <v>24830.572462815795</v>
      </c>
      <c r="AB188" s="740">
        <v>16911.554263072758</v>
      </c>
      <c r="AC188" s="740">
        <v>11567.651795504773</v>
      </c>
      <c r="AD188" s="740">
        <v>31304.147497048318</v>
      </c>
      <c r="AE188" s="740">
        <v>38143.893066688193</v>
      </c>
      <c r="AF188" s="540">
        <v>59937.073852400026</v>
      </c>
      <c r="AG188" s="540">
        <v>53182.577799989886</v>
      </c>
      <c r="AH188" s="540">
        <v>43937.166888117361</v>
      </c>
      <c r="AI188" s="540">
        <v>4048.1644357217569</v>
      </c>
      <c r="AJ188" s="540">
        <v>46029.520229997201</v>
      </c>
      <c r="AK188" s="540">
        <v>69778.696552189373</v>
      </c>
      <c r="AL188" s="540">
        <v>45121.636122613221</v>
      </c>
      <c r="AM188" s="540">
        <v>60215.703423353945</v>
      </c>
      <c r="AN188" s="540">
        <v>57712.096089182152</v>
      </c>
      <c r="AO188" s="540">
        <v>87315.205889308374</v>
      </c>
      <c r="AP188" s="540">
        <v>81076.130911962464</v>
      </c>
      <c r="AQ188" s="540">
        <v>81848.565233695481</v>
      </c>
      <c r="AR188" s="540">
        <v>96340.875419947799</v>
      </c>
      <c r="AS188" s="540">
        <v>100785.64201148816</v>
      </c>
      <c r="AT188" s="540">
        <v>100956.23019154942</v>
      </c>
      <c r="AU188" s="540">
        <v>73957.219930985171</v>
      </c>
      <c r="AV188" s="540">
        <v>104489.09745938423</v>
      </c>
      <c r="AW188" s="540">
        <v>102748.19147350086</v>
      </c>
    </row>
    <row r="189" spans="1:49" ht="14.25" customHeight="1">
      <c r="A189" s="543" t="s">
        <v>521</v>
      </c>
      <c r="B189" s="741" t="s">
        <v>509</v>
      </c>
      <c r="C189" s="741" t="s">
        <v>509</v>
      </c>
      <c r="D189" s="741">
        <v>0</v>
      </c>
      <c r="E189" s="741">
        <v>0</v>
      </c>
      <c r="F189" s="741">
        <v>0</v>
      </c>
      <c r="G189" s="741">
        <v>0</v>
      </c>
      <c r="H189" s="741">
        <v>0</v>
      </c>
      <c r="I189" s="741">
        <v>0</v>
      </c>
      <c r="J189" s="741">
        <v>0</v>
      </c>
      <c r="K189" s="741">
        <v>0</v>
      </c>
      <c r="L189" s="741">
        <v>0</v>
      </c>
      <c r="M189" s="741">
        <v>0</v>
      </c>
      <c r="N189" s="741">
        <v>0</v>
      </c>
      <c r="O189" s="741">
        <v>0</v>
      </c>
      <c r="P189" s="741">
        <v>0</v>
      </c>
      <c r="Q189" s="741">
        <v>0</v>
      </c>
      <c r="R189" s="741">
        <v>0</v>
      </c>
      <c r="S189" s="741">
        <v>0</v>
      </c>
      <c r="T189" s="741">
        <v>0</v>
      </c>
      <c r="U189" s="741">
        <v>0</v>
      </c>
      <c r="V189" s="741">
        <v>0</v>
      </c>
      <c r="W189" s="741">
        <v>0</v>
      </c>
      <c r="X189" s="741">
        <v>0</v>
      </c>
      <c r="Y189" s="741">
        <v>0</v>
      </c>
      <c r="Z189" s="741">
        <v>0</v>
      </c>
      <c r="AA189" s="741">
        <v>0</v>
      </c>
      <c r="AB189" s="741">
        <v>0</v>
      </c>
      <c r="AC189" s="741">
        <v>0</v>
      </c>
      <c r="AD189" s="741">
        <v>0</v>
      </c>
      <c r="AE189" s="741">
        <v>0</v>
      </c>
      <c r="AF189" s="542">
        <v>0</v>
      </c>
      <c r="AG189" s="542">
        <v>0</v>
      </c>
      <c r="AH189" s="542">
        <v>0</v>
      </c>
      <c r="AI189" s="542">
        <v>0</v>
      </c>
      <c r="AJ189" s="542">
        <v>0</v>
      </c>
      <c r="AK189" s="542">
        <v>0</v>
      </c>
      <c r="AL189" s="542" t="s">
        <v>509</v>
      </c>
      <c r="AM189" s="542" t="s">
        <v>509</v>
      </c>
      <c r="AN189" s="542" t="s">
        <v>509</v>
      </c>
      <c r="AO189" s="542" t="s">
        <v>509</v>
      </c>
      <c r="AP189" s="542" t="s">
        <v>509</v>
      </c>
      <c r="AQ189" s="542" t="s">
        <v>509</v>
      </c>
      <c r="AR189" s="542" t="s">
        <v>509</v>
      </c>
      <c r="AS189" s="542" t="s">
        <v>509</v>
      </c>
      <c r="AT189" s="542" t="s">
        <v>509</v>
      </c>
      <c r="AU189" s="542" t="s">
        <v>509</v>
      </c>
      <c r="AV189" s="542" t="s">
        <v>509</v>
      </c>
      <c r="AW189" s="542" t="s">
        <v>509</v>
      </c>
    </row>
    <row r="190" spans="1:49" ht="14.25" customHeight="1">
      <c r="A190" s="543" t="s">
        <v>520</v>
      </c>
      <c r="B190" s="740" t="s">
        <v>509</v>
      </c>
      <c r="C190" s="740" t="s">
        <v>509</v>
      </c>
      <c r="D190" s="740" t="s">
        <v>509</v>
      </c>
      <c r="E190" s="740" t="s">
        <v>509</v>
      </c>
      <c r="F190" s="740" t="s">
        <v>509</v>
      </c>
      <c r="G190" s="740" t="s">
        <v>509</v>
      </c>
      <c r="H190" s="740" t="s">
        <v>509</v>
      </c>
      <c r="I190" s="740" t="s">
        <v>509</v>
      </c>
      <c r="J190" s="740" t="s">
        <v>509</v>
      </c>
      <c r="K190" s="740" t="s">
        <v>509</v>
      </c>
      <c r="L190" s="740" t="s">
        <v>509</v>
      </c>
      <c r="M190" s="740" t="s">
        <v>509</v>
      </c>
      <c r="N190" s="740" t="s">
        <v>509</v>
      </c>
      <c r="O190" s="740" t="s">
        <v>509</v>
      </c>
      <c r="P190" s="740" t="s">
        <v>509</v>
      </c>
      <c r="Q190" s="740" t="s">
        <v>509</v>
      </c>
      <c r="R190" s="740" t="s">
        <v>509</v>
      </c>
      <c r="S190" s="740" t="s">
        <v>509</v>
      </c>
      <c r="T190" s="740" t="s">
        <v>509</v>
      </c>
      <c r="U190" s="740" t="s">
        <v>509</v>
      </c>
      <c r="V190" s="740" t="s">
        <v>509</v>
      </c>
      <c r="W190" s="740" t="s">
        <v>509</v>
      </c>
      <c r="X190" s="740" t="s">
        <v>509</v>
      </c>
      <c r="Y190" s="740" t="s">
        <v>509</v>
      </c>
      <c r="Z190" s="740" t="s">
        <v>509</v>
      </c>
      <c r="AA190" s="740" t="s">
        <v>509</v>
      </c>
      <c r="AB190" s="740" t="s">
        <v>509</v>
      </c>
      <c r="AC190" s="740" t="s">
        <v>509</v>
      </c>
      <c r="AD190" s="740" t="s">
        <v>509</v>
      </c>
      <c r="AE190" s="740" t="s">
        <v>509</v>
      </c>
      <c r="AF190" s="540" t="s">
        <v>509</v>
      </c>
      <c r="AG190" s="540" t="s">
        <v>509</v>
      </c>
      <c r="AH190" s="540" t="s">
        <v>509</v>
      </c>
      <c r="AI190" s="540" t="s">
        <v>509</v>
      </c>
      <c r="AJ190" s="540" t="s">
        <v>509</v>
      </c>
      <c r="AK190" s="540" t="s">
        <v>509</v>
      </c>
      <c r="AL190" s="540" t="s">
        <v>509</v>
      </c>
      <c r="AM190" s="540" t="s">
        <v>509</v>
      </c>
      <c r="AN190" s="540" t="s">
        <v>509</v>
      </c>
      <c r="AO190" s="540" t="s">
        <v>509</v>
      </c>
      <c r="AP190" s="540" t="s">
        <v>509</v>
      </c>
      <c r="AQ190" s="540" t="s">
        <v>509</v>
      </c>
      <c r="AR190" s="540" t="s">
        <v>509</v>
      </c>
      <c r="AS190" s="540" t="s">
        <v>509</v>
      </c>
      <c r="AT190" s="540" t="s">
        <v>509</v>
      </c>
      <c r="AU190" s="540" t="s">
        <v>509</v>
      </c>
      <c r="AV190" s="540" t="s">
        <v>509</v>
      </c>
      <c r="AW190" s="540" t="s">
        <v>509</v>
      </c>
    </row>
    <row r="191" spans="1:49" ht="14.25" customHeight="1">
      <c r="A191" s="543" t="s">
        <v>519</v>
      </c>
      <c r="B191" s="741" t="s">
        <v>509</v>
      </c>
      <c r="C191" s="741" t="s">
        <v>509</v>
      </c>
      <c r="D191" s="741" t="s">
        <v>509</v>
      </c>
      <c r="E191" s="741" t="s">
        <v>509</v>
      </c>
      <c r="F191" s="741" t="s">
        <v>509</v>
      </c>
      <c r="G191" s="741" t="s">
        <v>509</v>
      </c>
      <c r="H191" s="741" t="s">
        <v>509</v>
      </c>
      <c r="I191" s="741" t="s">
        <v>509</v>
      </c>
      <c r="J191" s="741" t="s">
        <v>509</v>
      </c>
      <c r="K191" s="741" t="s">
        <v>509</v>
      </c>
      <c r="L191" s="741" t="s">
        <v>509</v>
      </c>
      <c r="M191" s="741" t="s">
        <v>509</v>
      </c>
      <c r="N191" s="741" t="s">
        <v>509</v>
      </c>
      <c r="O191" s="741" t="s">
        <v>509</v>
      </c>
      <c r="P191" s="741" t="s">
        <v>509</v>
      </c>
      <c r="Q191" s="741" t="s">
        <v>509</v>
      </c>
      <c r="R191" s="741" t="s">
        <v>509</v>
      </c>
      <c r="S191" s="741" t="s">
        <v>509</v>
      </c>
      <c r="T191" s="741" t="s">
        <v>509</v>
      </c>
      <c r="U191" s="741" t="s">
        <v>509</v>
      </c>
      <c r="V191" s="741" t="s">
        <v>509</v>
      </c>
      <c r="W191" s="741" t="s">
        <v>509</v>
      </c>
      <c r="X191" s="741" t="s">
        <v>509</v>
      </c>
      <c r="Y191" s="741" t="s">
        <v>509</v>
      </c>
      <c r="Z191" s="741" t="s">
        <v>509</v>
      </c>
      <c r="AA191" s="741" t="s">
        <v>509</v>
      </c>
      <c r="AB191" s="741" t="s">
        <v>509</v>
      </c>
      <c r="AC191" s="741" t="s">
        <v>509</v>
      </c>
      <c r="AD191" s="741">
        <v>0</v>
      </c>
      <c r="AE191" s="741" t="s">
        <v>509</v>
      </c>
      <c r="AF191" s="542">
        <v>0</v>
      </c>
      <c r="AG191" s="542">
        <v>0</v>
      </c>
      <c r="AH191" s="542">
        <v>0</v>
      </c>
      <c r="AI191" s="542">
        <v>0</v>
      </c>
      <c r="AJ191" s="542">
        <v>0</v>
      </c>
      <c r="AK191" s="542">
        <v>0</v>
      </c>
      <c r="AL191" s="542">
        <v>0</v>
      </c>
      <c r="AM191" s="542">
        <v>0</v>
      </c>
      <c r="AN191" s="542">
        <v>0</v>
      </c>
      <c r="AO191" s="542">
        <v>0</v>
      </c>
      <c r="AP191" s="542">
        <v>0</v>
      </c>
      <c r="AQ191" s="542">
        <v>0</v>
      </c>
      <c r="AR191" s="542">
        <v>0</v>
      </c>
      <c r="AS191" s="542">
        <v>0</v>
      </c>
      <c r="AT191" s="542">
        <v>0</v>
      </c>
      <c r="AU191" s="542">
        <v>0</v>
      </c>
      <c r="AV191" s="542">
        <v>0</v>
      </c>
      <c r="AW191" s="542">
        <v>0</v>
      </c>
    </row>
    <row r="192" spans="1:49" ht="14.25" customHeight="1">
      <c r="A192" s="543" t="s">
        <v>518</v>
      </c>
      <c r="B192" s="740" t="s">
        <v>509</v>
      </c>
      <c r="C192" s="740">
        <v>0.11937768409999999</v>
      </c>
      <c r="D192" s="740">
        <v>0.12063878239999999</v>
      </c>
      <c r="E192" s="740">
        <v>0.12966720909999999</v>
      </c>
      <c r="F192" s="740">
        <v>0</v>
      </c>
      <c r="G192" s="740">
        <v>0.1220019297</v>
      </c>
      <c r="H192" s="740">
        <v>0</v>
      </c>
      <c r="I192" s="740">
        <v>0</v>
      </c>
      <c r="J192" s="740">
        <v>0</v>
      </c>
      <c r="K192" s="740">
        <v>0</v>
      </c>
      <c r="L192" s="740">
        <v>0</v>
      </c>
      <c r="M192" s="740">
        <v>0</v>
      </c>
      <c r="N192" s="740">
        <v>0</v>
      </c>
      <c r="O192" s="740">
        <v>0</v>
      </c>
      <c r="P192" s="740">
        <v>0</v>
      </c>
      <c r="Q192" s="740">
        <v>0</v>
      </c>
      <c r="R192" s="740">
        <v>0</v>
      </c>
      <c r="S192" s="740">
        <v>0</v>
      </c>
      <c r="T192" s="740">
        <v>0</v>
      </c>
      <c r="U192" s="740">
        <v>0</v>
      </c>
      <c r="V192" s="740" t="s">
        <v>509</v>
      </c>
      <c r="W192" s="740" t="s">
        <v>509</v>
      </c>
      <c r="X192" s="740" t="s">
        <v>509</v>
      </c>
      <c r="Y192" s="740" t="s">
        <v>509</v>
      </c>
      <c r="Z192" s="740" t="s">
        <v>509</v>
      </c>
      <c r="AA192" s="740" t="s">
        <v>509</v>
      </c>
      <c r="AB192" s="740">
        <v>0</v>
      </c>
      <c r="AC192" s="740">
        <v>0</v>
      </c>
      <c r="AD192" s="740">
        <v>0</v>
      </c>
      <c r="AE192" s="740">
        <v>0</v>
      </c>
      <c r="AF192" s="540">
        <v>0</v>
      </c>
      <c r="AG192" s="540">
        <v>0</v>
      </c>
      <c r="AH192" s="540">
        <v>0</v>
      </c>
      <c r="AI192" s="540">
        <v>0</v>
      </c>
      <c r="AJ192" s="540">
        <v>0</v>
      </c>
      <c r="AK192" s="540" t="s">
        <v>509</v>
      </c>
      <c r="AL192" s="540">
        <v>0</v>
      </c>
      <c r="AM192" s="540" t="s">
        <v>509</v>
      </c>
      <c r="AN192" s="540" t="s">
        <v>509</v>
      </c>
      <c r="AO192" s="540">
        <v>0</v>
      </c>
      <c r="AP192" s="540">
        <v>0</v>
      </c>
      <c r="AQ192" s="540">
        <v>0</v>
      </c>
      <c r="AR192" s="540">
        <v>0</v>
      </c>
      <c r="AS192" s="540">
        <v>0</v>
      </c>
      <c r="AT192" s="540">
        <v>0</v>
      </c>
      <c r="AU192" s="540">
        <v>0</v>
      </c>
      <c r="AV192" s="540" t="s">
        <v>509</v>
      </c>
      <c r="AW192" s="540" t="s">
        <v>509</v>
      </c>
    </row>
    <row r="193" spans="1:49" ht="14.25" customHeight="1">
      <c r="A193" s="543" t="s">
        <v>83</v>
      </c>
      <c r="B193" s="741">
        <v>8.9306439628839982</v>
      </c>
      <c r="C193" s="741">
        <v>13.676401587263051</v>
      </c>
      <c r="D193" s="741">
        <v>14.019537110957831</v>
      </c>
      <c r="E193" s="741">
        <v>12.83771680005332</v>
      </c>
      <c r="F193" s="741">
        <v>19.735243543635782</v>
      </c>
      <c r="G193" s="741">
        <v>3.9151551994738578</v>
      </c>
      <c r="H193" s="741">
        <v>16.977496401658399</v>
      </c>
      <c r="I193" s="741">
        <v>21.565108588714129</v>
      </c>
      <c r="J193" s="741">
        <v>15.869485150969057</v>
      </c>
      <c r="K193" s="741">
        <v>4.8782185647020198</v>
      </c>
      <c r="L193" s="741">
        <v>4.8436198147197302</v>
      </c>
      <c r="M193" s="741">
        <v>6.38519323334073</v>
      </c>
      <c r="N193" s="741">
        <v>2.1423873230258232</v>
      </c>
      <c r="O193" s="741">
        <v>11.6337903365947</v>
      </c>
      <c r="P193" s="741">
        <v>5.1700496381685692</v>
      </c>
      <c r="Q193" s="741">
        <v>1.4326110441330251</v>
      </c>
      <c r="R193" s="741">
        <v>1.3063032818349198</v>
      </c>
      <c r="S193" s="741" t="s">
        <v>509</v>
      </c>
      <c r="T193" s="741" t="s">
        <v>509</v>
      </c>
      <c r="U193" s="741" t="s">
        <v>509</v>
      </c>
      <c r="V193" s="741" t="s">
        <v>509</v>
      </c>
      <c r="W193" s="741" t="s">
        <v>509</v>
      </c>
      <c r="X193" s="741" t="s">
        <v>509</v>
      </c>
      <c r="Y193" s="741" t="s">
        <v>509</v>
      </c>
      <c r="Z193" s="741" t="s">
        <v>509</v>
      </c>
      <c r="AA193" s="741" t="s">
        <v>509</v>
      </c>
      <c r="AB193" s="741">
        <v>83.993016827347404</v>
      </c>
      <c r="AC193" s="741">
        <v>64.989854935614503</v>
      </c>
      <c r="AD193" s="741">
        <v>134.99037900822142</v>
      </c>
      <c r="AE193" s="741">
        <v>124.7065985684914</v>
      </c>
      <c r="AF193" s="542">
        <v>249</v>
      </c>
      <c r="AG193" s="542">
        <v>168.62456292265099</v>
      </c>
      <c r="AH193" s="542">
        <v>624.96657979580698</v>
      </c>
      <c r="AI193" s="542">
        <v>361.49871395177138</v>
      </c>
      <c r="AJ193" s="542">
        <v>623.81020386666705</v>
      </c>
      <c r="AK193" s="542">
        <v>1547.3852820149282</v>
      </c>
      <c r="AL193" s="542">
        <v>1089.4998043686771</v>
      </c>
      <c r="AM193" s="542">
        <v>2076.613066952496</v>
      </c>
      <c r="AN193" s="542">
        <v>1218.1631192442442</v>
      </c>
      <c r="AO193" s="542">
        <v>2075.0391540508672</v>
      </c>
      <c r="AP193" s="542">
        <v>-5.7150128422639224</v>
      </c>
      <c r="AQ193" s="542">
        <v>774.01113466110507</v>
      </c>
      <c r="AR193" s="542">
        <v>2383.090085826821</v>
      </c>
      <c r="AS193" s="542">
        <v>2424.9247534933102</v>
      </c>
      <c r="AT193" s="542">
        <v>2483.7867010503619</v>
      </c>
      <c r="AU193" s="542">
        <v>3008.3327354281851</v>
      </c>
      <c r="AV193" s="542">
        <v>4863.6456222163388</v>
      </c>
      <c r="AW193" s="542">
        <v>3785.9009583742418</v>
      </c>
    </row>
    <row r="194" spans="1:49" ht="14.25" customHeight="1">
      <c r="A194" s="543" t="s">
        <v>321</v>
      </c>
      <c r="B194" s="740" t="s">
        <v>509</v>
      </c>
      <c r="C194" s="740" t="s">
        <v>509</v>
      </c>
      <c r="D194" s="740" t="s">
        <v>509</v>
      </c>
      <c r="E194" s="740" t="s">
        <v>509</v>
      </c>
      <c r="F194" s="740" t="s">
        <v>509</v>
      </c>
      <c r="G194" s="740" t="s">
        <v>509</v>
      </c>
      <c r="H194" s="740" t="s">
        <v>509</v>
      </c>
      <c r="I194" s="740" t="s">
        <v>509</v>
      </c>
      <c r="J194" s="740" t="s">
        <v>509</v>
      </c>
      <c r="K194" s="740" t="s">
        <v>509</v>
      </c>
      <c r="L194" s="740" t="s">
        <v>509</v>
      </c>
      <c r="M194" s="740" t="s">
        <v>509</v>
      </c>
      <c r="N194" s="740" t="s">
        <v>509</v>
      </c>
      <c r="O194" s="740" t="s">
        <v>509</v>
      </c>
      <c r="P194" s="740" t="s">
        <v>509</v>
      </c>
      <c r="Q194" s="740" t="s">
        <v>509</v>
      </c>
      <c r="R194" s="740" t="s">
        <v>509</v>
      </c>
      <c r="S194" s="740" t="s">
        <v>509</v>
      </c>
      <c r="T194" s="740" t="s">
        <v>509</v>
      </c>
      <c r="U194" s="740" t="s">
        <v>509</v>
      </c>
      <c r="V194" s="740" t="s">
        <v>509</v>
      </c>
      <c r="W194" s="740" t="s">
        <v>509</v>
      </c>
      <c r="X194" s="740" t="s">
        <v>509</v>
      </c>
      <c r="Y194" s="740" t="s">
        <v>509</v>
      </c>
      <c r="Z194" s="740" t="s">
        <v>509</v>
      </c>
      <c r="AA194" s="740" t="s">
        <v>509</v>
      </c>
      <c r="AB194" s="740" t="s">
        <v>509</v>
      </c>
      <c r="AC194" s="740" t="s">
        <v>509</v>
      </c>
      <c r="AD194" s="740" t="s">
        <v>509</v>
      </c>
      <c r="AE194" s="740" t="s">
        <v>509</v>
      </c>
      <c r="AF194" s="540" t="s">
        <v>509</v>
      </c>
      <c r="AG194" s="540" t="s">
        <v>509</v>
      </c>
      <c r="AH194" s="540" t="s">
        <v>509</v>
      </c>
      <c r="AI194" s="540" t="s">
        <v>509</v>
      </c>
      <c r="AJ194" s="540">
        <v>0</v>
      </c>
      <c r="AK194" s="540">
        <v>0</v>
      </c>
      <c r="AL194" s="540">
        <v>0</v>
      </c>
      <c r="AM194" s="540">
        <v>0</v>
      </c>
      <c r="AN194" s="540">
        <v>0</v>
      </c>
      <c r="AO194" s="540">
        <v>0</v>
      </c>
      <c r="AP194" s="540">
        <v>0</v>
      </c>
      <c r="AQ194" s="540">
        <v>0</v>
      </c>
      <c r="AR194" s="540">
        <v>0</v>
      </c>
      <c r="AS194" s="540">
        <v>0</v>
      </c>
      <c r="AT194" s="540">
        <v>0</v>
      </c>
      <c r="AU194" s="540">
        <v>0</v>
      </c>
      <c r="AV194" s="540">
        <v>0</v>
      </c>
      <c r="AW194" s="540" t="s">
        <v>509</v>
      </c>
    </row>
    <row r="195" spans="1:49" ht="14.25" customHeight="1">
      <c r="A195" s="543" t="s">
        <v>323</v>
      </c>
      <c r="B195" s="741">
        <v>1.8664298759577175E-2</v>
      </c>
      <c r="C195" s="741">
        <v>0</v>
      </c>
      <c r="D195" s="741">
        <v>0</v>
      </c>
      <c r="E195" s="741">
        <v>0</v>
      </c>
      <c r="F195" s="741">
        <v>0</v>
      </c>
      <c r="G195" s="741">
        <v>0</v>
      </c>
      <c r="H195" s="741">
        <v>2.2080623879522188E-2</v>
      </c>
      <c r="I195" s="741">
        <v>1.8258934365123367E-2</v>
      </c>
      <c r="J195" s="741">
        <v>0</v>
      </c>
      <c r="K195" s="741">
        <v>0</v>
      </c>
      <c r="L195" s="741">
        <v>0</v>
      </c>
      <c r="M195" s="741">
        <v>0</v>
      </c>
      <c r="N195" s="741">
        <v>0</v>
      </c>
      <c r="O195" s="741">
        <v>0</v>
      </c>
      <c r="P195" s="741">
        <v>0</v>
      </c>
      <c r="Q195" s="741">
        <v>0</v>
      </c>
      <c r="R195" s="741">
        <v>0</v>
      </c>
      <c r="S195" s="741">
        <v>0</v>
      </c>
      <c r="T195" s="741">
        <v>0</v>
      </c>
      <c r="U195" s="741">
        <v>5.306151088150961</v>
      </c>
      <c r="V195" s="741">
        <v>7.1902460546066225</v>
      </c>
      <c r="W195" s="741">
        <v>4.4941629908302243</v>
      </c>
      <c r="X195" s="741">
        <v>4.135903157410131</v>
      </c>
      <c r="Y195" s="741">
        <v>11.92639856903587</v>
      </c>
      <c r="Z195" s="741">
        <v>7.1148490911004441</v>
      </c>
      <c r="AA195" s="741">
        <v>2.3922569936509768</v>
      </c>
      <c r="AB195" s="741">
        <v>0.78372720897695702</v>
      </c>
      <c r="AC195" s="741">
        <v>0.50020669456244504</v>
      </c>
      <c r="AD195" s="741">
        <v>0.53285285647758851</v>
      </c>
      <c r="AE195" s="741">
        <v>5.7723885128712089</v>
      </c>
      <c r="AF195" s="542">
        <v>7.1293321572178323</v>
      </c>
      <c r="AG195" s="542">
        <v>6.1367587025297228</v>
      </c>
      <c r="AH195" s="542">
        <v>4.6256665891568121</v>
      </c>
      <c r="AI195" s="542">
        <v>9.5672636852053632</v>
      </c>
      <c r="AJ195" s="542">
        <v>1.0886820325112778</v>
      </c>
      <c r="AK195" s="542">
        <v>33.19561533759083</v>
      </c>
      <c r="AL195" s="542">
        <v>292.10000000000002</v>
      </c>
      <c r="AM195" s="542">
        <v>123.50253096632572</v>
      </c>
      <c r="AN195" s="542">
        <v>127.21410781798355</v>
      </c>
      <c r="AO195" s="542">
        <v>149.06065297012617</v>
      </c>
      <c r="AP195" s="542">
        <v>170.19859441779812</v>
      </c>
      <c r="AQ195" s="542">
        <v>114.79810226361961</v>
      </c>
      <c r="AR195" s="542">
        <v>115.00598253167433</v>
      </c>
      <c r="AS195" s="542">
        <v>89.192701206281072</v>
      </c>
      <c r="AT195" s="542">
        <v>102.33123913228548</v>
      </c>
      <c r="AU195" s="542">
        <v>124.58086096260608</v>
      </c>
      <c r="AV195" s="542" t="s">
        <v>509</v>
      </c>
      <c r="AW195" s="542" t="s">
        <v>509</v>
      </c>
    </row>
    <row r="196" spans="1:49" ht="14.25" customHeight="1">
      <c r="A196" s="543" t="s">
        <v>324</v>
      </c>
      <c r="B196" s="740">
        <v>0</v>
      </c>
      <c r="C196" s="740">
        <v>0</v>
      </c>
      <c r="D196" s="740">
        <v>0</v>
      </c>
      <c r="E196" s="740">
        <v>0.85093794414967783</v>
      </c>
      <c r="F196" s="740">
        <v>1.5974034048322974</v>
      </c>
      <c r="G196" s="740">
        <v>2.0975382860136809</v>
      </c>
      <c r="H196" s="740">
        <v>1.3505884382086104</v>
      </c>
      <c r="I196" s="740">
        <v>2.7126750109037623</v>
      </c>
      <c r="J196" s="740">
        <v>0</v>
      </c>
      <c r="K196" s="740">
        <v>0.36770428341490619</v>
      </c>
      <c r="L196" s="740">
        <v>0</v>
      </c>
      <c r="M196" s="740">
        <v>0</v>
      </c>
      <c r="N196" s="740">
        <v>0</v>
      </c>
      <c r="O196" s="740">
        <v>0</v>
      </c>
      <c r="P196" s="740">
        <v>1.8635262452929152E-2</v>
      </c>
      <c r="Q196" s="740">
        <v>0</v>
      </c>
      <c r="R196" s="740">
        <v>2.4687322136124755E-2</v>
      </c>
      <c r="S196" s="740">
        <v>2.250191054313456E-3</v>
      </c>
      <c r="T196" s="740">
        <v>7.2927670043569539E-4</v>
      </c>
      <c r="U196" s="740">
        <v>0</v>
      </c>
      <c r="V196" s="740" t="s">
        <v>509</v>
      </c>
      <c r="W196" s="740" t="s">
        <v>509</v>
      </c>
      <c r="X196" s="740" t="s">
        <v>509</v>
      </c>
      <c r="Y196" s="740" t="s">
        <v>509</v>
      </c>
      <c r="Z196" s="740" t="s">
        <v>509</v>
      </c>
      <c r="AA196" s="740" t="s">
        <v>509</v>
      </c>
      <c r="AB196" s="740" t="s">
        <v>509</v>
      </c>
      <c r="AC196" s="740" t="s">
        <v>509</v>
      </c>
      <c r="AD196" s="740">
        <v>0.47598144756750965</v>
      </c>
      <c r="AE196" s="740">
        <v>0</v>
      </c>
      <c r="AF196" s="540">
        <v>0</v>
      </c>
      <c r="AG196" s="540">
        <v>0</v>
      </c>
      <c r="AH196" s="540" t="s">
        <v>509</v>
      </c>
      <c r="AI196" s="540">
        <v>2.7339300244100897E-3</v>
      </c>
      <c r="AJ196" s="540">
        <v>2.3647272478845028E-5</v>
      </c>
      <c r="AK196" s="540">
        <v>0</v>
      </c>
      <c r="AL196" s="540" t="s">
        <v>509</v>
      </c>
      <c r="AM196" s="540">
        <v>0</v>
      </c>
      <c r="AN196" s="540">
        <v>1.144380210835759</v>
      </c>
      <c r="AO196" s="540" t="s">
        <v>509</v>
      </c>
      <c r="AP196" s="540">
        <v>5.8368938395029824E-2</v>
      </c>
      <c r="AQ196" s="540">
        <v>0.52690742619239295</v>
      </c>
      <c r="AR196" s="540">
        <v>0.21864809866642845</v>
      </c>
      <c r="AS196" s="540">
        <v>6.5990368707385352E-2</v>
      </c>
      <c r="AT196" s="540">
        <v>0.1308790924129016</v>
      </c>
      <c r="AU196" s="540">
        <v>9.8717126071999478E-2</v>
      </c>
      <c r="AV196" s="540">
        <v>0.15347851182546363</v>
      </c>
      <c r="AW196" s="540">
        <v>0.2071047757702644</v>
      </c>
    </row>
    <row r="197" spans="1:49" ht="14.25" customHeight="1">
      <c r="A197" s="543" t="s">
        <v>325</v>
      </c>
      <c r="B197" s="741">
        <v>0</v>
      </c>
      <c r="C197" s="741">
        <v>0</v>
      </c>
      <c r="D197" s="741">
        <v>0</v>
      </c>
      <c r="E197" s="741">
        <v>0</v>
      </c>
      <c r="F197" s="741">
        <v>0</v>
      </c>
      <c r="G197" s="741">
        <v>0</v>
      </c>
      <c r="H197" s="741">
        <v>0</v>
      </c>
      <c r="I197" s="741">
        <v>0</v>
      </c>
      <c r="J197" s="741">
        <v>0</v>
      </c>
      <c r="K197" s="741">
        <v>0</v>
      </c>
      <c r="L197" s="741">
        <v>0</v>
      </c>
      <c r="M197" s="741">
        <v>0</v>
      </c>
      <c r="N197" s="741">
        <v>0</v>
      </c>
      <c r="O197" s="741">
        <v>0</v>
      </c>
      <c r="P197" s="741">
        <v>0</v>
      </c>
      <c r="Q197" s="741">
        <v>0</v>
      </c>
      <c r="R197" s="741">
        <v>0</v>
      </c>
      <c r="S197" s="741">
        <v>0</v>
      </c>
      <c r="T197" s="741">
        <v>0</v>
      </c>
      <c r="U197" s="741">
        <v>0</v>
      </c>
      <c r="V197" s="741">
        <v>0</v>
      </c>
      <c r="W197" s="741" t="s">
        <v>509</v>
      </c>
      <c r="X197" s="741" t="s">
        <v>509</v>
      </c>
      <c r="Y197" s="741" t="s">
        <v>509</v>
      </c>
      <c r="Z197" s="741" t="s">
        <v>509</v>
      </c>
      <c r="AA197" s="741" t="s">
        <v>509</v>
      </c>
      <c r="AB197" s="741" t="s">
        <v>509</v>
      </c>
      <c r="AC197" s="741" t="s">
        <v>509</v>
      </c>
      <c r="AD197" s="741" t="s">
        <v>509</v>
      </c>
      <c r="AE197" s="741" t="s">
        <v>509</v>
      </c>
      <c r="AF197" s="542" t="s">
        <v>509</v>
      </c>
      <c r="AG197" s="542" t="s">
        <v>509</v>
      </c>
      <c r="AH197" s="542" t="s">
        <v>509</v>
      </c>
      <c r="AI197" s="542" t="s">
        <v>509</v>
      </c>
      <c r="AJ197" s="542" t="s">
        <v>509</v>
      </c>
      <c r="AK197" s="542" t="s">
        <v>509</v>
      </c>
      <c r="AL197" s="542">
        <v>-3</v>
      </c>
      <c r="AM197" s="542">
        <v>233.98233077704302</v>
      </c>
      <c r="AN197" s="542">
        <v>134.79887954735801</v>
      </c>
      <c r="AO197" s="542">
        <v>33.333127170924001</v>
      </c>
      <c r="AP197" s="542">
        <v>125.37637644172928</v>
      </c>
      <c r="AQ197" s="542">
        <v>50.523918620484096</v>
      </c>
      <c r="AR197" s="542">
        <v>9.9040706036126291</v>
      </c>
      <c r="AS197" s="542">
        <v>68.402825790719604</v>
      </c>
      <c r="AT197" s="542">
        <v>71.858131724753306</v>
      </c>
      <c r="AU197" s="542">
        <v>57.182149960515133</v>
      </c>
      <c r="AV197" s="542">
        <v>74.291869802612609</v>
      </c>
      <c r="AW197" s="542">
        <v>85.236642146124709</v>
      </c>
    </row>
    <row r="198" spans="1:49" ht="14.25" customHeight="1">
      <c r="A198" s="543" t="s">
        <v>326</v>
      </c>
      <c r="B198" s="740" t="s">
        <v>509</v>
      </c>
      <c r="C198" s="740">
        <v>2.3322255316476603</v>
      </c>
      <c r="D198" s="740">
        <v>4.6625480933967784</v>
      </c>
      <c r="E198" s="740">
        <v>0</v>
      </c>
      <c r="F198" s="740">
        <v>12.30125783387461</v>
      </c>
      <c r="G198" s="740">
        <v>12.347076345710907</v>
      </c>
      <c r="H198" s="740">
        <v>14.175660082878311</v>
      </c>
      <c r="I198" s="740">
        <v>15.236482937655671</v>
      </c>
      <c r="J198" s="740">
        <v>27.991946214692263</v>
      </c>
      <c r="K198" s="740">
        <v>47.629264131961605</v>
      </c>
      <c r="L198" s="740">
        <v>16.776596649351816</v>
      </c>
      <c r="M198" s="740">
        <v>3.778198743748916</v>
      </c>
      <c r="N198" s="740">
        <v>0</v>
      </c>
      <c r="O198" s="740">
        <v>0</v>
      </c>
      <c r="P198" s="740">
        <v>0</v>
      </c>
      <c r="Q198" s="740">
        <v>1.1385199240986721</v>
      </c>
      <c r="R198" s="740">
        <v>5.4076220432699911</v>
      </c>
      <c r="S198" s="740">
        <v>11.306674706968685</v>
      </c>
      <c r="T198" s="740">
        <v>0.99627228121445244</v>
      </c>
      <c r="U198" s="740">
        <v>0.9885778072520387</v>
      </c>
      <c r="V198" s="740">
        <v>1.0573618821041502</v>
      </c>
      <c r="W198" s="740">
        <v>2.0546362009776651</v>
      </c>
      <c r="X198" s="740">
        <v>1.8084681521223183</v>
      </c>
      <c r="Y198" s="740">
        <v>1.7563503040681465</v>
      </c>
      <c r="Z198" s="740">
        <v>2.5290311703091737</v>
      </c>
      <c r="AA198" s="740">
        <v>2.9182524531559757</v>
      </c>
      <c r="AB198" s="740">
        <v>3.4753295046786623</v>
      </c>
      <c r="AC198" s="740">
        <v>6.3303010409828531</v>
      </c>
      <c r="AD198" s="740">
        <v>9.3134560036219245</v>
      </c>
      <c r="AE198" s="740">
        <v>12.043678407022771</v>
      </c>
      <c r="AF198" s="540">
        <v>12.717416437581925</v>
      </c>
      <c r="AG198" s="540">
        <v>6.6114460660017667</v>
      </c>
      <c r="AH198" s="540">
        <v>6.3214167257402787</v>
      </c>
      <c r="AI198" s="540">
        <v>7.4666738808443087</v>
      </c>
      <c r="AJ198" s="540">
        <v>4.0732443391161066</v>
      </c>
      <c r="AK198" s="540">
        <v>6.7067206930278047</v>
      </c>
      <c r="AL198" s="540">
        <v>6.3930292303503293</v>
      </c>
      <c r="AM198" s="540">
        <v>5.3780938712138475</v>
      </c>
      <c r="AN198" s="540">
        <v>22.343159330936295</v>
      </c>
      <c r="AO198" s="540">
        <v>14.608214175269117</v>
      </c>
      <c r="AP198" s="540">
        <v>39.864907920728989</v>
      </c>
      <c r="AQ198" s="540">
        <v>32.541394453841548</v>
      </c>
      <c r="AR198" s="540">
        <v>28.312512270477487</v>
      </c>
      <c r="AS198" s="540">
        <v>27.466438304410211</v>
      </c>
      <c r="AT198" s="540">
        <v>35.543489373303231</v>
      </c>
      <c r="AU198" s="540">
        <v>21.832210807655525</v>
      </c>
      <c r="AV198" s="540">
        <v>28.127012906457963</v>
      </c>
      <c r="AW198" s="540" t="s">
        <v>509</v>
      </c>
    </row>
    <row r="199" spans="1:49" ht="14.25" customHeight="1">
      <c r="A199" s="543" t="s">
        <v>517</v>
      </c>
      <c r="B199" s="741">
        <v>1</v>
      </c>
      <c r="C199" s="741">
        <v>1</v>
      </c>
      <c r="D199" s="741">
        <v>6</v>
      </c>
      <c r="E199" s="741">
        <v>66</v>
      </c>
      <c r="F199" s="741">
        <v>34</v>
      </c>
      <c r="G199" s="741">
        <v>51</v>
      </c>
      <c r="H199" s="741">
        <v>52</v>
      </c>
      <c r="I199" s="741">
        <v>10</v>
      </c>
      <c r="J199" s="741">
        <v>21</v>
      </c>
      <c r="K199" s="741" t="s">
        <v>509</v>
      </c>
      <c r="L199" s="741" t="s">
        <v>509</v>
      </c>
      <c r="M199" s="741" t="s">
        <v>509</v>
      </c>
      <c r="N199" s="741" t="s">
        <v>509</v>
      </c>
      <c r="O199" s="741" t="s">
        <v>509</v>
      </c>
      <c r="P199" s="741" t="s">
        <v>509</v>
      </c>
      <c r="Q199" s="741" t="s">
        <v>509</v>
      </c>
      <c r="R199" s="741" t="s">
        <v>509</v>
      </c>
      <c r="S199" s="741">
        <v>10</v>
      </c>
      <c r="T199" s="741">
        <v>10</v>
      </c>
      <c r="U199" s="741">
        <v>10</v>
      </c>
      <c r="V199" s="741">
        <v>41</v>
      </c>
      <c r="W199" s="741">
        <v>32</v>
      </c>
      <c r="X199" s="741">
        <v>61</v>
      </c>
      <c r="Y199" s="741">
        <v>101</v>
      </c>
      <c r="Z199" s="741">
        <v>146</v>
      </c>
      <c r="AA199" s="741">
        <v>368</v>
      </c>
      <c r="AB199" s="741">
        <v>361</v>
      </c>
      <c r="AC199" s="741">
        <v>293</v>
      </c>
      <c r="AD199" s="741">
        <v>203</v>
      </c>
      <c r="AE199" s="741">
        <v>244</v>
      </c>
      <c r="AF199" s="542">
        <v>201</v>
      </c>
      <c r="AG199" s="542">
        <v>129</v>
      </c>
      <c r="AH199" s="542">
        <v>108</v>
      </c>
      <c r="AI199" s="542">
        <v>327</v>
      </c>
      <c r="AJ199" s="542">
        <v>182</v>
      </c>
      <c r="AK199" s="542">
        <v>681</v>
      </c>
      <c r="AL199" s="542">
        <v>220</v>
      </c>
      <c r="AM199" s="542">
        <v>96</v>
      </c>
      <c r="AN199" s="542">
        <v>274</v>
      </c>
      <c r="AO199" s="542">
        <v>309</v>
      </c>
      <c r="AP199" s="542">
        <v>221</v>
      </c>
      <c r="AQ199" s="542">
        <v>202</v>
      </c>
      <c r="AR199" s="542">
        <v>291</v>
      </c>
      <c r="AS199" s="542">
        <v>961</v>
      </c>
      <c r="AT199" s="542">
        <v>820</v>
      </c>
      <c r="AU199" s="542">
        <v>1101</v>
      </c>
      <c r="AV199" s="542">
        <v>1567</v>
      </c>
      <c r="AW199" s="542">
        <v>2219</v>
      </c>
    </row>
    <row r="200" spans="1:49" ht="14.25" customHeight="1">
      <c r="A200" s="543" t="s">
        <v>516</v>
      </c>
      <c r="B200" s="740" t="s">
        <v>509</v>
      </c>
      <c r="C200" s="740" t="s">
        <v>509</v>
      </c>
      <c r="D200" s="740" t="s">
        <v>509</v>
      </c>
      <c r="E200" s="740" t="s">
        <v>509</v>
      </c>
      <c r="F200" s="740" t="s">
        <v>509</v>
      </c>
      <c r="G200" s="740" t="s">
        <v>509</v>
      </c>
      <c r="H200" s="740" t="s">
        <v>509</v>
      </c>
      <c r="I200" s="740" t="s">
        <v>509</v>
      </c>
      <c r="J200" s="740" t="s">
        <v>509</v>
      </c>
      <c r="K200" s="740" t="s">
        <v>509</v>
      </c>
      <c r="L200" s="740" t="s">
        <v>509</v>
      </c>
      <c r="M200" s="740" t="s">
        <v>509</v>
      </c>
      <c r="N200" s="740" t="s">
        <v>509</v>
      </c>
      <c r="O200" s="740" t="s">
        <v>509</v>
      </c>
      <c r="P200" s="740" t="s">
        <v>509</v>
      </c>
      <c r="Q200" s="740" t="s">
        <v>509</v>
      </c>
      <c r="R200" s="740" t="s">
        <v>509</v>
      </c>
      <c r="S200" s="740" t="s">
        <v>509</v>
      </c>
      <c r="T200" s="740" t="s">
        <v>509</v>
      </c>
      <c r="U200" s="740" t="s">
        <v>509</v>
      </c>
      <c r="V200" s="740" t="s">
        <v>509</v>
      </c>
      <c r="W200" s="740" t="s">
        <v>509</v>
      </c>
      <c r="X200" s="740" t="s">
        <v>509</v>
      </c>
      <c r="Y200" s="740" t="s">
        <v>509</v>
      </c>
      <c r="Z200" s="740" t="s">
        <v>509</v>
      </c>
      <c r="AA200" s="740" t="s">
        <v>509</v>
      </c>
      <c r="AB200" s="740" t="s">
        <v>509</v>
      </c>
      <c r="AC200" s="740" t="s">
        <v>509</v>
      </c>
      <c r="AD200" s="740" t="s">
        <v>509</v>
      </c>
      <c r="AE200" s="740" t="s">
        <v>509</v>
      </c>
      <c r="AF200" s="540" t="s">
        <v>509</v>
      </c>
      <c r="AG200" s="540" t="s">
        <v>509</v>
      </c>
      <c r="AH200" s="540" t="s">
        <v>509</v>
      </c>
      <c r="AI200" s="540" t="s">
        <v>509</v>
      </c>
      <c r="AJ200" s="540" t="s">
        <v>509</v>
      </c>
      <c r="AK200" s="540" t="s">
        <v>509</v>
      </c>
      <c r="AL200" s="540" t="s">
        <v>509</v>
      </c>
      <c r="AM200" s="540" t="s">
        <v>509</v>
      </c>
      <c r="AN200" s="540" t="s">
        <v>509</v>
      </c>
      <c r="AO200" s="540" t="s">
        <v>509</v>
      </c>
      <c r="AP200" s="540" t="s">
        <v>509</v>
      </c>
      <c r="AQ200" s="540" t="s">
        <v>509</v>
      </c>
      <c r="AR200" s="540" t="s">
        <v>509</v>
      </c>
      <c r="AS200" s="540" t="s">
        <v>509</v>
      </c>
      <c r="AT200" s="540" t="s">
        <v>509</v>
      </c>
      <c r="AU200" s="540" t="s">
        <v>509</v>
      </c>
      <c r="AV200" s="540" t="s">
        <v>509</v>
      </c>
      <c r="AW200" s="540" t="s">
        <v>509</v>
      </c>
    </row>
    <row r="201" spans="1:49" ht="14.25" customHeight="1">
      <c r="A201" s="543" t="s">
        <v>377</v>
      </c>
      <c r="B201" s="741" t="s">
        <v>509</v>
      </c>
      <c r="C201" s="741" t="s">
        <v>509</v>
      </c>
      <c r="D201" s="741" t="s">
        <v>509</v>
      </c>
      <c r="E201" s="741" t="s">
        <v>509</v>
      </c>
      <c r="F201" s="741" t="s">
        <v>509</v>
      </c>
      <c r="G201" s="741" t="s">
        <v>509</v>
      </c>
      <c r="H201" s="741" t="s">
        <v>509</v>
      </c>
      <c r="I201" s="741" t="s">
        <v>509</v>
      </c>
      <c r="J201" s="741" t="s">
        <v>509</v>
      </c>
      <c r="K201" s="741" t="s">
        <v>509</v>
      </c>
      <c r="L201" s="741" t="s">
        <v>509</v>
      </c>
      <c r="M201" s="741" t="s">
        <v>509</v>
      </c>
      <c r="N201" s="741" t="s">
        <v>509</v>
      </c>
      <c r="O201" s="741" t="s">
        <v>509</v>
      </c>
      <c r="P201" s="741" t="s">
        <v>509</v>
      </c>
      <c r="Q201" s="741" t="s">
        <v>509</v>
      </c>
      <c r="R201" s="741" t="s">
        <v>509</v>
      </c>
      <c r="S201" s="741" t="s">
        <v>509</v>
      </c>
      <c r="T201" s="741" t="s">
        <v>509</v>
      </c>
      <c r="U201" s="741" t="s">
        <v>509</v>
      </c>
      <c r="V201" s="741" t="s">
        <v>509</v>
      </c>
      <c r="W201" s="741" t="s">
        <v>509</v>
      </c>
      <c r="X201" s="741" t="s">
        <v>509</v>
      </c>
      <c r="Y201" s="741" t="s">
        <v>509</v>
      </c>
      <c r="Z201" s="741" t="s">
        <v>509</v>
      </c>
      <c r="AA201" s="741" t="s">
        <v>509</v>
      </c>
      <c r="AB201" s="741" t="s">
        <v>509</v>
      </c>
      <c r="AC201" s="741" t="s">
        <v>509</v>
      </c>
      <c r="AD201" s="741" t="s">
        <v>509</v>
      </c>
      <c r="AE201" s="741" t="s">
        <v>509</v>
      </c>
      <c r="AF201" s="542" t="s">
        <v>509</v>
      </c>
      <c r="AG201" s="542" t="s">
        <v>509</v>
      </c>
      <c r="AH201" s="542" t="s">
        <v>509</v>
      </c>
      <c r="AI201" s="542" t="s">
        <v>509</v>
      </c>
      <c r="AJ201" s="542" t="s">
        <v>509</v>
      </c>
      <c r="AK201" s="542" t="s">
        <v>509</v>
      </c>
      <c r="AL201" s="542" t="s">
        <v>509</v>
      </c>
      <c r="AM201" s="542" t="s">
        <v>509</v>
      </c>
      <c r="AN201" s="542" t="s">
        <v>509</v>
      </c>
      <c r="AO201" s="542" t="s">
        <v>509</v>
      </c>
      <c r="AP201" s="542" t="s">
        <v>509</v>
      </c>
      <c r="AQ201" s="542" t="s">
        <v>509</v>
      </c>
      <c r="AR201" s="542" t="s">
        <v>509</v>
      </c>
      <c r="AS201" s="542" t="s">
        <v>509</v>
      </c>
      <c r="AT201" s="542" t="s">
        <v>509</v>
      </c>
      <c r="AU201" s="542" t="s">
        <v>509</v>
      </c>
      <c r="AV201" s="542" t="s">
        <v>509</v>
      </c>
      <c r="AW201" s="542" t="s">
        <v>509</v>
      </c>
    </row>
    <row r="202" spans="1:49" ht="14.25" customHeight="1">
      <c r="A202" s="543" t="s">
        <v>327</v>
      </c>
      <c r="B202" s="740" t="s">
        <v>509</v>
      </c>
      <c r="C202" s="740" t="s">
        <v>509</v>
      </c>
      <c r="D202" s="740" t="s">
        <v>509</v>
      </c>
      <c r="E202" s="740" t="s">
        <v>509</v>
      </c>
      <c r="F202" s="740" t="s">
        <v>509</v>
      </c>
      <c r="G202" s="740" t="s">
        <v>509</v>
      </c>
      <c r="H202" s="740" t="s">
        <v>509</v>
      </c>
      <c r="I202" s="740" t="s">
        <v>509</v>
      </c>
      <c r="J202" s="740" t="s">
        <v>509</v>
      </c>
      <c r="K202" s="740" t="s">
        <v>509</v>
      </c>
      <c r="L202" s="740" t="s">
        <v>509</v>
      </c>
      <c r="M202" s="740" t="s">
        <v>509</v>
      </c>
      <c r="N202" s="740" t="s">
        <v>509</v>
      </c>
      <c r="O202" s="740" t="s">
        <v>509</v>
      </c>
      <c r="P202" s="740" t="s">
        <v>509</v>
      </c>
      <c r="Q202" s="740" t="s">
        <v>509</v>
      </c>
      <c r="R202" s="740" t="s">
        <v>509</v>
      </c>
      <c r="S202" s="740" t="s">
        <v>509</v>
      </c>
      <c r="T202" s="740" t="s">
        <v>509</v>
      </c>
      <c r="U202" s="740" t="s">
        <v>509</v>
      </c>
      <c r="V202" s="740" t="s">
        <v>509</v>
      </c>
      <c r="W202" s="740" t="s">
        <v>509</v>
      </c>
      <c r="X202" s="740" t="s">
        <v>509</v>
      </c>
      <c r="Y202" s="740" t="s">
        <v>509</v>
      </c>
      <c r="Z202" s="740" t="s">
        <v>509</v>
      </c>
      <c r="AA202" s="740" t="s">
        <v>509</v>
      </c>
      <c r="AB202" s="740" t="s">
        <v>509</v>
      </c>
      <c r="AC202" s="740" t="s">
        <v>509</v>
      </c>
      <c r="AD202" s="740" t="s">
        <v>509</v>
      </c>
      <c r="AE202" s="740">
        <v>1.5443987049113719E-2</v>
      </c>
      <c r="AF202" s="540">
        <v>2.1382642385488367E-2</v>
      </c>
      <c r="AG202" s="540" t="s">
        <v>509</v>
      </c>
      <c r="AH202" s="540">
        <v>2.2592771568252134E-2</v>
      </c>
      <c r="AI202" s="540" t="s">
        <v>509</v>
      </c>
      <c r="AJ202" s="540" t="s">
        <v>509</v>
      </c>
      <c r="AK202" s="540" t="s">
        <v>509</v>
      </c>
      <c r="AL202" s="540" t="s">
        <v>509</v>
      </c>
      <c r="AM202" s="540" t="s">
        <v>509</v>
      </c>
      <c r="AN202" s="540">
        <v>0</v>
      </c>
      <c r="AO202" s="540">
        <v>0</v>
      </c>
      <c r="AP202" s="540">
        <v>0</v>
      </c>
      <c r="AQ202" s="540">
        <v>0</v>
      </c>
      <c r="AR202" s="540">
        <v>0</v>
      </c>
      <c r="AS202" s="540">
        <v>0</v>
      </c>
      <c r="AT202" s="540">
        <v>0</v>
      </c>
      <c r="AU202" s="540">
        <v>0</v>
      </c>
      <c r="AV202" s="540">
        <v>0</v>
      </c>
      <c r="AW202" s="540" t="s">
        <v>509</v>
      </c>
    </row>
    <row r="203" spans="1:49" ht="14.25" customHeight="1">
      <c r="A203" s="543" t="s">
        <v>328</v>
      </c>
      <c r="B203" s="741" t="s">
        <v>509</v>
      </c>
      <c r="C203" s="741" t="s">
        <v>509</v>
      </c>
      <c r="D203" s="741" t="s">
        <v>509</v>
      </c>
      <c r="E203" s="741" t="s">
        <v>509</v>
      </c>
      <c r="F203" s="741" t="s">
        <v>509</v>
      </c>
      <c r="G203" s="741">
        <v>0</v>
      </c>
      <c r="H203" s="741">
        <v>0</v>
      </c>
      <c r="I203" s="741">
        <v>0</v>
      </c>
      <c r="J203" s="741">
        <v>0</v>
      </c>
      <c r="K203" s="741">
        <v>0</v>
      </c>
      <c r="L203" s="741">
        <v>1</v>
      </c>
      <c r="M203" s="741">
        <v>1</v>
      </c>
      <c r="N203" s="741">
        <v>0</v>
      </c>
      <c r="O203" s="741">
        <v>0</v>
      </c>
      <c r="P203" s="741">
        <v>0</v>
      </c>
      <c r="Q203" s="741">
        <v>0</v>
      </c>
      <c r="R203" s="741">
        <v>0</v>
      </c>
      <c r="S203" s="741">
        <v>0</v>
      </c>
      <c r="T203" s="741">
        <v>0</v>
      </c>
      <c r="U203" s="741">
        <v>0</v>
      </c>
      <c r="V203" s="741">
        <v>0</v>
      </c>
      <c r="W203" s="741">
        <v>0</v>
      </c>
      <c r="X203" s="741">
        <v>0</v>
      </c>
      <c r="Y203" s="741">
        <v>0</v>
      </c>
      <c r="Z203" s="741">
        <v>0</v>
      </c>
      <c r="AA203" s="741" t="s">
        <v>509</v>
      </c>
      <c r="AB203" s="741" t="s">
        <v>509</v>
      </c>
      <c r="AC203" s="741">
        <v>0</v>
      </c>
      <c r="AD203" s="741">
        <v>0</v>
      </c>
      <c r="AE203" s="741">
        <v>0</v>
      </c>
      <c r="AF203" s="542">
        <v>0</v>
      </c>
      <c r="AG203" s="542">
        <v>0</v>
      </c>
      <c r="AH203" s="542">
        <v>0</v>
      </c>
      <c r="AI203" s="542">
        <v>0</v>
      </c>
      <c r="AJ203" s="542">
        <v>0</v>
      </c>
      <c r="AK203" s="542">
        <v>36.807494836335195</v>
      </c>
      <c r="AL203" s="542">
        <v>-10.531217551091402</v>
      </c>
      <c r="AM203" s="542">
        <v>47.006751219199998</v>
      </c>
      <c r="AN203" s="542">
        <v>45.792216729562</v>
      </c>
      <c r="AO203" s="542">
        <v>0.57928027590880804</v>
      </c>
      <c r="AP203" s="542">
        <v>0.28261909839332688</v>
      </c>
      <c r="AQ203" s="542">
        <v>0.14539770495074988</v>
      </c>
      <c r="AR203" s="542">
        <v>0.30413225306923675</v>
      </c>
      <c r="AS203" s="542">
        <v>0.31820678117815099</v>
      </c>
      <c r="AT203" s="542">
        <v>0.32268628428272622</v>
      </c>
      <c r="AU203" s="542">
        <v>0.3280490536067634</v>
      </c>
      <c r="AV203" s="542">
        <v>0.34811224108126221</v>
      </c>
      <c r="AW203" s="542" t="s">
        <v>509</v>
      </c>
    </row>
    <row r="204" spans="1:49" ht="14.25" customHeight="1">
      <c r="A204" s="543" t="s">
        <v>329</v>
      </c>
      <c r="B204" s="740" t="s">
        <v>509</v>
      </c>
      <c r="C204" s="740" t="s">
        <v>509</v>
      </c>
      <c r="D204" s="740" t="s">
        <v>509</v>
      </c>
      <c r="E204" s="740" t="s">
        <v>509</v>
      </c>
      <c r="F204" s="740" t="s">
        <v>509</v>
      </c>
      <c r="G204" s="740" t="s">
        <v>509</v>
      </c>
      <c r="H204" s="740" t="s">
        <v>509</v>
      </c>
      <c r="I204" s="740" t="s">
        <v>509</v>
      </c>
      <c r="J204" s="740" t="s">
        <v>509</v>
      </c>
      <c r="K204" s="740" t="s">
        <v>509</v>
      </c>
      <c r="L204" s="740" t="s">
        <v>509</v>
      </c>
      <c r="M204" s="740" t="s">
        <v>509</v>
      </c>
      <c r="N204" s="740" t="s">
        <v>509</v>
      </c>
      <c r="O204" s="740" t="s">
        <v>509</v>
      </c>
      <c r="P204" s="740" t="s">
        <v>509</v>
      </c>
      <c r="Q204" s="740" t="s">
        <v>509</v>
      </c>
      <c r="R204" s="740" t="s">
        <v>509</v>
      </c>
      <c r="S204" s="740" t="s">
        <v>509</v>
      </c>
      <c r="T204" s="740" t="s">
        <v>509</v>
      </c>
      <c r="U204" s="740" t="s">
        <v>509</v>
      </c>
      <c r="V204" s="740" t="s">
        <v>509</v>
      </c>
      <c r="W204" s="740">
        <v>0</v>
      </c>
      <c r="X204" s="740" t="s">
        <v>509</v>
      </c>
      <c r="Y204" s="740" t="s">
        <v>509</v>
      </c>
      <c r="Z204" s="740" t="s">
        <v>509</v>
      </c>
      <c r="AA204" s="740">
        <v>0</v>
      </c>
      <c r="AB204" s="740">
        <v>0</v>
      </c>
      <c r="AC204" s="740">
        <v>0</v>
      </c>
      <c r="AD204" s="740">
        <v>0</v>
      </c>
      <c r="AE204" s="740">
        <v>2</v>
      </c>
      <c r="AF204" s="540">
        <v>4</v>
      </c>
      <c r="AG204" s="540">
        <v>2</v>
      </c>
      <c r="AH204" s="540">
        <v>11</v>
      </c>
      <c r="AI204" s="540">
        <v>20</v>
      </c>
      <c r="AJ204" s="540">
        <v>63</v>
      </c>
      <c r="AK204" s="540">
        <v>19</v>
      </c>
      <c r="AL204" s="540">
        <v>48</v>
      </c>
      <c r="AM204" s="540">
        <v>1042</v>
      </c>
      <c r="AN204" s="540">
        <v>590</v>
      </c>
      <c r="AO204" s="540">
        <v>78</v>
      </c>
      <c r="AP204" s="540">
        <v>42</v>
      </c>
      <c r="AQ204" s="540">
        <v>27</v>
      </c>
      <c r="AR204" s="540">
        <v>30</v>
      </c>
      <c r="AS204" s="540">
        <v>90</v>
      </c>
      <c r="AT204" s="540">
        <v>90</v>
      </c>
      <c r="AU204" s="540">
        <v>55</v>
      </c>
      <c r="AV204" s="540">
        <v>98</v>
      </c>
      <c r="AW204" s="540">
        <v>20</v>
      </c>
    </row>
    <row r="205" spans="1:49" ht="14.25" customHeight="1">
      <c r="A205" s="543" t="s">
        <v>28</v>
      </c>
      <c r="B205" s="741">
        <v>4232.4134848787244</v>
      </c>
      <c r="C205" s="741">
        <v>5042.1897441945093</v>
      </c>
      <c r="D205" s="741">
        <v>4851.5968865466484</v>
      </c>
      <c r="E205" s="741">
        <v>6096.2436376198211</v>
      </c>
      <c r="F205" s="741">
        <v>12276.029255367243</v>
      </c>
      <c r="G205" s="741">
        <v>11627.520830646126</v>
      </c>
      <c r="H205" s="741">
        <v>10858.950695035694</v>
      </c>
      <c r="I205" s="741">
        <v>8697.1047146497658</v>
      </c>
      <c r="J205" s="741">
        <v>9437.2400279303911</v>
      </c>
      <c r="K205" s="741">
        <v>10449.831628881393</v>
      </c>
      <c r="L205" s="741">
        <v>9966.2095164271032</v>
      </c>
      <c r="M205" s="741">
        <v>11543.921164944824</v>
      </c>
      <c r="N205" s="741">
        <v>18531.298508228632</v>
      </c>
      <c r="O205" s="741">
        <v>24556.289266800071</v>
      </c>
      <c r="P205" s="741">
        <v>26815.642628763297</v>
      </c>
      <c r="Q205" s="741">
        <v>28420.315487712094</v>
      </c>
      <c r="R205" s="741">
        <v>22896.715613889737</v>
      </c>
      <c r="S205" s="741">
        <v>24633.218453238904</v>
      </c>
      <c r="T205" s="741">
        <v>26046.049983979738</v>
      </c>
      <c r="U205" s="741">
        <v>33798.38439214955</v>
      </c>
      <c r="V205" s="741">
        <v>38923.936535044631</v>
      </c>
      <c r="W205" s="741">
        <v>43592.622685665563</v>
      </c>
      <c r="X205" s="741">
        <v>48171.144328139773</v>
      </c>
      <c r="Y205" s="741">
        <v>45633.437366604616</v>
      </c>
      <c r="Z205" s="741">
        <v>50241.2</v>
      </c>
      <c r="AA205" s="741">
        <v>62706.729194191619</v>
      </c>
      <c r="AB205" s="741">
        <v>62117.6224970482</v>
      </c>
      <c r="AC205" s="741">
        <v>73842.067223092556</v>
      </c>
      <c r="AD205" s="741">
        <v>85385.259736225693</v>
      </c>
      <c r="AE205" s="741">
        <v>110134.81809786061</v>
      </c>
      <c r="AF205" s="542">
        <v>141842.82933660768</v>
      </c>
      <c r="AG205" s="542">
        <v>152827.8665118464</v>
      </c>
      <c r="AH205" s="542">
        <v>186804.80474306035</v>
      </c>
      <c r="AI205" s="542">
        <v>144951.53982468456</v>
      </c>
      <c r="AJ205" s="542">
        <v>108951.32930215368</v>
      </c>
      <c r="AK205" s="542">
        <v>134243.25883757166</v>
      </c>
      <c r="AL205" s="542">
        <v>157815.86347178646</v>
      </c>
      <c r="AM205" s="542">
        <v>127571.00671097117</v>
      </c>
      <c r="AN205" s="542">
        <v>120693.1457520354</v>
      </c>
      <c r="AO205" s="565">
        <v>111122.54999999999</v>
      </c>
      <c r="AP205" s="565">
        <v>85074.12</v>
      </c>
      <c r="AQ205" s="542">
        <v>68687.923905078831</v>
      </c>
      <c r="AR205" s="565">
        <v>105640.68</v>
      </c>
      <c r="AS205" s="542">
        <v>125432.47993271348</v>
      </c>
      <c r="AT205" s="542">
        <v>129547.10967963876</v>
      </c>
      <c r="AU205" s="542">
        <v>64716.641600900759</v>
      </c>
      <c r="AV205" s="542">
        <v>184909.51197574384</v>
      </c>
      <c r="AW205" s="542">
        <v>192442.31905181412</v>
      </c>
    </row>
    <row r="206" spans="1:49" ht="14.25" customHeight="1">
      <c r="A206" s="543" t="s">
        <v>11</v>
      </c>
      <c r="B206" s="742">
        <f t="array" ref="B206:L206">(TRANSPOSE(DataF3!Y5:Y15)+TRANSPOSE(DataF3!Z5:Z15))*1000</f>
        <v>18462.731096357442</v>
      </c>
      <c r="C206" s="742">
        <v>21403.000322985827</v>
      </c>
      <c r="D206" s="742">
        <v>21171.449428834614</v>
      </c>
      <c r="E206" s="742">
        <v>27681.701190513479</v>
      </c>
      <c r="F206" s="742">
        <v>42100.532535580802</v>
      </c>
      <c r="G206" s="742">
        <v>41122.94047500653</v>
      </c>
      <c r="H206" s="742">
        <v>36187.856870865442</v>
      </c>
      <c r="I206" s="742">
        <v>31343</v>
      </c>
      <c r="J206" s="742">
        <v>35311</v>
      </c>
      <c r="K206" s="742">
        <v>39656</v>
      </c>
      <c r="L206" s="742">
        <v>39484</v>
      </c>
      <c r="M206" s="740">
        <v>40100</v>
      </c>
      <c r="N206" s="740">
        <v>48597</v>
      </c>
      <c r="O206" s="740">
        <v>59746</v>
      </c>
      <c r="P206" s="740">
        <v>61790</v>
      </c>
      <c r="Q206" s="740">
        <v>64200</v>
      </c>
      <c r="R206" s="740">
        <v>57470</v>
      </c>
      <c r="S206" s="740">
        <v>56340</v>
      </c>
      <c r="T206" s="740">
        <v>65580</v>
      </c>
      <c r="U206" s="740">
        <v>75040</v>
      </c>
      <c r="V206" s="740">
        <v>92820</v>
      </c>
      <c r="W206" s="740">
        <v>100310</v>
      </c>
      <c r="X206" s="740">
        <v>113220</v>
      </c>
      <c r="Y206" s="740">
        <v>100910</v>
      </c>
      <c r="Z206" s="740">
        <v>125991</v>
      </c>
      <c r="AA206" s="740">
        <v>144833</v>
      </c>
      <c r="AB206" s="740">
        <v>122258</v>
      </c>
      <c r="AC206" s="740">
        <v>139301</v>
      </c>
      <c r="AD206" s="740">
        <v>178206</v>
      </c>
      <c r="AE206" s="740">
        <v>240334</v>
      </c>
      <c r="AF206" s="540">
        <v>279061</v>
      </c>
      <c r="AG206" s="540">
        <v>306768</v>
      </c>
      <c r="AH206" s="540">
        <v>354311</v>
      </c>
      <c r="AI206" s="540">
        <v>397401</v>
      </c>
      <c r="AJ206" s="540">
        <v>354855</v>
      </c>
      <c r="AK206" s="540">
        <v>430359</v>
      </c>
      <c r="AL206" s="540">
        <v>459739</v>
      </c>
      <c r="AM206" s="540">
        <v>448870</v>
      </c>
      <c r="AN206" s="540">
        <v>459144</v>
      </c>
      <c r="AO206" s="540">
        <v>462484</v>
      </c>
      <c r="AP206" s="540">
        <v>433904</v>
      </c>
      <c r="AQ206" s="540">
        <v>441025</v>
      </c>
      <c r="AR206" s="540">
        <v>534656</v>
      </c>
      <c r="AS206" s="540">
        <v>558718</v>
      </c>
      <c r="AT206" s="666">
        <f>(DataF3!Y49+DataF3!Z49)*1000</f>
        <v>563874</v>
      </c>
      <c r="AU206" s="666">
        <f>(DataF3!Y50+DataF3!Z50)*1000</f>
        <v>480686.00000000006</v>
      </c>
      <c r="AV206" s="666">
        <f>(DataF3!Y51+DataF3!Z51)*1000</f>
        <v>602801</v>
      </c>
      <c r="AW206" s="666">
        <f>(DataF3!Y52+DataF3!Z52)*1000</f>
        <v>623780</v>
      </c>
    </row>
    <row r="207" spans="1:49" ht="14.25" customHeight="1">
      <c r="A207" s="543" t="s">
        <v>84</v>
      </c>
      <c r="B207" s="741" t="s">
        <v>509</v>
      </c>
      <c r="C207" s="741" t="s">
        <v>509</v>
      </c>
      <c r="D207" s="741" t="s">
        <v>509</v>
      </c>
      <c r="E207" s="741">
        <v>0</v>
      </c>
      <c r="F207" s="741">
        <v>0</v>
      </c>
      <c r="G207" s="741">
        <v>0</v>
      </c>
      <c r="H207" s="741">
        <v>0</v>
      </c>
      <c r="I207" s="741">
        <v>0</v>
      </c>
      <c r="J207" s="741">
        <v>0</v>
      </c>
      <c r="K207" s="741">
        <v>0</v>
      </c>
      <c r="L207" s="741">
        <v>0</v>
      </c>
      <c r="M207" s="741">
        <v>0</v>
      </c>
      <c r="N207" s="741">
        <v>0</v>
      </c>
      <c r="O207" s="741">
        <v>0</v>
      </c>
      <c r="P207" s="741">
        <v>0</v>
      </c>
      <c r="Q207" s="741">
        <v>0</v>
      </c>
      <c r="R207" s="741">
        <v>0</v>
      </c>
      <c r="S207" s="741">
        <v>0</v>
      </c>
      <c r="T207" s="741">
        <v>0.2</v>
      </c>
      <c r="U207" s="741">
        <v>0.5</v>
      </c>
      <c r="V207" s="741">
        <v>0.8</v>
      </c>
      <c r="W207" s="741">
        <v>0</v>
      </c>
      <c r="X207" s="741">
        <v>0</v>
      </c>
      <c r="Y207" s="741">
        <v>0</v>
      </c>
      <c r="Z207" s="741">
        <v>0</v>
      </c>
      <c r="AA207" s="741">
        <v>1.3404</v>
      </c>
      <c r="AB207" s="741">
        <v>0.308</v>
      </c>
      <c r="AC207" s="741">
        <v>7.40132105</v>
      </c>
      <c r="AD207" s="741">
        <v>3.2152280000000002</v>
      </c>
      <c r="AE207" s="741">
        <v>7.5035999999999996</v>
      </c>
      <c r="AF207" s="542">
        <v>3.2389999999999999</v>
      </c>
      <c r="AG207" s="542">
        <v>17.591567149999999</v>
      </c>
      <c r="AH207" s="542">
        <v>16.075487599999999</v>
      </c>
      <c r="AI207" s="542">
        <v>20.72688153</v>
      </c>
      <c r="AJ207" s="542">
        <v>19.617190000000001</v>
      </c>
      <c r="AK207" s="542">
        <v>20.921637736842118</v>
      </c>
      <c r="AL207" s="542">
        <v>29.71697360688788</v>
      </c>
      <c r="AM207" s="542">
        <v>758.9</v>
      </c>
      <c r="AN207" s="542">
        <v>1064.76583028608</v>
      </c>
      <c r="AO207" s="542">
        <v>492.45245104441727</v>
      </c>
      <c r="AP207" s="542">
        <v>446.25433809498691</v>
      </c>
      <c r="AQ207" s="542">
        <v>377.34545806538</v>
      </c>
      <c r="AR207" s="542">
        <v>782.79971515911598</v>
      </c>
      <c r="AS207" s="542">
        <v>735.94766724575993</v>
      </c>
      <c r="AT207" s="542">
        <v>459.87638430262797</v>
      </c>
      <c r="AU207" s="542">
        <v>-108.5329260255437</v>
      </c>
      <c r="AV207" s="542">
        <v>488.3134036341325</v>
      </c>
      <c r="AW207" s="542">
        <v>598.51397227547523</v>
      </c>
    </row>
    <row r="208" spans="1:49" ht="14.25" customHeight="1">
      <c r="A208" s="543" t="s">
        <v>515</v>
      </c>
      <c r="B208" s="740" t="s">
        <v>509</v>
      </c>
      <c r="C208" s="740" t="s">
        <v>509</v>
      </c>
      <c r="D208" s="740" t="s">
        <v>509</v>
      </c>
      <c r="E208" s="740" t="s">
        <v>509</v>
      </c>
      <c r="F208" s="740" t="s">
        <v>509</v>
      </c>
      <c r="G208" s="740" t="s">
        <v>509</v>
      </c>
      <c r="H208" s="740" t="s">
        <v>509</v>
      </c>
      <c r="I208" s="740" t="s">
        <v>509</v>
      </c>
      <c r="J208" s="740" t="s">
        <v>509</v>
      </c>
      <c r="K208" s="740" t="s">
        <v>509</v>
      </c>
      <c r="L208" s="740" t="s">
        <v>509</v>
      </c>
      <c r="M208" s="740" t="s">
        <v>509</v>
      </c>
      <c r="N208" s="740" t="s">
        <v>509</v>
      </c>
      <c r="O208" s="740" t="s">
        <v>509</v>
      </c>
      <c r="P208" s="740" t="s">
        <v>509</v>
      </c>
      <c r="Q208" s="740" t="s">
        <v>509</v>
      </c>
      <c r="R208" s="740" t="s">
        <v>509</v>
      </c>
      <c r="S208" s="740" t="s">
        <v>509</v>
      </c>
      <c r="T208" s="740" t="s">
        <v>509</v>
      </c>
      <c r="U208" s="740" t="s">
        <v>509</v>
      </c>
      <c r="V208" s="740" t="s">
        <v>509</v>
      </c>
      <c r="W208" s="740" t="s">
        <v>509</v>
      </c>
      <c r="X208" s="740" t="s">
        <v>509</v>
      </c>
      <c r="Y208" s="740" t="s">
        <v>509</v>
      </c>
      <c r="Z208" s="740" t="s">
        <v>509</v>
      </c>
      <c r="AA208" s="740" t="s">
        <v>509</v>
      </c>
      <c r="AB208" s="740" t="s">
        <v>509</v>
      </c>
      <c r="AC208" s="740" t="s">
        <v>509</v>
      </c>
      <c r="AD208" s="740" t="s">
        <v>509</v>
      </c>
      <c r="AE208" s="740" t="s">
        <v>509</v>
      </c>
      <c r="AF208" s="540">
        <v>0</v>
      </c>
      <c r="AG208" s="540">
        <v>0</v>
      </c>
      <c r="AH208" s="540">
        <v>0</v>
      </c>
      <c r="AI208" s="540">
        <v>0</v>
      </c>
      <c r="AJ208" s="540">
        <v>0</v>
      </c>
      <c r="AK208" s="540">
        <v>0</v>
      </c>
      <c r="AL208" s="540">
        <v>0</v>
      </c>
      <c r="AM208" s="540">
        <v>0</v>
      </c>
      <c r="AN208" s="540">
        <v>0</v>
      </c>
      <c r="AO208" s="540">
        <v>0</v>
      </c>
      <c r="AP208" s="540">
        <v>0</v>
      </c>
      <c r="AQ208" s="540">
        <v>0</v>
      </c>
      <c r="AR208" s="540">
        <v>0</v>
      </c>
      <c r="AS208" s="540">
        <v>20.249155460000001</v>
      </c>
      <c r="AT208" s="540">
        <v>3.3800299634879201</v>
      </c>
      <c r="AU208" s="540">
        <v>0.45862668620420199</v>
      </c>
      <c r="AV208" s="540">
        <v>1.02</v>
      </c>
      <c r="AW208" s="540">
        <v>0.46612016148018631</v>
      </c>
    </row>
    <row r="209" spans="1:49" ht="14.25" customHeight="1">
      <c r="A209" s="543" t="s">
        <v>330</v>
      </c>
      <c r="B209" s="741" t="s">
        <v>509</v>
      </c>
      <c r="C209" s="741" t="s">
        <v>509</v>
      </c>
      <c r="D209" s="741" t="s">
        <v>509</v>
      </c>
      <c r="E209" s="741" t="s">
        <v>509</v>
      </c>
      <c r="F209" s="741" t="s">
        <v>509</v>
      </c>
      <c r="G209" s="741" t="s">
        <v>509</v>
      </c>
      <c r="H209" s="741" t="s">
        <v>509</v>
      </c>
      <c r="I209" s="741">
        <v>0</v>
      </c>
      <c r="J209" s="741">
        <v>0</v>
      </c>
      <c r="K209" s="741">
        <v>0</v>
      </c>
      <c r="L209" s="741">
        <v>0</v>
      </c>
      <c r="M209" s="741">
        <v>0</v>
      </c>
      <c r="N209" s="741">
        <v>0</v>
      </c>
      <c r="O209" s="741">
        <v>0</v>
      </c>
      <c r="P209" s="741">
        <v>0</v>
      </c>
      <c r="Q209" s="741">
        <v>0</v>
      </c>
      <c r="R209" s="741">
        <v>0</v>
      </c>
      <c r="S209" s="741">
        <v>0</v>
      </c>
      <c r="T209" s="741">
        <v>0</v>
      </c>
      <c r="U209" s="741">
        <v>0</v>
      </c>
      <c r="V209" s="741">
        <v>0</v>
      </c>
      <c r="W209" s="741" t="s">
        <v>509</v>
      </c>
      <c r="X209" s="741" t="s">
        <v>509</v>
      </c>
      <c r="Y209" s="741" t="s">
        <v>509</v>
      </c>
      <c r="Z209" s="741" t="s">
        <v>509</v>
      </c>
      <c r="AA209" s="741" t="s">
        <v>509</v>
      </c>
      <c r="AB209" s="741" t="s">
        <v>509</v>
      </c>
      <c r="AC209" s="741">
        <v>0.28755267607466173</v>
      </c>
      <c r="AD209" s="741">
        <v>0.3529512728108582</v>
      </c>
      <c r="AE209" s="741">
        <v>0.37620091745156831</v>
      </c>
      <c r="AF209" s="542">
        <v>0.36621481333173606</v>
      </c>
      <c r="AG209" s="542">
        <v>0.37078339271469601</v>
      </c>
      <c r="AH209" s="542">
        <v>0.34076150266218175</v>
      </c>
      <c r="AI209" s="542">
        <v>1.3522693307487672</v>
      </c>
      <c r="AJ209" s="542">
        <v>1.3764089079049431</v>
      </c>
      <c r="AK209" s="542">
        <v>1.3</v>
      </c>
      <c r="AL209" s="542">
        <v>1.335283783830356</v>
      </c>
      <c r="AM209" s="542">
        <v>1.0763296348607607</v>
      </c>
      <c r="AN209" s="542">
        <v>1.06282008687387</v>
      </c>
      <c r="AO209" s="542">
        <v>4.2509885204375788</v>
      </c>
      <c r="AP209" s="542">
        <v>4.2840969439296632</v>
      </c>
      <c r="AQ209" s="542">
        <v>3.6448235271256788</v>
      </c>
      <c r="AR209" s="542">
        <v>1.5653129315963703</v>
      </c>
      <c r="AS209" s="542">
        <v>1.847177875692513</v>
      </c>
      <c r="AT209" s="542">
        <v>1.9970109601683494</v>
      </c>
      <c r="AU209" s="542">
        <v>1.5534008307865683</v>
      </c>
      <c r="AV209" s="542">
        <v>1.5633326973697781</v>
      </c>
      <c r="AW209" s="542" t="s">
        <v>509</v>
      </c>
    </row>
    <row r="210" spans="1:49" ht="14.25" customHeight="1">
      <c r="A210" s="543" t="s">
        <v>514</v>
      </c>
      <c r="B210" s="740">
        <v>0</v>
      </c>
      <c r="C210" s="740">
        <v>0</v>
      </c>
      <c r="D210" s="740">
        <v>0</v>
      </c>
      <c r="E210" s="740">
        <v>0</v>
      </c>
      <c r="F210" s="740">
        <v>0</v>
      </c>
      <c r="G210" s="740">
        <v>0</v>
      </c>
      <c r="H210" s="740">
        <v>0</v>
      </c>
      <c r="I210" s="740">
        <v>0</v>
      </c>
      <c r="J210" s="740">
        <v>0</v>
      </c>
      <c r="K210" s="740">
        <v>0</v>
      </c>
      <c r="L210" s="740">
        <v>1</v>
      </c>
      <c r="M210" s="740">
        <v>5</v>
      </c>
      <c r="N210" s="740">
        <v>3</v>
      </c>
      <c r="O210" s="740">
        <v>68</v>
      </c>
      <c r="P210" s="740">
        <v>146</v>
      </c>
      <c r="Q210" s="740">
        <v>231</v>
      </c>
      <c r="R210" s="740">
        <v>161</v>
      </c>
      <c r="S210" s="740">
        <v>185</v>
      </c>
      <c r="T210" s="740">
        <v>347</v>
      </c>
      <c r="U210" s="740">
        <v>286</v>
      </c>
      <c r="V210" s="740">
        <v>265</v>
      </c>
      <c r="W210" s="740">
        <v>149</v>
      </c>
      <c r="X210" s="740">
        <v>246</v>
      </c>
      <c r="Y210" s="740">
        <v>537</v>
      </c>
      <c r="Z210" s="740">
        <v>387</v>
      </c>
      <c r="AA210" s="740">
        <v>296</v>
      </c>
      <c r="AB210" s="740">
        <v>767</v>
      </c>
      <c r="AC210" s="740">
        <v>286</v>
      </c>
      <c r="AD210" s="740">
        <v>791</v>
      </c>
      <c r="AE210" s="740">
        <v>725</v>
      </c>
      <c r="AF210" s="540">
        <v>1349</v>
      </c>
      <c r="AG210" s="540">
        <v>3209</v>
      </c>
      <c r="AH210" s="540">
        <v>3753</v>
      </c>
      <c r="AI210" s="540">
        <v>4015</v>
      </c>
      <c r="AJ210" s="540">
        <v>1069</v>
      </c>
      <c r="AK210" s="540">
        <v>754</v>
      </c>
      <c r="AL210" s="540">
        <v>1253</v>
      </c>
      <c r="AM210" s="540">
        <v>892</v>
      </c>
      <c r="AN210" s="540">
        <v>1348</v>
      </c>
      <c r="AO210" s="540">
        <v>1315</v>
      </c>
      <c r="AP210" s="540">
        <v>600</v>
      </c>
      <c r="AQ210" s="540">
        <v>418</v>
      </c>
      <c r="AR210" s="540" t="s">
        <v>509</v>
      </c>
      <c r="AS210" s="540" t="s">
        <v>509</v>
      </c>
      <c r="AT210" s="540" t="s">
        <v>509</v>
      </c>
      <c r="AU210" s="540" t="s">
        <v>509</v>
      </c>
      <c r="AV210" s="540" t="s">
        <v>509</v>
      </c>
      <c r="AW210" s="540" t="s">
        <v>509</v>
      </c>
    </row>
    <row r="211" spans="1:49" ht="14.25" customHeight="1">
      <c r="A211" s="543" t="s">
        <v>331</v>
      </c>
      <c r="B211" s="741" t="s">
        <v>509</v>
      </c>
      <c r="C211" s="741" t="s">
        <v>509</v>
      </c>
      <c r="D211" s="741" t="s">
        <v>509</v>
      </c>
      <c r="E211" s="741" t="s">
        <v>509</v>
      </c>
      <c r="F211" s="741" t="s">
        <v>509</v>
      </c>
      <c r="G211" s="741" t="s">
        <v>509</v>
      </c>
      <c r="H211" s="741" t="s">
        <v>509</v>
      </c>
      <c r="I211" s="741" t="s">
        <v>509</v>
      </c>
      <c r="J211" s="741" t="s">
        <v>509</v>
      </c>
      <c r="K211" s="741" t="s">
        <v>509</v>
      </c>
      <c r="L211" s="741" t="s">
        <v>509</v>
      </c>
      <c r="M211" s="741" t="s">
        <v>509</v>
      </c>
      <c r="N211" s="741" t="s">
        <v>509</v>
      </c>
      <c r="O211" s="741" t="s">
        <v>509</v>
      </c>
      <c r="P211" s="741" t="s">
        <v>509</v>
      </c>
      <c r="Q211" s="741" t="s">
        <v>509</v>
      </c>
      <c r="R211" s="741" t="s">
        <v>509</v>
      </c>
      <c r="S211" s="741" t="s">
        <v>509</v>
      </c>
      <c r="T211" s="741" t="s">
        <v>509</v>
      </c>
      <c r="U211" s="741" t="s">
        <v>509</v>
      </c>
      <c r="V211" s="741" t="s">
        <v>509</v>
      </c>
      <c r="W211" s="741" t="s">
        <v>509</v>
      </c>
      <c r="X211" s="741" t="s">
        <v>509</v>
      </c>
      <c r="Y211" s="741" t="s">
        <v>509</v>
      </c>
      <c r="Z211" s="741" t="s">
        <v>509</v>
      </c>
      <c r="AA211" s="741" t="s">
        <v>509</v>
      </c>
      <c r="AB211" s="741" t="s">
        <v>509</v>
      </c>
      <c r="AC211" s="741" t="s">
        <v>509</v>
      </c>
      <c r="AD211" s="741" t="s">
        <v>509</v>
      </c>
      <c r="AE211" s="741" t="s">
        <v>509</v>
      </c>
      <c r="AF211" s="542" t="s">
        <v>509</v>
      </c>
      <c r="AG211" s="542" t="s">
        <v>509</v>
      </c>
      <c r="AH211" s="542" t="s">
        <v>509</v>
      </c>
      <c r="AI211" s="542" t="s">
        <v>509</v>
      </c>
      <c r="AJ211" s="542" t="s">
        <v>509</v>
      </c>
      <c r="AK211" s="542" t="s">
        <v>509</v>
      </c>
      <c r="AL211" s="542" t="s">
        <v>509</v>
      </c>
      <c r="AM211" s="542" t="s">
        <v>509</v>
      </c>
      <c r="AN211" s="542" t="s">
        <v>509</v>
      </c>
      <c r="AO211" s="542" t="s">
        <v>509</v>
      </c>
      <c r="AP211" s="542" t="s">
        <v>509</v>
      </c>
      <c r="AQ211" s="542" t="s">
        <v>509</v>
      </c>
      <c r="AR211" s="542" t="s">
        <v>509</v>
      </c>
      <c r="AS211" s="542" t="s">
        <v>509</v>
      </c>
      <c r="AT211" s="542" t="s">
        <v>509</v>
      </c>
      <c r="AU211" s="542" t="s">
        <v>509</v>
      </c>
      <c r="AV211" s="542" t="s">
        <v>509</v>
      </c>
      <c r="AW211" s="542" t="s">
        <v>509</v>
      </c>
    </row>
    <row r="212" spans="1:49" ht="14.25" customHeight="1">
      <c r="A212" s="543" t="s">
        <v>332</v>
      </c>
      <c r="B212" s="740" t="s">
        <v>509</v>
      </c>
      <c r="C212" s="740" t="s">
        <v>509</v>
      </c>
      <c r="D212" s="740" t="s">
        <v>509</v>
      </c>
      <c r="E212" s="740" t="s">
        <v>509</v>
      </c>
      <c r="F212" s="740" t="s">
        <v>509</v>
      </c>
      <c r="G212" s="740" t="s">
        <v>509</v>
      </c>
      <c r="H212" s="740" t="s">
        <v>509</v>
      </c>
      <c r="I212" s="740" t="s">
        <v>509</v>
      </c>
      <c r="J212" s="740" t="s">
        <v>509</v>
      </c>
      <c r="K212" s="740" t="s">
        <v>509</v>
      </c>
      <c r="L212" s="740" t="s">
        <v>509</v>
      </c>
      <c r="M212" s="740" t="s">
        <v>509</v>
      </c>
      <c r="N212" s="740" t="s">
        <v>509</v>
      </c>
      <c r="O212" s="740" t="s">
        <v>509</v>
      </c>
      <c r="P212" s="740" t="s">
        <v>509</v>
      </c>
      <c r="Q212" s="740" t="s">
        <v>509</v>
      </c>
      <c r="R212" s="740" t="s">
        <v>509</v>
      </c>
      <c r="S212" s="740" t="s">
        <v>509</v>
      </c>
      <c r="T212" s="740" t="s">
        <v>509</v>
      </c>
      <c r="U212" s="740" t="s">
        <v>509</v>
      </c>
      <c r="V212" s="740">
        <v>11.9</v>
      </c>
      <c r="W212" s="740">
        <v>13.2</v>
      </c>
      <c r="X212" s="740">
        <v>18.600000000000001</v>
      </c>
      <c r="Y212" s="740">
        <v>12.981885144490501</v>
      </c>
      <c r="Z212" s="740">
        <v>13.4037784133647</v>
      </c>
      <c r="AA212" s="740">
        <v>27.5</v>
      </c>
      <c r="AB212" s="740">
        <v>37.276741277918696</v>
      </c>
      <c r="AC212" s="740">
        <v>40.790994423241898</v>
      </c>
      <c r="AD212" s="740">
        <v>5.9460270782226292</v>
      </c>
      <c r="AE212" s="740">
        <v>19.2721875578866</v>
      </c>
      <c r="AF212" s="540">
        <v>39.592178863159504</v>
      </c>
      <c r="AG212" s="540">
        <v>3.7304905547251299</v>
      </c>
      <c r="AH212" s="540">
        <v>6.8104878044117401</v>
      </c>
      <c r="AI212" s="540">
        <v>3.5075264135401398</v>
      </c>
      <c r="AJ212" s="540">
        <v>3.5864537487704897</v>
      </c>
      <c r="AK212" s="540">
        <v>11.074396640389301</v>
      </c>
      <c r="AL212" s="540">
        <v>6.66278858988069</v>
      </c>
      <c r="AM212" s="540">
        <v>7.1367481111430395</v>
      </c>
      <c r="AN212" s="540">
        <v>4.5296214430575601</v>
      </c>
      <c r="AO212" s="540">
        <v>6.72346455303291</v>
      </c>
      <c r="AP212" s="540">
        <v>4.2946911400660497</v>
      </c>
      <c r="AQ212" s="540">
        <v>5.7172714122558803</v>
      </c>
      <c r="AR212" s="540">
        <v>33.187963944726398</v>
      </c>
      <c r="AS212" s="540">
        <v>30.763459352513156</v>
      </c>
      <c r="AT212" s="540">
        <v>44.093912658616802</v>
      </c>
      <c r="AU212" s="540">
        <v>44.820290518677602</v>
      </c>
      <c r="AV212" s="540">
        <v>6.4387704003915793</v>
      </c>
      <c r="AW212" s="540">
        <v>51.053107288545306</v>
      </c>
    </row>
    <row r="213" spans="1:49" ht="14.25" customHeight="1">
      <c r="A213" s="543" t="s">
        <v>513</v>
      </c>
      <c r="B213" s="741" t="s">
        <v>509</v>
      </c>
      <c r="C213" s="741" t="s">
        <v>509</v>
      </c>
      <c r="D213" s="741" t="s">
        <v>509</v>
      </c>
      <c r="E213" s="741" t="s">
        <v>509</v>
      </c>
      <c r="F213" s="741" t="s">
        <v>509</v>
      </c>
      <c r="G213" s="741" t="s">
        <v>509</v>
      </c>
      <c r="H213" s="741" t="s">
        <v>509</v>
      </c>
      <c r="I213" s="741" t="s">
        <v>509</v>
      </c>
      <c r="J213" s="741" t="s">
        <v>509</v>
      </c>
      <c r="K213" s="741" t="s">
        <v>509</v>
      </c>
      <c r="L213" s="741" t="s">
        <v>509</v>
      </c>
      <c r="M213" s="741" t="s">
        <v>509</v>
      </c>
      <c r="N213" s="741" t="s">
        <v>509</v>
      </c>
      <c r="O213" s="741" t="s">
        <v>509</v>
      </c>
      <c r="P213" s="741" t="s">
        <v>509</v>
      </c>
      <c r="Q213" s="741" t="s">
        <v>509</v>
      </c>
      <c r="R213" s="741" t="s">
        <v>509</v>
      </c>
      <c r="S213" s="741" t="s">
        <v>509</v>
      </c>
      <c r="T213" s="741" t="s">
        <v>509</v>
      </c>
      <c r="U213" s="741" t="s">
        <v>509</v>
      </c>
      <c r="V213" s="741" t="s">
        <v>509</v>
      </c>
      <c r="W213" s="741" t="s">
        <v>509</v>
      </c>
      <c r="X213" s="741" t="s">
        <v>509</v>
      </c>
      <c r="Y213" s="741" t="s">
        <v>509</v>
      </c>
      <c r="Z213" s="741" t="s">
        <v>509</v>
      </c>
      <c r="AA213" s="741" t="s">
        <v>509</v>
      </c>
      <c r="AB213" s="741" t="s">
        <v>509</v>
      </c>
      <c r="AC213" s="741" t="s">
        <v>509</v>
      </c>
      <c r="AD213" s="741" t="s">
        <v>509</v>
      </c>
      <c r="AE213" s="741" t="s">
        <v>509</v>
      </c>
      <c r="AF213" s="542" t="s">
        <v>509</v>
      </c>
      <c r="AG213" s="542" t="s">
        <v>509</v>
      </c>
      <c r="AH213" s="542" t="s">
        <v>509</v>
      </c>
      <c r="AI213" s="542" t="s">
        <v>509</v>
      </c>
      <c r="AJ213" s="542" t="s">
        <v>509</v>
      </c>
      <c r="AK213" s="542" t="s">
        <v>509</v>
      </c>
      <c r="AL213" s="542" t="s">
        <v>509</v>
      </c>
      <c r="AM213" s="542" t="s">
        <v>509</v>
      </c>
      <c r="AN213" s="542" t="s">
        <v>509</v>
      </c>
      <c r="AO213" s="542" t="s">
        <v>509</v>
      </c>
      <c r="AP213" s="542" t="s">
        <v>509</v>
      </c>
      <c r="AQ213" s="542" t="s">
        <v>509</v>
      </c>
      <c r="AR213" s="542" t="s">
        <v>509</v>
      </c>
      <c r="AS213" s="542" t="s">
        <v>509</v>
      </c>
      <c r="AT213" s="542" t="s">
        <v>509</v>
      </c>
      <c r="AU213" s="542" t="s">
        <v>509</v>
      </c>
      <c r="AV213" s="542" t="s">
        <v>509</v>
      </c>
      <c r="AW213" s="542" t="s">
        <v>509</v>
      </c>
    </row>
    <row r="214" spans="1:49" ht="14.25" customHeight="1">
      <c r="A214" s="543" t="s">
        <v>512</v>
      </c>
      <c r="B214" s="740" t="s">
        <v>509</v>
      </c>
      <c r="C214" s="740" t="s">
        <v>509</v>
      </c>
      <c r="D214" s="740" t="s">
        <v>509</v>
      </c>
      <c r="E214" s="740" t="s">
        <v>509</v>
      </c>
      <c r="F214" s="740" t="s">
        <v>509</v>
      </c>
      <c r="G214" s="740" t="s">
        <v>509</v>
      </c>
      <c r="H214" s="740" t="s">
        <v>509</v>
      </c>
      <c r="I214" s="740" t="s">
        <v>509</v>
      </c>
      <c r="J214" s="740" t="s">
        <v>509</v>
      </c>
      <c r="K214" s="740" t="s">
        <v>509</v>
      </c>
      <c r="L214" s="740" t="s">
        <v>509</v>
      </c>
      <c r="M214" s="740" t="s">
        <v>509</v>
      </c>
      <c r="N214" s="740" t="s">
        <v>509</v>
      </c>
      <c r="O214" s="740" t="s">
        <v>509</v>
      </c>
      <c r="P214" s="740" t="s">
        <v>509</v>
      </c>
      <c r="Q214" s="740" t="s">
        <v>509</v>
      </c>
      <c r="R214" s="740" t="s">
        <v>509</v>
      </c>
      <c r="S214" s="740" t="s">
        <v>509</v>
      </c>
      <c r="T214" s="740" t="s">
        <v>509</v>
      </c>
      <c r="U214" s="740" t="s">
        <v>509</v>
      </c>
      <c r="V214" s="740" t="s">
        <v>509</v>
      </c>
      <c r="W214" s="740" t="s">
        <v>509</v>
      </c>
      <c r="X214" s="740" t="s">
        <v>509</v>
      </c>
      <c r="Y214" s="740" t="s">
        <v>509</v>
      </c>
      <c r="Z214" s="740" t="s">
        <v>509</v>
      </c>
      <c r="AA214" s="740" t="s">
        <v>509</v>
      </c>
      <c r="AB214" s="740" t="s">
        <v>509</v>
      </c>
      <c r="AC214" s="740" t="s">
        <v>509</v>
      </c>
      <c r="AD214" s="740" t="s">
        <v>509</v>
      </c>
      <c r="AE214" s="740" t="s">
        <v>509</v>
      </c>
      <c r="AF214" s="540" t="s">
        <v>509</v>
      </c>
      <c r="AG214" s="540" t="s">
        <v>509</v>
      </c>
      <c r="AH214" s="540" t="s">
        <v>509</v>
      </c>
      <c r="AI214" s="540" t="s">
        <v>509</v>
      </c>
      <c r="AJ214" s="540" t="s">
        <v>509</v>
      </c>
      <c r="AK214" s="540" t="s">
        <v>509</v>
      </c>
      <c r="AL214" s="540" t="s">
        <v>509</v>
      </c>
      <c r="AM214" s="540" t="s">
        <v>509</v>
      </c>
      <c r="AN214" s="540" t="s">
        <v>509</v>
      </c>
      <c r="AO214" s="540" t="s">
        <v>509</v>
      </c>
      <c r="AP214" s="540" t="s">
        <v>509</v>
      </c>
      <c r="AQ214" s="540" t="s">
        <v>509</v>
      </c>
      <c r="AR214" s="540" t="s">
        <v>509</v>
      </c>
      <c r="AS214" s="540" t="s">
        <v>509</v>
      </c>
      <c r="AT214" s="540" t="s">
        <v>509</v>
      </c>
      <c r="AU214" s="540" t="s">
        <v>509</v>
      </c>
      <c r="AV214" s="540" t="s">
        <v>509</v>
      </c>
      <c r="AW214" s="540" t="s">
        <v>509</v>
      </c>
    </row>
    <row r="215" spans="1:49" ht="14.25" customHeight="1">
      <c r="A215" s="543" t="s">
        <v>511</v>
      </c>
      <c r="B215" s="741" t="s">
        <v>509</v>
      </c>
      <c r="C215" s="741" t="s">
        <v>509</v>
      </c>
      <c r="D215" s="741" t="s">
        <v>509</v>
      </c>
      <c r="E215" s="741" t="s">
        <v>509</v>
      </c>
      <c r="F215" s="741" t="s">
        <v>509</v>
      </c>
      <c r="G215" s="741" t="s">
        <v>509</v>
      </c>
      <c r="H215" s="741" t="s">
        <v>509</v>
      </c>
      <c r="I215" s="741" t="s">
        <v>509</v>
      </c>
      <c r="J215" s="741" t="s">
        <v>509</v>
      </c>
      <c r="K215" s="741" t="s">
        <v>509</v>
      </c>
      <c r="L215" s="741" t="s">
        <v>509</v>
      </c>
      <c r="M215" s="741" t="s">
        <v>509</v>
      </c>
      <c r="N215" s="741" t="s">
        <v>509</v>
      </c>
      <c r="O215" s="741" t="s">
        <v>509</v>
      </c>
      <c r="P215" s="741" t="s">
        <v>509</v>
      </c>
      <c r="Q215" s="741" t="s">
        <v>509</v>
      </c>
      <c r="R215" s="741" t="s">
        <v>509</v>
      </c>
      <c r="S215" s="741" t="s">
        <v>509</v>
      </c>
      <c r="T215" s="741" t="s">
        <v>509</v>
      </c>
      <c r="U215" s="741" t="s">
        <v>509</v>
      </c>
      <c r="V215" s="741" t="s">
        <v>509</v>
      </c>
      <c r="W215" s="741" t="s">
        <v>509</v>
      </c>
      <c r="X215" s="741" t="s">
        <v>509</v>
      </c>
      <c r="Y215" s="741" t="s">
        <v>509</v>
      </c>
      <c r="Z215" s="741" t="s">
        <v>509</v>
      </c>
      <c r="AA215" s="741" t="s">
        <v>509</v>
      </c>
      <c r="AB215" s="741" t="s">
        <v>509</v>
      </c>
      <c r="AC215" s="741" t="s">
        <v>509</v>
      </c>
      <c r="AD215" s="741" t="s">
        <v>509</v>
      </c>
      <c r="AE215" s="741" t="s">
        <v>509</v>
      </c>
      <c r="AF215" s="542">
        <v>0</v>
      </c>
      <c r="AG215" s="542">
        <v>0</v>
      </c>
      <c r="AH215" s="542">
        <v>0</v>
      </c>
      <c r="AI215" s="542">
        <v>0</v>
      </c>
      <c r="AJ215" s="542">
        <v>0</v>
      </c>
      <c r="AK215" s="542">
        <v>0</v>
      </c>
      <c r="AL215" s="542">
        <v>0</v>
      </c>
      <c r="AM215" s="542">
        <v>0</v>
      </c>
      <c r="AN215" s="542">
        <v>0</v>
      </c>
      <c r="AO215" s="542">
        <v>0</v>
      </c>
      <c r="AP215" s="542">
        <v>0</v>
      </c>
      <c r="AQ215" s="542" t="s">
        <v>509</v>
      </c>
      <c r="AR215" s="542" t="s">
        <v>509</v>
      </c>
      <c r="AS215" s="542" t="s">
        <v>509</v>
      </c>
      <c r="AT215" s="542" t="s">
        <v>509</v>
      </c>
      <c r="AU215" s="542" t="s">
        <v>509</v>
      </c>
      <c r="AV215" s="542" t="s">
        <v>509</v>
      </c>
      <c r="AW215" s="542" t="s">
        <v>509</v>
      </c>
    </row>
    <row r="216" spans="1:49" ht="14.25" customHeight="1">
      <c r="A216" s="543" t="s">
        <v>510</v>
      </c>
      <c r="B216" s="740" t="s">
        <v>509</v>
      </c>
      <c r="C216" s="740" t="s">
        <v>509</v>
      </c>
      <c r="D216" s="740" t="s">
        <v>509</v>
      </c>
      <c r="E216" s="740" t="s">
        <v>509</v>
      </c>
      <c r="F216" s="740" t="s">
        <v>509</v>
      </c>
      <c r="G216" s="740" t="s">
        <v>509</v>
      </c>
      <c r="H216" s="740" t="s">
        <v>509</v>
      </c>
      <c r="I216" s="740" t="s">
        <v>509</v>
      </c>
      <c r="J216" s="740" t="s">
        <v>509</v>
      </c>
      <c r="K216" s="740" t="s">
        <v>509</v>
      </c>
      <c r="L216" s="740" t="s">
        <v>509</v>
      </c>
      <c r="M216" s="740" t="s">
        <v>509</v>
      </c>
      <c r="N216" s="740" t="s">
        <v>509</v>
      </c>
      <c r="O216" s="740" t="s">
        <v>509</v>
      </c>
      <c r="P216" s="740" t="s">
        <v>509</v>
      </c>
      <c r="Q216" s="740" t="s">
        <v>509</v>
      </c>
      <c r="R216" s="740" t="s">
        <v>509</v>
      </c>
      <c r="S216" s="740" t="s">
        <v>509</v>
      </c>
      <c r="T216" s="740" t="s">
        <v>509</v>
      </c>
      <c r="U216" s="740" t="s">
        <v>509</v>
      </c>
      <c r="V216" s="740" t="s">
        <v>509</v>
      </c>
      <c r="W216" s="740" t="s">
        <v>509</v>
      </c>
      <c r="X216" s="740" t="s">
        <v>509</v>
      </c>
      <c r="Y216" s="740" t="s">
        <v>509</v>
      </c>
      <c r="Z216" s="740" t="s">
        <v>509</v>
      </c>
      <c r="AA216" s="740" t="s">
        <v>509</v>
      </c>
      <c r="AB216" s="740" t="s">
        <v>509</v>
      </c>
      <c r="AC216" s="740" t="s">
        <v>509</v>
      </c>
      <c r="AD216" s="740" t="s">
        <v>509</v>
      </c>
      <c r="AE216" s="740" t="s">
        <v>509</v>
      </c>
      <c r="AF216" s="540" t="s">
        <v>509</v>
      </c>
      <c r="AG216" s="540" t="s">
        <v>509</v>
      </c>
      <c r="AH216" s="540" t="s">
        <v>509</v>
      </c>
      <c r="AI216" s="540" t="s">
        <v>509</v>
      </c>
      <c r="AJ216" s="540" t="s">
        <v>509</v>
      </c>
      <c r="AK216" s="540" t="s">
        <v>509</v>
      </c>
      <c r="AL216" s="540" t="s">
        <v>509</v>
      </c>
      <c r="AM216" s="540" t="s">
        <v>509</v>
      </c>
      <c r="AN216" s="540" t="s">
        <v>509</v>
      </c>
      <c r="AO216" s="540" t="s">
        <v>509</v>
      </c>
      <c r="AP216" s="540" t="s">
        <v>509</v>
      </c>
      <c r="AQ216" s="540" t="s">
        <v>509</v>
      </c>
      <c r="AR216" s="540" t="s">
        <v>509</v>
      </c>
      <c r="AS216" s="540" t="s">
        <v>509</v>
      </c>
      <c r="AT216" s="540" t="s">
        <v>509</v>
      </c>
      <c r="AU216" s="540" t="s">
        <v>509</v>
      </c>
      <c r="AV216" s="540" t="s">
        <v>509</v>
      </c>
      <c r="AW216" s="540" t="s">
        <v>509</v>
      </c>
    </row>
    <row r="217" spans="1:49" ht="14.25" customHeight="1">
      <c r="A217" s="543" t="s">
        <v>334</v>
      </c>
      <c r="B217" s="741" t="s">
        <v>509</v>
      </c>
      <c r="C217" s="741" t="s">
        <v>509</v>
      </c>
      <c r="D217" s="741" t="s">
        <v>509</v>
      </c>
      <c r="E217" s="741">
        <v>0</v>
      </c>
      <c r="F217" s="741">
        <v>0</v>
      </c>
      <c r="G217" s="741">
        <v>0</v>
      </c>
      <c r="H217" s="741">
        <v>0</v>
      </c>
      <c r="I217" s="741">
        <v>0</v>
      </c>
      <c r="J217" s="741">
        <v>0</v>
      </c>
      <c r="K217" s="741">
        <v>0</v>
      </c>
      <c r="L217" s="741">
        <v>0</v>
      </c>
      <c r="M217" s="741">
        <v>0</v>
      </c>
      <c r="N217" s="741">
        <v>0</v>
      </c>
      <c r="O217" s="741">
        <v>0</v>
      </c>
      <c r="P217" s="741">
        <v>0</v>
      </c>
      <c r="Q217" s="741">
        <v>0</v>
      </c>
      <c r="R217" s="741">
        <v>0</v>
      </c>
      <c r="S217" s="741" t="s">
        <v>509</v>
      </c>
      <c r="T217" s="741" t="s">
        <v>509</v>
      </c>
      <c r="U217" s="741" t="s">
        <v>509</v>
      </c>
      <c r="V217" s="741" t="s">
        <v>509</v>
      </c>
      <c r="W217" s="741" t="s">
        <v>509</v>
      </c>
      <c r="X217" s="741">
        <v>2</v>
      </c>
      <c r="Y217" s="741" t="s">
        <v>509</v>
      </c>
      <c r="Z217" s="741" t="s">
        <v>509</v>
      </c>
      <c r="AA217" s="741" t="s">
        <v>509</v>
      </c>
      <c r="AB217" s="741" t="s">
        <v>509</v>
      </c>
      <c r="AC217" s="741" t="s">
        <v>509</v>
      </c>
      <c r="AD217" s="741" t="s">
        <v>509</v>
      </c>
      <c r="AE217" s="741">
        <v>0</v>
      </c>
      <c r="AF217" s="542" t="s">
        <v>509</v>
      </c>
      <c r="AG217" s="542" t="s">
        <v>509</v>
      </c>
      <c r="AH217" s="542" t="s">
        <v>509</v>
      </c>
      <c r="AI217" s="542" t="s">
        <v>509</v>
      </c>
      <c r="AJ217" s="542" t="s">
        <v>509</v>
      </c>
      <c r="AK217" s="542" t="s">
        <v>509</v>
      </c>
      <c r="AL217" s="542" t="s">
        <v>509</v>
      </c>
      <c r="AM217" s="542" t="s">
        <v>509</v>
      </c>
      <c r="AN217" s="542" t="s">
        <v>509</v>
      </c>
      <c r="AO217" s="542" t="s">
        <v>509</v>
      </c>
      <c r="AP217" s="542" t="s">
        <v>509</v>
      </c>
      <c r="AQ217" s="542">
        <v>61.374956583259596</v>
      </c>
      <c r="AR217" s="542">
        <v>57.34498348188437</v>
      </c>
      <c r="AS217" s="542">
        <v>0</v>
      </c>
      <c r="AT217" s="542">
        <v>2.86902384276735</v>
      </c>
      <c r="AU217" s="542">
        <v>1.1239687999999979</v>
      </c>
      <c r="AV217" s="542">
        <v>-2.9329363200995138</v>
      </c>
      <c r="AW217" s="542">
        <v>-0.43792425265389628</v>
      </c>
    </row>
    <row r="218" spans="1:49" ht="14.25" customHeight="1">
      <c r="A218" s="541" t="s">
        <v>335</v>
      </c>
      <c r="B218" s="740" t="s">
        <v>509</v>
      </c>
      <c r="C218" s="740" t="s">
        <v>509</v>
      </c>
      <c r="D218" s="740">
        <v>28.296018580924002</v>
      </c>
      <c r="E218" s="740">
        <v>24.450819017001237</v>
      </c>
      <c r="F218" s="740">
        <v>34.386625836582773</v>
      </c>
      <c r="G218" s="740">
        <v>41.376712599456617</v>
      </c>
      <c r="H218" s="740">
        <v>48.585689065263978</v>
      </c>
      <c r="I218" s="740">
        <v>46.617018203280473</v>
      </c>
      <c r="J218" s="740">
        <v>38.62095612573372</v>
      </c>
      <c r="K218" s="740">
        <v>31.653032904512159</v>
      </c>
      <c r="L218" s="740">
        <v>24.229513491818349</v>
      </c>
      <c r="M218" s="740">
        <v>22.997613769295999</v>
      </c>
      <c r="N218" s="740">
        <v>17.766545006082534</v>
      </c>
      <c r="O218" s="740">
        <v>0.11063571696291602</v>
      </c>
      <c r="P218" s="740">
        <v>0.67853102741907867</v>
      </c>
      <c r="Q218" s="740">
        <v>0.86334305173939052</v>
      </c>
      <c r="R218" s="740">
        <v>7.9778903275082719E-2</v>
      </c>
      <c r="S218" s="740">
        <v>0.59792442927598055</v>
      </c>
      <c r="T218" s="740">
        <v>0.92125698794391331</v>
      </c>
      <c r="U218" s="740">
        <v>2.6549449065765951</v>
      </c>
      <c r="V218" s="740" t="s">
        <v>509</v>
      </c>
      <c r="W218" s="740" t="s">
        <v>509</v>
      </c>
      <c r="X218" s="740" t="s">
        <v>509</v>
      </c>
      <c r="Y218" s="740" t="s">
        <v>509</v>
      </c>
      <c r="Z218" s="740" t="s">
        <v>509</v>
      </c>
      <c r="AA218" s="740" t="s">
        <v>509</v>
      </c>
      <c r="AB218" s="740" t="s">
        <v>509</v>
      </c>
      <c r="AC218" s="740" t="s">
        <v>509</v>
      </c>
      <c r="AD218" s="740" t="s">
        <v>509</v>
      </c>
      <c r="AE218" s="740" t="s">
        <v>509</v>
      </c>
      <c r="AF218" s="540" t="s">
        <v>509</v>
      </c>
      <c r="AG218" s="540" t="s">
        <v>509</v>
      </c>
      <c r="AH218" s="540" t="s">
        <v>509</v>
      </c>
      <c r="AI218" s="540" t="s">
        <v>509</v>
      </c>
      <c r="AJ218" s="540">
        <v>0.7</v>
      </c>
      <c r="AK218" s="540">
        <v>0.46572866200000002</v>
      </c>
      <c r="AL218" s="540">
        <v>1.6585195409751199</v>
      </c>
      <c r="AM218" s="540">
        <v>2.04040716883897</v>
      </c>
      <c r="AN218" s="540">
        <v>1.4182845147800001</v>
      </c>
      <c r="AO218" s="540">
        <v>0.54474301999999997</v>
      </c>
      <c r="AP218" s="540">
        <v>0.47443353999999999</v>
      </c>
      <c r="AQ218" s="540">
        <v>0.37609943000000001</v>
      </c>
      <c r="AR218" s="540">
        <v>0.53025080000000002</v>
      </c>
      <c r="AS218" s="540">
        <v>4.2805259299999996</v>
      </c>
      <c r="AT218" s="540">
        <v>11.721861376974999</v>
      </c>
      <c r="AU218" s="540">
        <v>3.7587651000000002</v>
      </c>
      <c r="AV218" s="540" t="s">
        <v>509</v>
      </c>
      <c r="AW218" s="540" t="s">
        <v>509</v>
      </c>
    </row>
    <row r="219" spans="1:49" ht="13.5" customHeight="1">
      <c r="A219" s="539"/>
      <c r="B219" s="539"/>
      <c r="C219" s="539"/>
      <c r="D219" s="539"/>
      <c r="E219" s="539"/>
      <c r="F219" s="539"/>
      <c r="G219" s="539"/>
      <c r="H219" s="539"/>
      <c r="I219" s="539"/>
      <c r="J219" s="539"/>
      <c r="K219" s="539"/>
      <c r="L219" s="539"/>
      <c r="M219" s="539"/>
      <c r="N219" s="539"/>
      <c r="O219" s="539"/>
      <c r="P219" s="539"/>
      <c r="Q219" s="539"/>
      <c r="R219" s="539"/>
      <c r="S219" s="539"/>
      <c r="T219" s="539"/>
      <c r="U219" s="539"/>
      <c r="V219" s="539"/>
      <c r="W219" s="539"/>
      <c r="X219" s="539"/>
      <c r="Y219" s="539"/>
      <c r="Z219" s="539"/>
      <c r="AA219" s="539"/>
      <c r="AB219" s="539"/>
      <c r="AC219" s="539"/>
      <c r="AD219" s="539"/>
      <c r="AE219" s="539"/>
      <c r="AF219" s="539"/>
      <c r="AG219" s="539"/>
    </row>
    <row r="220" spans="1:49" ht="14.25" customHeight="1">
      <c r="A220" s="772" t="s">
        <v>508</v>
      </c>
      <c r="B220" s="772"/>
      <c r="C220" s="772"/>
      <c r="D220" s="772"/>
      <c r="E220" s="772"/>
      <c r="F220" s="772"/>
      <c r="G220" s="772"/>
      <c r="H220" s="772"/>
      <c r="I220" s="772"/>
      <c r="J220" s="539"/>
      <c r="K220" s="539"/>
      <c r="L220" s="539"/>
      <c r="M220" s="539"/>
      <c r="N220" s="539"/>
      <c r="O220" s="539"/>
      <c r="P220" s="539"/>
      <c r="Q220" s="539"/>
      <c r="R220" s="539"/>
      <c r="S220" s="539"/>
      <c r="T220" s="539"/>
      <c r="U220" s="539"/>
      <c r="V220" s="539"/>
      <c r="W220" s="539"/>
      <c r="X220" s="539"/>
      <c r="Y220" s="539"/>
      <c r="Z220" s="539"/>
      <c r="AA220" s="539"/>
      <c r="AB220" s="539"/>
      <c r="AC220" s="539"/>
      <c r="AD220" s="539"/>
      <c r="AE220" s="539"/>
      <c r="AF220" s="539"/>
      <c r="AG220" s="539"/>
    </row>
    <row r="221" spans="1:49" ht="14.25" customHeight="1">
      <c r="A221" s="539" t="s">
        <v>507</v>
      </c>
      <c r="B221" s="539"/>
      <c r="C221" s="539"/>
      <c r="D221" s="539"/>
      <c r="E221" s="539"/>
      <c r="F221" s="539"/>
      <c r="G221" s="539"/>
      <c r="H221" s="539"/>
      <c r="I221" s="539"/>
      <c r="J221" s="539"/>
      <c r="K221" s="539"/>
      <c r="L221" s="539"/>
      <c r="M221" s="539"/>
      <c r="N221" s="539"/>
      <c r="O221" s="539"/>
      <c r="P221" s="539"/>
      <c r="Q221" s="539"/>
      <c r="R221" s="539"/>
      <c r="S221" s="539"/>
      <c r="T221" s="539"/>
      <c r="U221" s="539"/>
      <c r="V221" s="539"/>
      <c r="W221" s="539"/>
      <c r="X221" s="539"/>
      <c r="Y221" s="539"/>
      <c r="Z221" s="539"/>
      <c r="AA221" s="539"/>
      <c r="AB221" s="539"/>
      <c r="AC221" s="539"/>
      <c r="AD221" s="539"/>
      <c r="AE221" s="539"/>
      <c r="AF221" s="539"/>
      <c r="AG221" s="539"/>
    </row>
    <row r="222" spans="1:49" ht="14.25" customHeight="1">
      <c r="A222" s="772" t="s">
        <v>506</v>
      </c>
      <c r="B222" s="772"/>
      <c r="C222" s="772"/>
      <c r="D222" s="772"/>
      <c r="E222" s="772"/>
      <c r="F222" s="772"/>
      <c r="G222" s="772"/>
      <c r="H222" s="772"/>
      <c r="I222" s="539"/>
      <c r="J222" s="539"/>
      <c r="K222" s="539"/>
      <c r="L222" s="539"/>
      <c r="M222" s="539"/>
      <c r="N222" s="539"/>
      <c r="O222" s="539"/>
      <c r="P222" s="539"/>
      <c r="Q222" s="539"/>
      <c r="R222" s="539"/>
      <c r="S222" s="539"/>
      <c r="T222" s="539"/>
      <c r="U222" s="539"/>
      <c r="V222" s="539"/>
      <c r="W222" s="539"/>
      <c r="X222" s="539"/>
      <c r="Y222" s="539"/>
      <c r="Z222" s="539"/>
      <c r="AA222" s="539"/>
      <c r="AB222" s="539"/>
      <c r="AC222" s="539"/>
      <c r="AD222" s="539"/>
      <c r="AE222" s="539"/>
      <c r="AF222" s="539"/>
      <c r="AG222" s="539"/>
    </row>
    <row r="223" spans="1:49" ht="14.25" customHeight="1">
      <c r="A223" s="773" t="s">
        <v>505</v>
      </c>
      <c r="B223" s="773"/>
      <c r="C223" s="773"/>
      <c r="D223" s="773"/>
      <c r="E223" s="773"/>
      <c r="F223" s="773"/>
      <c r="G223" s="539"/>
      <c r="H223" s="539"/>
      <c r="I223" s="539"/>
      <c r="J223" s="539"/>
      <c r="K223" s="539"/>
      <c r="L223" s="539"/>
      <c r="M223" s="539"/>
      <c r="N223" s="539"/>
      <c r="O223" s="539"/>
      <c r="P223" s="539"/>
      <c r="Q223" s="539"/>
      <c r="R223" s="539"/>
      <c r="S223" s="539"/>
      <c r="T223" s="539"/>
      <c r="U223" s="539"/>
      <c r="V223" s="539"/>
      <c r="W223" s="539"/>
      <c r="X223" s="539"/>
      <c r="Y223" s="539"/>
      <c r="Z223" s="539"/>
      <c r="AA223" s="539"/>
      <c r="AB223" s="539"/>
      <c r="AC223" s="539"/>
      <c r="AD223" s="539"/>
      <c r="AE223" s="539"/>
      <c r="AF223" s="539"/>
      <c r="AG223" s="539"/>
    </row>
    <row r="224" spans="1:49" ht="14.25" customHeight="1">
      <c r="A224" s="772" t="s">
        <v>504</v>
      </c>
      <c r="B224" s="772"/>
      <c r="C224" s="772"/>
      <c r="D224" s="772"/>
      <c r="E224" s="772"/>
      <c r="F224" s="539"/>
      <c r="G224" s="539"/>
      <c r="H224" s="539"/>
      <c r="I224" s="539"/>
      <c r="J224" s="539"/>
      <c r="K224" s="539"/>
      <c r="L224" s="539"/>
      <c r="M224" s="539"/>
      <c r="N224" s="539"/>
      <c r="O224" s="539"/>
      <c r="P224" s="539"/>
      <c r="Q224" s="539"/>
      <c r="R224" s="539"/>
      <c r="S224" s="539"/>
      <c r="T224" s="539"/>
      <c r="U224" s="539"/>
      <c r="V224" s="539"/>
      <c r="W224" s="539"/>
      <c r="X224" s="539"/>
      <c r="Y224" s="539"/>
      <c r="Z224" s="539"/>
      <c r="AA224" s="539"/>
      <c r="AB224" s="539"/>
      <c r="AC224" s="539"/>
      <c r="AD224" s="539"/>
      <c r="AE224" s="539"/>
      <c r="AF224" s="539"/>
      <c r="AG224" s="539"/>
    </row>
    <row r="226" spans="1:48" ht="14.5" customHeight="1">
      <c r="A226" s="537" t="s">
        <v>956</v>
      </c>
      <c r="B226" s="538">
        <f t="shared" ref="B226:AE226" si="0">(SUM(B6:B218)-B74-B65)/1000</f>
        <v>26.22350036977268</v>
      </c>
      <c r="C226" s="538">
        <f t="shared" si="0"/>
        <v>30.62488683497676</v>
      </c>
      <c r="D226" s="538">
        <f t="shared" si="0"/>
        <v>30.362104533792195</v>
      </c>
      <c r="E226" s="538">
        <f t="shared" si="0"/>
        <v>38.459933309516678</v>
      </c>
      <c r="F226" s="538">
        <f t="shared" si="0"/>
        <v>63.753405165198309</v>
      </c>
      <c r="G226" s="538">
        <f t="shared" si="0"/>
        <v>61.636174589080049</v>
      </c>
      <c r="H226" s="538">
        <f t="shared" si="0"/>
        <v>53.892900824757625</v>
      </c>
      <c r="I226" s="538">
        <f t="shared" si="0"/>
        <v>48.654965736038733</v>
      </c>
      <c r="J226" s="538">
        <f t="shared" si="0"/>
        <v>53.536758471927122</v>
      </c>
      <c r="K226" s="538">
        <f t="shared" si="0"/>
        <v>62.138167815094739</v>
      </c>
      <c r="L226" s="538">
        <f t="shared" si="0"/>
        <v>60.430337587522345</v>
      </c>
      <c r="M226" s="538">
        <f t="shared" si="0"/>
        <v>64.922293362024902</v>
      </c>
      <c r="N226" s="538">
        <f t="shared" si="0"/>
        <v>83.224502563311745</v>
      </c>
      <c r="O226" s="538">
        <f t="shared" si="0"/>
        <v>109.04545667617768</v>
      </c>
      <c r="P226" s="538">
        <f t="shared" si="0"/>
        <v>115.32011553230866</v>
      </c>
      <c r="Q226" s="538">
        <f t="shared" si="0"/>
        <v>118.25858594057875</v>
      </c>
      <c r="R226" s="538">
        <f t="shared" si="0"/>
        <v>104.55249752691196</v>
      </c>
      <c r="S226" s="538">
        <f t="shared" si="0"/>
        <v>105.35573067403389</v>
      </c>
      <c r="T226" s="538">
        <f t="shared" si="0"/>
        <v>123.22392087585486</v>
      </c>
      <c r="U226" s="538">
        <f t="shared" si="0"/>
        <v>156.02392940594601</v>
      </c>
      <c r="V226" s="538">
        <f t="shared" si="0"/>
        <v>187.46382670258035</v>
      </c>
      <c r="W226" s="538">
        <f t="shared" si="0"/>
        <v>229.52345271534804</v>
      </c>
      <c r="X226" s="538">
        <f t="shared" si="0"/>
        <v>247.25989005809791</v>
      </c>
      <c r="Y226" s="538">
        <f t="shared" si="0"/>
        <v>243.77873511011109</v>
      </c>
      <c r="Z226" s="538">
        <f t="shared" si="0"/>
        <v>315.14467001729014</v>
      </c>
      <c r="AA226" s="538">
        <f t="shared" si="0"/>
        <v>366.24620939162338</v>
      </c>
      <c r="AB226" s="538">
        <f t="shared" si="0"/>
        <v>307.49303078928597</v>
      </c>
      <c r="AC226" s="538">
        <f t="shared" si="0"/>
        <v>353.25226144532957</v>
      </c>
      <c r="AD226" s="538">
        <f t="shared" si="0"/>
        <v>489.0283141126742</v>
      </c>
      <c r="AE226" s="538">
        <f t="shared" si="0"/>
        <v>739.50699670642496</v>
      </c>
      <c r="AF226" s="538">
        <f t="shared" ref="AF226:AV226" si="1">(SUM(AF6:AF218)-AF74-AF65)/1000</f>
        <v>980.61664870232755</v>
      </c>
      <c r="AG226" s="538">
        <f t="shared" si="1"/>
        <v>1138.047784658685</v>
      </c>
      <c r="AH226" s="538">
        <f t="shared" si="1"/>
        <v>1392.5927120587901</v>
      </c>
      <c r="AI226" s="538">
        <f t="shared" si="1"/>
        <v>1262.6313488793228</v>
      </c>
      <c r="AJ226" s="538">
        <f t="shared" si="1"/>
        <v>1191.9054538926368</v>
      </c>
      <c r="AK226" s="538">
        <f t="shared" si="1"/>
        <v>1575.6149944973015</v>
      </c>
      <c r="AL226" s="538">
        <f t="shared" si="1"/>
        <v>1709.3272084812911</v>
      </c>
      <c r="AM226" s="538">
        <f t="shared" si="1"/>
        <v>1623.2531756647199</v>
      </c>
      <c r="AN226" s="538">
        <f t="shared" si="1"/>
        <v>1750.1070494753369</v>
      </c>
      <c r="AO226" s="538">
        <f t="shared" si="1"/>
        <v>1861.7629146208433</v>
      </c>
      <c r="AP226" s="538">
        <f t="shared" si="1"/>
        <v>1658.301622024944</v>
      </c>
      <c r="AQ226" s="538">
        <f t="shared" si="1"/>
        <v>1742.3788110524338</v>
      </c>
      <c r="AR226" s="538">
        <f t="shared" si="1"/>
        <v>2020.8818179111195</v>
      </c>
      <c r="AS226" s="538">
        <f t="shared" si="1"/>
        <v>2257.1500755251768</v>
      </c>
      <c r="AT226" s="538">
        <f t="shared" si="1"/>
        <v>2243.899646006641</v>
      </c>
      <c r="AU226" s="538">
        <f t="shared" si="1"/>
        <v>1784.8865224137926</v>
      </c>
      <c r="AV226" s="538">
        <f t="shared" si="1"/>
        <v>2575.9139609770723</v>
      </c>
    </row>
    <row r="227" spans="1:48" ht="14.5" customHeight="1">
      <c r="A227" s="537" t="s">
        <v>955</v>
      </c>
      <c r="B227" s="538">
        <f t="shared" ref="B227:AU227" si="2">(B46+B142+B119)/1000</f>
        <v>1.289900900405363</v>
      </c>
      <c r="C227" s="538">
        <f t="shared" si="2"/>
        <v>1.7754452809600911</v>
      </c>
      <c r="D227" s="538">
        <f t="shared" si="2"/>
        <v>1.8052041293820502</v>
      </c>
      <c r="E227" s="538">
        <f t="shared" si="2"/>
        <v>1.6817996805822872</v>
      </c>
      <c r="F227" s="538">
        <f t="shared" si="2"/>
        <v>4.7205994769002944</v>
      </c>
      <c r="G227" s="538">
        <f t="shared" si="2"/>
        <v>4.0441348203583969</v>
      </c>
      <c r="H227" s="538">
        <f t="shared" si="2"/>
        <v>2.8257420617408755</v>
      </c>
      <c r="I227" s="538">
        <f t="shared" si="2"/>
        <v>2.4108293891132471</v>
      </c>
      <c r="J227" s="538">
        <f t="shared" si="2"/>
        <v>3.2192176163560777</v>
      </c>
      <c r="K227" s="538">
        <f t="shared" si="2"/>
        <v>3.8296560040091547</v>
      </c>
      <c r="L227" s="538">
        <f t="shared" si="2"/>
        <v>1.6859030369302197</v>
      </c>
      <c r="M227" s="538">
        <f t="shared" si="2"/>
        <v>3.3875841756485534</v>
      </c>
      <c r="N227" s="538">
        <f t="shared" si="2"/>
        <v>4.1587421979356805</v>
      </c>
      <c r="O227" s="538">
        <f t="shared" si="2"/>
        <v>5.1028123978884317</v>
      </c>
      <c r="P227" s="538">
        <f t="shared" si="2"/>
        <v>7.236946486422335</v>
      </c>
      <c r="Q227" s="538">
        <f t="shared" si="2"/>
        <v>4.9113208300813334</v>
      </c>
      <c r="R227" s="538">
        <f t="shared" si="2"/>
        <v>5.4593314099371364</v>
      </c>
      <c r="S227" s="538">
        <f t="shared" si="2"/>
        <v>5.7248827006845717</v>
      </c>
      <c r="T227" s="538">
        <f t="shared" si="2"/>
        <v>6.5880132197143038</v>
      </c>
      <c r="U227" s="538">
        <f t="shared" si="2"/>
        <v>8.8745188058023103</v>
      </c>
      <c r="V227" s="538">
        <f t="shared" si="2"/>
        <v>12.355357181112399</v>
      </c>
      <c r="W227" s="538">
        <f t="shared" si="2"/>
        <v>12.381979668729517</v>
      </c>
      <c r="X227" s="538">
        <f t="shared" si="2"/>
        <v>14.504732617455375</v>
      </c>
      <c r="Y227" s="538">
        <f t="shared" si="2"/>
        <v>23.787646735451077</v>
      </c>
      <c r="Z227" s="538">
        <f t="shared" si="2"/>
        <v>32.175909940230319</v>
      </c>
      <c r="AA227" s="538">
        <f t="shared" si="2"/>
        <v>36.649877624761473</v>
      </c>
      <c r="AB227" s="538">
        <f t="shared" si="2"/>
        <v>35.205647777203438</v>
      </c>
      <c r="AC227" s="538">
        <f t="shared" si="2"/>
        <v>50.49876617467217</v>
      </c>
      <c r="AD227" s="538">
        <f t="shared" si="2"/>
        <v>62.060306469487244</v>
      </c>
      <c r="AE227" s="538">
        <f t="shared" si="2"/>
        <v>135.30697245469096</v>
      </c>
      <c r="AF227" s="538">
        <f t="shared" si="2"/>
        <v>171.61584254740052</v>
      </c>
      <c r="AG227" s="538">
        <f t="shared" si="2"/>
        <v>208.23643771245452</v>
      </c>
      <c r="AH227" s="538">
        <f t="shared" si="2"/>
        <v>294.26558063135695</v>
      </c>
      <c r="AI227" s="538">
        <f t="shared" si="2"/>
        <v>271.30829199237576</v>
      </c>
      <c r="AJ227" s="538">
        <f t="shared" si="2"/>
        <v>242.25556084903783</v>
      </c>
      <c r="AK227" s="538">
        <f t="shared" si="2"/>
        <v>333.71014875789206</v>
      </c>
      <c r="AL227" s="538">
        <f t="shared" si="2"/>
        <v>385.57250804360882</v>
      </c>
      <c r="AM227" s="538">
        <f t="shared" si="2"/>
        <v>374.62512939839598</v>
      </c>
      <c r="AN227" s="538">
        <f t="shared" si="2"/>
        <v>410.01969699926849</v>
      </c>
      <c r="AO227" s="538">
        <f t="shared" si="2"/>
        <v>438.89768658198756</v>
      </c>
      <c r="AP227" s="538">
        <f t="shared" si="2"/>
        <v>414.88238681479106</v>
      </c>
      <c r="AQ227" s="538">
        <f t="shared" si="2"/>
        <v>449.73344574055903</v>
      </c>
      <c r="AR227" s="538">
        <f t="shared" si="2"/>
        <v>460.60474201105001</v>
      </c>
      <c r="AS227" s="538">
        <f t="shared" si="2"/>
        <v>547.62405634229867</v>
      </c>
      <c r="AT227" s="538">
        <f t="shared" si="2"/>
        <v>473.58351463127417</v>
      </c>
      <c r="AU227" s="538">
        <f t="shared" si="2"/>
        <v>408.05431742384343</v>
      </c>
      <c r="AV227" s="538">
        <f t="shared" ref="AV227" si="3">(AV46+AV142+AV119)/1000</f>
        <v>467.55054109772789</v>
      </c>
    </row>
    <row r="228" spans="1:48" ht="14.5" customHeight="1">
      <c r="A228" s="537" t="s">
        <v>954</v>
      </c>
      <c r="B228" s="737">
        <f t="shared" ref="B228:AE228" si="4">B227/B226</f>
        <v>4.9188738429908722E-2</v>
      </c>
      <c r="C228" s="737">
        <f t="shared" si="4"/>
        <v>5.7973937684313352E-2</v>
      </c>
      <c r="D228" s="737">
        <f t="shared" si="4"/>
        <v>5.9455830124453567E-2</v>
      </c>
      <c r="E228" s="737">
        <f t="shared" si="4"/>
        <v>4.3728616663153079E-2</v>
      </c>
      <c r="F228" s="737">
        <f t="shared" si="4"/>
        <v>7.4044664197437632E-2</v>
      </c>
      <c r="G228" s="737">
        <f t="shared" si="4"/>
        <v>6.5613008064178066E-2</v>
      </c>
      <c r="H228" s="737">
        <f t="shared" si="4"/>
        <v>5.2432547116535437E-2</v>
      </c>
      <c r="I228" s="737">
        <f t="shared" si="4"/>
        <v>4.9549503378388891E-2</v>
      </c>
      <c r="J228" s="737">
        <f t="shared" si="4"/>
        <v>6.0130977448777129E-2</v>
      </c>
      <c r="K228" s="737">
        <f t="shared" si="4"/>
        <v>6.1631299065738568E-2</v>
      </c>
      <c r="L228" s="737">
        <f t="shared" si="4"/>
        <v>2.7898289240706226E-2</v>
      </c>
      <c r="M228" s="737">
        <f t="shared" si="4"/>
        <v>5.2179058998400363E-2</v>
      </c>
      <c r="N228" s="737">
        <f t="shared" si="4"/>
        <v>4.9970165874791285E-2</v>
      </c>
      <c r="O228" s="737">
        <f t="shared" si="4"/>
        <v>4.6795277432252744E-2</v>
      </c>
      <c r="P228" s="737">
        <f t="shared" si="4"/>
        <v>6.2755283005199516E-2</v>
      </c>
      <c r="Q228" s="737">
        <f t="shared" si="4"/>
        <v>4.1530353090380417E-2</v>
      </c>
      <c r="R228" s="737">
        <f t="shared" si="4"/>
        <v>5.2216174066352615E-2</v>
      </c>
      <c r="S228" s="737">
        <f t="shared" si="4"/>
        <v>5.4338598043585429E-2</v>
      </c>
      <c r="T228" s="737">
        <f t="shared" si="4"/>
        <v>5.3463752596799523E-2</v>
      </c>
      <c r="U228" s="737">
        <f t="shared" si="4"/>
        <v>5.6879216153519756E-2</v>
      </c>
      <c r="V228" s="737">
        <f t="shared" si="4"/>
        <v>6.5907953541963701E-2</v>
      </c>
      <c r="W228" s="737">
        <f t="shared" si="4"/>
        <v>5.3946468311826437E-2</v>
      </c>
      <c r="X228" s="737">
        <f t="shared" si="4"/>
        <v>5.8661890588268241E-2</v>
      </c>
      <c r="Y228" s="737">
        <f t="shared" si="4"/>
        <v>9.7578842242768069E-2</v>
      </c>
      <c r="Z228" s="737">
        <f t="shared" si="4"/>
        <v>0.10209885491150783</v>
      </c>
      <c r="AA228" s="737">
        <f t="shared" si="4"/>
        <v>0.10006896094744869</v>
      </c>
      <c r="AB228" s="737">
        <f t="shared" si="4"/>
        <v>0.11449250634017984</v>
      </c>
      <c r="AC228" s="737">
        <f t="shared" si="4"/>
        <v>0.1429538369211191</v>
      </c>
      <c r="AD228" s="737">
        <f t="shared" si="4"/>
        <v>0.12690534408440876</v>
      </c>
      <c r="AE228" s="737">
        <f t="shared" si="4"/>
        <v>0.1829691579083276</v>
      </c>
      <c r="AF228" s="737">
        <f>AF227/AF226</f>
        <v>0.17500808575349366</v>
      </c>
      <c r="AG228" s="737">
        <f t="shared" ref="AG228:AV228" si="5">AG227/AG226</f>
        <v>0.18297688420430192</v>
      </c>
      <c r="AH228" s="737">
        <f t="shared" si="5"/>
        <v>0.21130771264508397</v>
      </c>
      <c r="AI228" s="737">
        <f t="shared" si="5"/>
        <v>0.21487530167311433</v>
      </c>
      <c r="AJ228" s="737">
        <f t="shared" si="5"/>
        <v>0.20325065218709829</v>
      </c>
      <c r="AK228" s="737">
        <f t="shared" si="5"/>
        <v>0.21179675867730743</v>
      </c>
      <c r="AL228" s="737">
        <f t="shared" si="5"/>
        <v>0.22556974822051981</v>
      </c>
      <c r="AM228" s="737">
        <f t="shared" si="5"/>
        <v>0.23078662959953089</v>
      </c>
      <c r="AN228" s="737">
        <f t="shared" si="5"/>
        <v>0.23428263838042818</v>
      </c>
      <c r="AO228" s="737">
        <f t="shared" si="5"/>
        <v>0.23574306005089329</v>
      </c>
      <c r="AP228" s="737">
        <f t="shared" si="5"/>
        <v>0.25018511789681552</v>
      </c>
      <c r="AQ228" s="737">
        <f t="shared" si="5"/>
        <v>0.25811462059097845</v>
      </c>
      <c r="AR228" s="737">
        <f t="shared" si="5"/>
        <v>0.22792265135382989</v>
      </c>
      <c r="AS228" s="737">
        <f t="shared" si="5"/>
        <v>0.2426174769149462</v>
      </c>
      <c r="AT228" s="737">
        <f t="shared" si="5"/>
        <v>0.21105378552649967</v>
      </c>
      <c r="AU228" s="737">
        <f t="shared" si="5"/>
        <v>0.2286163923026383</v>
      </c>
      <c r="AV228" s="737">
        <f t="shared" si="5"/>
        <v>0.18150860167720076</v>
      </c>
    </row>
    <row r="229" spans="1:48" ht="14.5" customHeight="1">
      <c r="A229" s="537" t="s">
        <v>957</v>
      </c>
      <c r="B229" s="538">
        <f t="shared" ref="B229:AE229" si="6">B226-B227</f>
        <v>24.933599469367316</v>
      </c>
      <c r="C229" s="538">
        <f t="shared" si="6"/>
        <v>28.849441554016668</v>
      </c>
      <c r="D229" s="538">
        <f t="shared" si="6"/>
        <v>28.556900404410143</v>
      </c>
      <c r="E229" s="538">
        <f t="shared" si="6"/>
        <v>36.778133628934391</v>
      </c>
      <c r="F229" s="538">
        <f t="shared" si="6"/>
        <v>59.032805688298012</v>
      </c>
      <c r="G229" s="538">
        <f t="shared" si="6"/>
        <v>57.592039768721655</v>
      </c>
      <c r="H229" s="538">
        <f t="shared" si="6"/>
        <v>51.067158763016749</v>
      </c>
      <c r="I229" s="538">
        <f t="shared" si="6"/>
        <v>46.244136346925487</v>
      </c>
      <c r="J229" s="538">
        <f t="shared" si="6"/>
        <v>50.317540855571046</v>
      </c>
      <c r="K229" s="538">
        <f t="shared" si="6"/>
        <v>58.308511811085587</v>
      </c>
      <c r="L229" s="538">
        <f t="shared" si="6"/>
        <v>58.744434550592125</v>
      </c>
      <c r="M229" s="538">
        <f t="shared" si="6"/>
        <v>61.534709186376347</v>
      </c>
      <c r="N229" s="538">
        <f t="shared" si="6"/>
        <v>79.065760365376065</v>
      </c>
      <c r="O229" s="538">
        <f t="shared" si="6"/>
        <v>103.94264427828925</v>
      </c>
      <c r="P229" s="538">
        <f t="shared" si="6"/>
        <v>108.08316904588632</v>
      </c>
      <c r="Q229" s="538">
        <f t="shared" si="6"/>
        <v>113.34726511049742</v>
      </c>
      <c r="R229" s="538">
        <f t="shared" si="6"/>
        <v>99.093166116974828</v>
      </c>
      <c r="S229" s="538">
        <f t="shared" si="6"/>
        <v>99.630847973349319</v>
      </c>
      <c r="T229" s="538">
        <f t="shared" si="6"/>
        <v>116.63590765614056</v>
      </c>
      <c r="U229" s="538">
        <f t="shared" si="6"/>
        <v>147.14941060014371</v>
      </c>
      <c r="V229" s="538">
        <f t="shared" si="6"/>
        <v>175.10846952146795</v>
      </c>
      <c r="W229" s="538">
        <f t="shared" si="6"/>
        <v>217.14147304661853</v>
      </c>
      <c r="X229" s="538">
        <f t="shared" si="6"/>
        <v>232.75515744064253</v>
      </c>
      <c r="Y229" s="538">
        <f t="shared" si="6"/>
        <v>219.99108837466002</v>
      </c>
      <c r="Z229" s="538">
        <f t="shared" si="6"/>
        <v>282.96876007705981</v>
      </c>
      <c r="AA229" s="538">
        <f t="shared" si="6"/>
        <v>329.59633176686191</v>
      </c>
      <c r="AB229" s="538">
        <f t="shared" si="6"/>
        <v>272.2873830120825</v>
      </c>
      <c r="AC229" s="538">
        <f t="shared" si="6"/>
        <v>302.75349527065737</v>
      </c>
      <c r="AD229" s="538">
        <f t="shared" si="6"/>
        <v>426.96800764318698</v>
      </c>
      <c r="AE229" s="538">
        <f t="shared" si="6"/>
        <v>604.20002425173402</v>
      </c>
      <c r="AF229" s="538">
        <f>AF226-AF227</f>
        <v>809.00080615492698</v>
      </c>
      <c r="AG229" s="538">
        <f t="shared" ref="AG229:AV229" si="7">AG226-AG227</f>
        <v>929.81134694623051</v>
      </c>
      <c r="AH229" s="538">
        <f t="shared" si="7"/>
        <v>1098.3271314274332</v>
      </c>
      <c r="AI229" s="538">
        <f t="shared" si="7"/>
        <v>991.32305688694703</v>
      </c>
      <c r="AJ229" s="538">
        <f t="shared" si="7"/>
        <v>949.64989304359904</v>
      </c>
      <c r="AK229" s="538">
        <f t="shared" si="7"/>
        <v>1241.9048457394094</v>
      </c>
      <c r="AL229" s="538">
        <f t="shared" si="7"/>
        <v>1323.7547004376822</v>
      </c>
      <c r="AM229" s="538">
        <f t="shared" si="7"/>
        <v>1248.628046266324</v>
      </c>
      <c r="AN229" s="538">
        <f t="shared" si="7"/>
        <v>1340.0873524760684</v>
      </c>
      <c r="AO229" s="538">
        <f t="shared" si="7"/>
        <v>1422.8652280388558</v>
      </c>
      <c r="AP229" s="538">
        <f t="shared" si="7"/>
        <v>1243.4192352101529</v>
      </c>
      <c r="AQ229" s="538">
        <f t="shared" si="7"/>
        <v>1292.6453653118747</v>
      </c>
      <c r="AR229" s="538">
        <f t="shared" si="7"/>
        <v>1560.2770759000696</v>
      </c>
      <c r="AS229" s="538">
        <f t="shared" si="7"/>
        <v>1709.5260191828781</v>
      </c>
      <c r="AT229" s="538">
        <f t="shared" si="7"/>
        <v>1770.3161313753667</v>
      </c>
      <c r="AU229" s="538">
        <f t="shared" si="7"/>
        <v>1376.8322049899491</v>
      </c>
      <c r="AV229" s="538">
        <f t="shared" si="7"/>
        <v>2108.3634198793443</v>
      </c>
    </row>
    <row r="230" spans="1:48" ht="14.5" customHeight="1">
      <c r="A230" s="537" t="s">
        <v>958</v>
      </c>
      <c r="B230" s="737">
        <f t="shared" ref="B230:AS230" si="8">B206/B229/1000</f>
        <v>0.7404759637307966</v>
      </c>
      <c r="C230" s="737">
        <f t="shared" si="8"/>
        <v>0.74188612222914652</v>
      </c>
      <c r="D230" s="737">
        <f t="shared" si="8"/>
        <v>0.74137771008106435</v>
      </c>
      <c r="E230" s="737">
        <f t="shared" si="8"/>
        <v>0.75266737213482482</v>
      </c>
      <c r="F230" s="737">
        <f t="shared" si="8"/>
        <v>0.71317180413002679</v>
      </c>
      <c r="G230" s="737">
        <f t="shared" si="8"/>
        <v>0.71403861783934375</v>
      </c>
      <c r="H230" s="737">
        <f t="shared" si="8"/>
        <v>0.70863266622683119</v>
      </c>
      <c r="I230" s="737">
        <f t="shared" si="8"/>
        <v>0.67777241561748436</v>
      </c>
      <c r="J230" s="737">
        <f t="shared" si="8"/>
        <v>0.7017632300703035</v>
      </c>
      <c r="K230" s="737">
        <f t="shared" si="8"/>
        <v>0.68010653622033657</v>
      </c>
      <c r="L230" s="737">
        <f t="shared" si="8"/>
        <v>0.67213175685596949</v>
      </c>
      <c r="M230" s="737">
        <f t="shared" si="8"/>
        <v>0.65166473572736172</v>
      </c>
      <c r="N230" s="737">
        <f t="shared" si="8"/>
        <v>0.61464026622175205</v>
      </c>
      <c r="O230" s="737">
        <f t="shared" si="8"/>
        <v>0.57479776866210908</v>
      </c>
      <c r="P230" s="737">
        <f t="shared" si="8"/>
        <v>0.57168938092264177</v>
      </c>
      <c r="Q230" s="737">
        <f t="shared" si="8"/>
        <v>0.56640096201186818</v>
      </c>
      <c r="R230" s="737">
        <f t="shared" si="8"/>
        <v>0.57995926714218993</v>
      </c>
      <c r="S230" s="737">
        <f t="shared" si="8"/>
        <v>0.56548750859844754</v>
      </c>
      <c r="T230" s="737">
        <f t="shared" si="8"/>
        <v>0.56226252547662492</v>
      </c>
      <c r="U230" s="737">
        <f t="shared" si="8"/>
        <v>0.50995786999045389</v>
      </c>
      <c r="V230" s="737">
        <f t="shared" si="8"/>
        <v>0.53007144802108186</v>
      </c>
      <c r="W230" s="737">
        <f t="shared" si="8"/>
        <v>0.46195689194051037</v>
      </c>
      <c r="X230" s="737">
        <f t="shared" si="8"/>
        <v>0.4864339043867309</v>
      </c>
      <c r="Y230" s="737">
        <f t="shared" si="8"/>
        <v>0.45870039893681192</v>
      </c>
      <c r="Z230" s="737">
        <f t="shared" si="8"/>
        <v>0.44524702997493204</v>
      </c>
      <c r="AA230" s="737">
        <f t="shared" si="8"/>
        <v>0.43942540022698678</v>
      </c>
      <c r="AB230" s="737">
        <f t="shared" si="8"/>
        <v>0.44900354415090515</v>
      </c>
      <c r="AC230" s="737">
        <f t="shared" si="8"/>
        <v>0.46011359794695966</v>
      </c>
      <c r="AD230" s="737">
        <f t="shared" si="8"/>
        <v>0.41737553355268014</v>
      </c>
      <c r="AE230" s="737">
        <f t="shared" si="8"/>
        <v>0.39777224487476548</v>
      </c>
      <c r="AF230" s="737">
        <f t="shared" si="8"/>
        <v>0.34494526813432946</v>
      </c>
      <c r="AG230" s="737">
        <f t="shared" si="8"/>
        <v>0.32992499070646414</v>
      </c>
      <c r="AH230" s="737">
        <f t="shared" si="8"/>
        <v>0.32259150289724903</v>
      </c>
      <c r="AI230" s="737">
        <f t="shared" si="8"/>
        <v>0.40087940781682091</v>
      </c>
      <c r="AJ230" s="737">
        <f t="shared" si="8"/>
        <v>0.37366928864984178</v>
      </c>
      <c r="AK230" s="737">
        <f t="shared" si="8"/>
        <v>0.34653137998166955</v>
      </c>
      <c r="AL230" s="737">
        <f t="shared" si="8"/>
        <v>0.34729923893603049</v>
      </c>
      <c r="AM230" s="737">
        <f t="shared" si="8"/>
        <v>0.3594905635366924</v>
      </c>
      <c r="AN230" s="737">
        <f t="shared" si="8"/>
        <v>0.34262244110553197</v>
      </c>
      <c r="AO230" s="737">
        <f t="shared" si="8"/>
        <v>0.3250371088465242</v>
      </c>
      <c r="AP230" s="737">
        <f t="shared" si="8"/>
        <v>0.34896034073870907</v>
      </c>
      <c r="AQ230" s="737">
        <f t="shared" si="8"/>
        <v>0.34118019669965283</v>
      </c>
      <c r="AR230" s="737">
        <f t="shared" si="8"/>
        <v>0.34266734303686125</v>
      </c>
      <c r="AS230" s="737">
        <f t="shared" si="8"/>
        <v>0.32682626279479321</v>
      </c>
      <c r="AT230" s="737">
        <f>AT206/AT229/1000</f>
        <v>0.31851599271251274</v>
      </c>
      <c r="AU230" s="737">
        <f t="shared" ref="AU230:AV230" si="9">AU206/AU229/1000</f>
        <v>0.34912460520453115</v>
      </c>
      <c r="AV230" s="737">
        <f t="shared" si="9"/>
        <v>0.28590943777353939</v>
      </c>
    </row>
    <row r="231" spans="1:48" ht="14.5" customHeight="1">
      <c r="L231" s="538"/>
      <c r="M231" s="538"/>
      <c r="N231" s="538"/>
      <c r="O231" s="538"/>
      <c r="P231" s="538"/>
      <c r="Q231" s="538"/>
      <c r="R231" s="538"/>
      <c r="AT231" s="537">
        <f>AT229/(1-18%)</f>
        <v>2158.9221114333736</v>
      </c>
    </row>
    <row r="232" spans="1:48" ht="14.5" customHeight="1">
      <c r="AO232" s="538"/>
      <c r="AT232" s="538">
        <f>AT229-AT206/1000</f>
        <v>1206.4421313753667</v>
      </c>
    </row>
  </sheetData>
  <mergeCells count="6">
    <mergeCell ref="A1:M1"/>
    <mergeCell ref="A224:E224"/>
    <mergeCell ref="A223:F223"/>
    <mergeCell ref="A220:I220"/>
    <mergeCell ref="A222:H222"/>
    <mergeCell ref="A4:B4"/>
  </mergeCells>
  <pageMargins left="0.39" right="0.39" top="0.39" bottom="0.39" header="0.39" footer="0.39"/>
  <pageSetup paperSize="9" fitToWidth="0" fitToHeight="0" orientation="portrait"/>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9EEC0-4A27-DE4B-ACC9-34FE0EBE0AC0}">
  <sheetPr>
    <tabColor theme="1"/>
  </sheetPr>
  <dimension ref="A1"/>
  <sheetViews>
    <sheetView workbookViewId="0">
      <selection activeCell="R22" sqref="R22"/>
    </sheetView>
  </sheetViews>
  <sheetFormatPr defaultColWidth="10.81640625" defaultRowHeight="15.5"/>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K34"/>
  <sheetViews>
    <sheetView topLeftCell="A2" zoomScale="62" zoomScaleNormal="70" workbookViewId="0">
      <selection activeCell="I24" sqref="I24"/>
    </sheetView>
  </sheetViews>
  <sheetFormatPr defaultColWidth="8.6328125" defaultRowHeight="14.5" outlineLevelRow="1"/>
  <cols>
    <col min="1" max="1" width="8.6328125" style="350"/>
    <col min="2" max="2" width="87.36328125" style="350" customWidth="1"/>
    <col min="3" max="8" width="18.36328125" style="350" customWidth="1"/>
    <col min="9" max="11" width="19.6328125" style="350" customWidth="1"/>
    <col min="12" max="17" width="8.6328125" style="350"/>
    <col min="18" max="18" width="8.6328125" style="350" customWidth="1"/>
    <col min="19" max="16384" width="8.6328125" style="350"/>
  </cols>
  <sheetData>
    <row r="2" spans="2:11" ht="33.5">
      <c r="B2" s="521" t="s">
        <v>447</v>
      </c>
    </row>
    <row r="3" spans="2:11" ht="15" thickBot="1">
      <c r="B3" s="349"/>
      <c r="C3" s="349"/>
      <c r="D3" s="349"/>
      <c r="E3" s="349"/>
      <c r="F3" s="349"/>
      <c r="G3" s="349"/>
      <c r="H3" s="349"/>
      <c r="I3" s="349"/>
      <c r="J3" s="349"/>
      <c r="K3" s="349"/>
    </row>
    <row r="4" spans="2:11" ht="15" thickTop="1"/>
    <row r="5" spans="2:11" ht="99" customHeight="1">
      <c r="B5" s="351" t="s">
        <v>340</v>
      </c>
      <c r="C5" s="352">
        <v>2015</v>
      </c>
      <c r="D5" s="352">
        <v>2016</v>
      </c>
      <c r="E5" s="352">
        <v>2017</v>
      </c>
      <c r="F5" s="352">
        <v>2018</v>
      </c>
      <c r="G5" s="352">
        <v>2019</v>
      </c>
      <c r="H5" s="353">
        <v>2020</v>
      </c>
      <c r="I5" s="517" t="s">
        <v>442</v>
      </c>
      <c r="J5" s="517" t="s">
        <v>443</v>
      </c>
      <c r="K5" s="517" t="s">
        <v>444</v>
      </c>
    </row>
    <row r="6" spans="2:11" ht="28.5" hidden="1" outlineLevel="1">
      <c r="B6" s="355" t="s">
        <v>5</v>
      </c>
      <c r="C6" s="356">
        <v>17.047442363087278</v>
      </c>
      <c r="D6" s="356">
        <v>17.064440194124401</v>
      </c>
      <c r="E6" s="356">
        <v>16.938735178395316</v>
      </c>
      <c r="F6" s="356">
        <v>17.236719819218727</v>
      </c>
      <c r="G6" s="357">
        <v>17.434189233963973</v>
      </c>
      <c r="H6" s="356"/>
      <c r="I6" s="358"/>
      <c r="J6" s="355"/>
      <c r="K6" s="356"/>
    </row>
    <row r="7" spans="2:11" ht="28.5" hidden="1" outlineLevel="1">
      <c r="B7" s="355" t="s">
        <v>6</v>
      </c>
      <c r="C7" s="356" t="e">
        <f>+#REF!/(#REF!*(1-C6%))</f>
        <v>#REF!</v>
      </c>
      <c r="D7" s="356" t="e">
        <f>+#REF!/(#REF!*(1-D6%))</f>
        <v>#REF!</v>
      </c>
      <c r="E7" s="356" t="e">
        <f>+#REF!/(#REF!*(1-E6%))</f>
        <v>#REF!</v>
      </c>
      <c r="F7" s="356" t="e">
        <f>+#REF!/(#REF!*(1-F6%))</f>
        <v>#REF!</v>
      </c>
      <c r="G7" s="357" t="e">
        <f>+#REF!/(#REF!*(1-G6%))</f>
        <v>#REF!</v>
      </c>
      <c r="H7" s="356"/>
      <c r="I7" s="359"/>
      <c r="J7" s="355"/>
      <c r="K7" s="356"/>
    </row>
    <row r="8" spans="2:11" ht="28.5" hidden="1" outlineLevel="1">
      <c r="B8" s="360" t="s">
        <v>7</v>
      </c>
      <c r="C8" s="361" t="e">
        <f>+#REF!/#REF!</f>
        <v>#REF!</v>
      </c>
      <c r="D8" s="361" t="e">
        <f>+#REF!/#REF!</f>
        <v>#REF!</v>
      </c>
      <c r="E8" s="361" t="e">
        <f>+#REF!/#REF!</f>
        <v>#REF!</v>
      </c>
      <c r="F8" s="361" t="e">
        <f>+#REF!/#REF!</f>
        <v>#REF!</v>
      </c>
      <c r="G8" s="362" t="e">
        <f>+#REF!/#REF!</f>
        <v>#REF!</v>
      </c>
      <c r="H8" s="361"/>
      <c r="I8" s="359"/>
      <c r="J8" s="360"/>
      <c r="K8" s="361"/>
    </row>
    <row r="9" spans="2:11" ht="28.5" outlineLevel="1">
      <c r="B9" s="456" t="s">
        <v>448</v>
      </c>
      <c r="C9" s="361"/>
      <c r="D9" s="361"/>
      <c r="E9" s="361"/>
      <c r="F9" s="361"/>
      <c r="G9" s="361"/>
      <c r="H9" s="362"/>
      <c r="I9" s="359"/>
      <c r="J9" s="360"/>
      <c r="K9" s="361"/>
    </row>
    <row r="10" spans="2:11" ht="28.5" outlineLevel="1">
      <c r="B10" s="360" t="s">
        <v>9</v>
      </c>
      <c r="C10" s="361">
        <f t="array" ref="C10:G10">TRANSPOSE(DataF3!N45:N49)</f>
        <v>1703.2290592571803</v>
      </c>
      <c r="D10" s="361">
        <v>1926.1365838676211</v>
      </c>
      <c r="E10" s="361">
        <v>2203.3700429687883</v>
      </c>
      <c r="F10" s="361">
        <v>2525.9911239733356</v>
      </c>
      <c r="G10" s="361">
        <v>2284.1866057484476</v>
      </c>
      <c r="H10" s="362"/>
      <c r="I10" s="359"/>
      <c r="J10" s="360"/>
      <c r="K10" s="361"/>
    </row>
    <row r="11" spans="2:11" ht="28.5" outlineLevel="1">
      <c r="B11" s="355" t="s">
        <v>433</v>
      </c>
      <c r="C11" s="356">
        <f t="array" ref="C11:G11">TRANSPOSE(DataF3!I45:I49)</f>
        <v>616.46162984891726</v>
      </c>
      <c r="D11" s="356">
        <v>722.33729457760091</v>
      </c>
      <c r="E11" s="356">
        <v>837.05793155296919</v>
      </c>
      <c r="F11" s="356">
        <v>1010.7734836352899</v>
      </c>
      <c r="G11" s="356">
        <v>857.90031647234809</v>
      </c>
      <c r="H11" s="363"/>
      <c r="I11" s="359"/>
      <c r="J11" s="360"/>
      <c r="K11" s="361"/>
    </row>
    <row r="12" spans="2:11" ht="28.5" outlineLevel="1">
      <c r="B12" s="451" t="s">
        <v>439</v>
      </c>
      <c r="C12" s="518">
        <f>C11/C10</f>
        <v>0.36193700811902024</v>
      </c>
      <c r="D12" s="518">
        <f t="shared" ref="D12:G12" si="0">D11/D10</f>
        <v>0.37501872952704662</v>
      </c>
      <c r="E12" s="518">
        <f t="shared" si="0"/>
        <v>0.37989893446364992</v>
      </c>
      <c r="F12" s="518">
        <f t="shared" si="0"/>
        <v>0.40014926182533955</v>
      </c>
      <c r="G12" s="518">
        <f t="shared" si="0"/>
        <v>0.37558241271239934</v>
      </c>
      <c r="H12" s="450"/>
      <c r="I12" s="449">
        <f>+(G12-C12)/4</f>
        <v>3.4113511483447739E-3</v>
      </c>
      <c r="J12" s="452">
        <f>+(G12-E12)/2</f>
        <v>-2.1582608756252897E-3</v>
      </c>
      <c r="K12" s="452">
        <v>6.0000000000000001E-3</v>
      </c>
    </row>
    <row r="13" spans="2:11" ht="28.5" outlineLevel="1">
      <c r="B13" s="355"/>
      <c r="C13" s="453"/>
      <c r="D13" s="453"/>
      <c r="E13" s="453"/>
      <c r="F13" s="453"/>
      <c r="G13" s="453"/>
      <c r="H13" s="364"/>
      <c r="I13" s="359"/>
      <c r="J13" s="360"/>
      <c r="K13" s="457" t="s">
        <v>434</v>
      </c>
    </row>
    <row r="14" spans="2:11" ht="28.5" outlineLevel="1">
      <c r="B14" s="456" t="s">
        <v>437</v>
      </c>
      <c r="C14" s="361"/>
      <c r="D14" s="361"/>
      <c r="E14" s="361"/>
      <c r="F14" s="361"/>
      <c r="G14" s="361"/>
      <c r="H14" s="362"/>
      <c r="I14" s="359"/>
      <c r="J14" s="360"/>
      <c r="K14" s="361"/>
    </row>
    <row r="15" spans="2:11" ht="28.5">
      <c r="B15" s="355" t="s">
        <v>9</v>
      </c>
      <c r="C15" s="454">
        <f t="array" ref="C15:H15">TRANSPOSE(DataF3!V45:V50)</f>
        <v>572.20167161985535</v>
      </c>
      <c r="D15" s="454">
        <v>585.14997857434764</v>
      </c>
      <c r="E15" s="454">
        <v>677.21730502661819</v>
      </c>
      <c r="F15" s="454">
        <v>723.00117322837832</v>
      </c>
      <c r="G15" s="454">
        <v>729.49899780618819</v>
      </c>
      <c r="H15" s="430">
        <v>621.91878778778778</v>
      </c>
      <c r="I15" s="442"/>
      <c r="J15" s="443"/>
      <c r="K15" s="432"/>
    </row>
    <row r="16" spans="2:11" ht="28.5">
      <c r="B16" s="355" t="s">
        <v>450</v>
      </c>
      <c r="C16" s="432">
        <f>+C15/C10</f>
        <v>0.33595109742280138</v>
      </c>
      <c r="D16" s="432">
        <f>+D15/D10</f>
        <v>0.30379464440646525</v>
      </c>
      <c r="E16" s="432">
        <f>+E15/E10</f>
        <v>0.3073552294076512</v>
      </c>
      <c r="F16" s="432">
        <f>+F15/F10</f>
        <v>0.28622474812623699</v>
      </c>
      <c r="G16" s="432">
        <f>+G15/G10</f>
        <v>0.31936926517750813</v>
      </c>
      <c r="H16" s="431"/>
      <c r="I16" s="455"/>
      <c r="J16" s="443"/>
      <c r="K16" s="432"/>
    </row>
    <row r="17" spans="2:11" ht="28.5">
      <c r="B17" s="355" t="s">
        <v>433</v>
      </c>
      <c r="C17" s="365">
        <f t="shared" ref="C17:H17" si="1">+C19*C15</f>
        <v>261.33085463798761</v>
      </c>
      <c r="D17" s="365">
        <f t="shared" si="1"/>
        <v>303.28998291316492</v>
      </c>
      <c r="E17" s="365">
        <f t="shared" si="1"/>
        <v>322.12008983732312</v>
      </c>
      <c r="F17" s="365">
        <f t="shared" si="1"/>
        <v>358.33436969823441</v>
      </c>
      <c r="G17" s="365">
        <f t="shared" si="1"/>
        <v>341.56403253015208</v>
      </c>
      <c r="H17" s="430">
        <f t="shared" si="1"/>
        <v>316.47705978006519</v>
      </c>
      <c r="I17" s="434"/>
      <c r="J17" s="444"/>
      <c r="K17" s="444"/>
    </row>
    <row r="18" spans="2:11" ht="28.5">
      <c r="B18" s="355" t="s">
        <v>449</v>
      </c>
      <c r="C18" s="432">
        <f>+C17/C11</f>
        <v>0.42392071458208147</v>
      </c>
      <c r="D18" s="432">
        <f>+D17/D11</f>
        <v>0.41987307756346559</v>
      </c>
      <c r="E18" s="432">
        <f>+E17/E11</f>
        <v>0.38482412948373013</v>
      </c>
      <c r="F18" s="432">
        <f>+F17/F11</f>
        <v>0.35451500806043068</v>
      </c>
      <c r="G18" s="432">
        <f>+G17/G11</f>
        <v>0.39813953436297794</v>
      </c>
      <c r="H18" s="431"/>
      <c r="I18" s="433"/>
      <c r="J18" s="444"/>
      <c r="K18" s="444"/>
    </row>
    <row r="19" spans="2:11" ht="28.5">
      <c r="B19" s="451" t="s">
        <v>438</v>
      </c>
      <c r="C19" s="519">
        <f t="array" ref="C19:H19">TRANSPOSE(DataF3!AE45:AE50)</f>
        <v>0.4567110995991705</v>
      </c>
      <c r="D19" s="519">
        <v>0.51831153382607476</v>
      </c>
      <c r="E19" s="519">
        <v>0.47565247882238054</v>
      </c>
      <c r="F19" s="519">
        <v>0.4956207305974113</v>
      </c>
      <c r="G19" s="519">
        <v>0.46821727453681589</v>
      </c>
      <c r="H19" s="520">
        <v>0.50887200386050091</v>
      </c>
      <c r="I19" s="449">
        <f>+(H19-C19)/5</f>
        <v>1.0432180852266082E-2</v>
      </c>
      <c r="J19" s="452">
        <f>+(H19-E19)/3</f>
        <v>1.107317501270679E-2</v>
      </c>
      <c r="K19" s="452">
        <v>7.0000000000000001E-3</v>
      </c>
    </row>
    <row r="20" spans="2:11" ht="28.5">
      <c r="B20" s="355"/>
      <c r="C20" s="356"/>
      <c r="D20" s="356"/>
      <c r="E20" s="356"/>
      <c r="F20" s="356"/>
      <c r="G20" s="356"/>
      <c r="H20" s="357"/>
      <c r="I20" s="433"/>
      <c r="J20" s="444"/>
      <c r="K20" s="458" t="s">
        <v>435</v>
      </c>
    </row>
    <row r="21" spans="2:11" ht="28.5">
      <c r="B21" s="451" t="s">
        <v>440</v>
      </c>
      <c r="C21" s="356"/>
      <c r="D21" s="356"/>
      <c r="E21" s="356"/>
      <c r="F21" s="356"/>
      <c r="G21" s="356"/>
      <c r="H21" s="357"/>
      <c r="I21" s="433"/>
      <c r="J21" s="444"/>
      <c r="K21" s="458"/>
    </row>
    <row r="22" spans="2:11" ht="28.5">
      <c r="B22" s="459" t="s">
        <v>9</v>
      </c>
      <c r="C22" s="356">
        <f>C10-C15</f>
        <v>1131.0273876373249</v>
      </c>
      <c r="D22" s="356">
        <f>D10-D15</f>
        <v>1340.9866052932734</v>
      </c>
      <c r="E22" s="356">
        <f>E10-E15</f>
        <v>1526.15273794217</v>
      </c>
      <c r="F22" s="356">
        <f>F10-F15</f>
        <v>1802.9899507449572</v>
      </c>
      <c r="G22" s="356">
        <f>G10-G15</f>
        <v>1554.6876079422595</v>
      </c>
      <c r="H22" s="357"/>
      <c r="I22" s="433"/>
      <c r="J22" s="458"/>
      <c r="K22" s="444"/>
    </row>
    <row r="23" spans="2:11" ht="28.5">
      <c r="B23" s="355" t="s">
        <v>433</v>
      </c>
      <c r="C23" s="356">
        <f>C11-C17</f>
        <v>355.13077521092964</v>
      </c>
      <c r="D23" s="356">
        <f>D11-D17</f>
        <v>419.04731166443599</v>
      </c>
      <c r="E23" s="356">
        <f>E11-E17</f>
        <v>514.93784171564607</v>
      </c>
      <c r="F23" s="356">
        <f>F11-F17</f>
        <v>652.43911393705548</v>
      </c>
      <c r="G23" s="356">
        <f>G11-G17</f>
        <v>516.33628394219602</v>
      </c>
      <c r="H23" s="363"/>
      <c r="I23" s="433"/>
      <c r="J23" s="444"/>
      <c r="K23" s="444"/>
    </row>
    <row r="24" spans="2:11" ht="28.5">
      <c r="B24" s="451" t="s">
        <v>441</v>
      </c>
      <c r="C24" s="518">
        <f>+C23/C22</f>
        <v>0.31398954533964463</v>
      </c>
      <c r="D24" s="518">
        <f>+D23/D22</f>
        <v>0.31249179522773118</v>
      </c>
      <c r="E24" s="518">
        <f>+E23/E22</f>
        <v>0.33740911306818261</v>
      </c>
      <c r="F24" s="665">
        <f>+F23/F22</f>
        <v>0.36186508619611635</v>
      </c>
      <c r="G24" s="518">
        <f>+G23/G22</f>
        <v>0.33211577766777473</v>
      </c>
      <c r="H24" s="450"/>
      <c r="I24" s="448">
        <f>+(G24-C24)/4</f>
        <v>4.5315580820325246E-3</v>
      </c>
      <c r="J24" s="452">
        <f>+(G24-E24)/2</f>
        <v>-2.6466677002039418E-3</v>
      </c>
      <c r="K24" s="452">
        <f>+K19*(C24/C19)</f>
        <v>4.8125101827096129E-3</v>
      </c>
    </row>
    <row r="25" spans="2:11" ht="29" thickBot="1">
      <c r="B25" s="349"/>
      <c r="C25" s="349"/>
      <c r="D25" s="349"/>
      <c r="E25" s="349"/>
      <c r="F25" s="349"/>
      <c r="G25" s="349"/>
      <c r="H25" s="460"/>
      <c r="I25" s="466"/>
      <c r="J25" s="461"/>
      <c r="K25" s="462" t="s">
        <v>436</v>
      </c>
    </row>
    <row r="26" spans="2:11" ht="15" thickTop="1">
      <c r="I26" s="463"/>
    </row>
    <row r="34" spans="8:8" ht="15.5">
      <c r="H34" s="416"/>
    </row>
  </sheetData>
  <pageMargins left="0.7" right="0.7" top="0.75" bottom="0.75" header="0.3" footer="0.3"/>
  <pageSetup paperSize="9" scale="46" orientation="landscape" r:id="rId1"/>
  <ignoredErrors>
    <ignoredError sqref="K14:K19 K21:K2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B1:W67"/>
  <sheetViews>
    <sheetView zoomScale="50" zoomScaleNormal="50" zoomScalePageLayoutView="50" workbookViewId="0">
      <pane xSplit="2" ySplit="3" topLeftCell="C23" activePane="bottomRight" state="frozen"/>
      <selection activeCell="B5" sqref="B5"/>
      <selection pane="topRight" activeCell="B5" sqref="B5"/>
      <selection pane="bottomLeft" activeCell="B5" sqref="B5"/>
      <selection pane="bottomRight" activeCell="B56" sqref="B56"/>
    </sheetView>
  </sheetViews>
  <sheetFormatPr defaultColWidth="11.81640625" defaultRowHeight="15.5"/>
  <cols>
    <col min="1" max="1" width="11.81640625" style="308" customWidth="1"/>
    <col min="2" max="2" width="58.1796875" style="308" bestFit="1" customWidth="1"/>
    <col min="3" max="8" width="22.1796875" style="308" customWidth="1"/>
    <col min="9" max="16384" width="11.81640625" style="308"/>
  </cols>
  <sheetData>
    <row r="1" spans="2:23" ht="16" thickBot="1">
      <c r="B1" s="307"/>
      <c r="C1" s="307"/>
      <c r="D1" s="307"/>
      <c r="E1" s="307"/>
      <c r="F1" s="307"/>
      <c r="G1" s="307"/>
      <c r="H1" s="307"/>
    </row>
    <row r="2" spans="2:23" ht="60" customHeight="1" thickTop="1">
      <c r="C2" s="776" t="s">
        <v>454</v>
      </c>
      <c r="D2" s="776"/>
      <c r="E2" s="776"/>
      <c r="F2" s="776"/>
      <c r="G2" s="776"/>
      <c r="H2" s="776"/>
    </row>
    <row r="3" spans="2:23" s="310" customFormat="1" ht="80" customHeight="1">
      <c r="B3" s="309"/>
      <c r="C3" s="309">
        <v>2015</v>
      </c>
      <c r="D3" s="309">
        <v>2016</v>
      </c>
      <c r="E3" s="309">
        <v>2017</v>
      </c>
      <c r="F3" s="309">
        <v>2018</v>
      </c>
      <c r="G3" s="309">
        <v>2019</v>
      </c>
      <c r="H3" s="309" t="s">
        <v>455</v>
      </c>
      <c r="J3" s="310" t="s">
        <v>101</v>
      </c>
    </row>
    <row r="4" spans="2:23" ht="40" customHeight="1">
      <c r="B4" s="775" t="s">
        <v>76</v>
      </c>
      <c r="C4" s="775"/>
      <c r="D4" s="775"/>
      <c r="E4" s="775"/>
      <c r="F4" s="775"/>
      <c r="G4" s="775"/>
      <c r="H4" s="775"/>
    </row>
    <row r="5" spans="2:23" ht="33.5">
      <c r="B5" s="311" t="s">
        <v>27</v>
      </c>
      <c r="C5" s="340">
        <v>12.959094629306808</v>
      </c>
      <c r="D5" s="340">
        <v>15.186733460463564</v>
      </c>
      <c r="E5" s="340">
        <v>17.849382170851936</v>
      </c>
      <c r="F5" s="340">
        <v>25.238981043193291</v>
      </c>
      <c r="G5" s="340">
        <f>+VLOOKUP(B5,TableC4!B:X,2,0)/1000</f>
        <v>26.764751602336929</v>
      </c>
      <c r="H5" s="344">
        <f>+G5-C5</f>
        <v>13.805656973030121</v>
      </c>
      <c r="R5" s="316"/>
      <c r="V5" s="316"/>
      <c r="W5" s="316"/>
    </row>
    <row r="6" spans="2:23" ht="33.5">
      <c r="B6" s="311" t="s">
        <v>91</v>
      </c>
      <c r="C6" s="340">
        <v>3.5894388002507043</v>
      </c>
      <c r="D6" s="340">
        <v>4.2614494996265204</v>
      </c>
      <c r="E6" s="340">
        <v>4.4348782901527635</v>
      </c>
      <c r="F6" s="340">
        <v>5.2946008016717476</v>
      </c>
      <c r="G6" s="340">
        <f>+VLOOKUP(B6,TableC4!B:X,2,0)/1000</f>
        <v>4.176490116303019</v>
      </c>
      <c r="H6" s="344">
        <f t="shared" ref="H6:H34" si="0">+G6-C6</f>
        <v>0.58705131605231475</v>
      </c>
      <c r="J6" s="308">
        <v>1</v>
      </c>
    </row>
    <row r="7" spans="2:23" ht="33.5">
      <c r="B7" s="311" t="s">
        <v>43</v>
      </c>
      <c r="C7" s="340">
        <v>18.916079243072261</v>
      </c>
      <c r="D7" s="340">
        <v>15.198357978649357</v>
      </c>
      <c r="E7" s="340">
        <v>15.594488609946557</v>
      </c>
      <c r="F7" s="340">
        <v>20.931459218852694</v>
      </c>
      <c r="G7" s="340">
        <f>+VLOOKUP(B7,TableC4!B:X,2,0)/1000</f>
        <v>22.849435561931109</v>
      </c>
      <c r="H7" s="344">
        <f t="shared" si="0"/>
        <v>3.9333563188588485</v>
      </c>
    </row>
    <row r="8" spans="2:23" ht="33.5">
      <c r="B8" s="311" t="s">
        <v>112</v>
      </c>
      <c r="C8" s="340">
        <v>5.1819143745614014</v>
      </c>
      <c r="D8" s="340">
        <v>5.2950006605710724</v>
      </c>
      <c r="E8" s="340">
        <v>5.4973809100320352</v>
      </c>
      <c r="F8" s="340">
        <v>7.14489650270687</v>
      </c>
      <c r="G8" s="340">
        <f>+VLOOKUP(B8,TableC4!B:X,2,0)/1000</f>
        <v>8.0669665431175996</v>
      </c>
      <c r="H8" s="344">
        <f t="shared" si="0"/>
        <v>2.8850521685561983</v>
      </c>
    </row>
    <row r="9" spans="2:23" ht="33.5">
      <c r="B9" s="311" t="s">
        <v>92</v>
      </c>
      <c r="C9" s="340">
        <v>1.7606284926203615</v>
      </c>
      <c r="D9" s="340">
        <v>2.1802195274240144</v>
      </c>
      <c r="E9" s="340">
        <v>2.3708505250210434</v>
      </c>
      <c r="F9" s="340">
        <v>3.0074942318917577</v>
      </c>
      <c r="G9" s="340">
        <f>+VLOOKUP(B9,TableC4!B:X,2,0)/1000</f>
        <v>2.4765716078283764</v>
      </c>
      <c r="H9" s="344">
        <f t="shared" si="0"/>
        <v>0.7159431152080149</v>
      </c>
      <c r="J9" s="308">
        <v>1</v>
      </c>
    </row>
    <row r="10" spans="2:23" ht="33.5">
      <c r="B10" s="311" t="s">
        <v>41</v>
      </c>
      <c r="C10" s="340">
        <v>2.9617661722785193</v>
      </c>
      <c r="D10" s="340">
        <v>4.4750467204865734</v>
      </c>
      <c r="E10" s="340">
        <v>4.8109598942684464</v>
      </c>
      <c r="F10" s="340">
        <v>6.103106845926634</v>
      </c>
      <c r="G10" s="340">
        <f>+VLOOKUP(B10,TableC4!B:X,2,0)/1000</f>
        <v>4.9493569255007239</v>
      </c>
      <c r="H10" s="344">
        <f t="shared" si="0"/>
        <v>1.9875907532222046</v>
      </c>
      <c r="J10" s="308">
        <v>1</v>
      </c>
    </row>
    <row r="11" spans="2:23" ht="33.5">
      <c r="B11" s="311" t="s">
        <v>93</v>
      </c>
      <c r="C11" s="340">
        <v>0.24369349684162625</v>
      </c>
      <c r="D11" s="340">
        <v>0.3216259581959694</v>
      </c>
      <c r="E11" s="340">
        <v>0.31883604719417619</v>
      </c>
      <c r="F11" s="340">
        <v>0.43833912491552618</v>
      </c>
      <c r="G11" s="340">
        <f>+VLOOKUP(B11,TableC4!B:X,2,0)/1000</f>
        <v>0.36121473672144633</v>
      </c>
      <c r="H11" s="344">
        <f t="shared" si="0"/>
        <v>0.11752123987982008</v>
      </c>
      <c r="J11" s="308">
        <v>1</v>
      </c>
    </row>
    <row r="12" spans="2:23" ht="33.5">
      <c r="B12" s="311" t="s">
        <v>94</v>
      </c>
      <c r="C12" s="340">
        <v>2.7148693656359137</v>
      </c>
      <c r="D12" s="340">
        <v>3.2431441058527981</v>
      </c>
      <c r="E12" s="340">
        <v>3.9879065869212909</v>
      </c>
      <c r="F12" s="340">
        <v>5.2261436376272279</v>
      </c>
      <c r="G12" s="340">
        <f>+VLOOKUP(B12,TableC4!B:X,2,0)/1000</f>
        <v>4.2205733061630726</v>
      </c>
      <c r="H12" s="344">
        <f t="shared" si="0"/>
        <v>1.5057039405271588</v>
      </c>
      <c r="J12" s="308">
        <v>1</v>
      </c>
    </row>
    <row r="13" spans="2:23" ht="33.5">
      <c r="B13" s="311" t="s">
        <v>32</v>
      </c>
      <c r="C13" s="340">
        <v>32.084129887442167</v>
      </c>
      <c r="D13" s="340">
        <v>36.00298813004683</v>
      </c>
      <c r="E13" s="340">
        <v>40.031628644827144</v>
      </c>
      <c r="F13" s="340">
        <v>46.696783894794983</v>
      </c>
      <c r="G13" s="340">
        <f>+VLOOKUP(B13,TableC4!B:X,2,0)/1000</f>
        <v>37.673181260185487</v>
      </c>
      <c r="H13" s="344">
        <f t="shared" si="0"/>
        <v>5.5890513727433202</v>
      </c>
      <c r="J13" s="308">
        <v>1</v>
      </c>
    </row>
    <row r="14" spans="2:23" ht="33.5">
      <c r="B14" s="311" t="s">
        <v>34</v>
      </c>
      <c r="C14" s="340">
        <v>54.904338589641874</v>
      </c>
      <c r="D14" s="340">
        <v>65.391620445463857</v>
      </c>
      <c r="E14" s="340">
        <v>65.923376779899769</v>
      </c>
      <c r="F14" s="340">
        <v>83.225183427728908</v>
      </c>
      <c r="G14" s="340">
        <f>+VLOOKUP(B14,TableC4!B:X,2,0)/1000</f>
        <v>66.876130911941431</v>
      </c>
      <c r="H14" s="344">
        <f t="shared" si="0"/>
        <v>11.971792322299557</v>
      </c>
      <c r="J14" s="308">
        <v>1</v>
      </c>
    </row>
    <row r="15" spans="2:23" ht="33.5">
      <c r="B15" s="311" t="s">
        <v>40</v>
      </c>
      <c r="C15" s="340">
        <v>1.0465124601954992</v>
      </c>
      <c r="D15" s="340">
        <v>1.7183186112878792</v>
      </c>
      <c r="E15" s="340">
        <v>1.8408432403662112</v>
      </c>
      <c r="F15" s="340">
        <v>2.1653431527442177</v>
      </c>
      <c r="G15" s="340">
        <f>+VLOOKUP(B15,TableC4!B:X,2,0)/1000</f>
        <v>1.7010552389841946</v>
      </c>
      <c r="H15" s="344">
        <f t="shared" si="0"/>
        <v>0.65454277878869549</v>
      </c>
      <c r="J15" s="308">
        <v>1</v>
      </c>
    </row>
    <row r="16" spans="2:23" ht="33.5">
      <c r="B16" s="311" t="s">
        <v>95</v>
      </c>
      <c r="C16" s="340">
        <v>2.3948890539900791</v>
      </c>
      <c r="D16" s="340">
        <v>3.6645820938115832</v>
      </c>
      <c r="E16" s="340">
        <v>4.1913114487859913</v>
      </c>
      <c r="F16" s="340">
        <v>6.266037934968991</v>
      </c>
      <c r="G16" s="340">
        <f>+VLOOKUP(B16,TableC4!B:X,2,0)/1000</f>
        <v>5.1081506859424</v>
      </c>
      <c r="H16" s="344">
        <f t="shared" si="0"/>
        <v>2.7132616319523208</v>
      </c>
      <c r="J16" s="308">
        <v>1</v>
      </c>
    </row>
    <row r="17" spans="2:10" ht="33.5">
      <c r="B17" s="311" t="s">
        <v>113</v>
      </c>
      <c r="C17" s="340">
        <v>0.43774676216057212</v>
      </c>
      <c r="D17" s="340">
        <v>0.5211963765156874</v>
      </c>
      <c r="E17" s="340">
        <v>0.52543533490845074</v>
      </c>
      <c r="F17" s="340">
        <v>0.59501054260623998</v>
      </c>
      <c r="G17" s="340">
        <f>+VLOOKUP(B17,TableC4!B:X,2,0)/1000</f>
        <v>0.58316371689122415</v>
      </c>
      <c r="H17" s="344">
        <f t="shared" si="0"/>
        <v>0.14541695473065203</v>
      </c>
    </row>
    <row r="18" spans="2:10" ht="33.5">
      <c r="B18" s="311" t="s">
        <v>114</v>
      </c>
      <c r="C18" s="340">
        <v>0.68065831999156556</v>
      </c>
      <c r="D18" s="340">
        <v>2.3990782200701437</v>
      </c>
      <c r="E18" s="340">
        <v>2.5440727440132997</v>
      </c>
      <c r="F18" s="340">
        <v>4.0720428149806027</v>
      </c>
      <c r="G18" s="340">
        <f>+VLOOKUP(B18,TableC4!B:X,2,0)/1000</f>
        <v>4.3014198320834636</v>
      </c>
      <c r="H18" s="344">
        <f t="shared" si="0"/>
        <v>3.6207615120918981</v>
      </c>
    </row>
    <row r="19" spans="2:10" ht="33.5">
      <c r="B19" s="311" t="s">
        <v>33</v>
      </c>
      <c r="C19" s="340">
        <v>22.702482961511631</v>
      </c>
      <c r="D19" s="340">
        <v>23.997248470594876</v>
      </c>
      <c r="E19" s="340">
        <v>26.475521411255528</v>
      </c>
      <c r="F19" s="340">
        <v>31.702188320587151</v>
      </c>
      <c r="G19" s="340">
        <f>+VLOOKUP(B19,TableC4!B:X,2,0)/1000</f>
        <v>25.608325730890844</v>
      </c>
      <c r="H19" s="344">
        <f t="shared" si="0"/>
        <v>2.9058427693792126</v>
      </c>
      <c r="J19" s="308">
        <v>1</v>
      </c>
    </row>
    <row r="20" spans="2:10" ht="33.5">
      <c r="B20" s="311" t="s">
        <v>31</v>
      </c>
      <c r="C20" s="340">
        <v>8.5543737634504904</v>
      </c>
      <c r="D20" s="340">
        <v>11.822189073205433</v>
      </c>
      <c r="E20" s="340">
        <v>13.838332192145188</v>
      </c>
      <c r="F20" s="340">
        <v>17.255920618470522</v>
      </c>
      <c r="G20" s="340">
        <f>+VLOOKUP(B20,TableC4!B:X,2,0)/1000</f>
        <v>15.593395637624196</v>
      </c>
      <c r="H20" s="344">
        <f t="shared" si="0"/>
        <v>7.0390218741737058</v>
      </c>
    </row>
    <row r="21" spans="2:10" ht="33.5">
      <c r="B21" s="311" t="s">
        <v>48</v>
      </c>
      <c r="C21" s="340">
        <v>4.8346318555725984</v>
      </c>
      <c r="D21" s="340">
        <v>4.6798849530002444</v>
      </c>
      <c r="E21" s="340">
        <v>6.1734182103798005</v>
      </c>
      <c r="F21" s="340">
        <v>8.4132472625248553</v>
      </c>
      <c r="G21" s="340">
        <f>+VLOOKUP(B21,TableC4!B:X,2,0)/1000</f>
        <v>8.8834392955831731</v>
      </c>
      <c r="H21" s="344">
        <f t="shared" si="0"/>
        <v>4.0488074400105747</v>
      </c>
    </row>
    <row r="22" spans="2:10" ht="33.5">
      <c r="B22" s="311" t="s">
        <v>96</v>
      </c>
      <c r="C22" s="340">
        <v>0.20097896727392819</v>
      </c>
      <c r="D22" s="340">
        <v>0.25804887401624577</v>
      </c>
      <c r="E22" s="340">
        <v>0.27470701993185587</v>
      </c>
      <c r="F22" s="340">
        <v>0.41229801069776245</v>
      </c>
      <c r="G22" s="340">
        <f>+VLOOKUP(B22,TableC4!B:X,2,0)/1000</f>
        <v>0.33955716477335668</v>
      </c>
      <c r="H22" s="344">
        <f t="shared" si="0"/>
        <v>0.13857819749942848</v>
      </c>
      <c r="J22" s="308">
        <v>1</v>
      </c>
    </row>
    <row r="23" spans="2:10" ht="33.5">
      <c r="B23" s="311" t="s">
        <v>38</v>
      </c>
      <c r="C23" s="340">
        <v>13.095889552074285</v>
      </c>
      <c r="D23" s="340">
        <v>11.05080617697517</v>
      </c>
      <c r="E23" s="340">
        <v>10.987574051335292</v>
      </c>
      <c r="F23" s="340">
        <v>16.724249430502969</v>
      </c>
      <c r="G23" s="340">
        <f>+VLOOKUP(B23,TableC4!B:X,2,0)/1000</f>
        <v>18.022998644899868</v>
      </c>
      <c r="H23" s="344">
        <f t="shared" si="0"/>
        <v>4.9271090928255834</v>
      </c>
    </row>
    <row r="24" spans="2:10" ht="33.5">
      <c r="B24" s="311" t="s">
        <v>116</v>
      </c>
      <c r="C24" s="340">
        <v>1.5234433952929838</v>
      </c>
      <c r="D24" s="340">
        <v>1.9298795757142502</v>
      </c>
      <c r="E24" s="340">
        <v>1.984262874211592</v>
      </c>
      <c r="F24" s="340">
        <v>2.6649261651961003</v>
      </c>
      <c r="G24" s="340">
        <f>+VLOOKUP(B24,TableC4!B:X,2,0)/1000</f>
        <v>2.7931017390877737</v>
      </c>
      <c r="H24" s="344">
        <f t="shared" si="0"/>
        <v>1.2696583437947899</v>
      </c>
    </row>
    <row r="25" spans="2:10" ht="33.5">
      <c r="B25" s="311" t="s">
        <v>117</v>
      </c>
      <c r="C25" s="340">
        <v>5.2156647064681243</v>
      </c>
      <c r="D25" s="340">
        <v>6.2274581821361075</v>
      </c>
      <c r="E25" s="340">
        <v>5.9121179045364771</v>
      </c>
      <c r="F25" s="340">
        <v>7.2264910993426845</v>
      </c>
      <c r="G25" s="340">
        <f>+VLOOKUP(B25,TableC4!B:X,2,0)/1000</f>
        <v>7.1983393496637813</v>
      </c>
      <c r="H25" s="344">
        <f t="shared" si="0"/>
        <v>1.982674643195657</v>
      </c>
    </row>
    <row r="26" spans="2:10" ht="33.5">
      <c r="B26" s="311" t="s">
        <v>97</v>
      </c>
      <c r="C26" s="340">
        <v>3.6958663942036614</v>
      </c>
      <c r="D26" s="340">
        <v>4.2049262216454952</v>
      </c>
      <c r="E26" s="340">
        <v>4.3415613024244397</v>
      </c>
      <c r="F26" s="340">
        <v>5.9155058539171703</v>
      </c>
      <c r="G26" s="340">
        <f>+VLOOKUP(B26,TableC4!B:X,2,0)/1000</f>
        <v>4.7377359785520223</v>
      </c>
      <c r="H26" s="344">
        <f t="shared" si="0"/>
        <v>1.041869584348361</v>
      </c>
      <c r="J26" s="308">
        <v>1</v>
      </c>
    </row>
    <row r="27" spans="2:10" ht="33.5">
      <c r="B27" s="311" t="s">
        <v>42</v>
      </c>
      <c r="C27" s="340">
        <v>2.6381822918681346</v>
      </c>
      <c r="D27" s="340">
        <v>3.2599578171412329</v>
      </c>
      <c r="E27" s="340">
        <v>3.1681518538521507</v>
      </c>
      <c r="F27" s="340">
        <v>3.7789861652380776</v>
      </c>
      <c r="G27" s="340">
        <f>+VLOOKUP(B27,TableC4!B:X,2,0)/1000</f>
        <v>3.0536973610704354</v>
      </c>
      <c r="H27" s="344">
        <f t="shared" si="0"/>
        <v>0.41551506920230086</v>
      </c>
      <c r="J27" s="308">
        <v>1</v>
      </c>
    </row>
    <row r="28" spans="2:10" ht="33.5">
      <c r="B28" s="311" t="s">
        <v>98</v>
      </c>
      <c r="C28" s="340">
        <v>0.63681356041207426</v>
      </c>
      <c r="D28" s="340">
        <v>0.85017936558352614</v>
      </c>
      <c r="E28" s="340">
        <v>0.9424606884737754</v>
      </c>
      <c r="F28" s="340">
        <v>1.1270875762281831</v>
      </c>
      <c r="G28" s="340">
        <f>+VLOOKUP(B28,TableC4!B:X,2,0)/1000</f>
        <v>0.92881101091655804</v>
      </c>
      <c r="H28" s="344">
        <f t="shared" si="0"/>
        <v>0.29199745050448378</v>
      </c>
      <c r="J28" s="308">
        <v>1</v>
      </c>
    </row>
    <row r="29" spans="2:10" ht="33.5">
      <c r="B29" s="311" t="s">
        <v>99</v>
      </c>
      <c r="C29" s="340">
        <v>0.22529901009808276</v>
      </c>
      <c r="D29" s="340">
        <f>AVERAGE(C29,E29)</f>
        <v>0.29631688013225232</v>
      </c>
      <c r="E29" s="340">
        <v>0.36733475016642186</v>
      </c>
      <c r="F29" s="340">
        <v>0.46136445601106613</v>
      </c>
      <c r="G29" s="340">
        <f>+VLOOKUP(B29,TableC4!B:X,2,0)/1000</f>
        <v>0.36682054802829822</v>
      </c>
      <c r="H29" s="344">
        <f t="shared" si="0"/>
        <v>0.14152153793021546</v>
      </c>
      <c r="J29" s="308">
        <v>1</v>
      </c>
    </row>
    <row r="30" spans="2:10" ht="33.5">
      <c r="B30" s="311" t="s">
        <v>30</v>
      </c>
      <c r="C30" s="340">
        <v>14.362071520602967</v>
      </c>
      <c r="D30" s="340">
        <v>14.693416683766145</v>
      </c>
      <c r="E30" s="340">
        <v>16.966936080942119</v>
      </c>
      <c r="F30" s="340">
        <v>23.051471472147938</v>
      </c>
      <c r="G30" s="340">
        <f>+VLOOKUP(B30,TableC4!B:X,2,0)/1000</f>
        <v>18.664518356004859</v>
      </c>
      <c r="H30" s="344">
        <f t="shared" si="0"/>
        <v>4.3024468354018914</v>
      </c>
      <c r="J30" s="308">
        <v>1</v>
      </c>
    </row>
    <row r="31" spans="2:10" ht="33.5">
      <c r="B31" s="311" t="s">
        <v>100</v>
      </c>
      <c r="C31" s="340">
        <v>8.5410900580049951</v>
      </c>
      <c r="D31" s="340">
        <v>10.304689557654912</v>
      </c>
      <c r="E31" s="340">
        <v>11.692139921421571</v>
      </c>
      <c r="F31" s="340">
        <v>13.688971672603801</v>
      </c>
      <c r="G31" s="340">
        <f>+VLOOKUP(B31,TableC4!B:X,2,0)/1000</f>
        <v>11.125638096578623</v>
      </c>
      <c r="H31" s="344">
        <f t="shared" si="0"/>
        <v>2.5845480385736277</v>
      </c>
      <c r="J31" s="308">
        <v>1</v>
      </c>
    </row>
    <row r="32" spans="2:10" ht="33.5">
      <c r="B32" s="311" t="s">
        <v>44</v>
      </c>
      <c r="C32" s="340">
        <v>4.9754928205897597</v>
      </c>
      <c r="D32" s="340">
        <v>3.8542467882708467</v>
      </c>
      <c r="E32" s="340">
        <v>3.7336596669225579</v>
      </c>
      <c r="F32" s="340">
        <v>5.0310525435229403</v>
      </c>
      <c r="G32" s="340">
        <f>+VLOOKUP(B32,TableC4!B:X,2,0)/1000</f>
        <v>5.0745494601272307</v>
      </c>
      <c r="H32" s="344">
        <f t="shared" si="0"/>
        <v>9.9056639537471014E-2</v>
      </c>
    </row>
    <row r="33" spans="2:10" ht="33.5">
      <c r="B33" s="311" t="s">
        <v>28</v>
      </c>
      <c r="C33" s="340">
        <v>61.500900683046368</v>
      </c>
      <c r="D33" s="340">
        <v>80.524551152341473</v>
      </c>
      <c r="E33" s="340">
        <v>95.96795509404761</v>
      </c>
      <c r="F33" s="340">
        <v>120.07005754276821</v>
      </c>
      <c r="G33" s="340">
        <f>+VLOOKUP(B33,TableC4!B:X,2,0)/1000</f>
        <v>97.023031282236431</v>
      </c>
      <c r="H33" s="344">
        <f t="shared" si="0"/>
        <v>35.522130599190064</v>
      </c>
      <c r="J33" s="308">
        <v>1</v>
      </c>
    </row>
    <row r="34" spans="2:10" ht="33.5">
      <c r="B34" s="335" t="s">
        <v>11</v>
      </c>
      <c r="C34" s="336">
        <v>142.56530860350179</v>
      </c>
      <c r="D34" s="336">
        <v>152.05962203909527</v>
      </c>
      <c r="E34" s="336">
        <v>161.89420535357644</v>
      </c>
      <c r="F34" s="336">
        <v>186.43815065854375</v>
      </c>
      <c r="G34" s="336">
        <f>+VLOOKUP(B34,TableC4!B:X,2,0)/1000</f>
        <v>146.30304319048332</v>
      </c>
      <c r="H34" s="345">
        <f t="shared" si="0"/>
        <v>3.7377345869815315</v>
      </c>
    </row>
    <row r="35" spans="2:10" ht="40" customHeight="1">
      <c r="B35" s="315" t="s">
        <v>456</v>
      </c>
      <c r="C35" s="346"/>
      <c r="D35" s="346"/>
      <c r="E35" s="346"/>
      <c r="F35" s="346"/>
      <c r="G35" s="347"/>
      <c r="H35" s="344"/>
    </row>
    <row r="36" spans="2:10" ht="40" customHeight="1">
      <c r="B36" s="339" t="s">
        <v>78</v>
      </c>
      <c r="C36" s="340"/>
      <c r="D36" s="340">
        <v>2.5066464933540349</v>
      </c>
      <c r="E36" s="340">
        <v>3.2134036449419985</v>
      </c>
      <c r="F36" s="340">
        <v>4.2585954838971034</v>
      </c>
      <c r="G36" s="340">
        <f>+VLOOKUP(B36,TableC4!B:X,2,0)/1000</f>
        <v>4.3627067215806772</v>
      </c>
      <c r="H36" s="344">
        <f t="shared" ref="H36:H51" si="1">+G36-D36</f>
        <v>1.8560602282266423</v>
      </c>
    </row>
    <row r="37" spans="2:10" ht="33.5">
      <c r="B37" s="311" t="s">
        <v>37</v>
      </c>
      <c r="C37" s="340">
        <v>14.212064614009524</v>
      </c>
      <c r="D37" s="340">
        <v>17.299110202379346</v>
      </c>
      <c r="E37" s="340">
        <v>19.674686249783527</v>
      </c>
      <c r="F37" s="340">
        <v>22.048522970538496</v>
      </c>
      <c r="G37" s="340">
        <f>+VLOOKUP(B37,TableC4!B:X,2,0)/1000</f>
        <v>23.736874056974479</v>
      </c>
      <c r="H37" s="344">
        <f>+G37-C37</f>
        <v>9.5248094429649548</v>
      </c>
    </row>
    <row r="38" spans="2:10" ht="33.5">
      <c r="B38" s="311" t="s">
        <v>47</v>
      </c>
      <c r="C38" s="340">
        <v>60.525807931300939</v>
      </c>
      <c r="D38" s="340">
        <v>50.425959162319145</v>
      </c>
      <c r="E38" s="340">
        <v>51.398595430071204</v>
      </c>
      <c r="F38" s="340">
        <v>71.190809491313814</v>
      </c>
      <c r="G38" s="340">
        <f>+VLOOKUP(B38,TableC4!B:X,2,0)/1000</f>
        <v>82.047137554681598</v>
      </c>
      <c r="H38" s="344">
        <f>+G38-C38</f>
        <v>21.521329623380659</v>
      </c>
    </row>
    <row r="39" spans="2:10" ht="33.5">
      <c r="B39" s="311" t="s">
        <v>121</v>
      </c>
      <c r="C39" s="340">
        <v>1.4036174395306298</v>
      </c>
      <c r="D39" s="340">
        <v>0.98255214585218387</v>
      </c>
      <c r="E39" s="340">
        <v>1.3503492119174079</v>
      </c>
      <c r="F39" s="340">
        <v>1.9423504032263401</v>
      </c>
      <c r="G39" s="340">
        <f>+VLOOKUP(B39,TableC4!B:X,2,0)/1000</f>
        <v>1.9904840002414288</v>
      </c>
      <c r="H39" s="344">
        <f>+G39-C39</f>
        <v>0.58686656071079901</v>
      </c>
    </row>
    <row r="40" spans="2:10" ht="33.5">
      <c r="B40" s="311" t="s">
        <v>122</v>
      </c>
      <c r="C40" s="340">
        <v>1.0575199886874607</v>
      </c>
      <c r="D40" s="340">
        <v>0.89761837807842071</v>
      </c>
      <c r="E40" s="340">
        <v>1.1982115668392268</v>
      </c>
      <c r="F40" s="340">
        <v>1.6803789452398334</v>
      </c>
      <c r="G40" s="340">
        <f>+VLOOKUP(B40,TableC4!B:X,2,0)/1000</f>
        <v>1.7220205990055304</v>
      </c>
      <c r="H40" s="344">
        <f>+G40-C40</f>
        <v>0.66450061031806973</v>
      </c>
    </row>
    <row r="41" spans="2:10" ht="33.5">
      <c r="B41" s="311" t="s">
        <v>79</v>
      </c>
      <c r="C41" s="340"/>
      <c r="D41" s="340">
        <v>3.0477276082685312</v>
      </c>
      <c r="E41" s="340">
        <v>3.3826290978669067</v>
      </c>
      <c r="F41" s="340">
        <v>4.6029398249029452</v>
      </c>
      <c r="G41" s="340">
        <f>+VLOOKUP(B41,TableC4!B:X,2,0)/1000</f>
        <v>4.8787716837046853</v>
      </c>
      <c r="H41" s="344">
        <f t="shared" si="1"/>
        <v>1.8310440754361541</v>
      </c>
    </row>
    <row r="42" spans="2:10" ht="33.5">
      <c r="B42" s="311" t="s">
        <v>80</v>
      </c>
      <c r="C42" s="340"/>
      <c r="D42" s="340">
        <v>7.0491383951542801</v>
      </c>
      <c r="E42" s="340">
        <v>7.47401146927188</v>
      </c>
      <c r="F42" s="340">
        <v>9.8893148800065518</v>
      </c>
      <c r="G42" s="340">
        <f>+VLOOKUP(B42,TableC4!B:X,2,0)/1000</f>
        <v>10.605070657985602</v>
      </c>
      <c r="H42" s="344">
        <f t="shared" si="1"/>
        <v>3.5559322628313215</v>
      </c>
    </row>
    <row r="43" spans="2:10" ht="33.5">
      <c r="B43" s="311" t="s">
        <v>45</v>
      </c>
      <c r="C43" s="340">
        <v>9.476399038744594</v>
      </c>
      <c r="D43" s="340">
        <v>9.5888942578314591</v>
      </c>
      <c r="E43" s="340">
        <v>11.342488387653461</v>
      </c>
      <c r="F43" s="340">
        <v>15.647845307337617</v>
      </c>
      <c r="G43" s="340">
        <f>+VLOOKUP(B43,TableC4!B:X,2,0)/1000</f>
        <v>16.872453159696537</v>
      </c>
      <c r="H43" s="344">
        <f>+G43-C43</f>
        <v>7.396054120951943</v>
      </c>
    </row>
    <row r="44" spans="2:10" ht="33.5">
      <c r="B44" s="311" t="s">
        <v>81</v>
      </c>
      <c r="C44" s="340"/>
      <c r="D44" s="340">
        <v>3.7993174091326019</v>
      </c>
      <c r="E44" s="340">
        <v>4.2197800720963548</v>
      </c>
      <c r="F44" s="340">
        <v>5.8238400637294454</v>
      </c>
      <c r="G44" s="340">
        <f>+VLOOKUP(B44,TableC4!B:X,2,0)/1000</f>
        <v>6.2369028391804981</v>
      </c>
      <c r="H44" s="344">
        <f t="shared" si="1"/>
        <v>2.4375854300478963</v>
      </c>
    </row>
    <row r="45" spans="2:10" ht="33.5">
      <c r="B45" s="311" t="s">
        <v>82</v>
      </c>
      <c r="C45" s="340"/>
      <c r="D45" s="340">
        <v>3.0835535605185651</v>
      </c>
      <c r="E45" s="340">
        <v>2.4012654170148671</v>
      </c>
      <c r="F45" s="340">
        <v>3.5098518099317317</v>
      </c>
      <c r="G45" s="340">
        <f>+VLOOKUP(B45,TableC4!B:X,2,0)/1000</f>
        <v>3.8085470631941525</v>
      </c>
      <c r="H45" s="344">
        <f t="shared" si="1"/>
        <v>0.72499350267558738</v>
      </c>
    </row>
    <row r="46" spans="2:10" ht="33.5">
      <c r="B46" s="311" t="s">
        <v>46</v>
      </c>
      <c r="C46" s="340">
        <v>11.84310434933391</v>
      </c>
      <c r="D46" s="340">
        <v>12.722952388815417</v>
      </c>
      <c r="E46" s="340">
        <v>13.845451426228143</v>
      </c>
      <c r="F46" s="340">
        <v>17.339638156059689</v>
      </c>
      <c r="G46" s="340">
        <f>+VLOOKUP(B46,TableC4!B:X,2,0)/1000</f>
        <v>18.006652405357112</v>
      </c>
      <c r="H46" s="344">
        <f>+G46-C46</f>
        <v>6.1635480560232025</v>
      </c>
    </row>
    <row r="47" spans="2:10" ht="33.5">
      <c r="B47" s="311" t="s">
        <v>45</v>
      </c>
      <c r="C47" s="340">
        <v>4.0806445340819</v>
      </c>
      <c r="D47" s="340">
        <v>4.0246001063345211</v>
      </c>
      <c r="E47" s="340">
        <v>11.342488387653461</v>
      </c>
      <c r="F47" s="340">
        <v>15.647845307337617</v>
      </c>
      <c r="G47" s="340">
        <f>+VLOOKUP(B47,TableC4!B:X,2,0)/1000</f>
        <v>16.872453159696537</v>
      </c>
      <c r="H47" s="344">
        <f>+G47-C47</f>
        <v>12.791808625614637</v>
      </c>
    </row>
    <row r="48" spans="2:10" ht="33.5">
      <c r="B48" s="311" t="s">
        <v>39</v>
      </c>
      <c r="C48" s="340">
        <v>4.0806445340819</v>
      </c>
      <c r="D48" s="340">
        <v>4.0246001063345211</v>
      </c>
      <c r="E48" s="340">
        <v>5.0403092492108073</v>
      </c>
      <c r="F48" s="340">
        <v>6.7595844814691661</v>
      </c>
      <c r="G48" s="340">
        <f>+VLOOKUP(B48,TableC4!B:X,2,0)/1000</f>
        <v>7.0080167143993819</v>
      </c>
      <c r="H48" s="344">
        <f>+G48-C48</f>
        <v>2.9273721803174819</v>
      </c>
    </row>
    <row r="49" spans="2:8" ht="33.5">
      <c r="B49" s="311" t="s">
        <v>83</v>
      </c>
      <c r="C49" s="340"/>
      <c r="D49" s="340">
        <v>4.7138668993359119</v>
      </c>
      <c r="E49" s="340">
        <v>6.4109092825838001</v>
      </c>
      <c r="F49" s="340">
        <v>8.932603885297425</v>
      </c>
      <c r="G49" s="340">
        <f>+VLOOKUP(B49,TableC4!B:X,2,0)/1000</f>
        <v>9.7272522391937812</v>
      </c>
      <c r="H49" s="344">
        <f t="shared" si="1"/>
        <v>5.0133853398578694</v>
      </c>
    </row>
    <row r="50" spans="2:8" ht="33.5">
      <c r="B50" s="311" t="s">
        <v>84</v>
      </c>
      <c r="C50" s="340"/>
      <c r="D50" s="340">
        <v>0.99864652590911351</v>
      </c>
      <c r="E50" s="340">
        <v>0.92038365061890415</v>
      </c>
      <c r="F50" s="340">
        <v>1.4574461120011153</v>
      </c>
      <c r="G50" s="340">
        <f>+VLOOKUP(B50,TableC4!B:X,2,0)/1000</f>
        <v>1.5237900400162883</v>
      </c>
      <c r="H50" s="344">
        <f t="shared" si="1"/>
        <v>0.52514351410717475</v>
      </c>
    </row>
    <row r="51" spans="2:8" ht="33.5">
      <c r="B51" s="335" t="s">
        <v>85</v>
      </c>
      <c r="C51" s="336"/>
      <c r="D51" s="336">
        <v>0.86853229889627548</v>
      </c>
      <c r="E51" s="336">
        <v>0.85443130810770185</v>
      </c>
      <c r="F51" s="336">
        <v>0.92384376637388443</v>
      </c>
      <c r="G51" s="336">
        <f>+VLOOKUP(B51,TableC4!B:X,2,0)/1000</f>
        <v>0.9888735987797691</v>
      </c>
      <c r="H51" s="345">
        <f t="shared" si="1"/>
        <v>0.12034129988349362</v>
      </c>
    </row>
    <row r="52" spans="2:8" ht="39" customHeight="1">
      <c r="B52" s="315" t="s">
        <v>86</v>
      </c>
      <c r="D52" s="315"/>
      <c r="E52" s="315"/>
      <c r="F52" s="315"/>
      <c r="G52" s="315"/>
      <c r="H52" s="312"/>
    </row>
    <row r="53" spans="2:8" ht="33.5">
      <c r="B53" s="311" t="s">
        <v>25</v>
      </c>
      <c r="C53" s="340">
        <v>-13.106870602869716</v>
      </c>
      <c r="D53" s="340">
        <v>-15.192705534701314</v>
      </c>
      <c r="E53" s="340">
        <v>-20.479377251676514</v>
      </c>
      <c r="F53" s="340">
        <v>-45.682721095351404</v>
      </c>
      <c r="G53" s="340" t="e">
        <f>-VLOOKUP(B53,'Table U1'!B:W,29,0)</f>
        <v>#REF!</v>
      </c>
      <c r="H53" s="344" t="e">
        <f>+G53-C53</f>
        <v>#REF!</v>
      </c>
    </row>
    <row r="54" spans="2:8" ht="33.5">
      <c r="B54" s="311" t="s">
        <v>20</v>
      </c>
      <c r="C54" s="340">
        <v>-106.3289638729139</v>
      </c>
      <c r="D54" s="340">
        <v>-117.10866791238698</v>
      </c>
      <c r="E54" s="340">
        <v>-126.22930473650742</v>
      </c>
      <c r="F54" s="340">
        <v>-126.35089343657603</v>
      </c>
      <c r="G54" s="340" t="e">
        <f>-VLOOKUP(B54,'Table U1'!B:W,29,0)</f>
        <v>#REF!</v>
      </c>
      <c r="H54" s="344" t="e">
        <f t="shared" ref="H54:H63" si="2">+G54-C54</f>
        <v>#REF!</v>
      </c>
    </row>
    <row r="55" spans="2:8" ht="33.5">
      <c r="B55" s="311" t="s">
        <v>19</v>
      </c>
      <c r="C55" s="340">
        <v>-46.799572185855702</v>
      </c>
      <c r="D55" s="340">
        <v>-50.117882746865448</v>
      </c>
      <c r="E55" s="340">
        <v>-66.046640961219012</v>
      </c>
      <c r="F55" s="340">
        <v>-56.739639855707097</v>
      </c>
      <c r="G55" s="340" t="e">
        <f>-VLOOKUP(B55,'Table U1'!B:W,29,0)</f>
        <v>#REF!</v>
      </c>
      <c r="H55" s="344" t="e">
        <f t="shared" si="2"/>
        <v>#REF!</v>
      </c>
    </row>
    <row r="56" spans="2:8" ht="33.5">
      <c r="B56" s="311" t="s">
        <v>87</v>
      </c>
      <c r="C56" s="340">
        <v>-12.327426958163089</v>
      </c>
      <c r="D56" s="340">
        <v>-10.806938685798682</v>
      </c>
      <c r="E56" s="340">
        <v>-11.134471187055922</v>
      </c>
      <c r="F56" s="340">
        <v>-12.429663563214918</v>
      </c>
      <c r="G56" s="340" t="e">
        <f>-VLOOKUP(B56,'Table U1'!B:W,29,0)</f>
        <v>#REF!</v>
      </c>
      <c r="H56" s="344" t="e">
        <f t="shared" si="2"/>
        <v>#REF!</v>
      </c>
    </row>
    <row r="57" spans="2:8" ht="33.5">
      <c r="B57" s="311" t="s">
        <v>23</v>
      </c>
      <c r="C57" s="340">
        <v>-57.353364287520073</v>
      </c>
      <c r="D57" s="340">
        <v>-90.260495714647661</v>
      </c>
      <c r="E57" s="340">
        <v>-79.347163635666789</v>
      </c>
      <c r="F57" s="340">
        <v>-105.87643766221456</v>
      </c>
      <c r="G57" s="340" t="e">
        <f>-VLOOKUP(B57,'Table U1'!B:W,29,0)</f>
        <v>#REF!</v>
      </c>
      <c r="H57" s="344" t="e">
        <f t="shared" si="2"/>
        <v>#REF!</v>
      </c>
    </row>
    <row r="58" spans="2:8" ht="33.5">
      <c r="B58" s="311" t="s">
        <v>88</v>
      </c>
      <c r="C58" s="340">
        <v>-96.73216830648569</v>
      </c>
      <c r="D58" s="340">
        <v>-92.831696200459518</v>
      </c>
      <c r="E58" s="340">
        <v>-94.970829790556067</v>
      </c>
      <c r="F58" s="340">
        <v>-110.02878774772149</v>
      </c>
      <c r="G58" s="340">
        <f>-('Table U1'!W54+'Table U1'!W55+'Table U1'!W56+'Table U1'!W57+'Table U1'!W59+'Table U1'!W60+'Table U1'!W62+'Table U1'!W63+'Table U1'!W64+'Table U1'!W65+'Table U1'!W68+'Table U1'!W77+'Table U1'!W83+'Table U1'!W84)</f>
        <v>-113.14017260067159</v>
      </c>
      <c r="H58" s="344">
        <f t="shared" si="2"/>
        <v>-16.408004294185901</v>
      </c>
    </row>
    <row r="59" spans="2:8" ht="33.5">
      <c r="B59" s="311" t="s">
        <v>89</v>
      </c>
      <c r="C59" s="340">
        <v>-23.950680817428665</v>
      </c>
      <c r="D59" s="340">
        <v>-17.258353679835029</v>
      </c>
      <c r="E59" s="340">
        <v>-12.771565610104329</v>
      </c>
      <c r="F59" s="340">
        <v>-84.366812420237594</v>
      </c>
      <c r="G59" s="340" t="e">
        <f>-VLOOKUP(B59,'Table U1'!B:W,29,0)</f>
        <v>#REF!</v>
      </c>
      <c r="H59" s="344" t="e">
        <f t="shared" si="2"/>
        <v>#REF!</v>
      </c>
    </row>
    <row r="60" spans="2:8" ht="33.5">
      <c r="B60" s="311" t="s">
        <v>22</v>
      </c>
      <c r="C60" s="340">
        <v>-70.416271670151048</v>
      </c>
      <c r="D60" s="340">
        <v>-77.589599684007553</v>
      </c>
      <c r="E60" s="340">
        <v>-97.969159320480998</v>
      </c>
      <c r="F60" s="340">
        <v>-132.31317880061394</v>
      </c>
      <c r="G60" s="340" t="e">
        <f>-VLOOKUP(B60,'Table U1'!B:W,29,0)</f>
        <v>#REF!</v>
      </c>
      <c r="H60" s="344" t="e">
        <f t="shared" si="2"/>
        <v>#REF!</v>
      </c>
    </row>
    <row r="61" spans="2:8" ht="33.5">
      <c r="B61" s="311" t="s">
        <v>18</v>
      </c>
      <c r="C61" s="340">
        <v>-41.683062581236264</v>
      </c>
      <c r="D61" s="340">
        <v>-38.320224000000003</v>
      </c>
      <c r="E61" s="340">
        <v>-38.320224000000003</v>
      </c>
      <c r="F61" s="340">
        <v>-36.364773497619588</v>
      </c>
      <c r="G61" s="340" t="e">
        <f>-VLOOKUP(B61,'Table U1'!B:W,29,0)</f>
        <v>#REF!</v>
      </c>
      <c r="H61" s="344" t="e">
        <f t="shared" si="2"/>
        <v>#REF!</v>
      </c>
    </row>
    <row r="62" spans="2:8" ht="33.5">
      <c r="B62" s="311" t="s">
        <v>24</v>
      </c>
      <c r="C62" s="340">
        <v>-39.035168909870336</v>
      </c>
      <c r="D62" s="340">
        <v>-18.192616409335663</v>
      </c>
      <c r="E62" s="340">
        <v>-18.293182977898841</v>
      </c>
      <c r="F62" s="340">
        <v>-42.854588539678375</v>
      </c>
      <c r="G62" s="340" t="e">
        <f>-VLOOKUP(B62,'Table U1'!B:W,29,0)</f>
        <v>#REF!</v>
      </c>
      <c r="H62" s="344" t="e">
        <f t="shared" si="2"/>
        <v>#REF!</v>
      </c>
    </row>
    <row r="63" spans="2:8" ht="33.5">
      <c r="B63" s="311" t="s">
        <v>21</v>
      </c>
      <c r="C63" s="340">
        <v>-58.152724672949248</v>
      </c>
      <c r="D63" s="340">
        <v>-73.171682606348682</v>
      </c>
      <c r="E63" s="340">
        <v>-97.986624525658129</v>
      </c>
      <c r="F63" s="340">
        <v>-102.30096823782171</v>
      </c>
      <c r="G63" s="340" t="e">
        <f>-VLOOKUP(B63,'Table U1'!B:W,29,0)</f>
        <v>#REF!</v>
      </c>
      <c r="H63" s="344" t="e">
        <f t="shared" si="2"/>
        <v>#REF!</v>
      </c>
    </row>
    <row r="64" spans="2:8" ht="34" thickBot="1">
      <c r="B64" s="314" t="s">
        <v>90</v>
      </c>
      <c r="C64" s="348">
        <v>-50.575354983473517</v>
      </c>
      <c r="D64" s="348">
        <v>-66.031169106786706</v>
      </c>
      <c r="E64" s="348">
        <v>-77.790497891359905</v>
      </c>
      <c r="F64" s="348">
        <v>-90.897942769131191</v>
      </c>
      <c r="G64" s="348" t="e">
        <f>-(Table1!G8+SUM(G53:G63))</f>
        <v>#REF!</v>
      </c>
      <c r="H64" s="524" t="e">
        <f>+G64-C64</f>
        <v>#REF!</v>
      </c>
    </row>
    <row r="65" spans="2:8" ht="16" thickTop="1"/>
    <row r="67" spans="2:8" ht="33.5">
      <c r="B67" s="311" t="s">
        <v>480</v>
      </c>
      <c r="C67" s="340">
        <f>SUMPRODUCT($J5:$J34,C5:C34)</f>
        <v>216.20395176591853</v>
      </c>
      <c r="D67" s="340"/>
      <c r="E67" s="340"/>
      <c r="F67" s="340"/>
      <c r="G67" s="340">
        <f>SUMPRODUCT($J5:$J34,G5:G34)</f>
        <v>289.39086031862161</v>
      </c>
      <c r="H67" s="344"/>
    </row>
  </sheetData>
  <mergeCells count="2">
    <mergeCell ref="B4:H4"/>
    <mergeCell ref="C2:H2"/>
  </mergeCells>
  <printOptions horizontalCentered="1"/>
  <pageMargins left="0.25" right="0.25" top="0.75" bottom="0.75" header="0.3" footer="0.3"/>
  <pageSetup scale="25" orientation="portrait" horizontalDpi="4294967292" vertic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B1:W57"/>
  <sheetViews>
    <sheetView zoomScale="50" zoomScaleNormal="50" zoomScalePageLayoutView="50" workbookViewId="0">
      <pane xSplit="2" ySplit="3" topLeftCell="C17" activePane="bottomRight" state="frozen"/>
      <selection activeCell="B5" sqref="B5"/>
      <selection pane="topRight" activeCell="B5" sqref="B5"/>
      <selection pane="bottomLeft" activeCell="B5" sqref="B5"/>
      <selection pane="bottomRight" activeCell="G21" sqref="G21"/>
    </sheetView>
  </sheetViews>
  <sheetFormatPr defaultColWidth="11.81640625" defaultRowHeight="15.5"/>
  <cols>
    <col min="1" max="1" width="11.81640625" style="308"/>
    <col min="2" max="2" width="58.1796875" style="308" bestFit="1" customWidth="1"/>
    <col min="3" max="8" width="22.1796875" style="308" customWidth="1"/>
    <col min="9" max="16384" width="11.81640625" style="308"/>
  </cols>
  <sheetData>
    <row r="1" spans="2:23" ht="16" thickBot="1">
      <c r="B1" s="307"/>
      <c r="C1" s="307"/>
      <c r="D1" s="307"/>
      <c r="E1" s="307"/>
      <c r="F1" s="307"/>
      <c r="G1" s="307"/>
      <c r="H1" s="307"/>
    </row>
    <row r="2" spans="2:23" ht="60" customHeight="1" thickTop="1">
      <c r="B2" s="776" t="s">
        <v>457</v>
      </c>
      <c r="C2" s="776"/>
      <c r="D2" s="776"/>
      <c r="E2" s="776"/>
      <c r="F2" s="776"/>
      <c r="G2" s="776"/>
      <c r="H2" s="776"/>
    </row>
    <row r="3" spans="2:23" s="310" customFormat="1" ht="80" customHeight="1">
      <c r="B3" s="309"/>
      <c r="C3" s="309">
        <v>2015</v>
      </c>
      <c r="D3" s="309">
        <v>2016</v>
      </c>
      <c r="E3" s="309">
        <v>2017</v>
      </c>
      <c r="F3" s="309">
        <v>2018</v>
      </c>
      <c r="G3" s="309">
        <v>2019</v>
      </c>
      <c r="H3" s="309" t="s">
        <v>455</v>
      </c>
    </row>
    <row r="4" spans="2:23" ht="40" customHeight="1">
      <c r="B4" s="775" t="s">
        <v>76</v>
      </c>
      <c r="C4" s="775"/>
      <c r="D4" s="775"/>
      <c r="E4" s="775"/>
      <c r="F4" s="775"/>
      <c r="G4" s="775"/>
      <c r="H4" s="775"/>
    </row>
    <row r="5" spans="2:23" ht="33.5">
      <c r="B5" s="311" t="s">
        <v>27</v>
      </c>
      <c r="C5" s="526">
        <v>7.3234785047652198E-2</v>
      </c>
      <c r="D5" s="313">
        <v>7.6390651124448358E-2</v>
      </c>
      <c r="E5" s="313">
        <v>7.1643328997565092E-2</v>
      </c>
      <c r="F5" s="313">
        <v>9.7649461332347171E-2</v>
      </c>
      <c r="G5" s="313">
        <f>+VLOOKUP(TableA3!B5,TableC4d!B:P,10,0)</f>
        <v>0.12212291708037933</v>
      </c>
      <c r="H5" s="530">
        <f>+G5-C5</f>
        <v>4.8888132032727127E-2</v>
      </c>
      <c r="J5" s="525"/>
      <c r="R5" s="316"/>
      <c r="V5" s="316"/>
      <c r="W5" s="316"/>
    </row>
    <row r="6" spans="2:23" ht="33.5">
      <c r="B6" s="311" t="s">
        <v>91</v>
      </c>
      <c r="C6" s="526">
        <v>0.10563824176055445</v>
      </c>
      <c r="D6" s="313">
        <v>0.11482539552641426</v>
      </c>
      <c r="E6" s="313">
        <v>0.10765062062062075</v>
      </c>
      <c r="F6" s="313">
        <v>0.1075327581698176</v>
      </c>
      <c r="G6" s="313">
        <f>+VLOOKUP(TableA3!B6,TableC4d!B:P,10,0)</f>
        <v>8.6397293953458076E-2</v>
      </c>
      <c r="H6" s="530">
        <f t="shared" ref="H6:H48" si="0">+G6-C6</f>
        <v>-1.924094780709637E-2</v>
      </c>
      <c r="J6" s="525"/>
    </row>
    <row r="7" spans="2:23" ht="33.5">
      <c r="B7" s="311" t="s">
        <v>43</v>
      </c>
      <c r="C7" s="526">
        <v>0.10131006286761744</v>
      </c>
      <c r="D7" s="313">
        <v>7.6301193030542072E-2</v>
      </c>
      <c r="E7" s="313">
        <v>6.6987975746094275E-2</v>
      </c>
      <c r="F7" s="313">
        <v>8.8617148452999436E-2</v>
      </c>
      <c r="G7" s="313">
        <f>+VLOOKUP(TableA3!B7,TableC4d!B:P,10,0)</f>
        <v>8.354715933209389E-2</v>
      </c>
      <c r="H7" s="530">
        <f t="shared" si="0"/>
        <v>-1.7762903535523553E-2</v>
      </c>
      <c r="J7" s="525"/>
    </row>
    <row r="8" spans="2:23" ht="33.5">
      <c r="B8" s="311" t="s">
        <v>112</v>
      </c>
      <c r="C8" s="526">
        <v>0.11894894394587266</v>
      </c>
      <c r="D8" s="313">
        <v>0.12037488258781079</v>
      </c>
      <c r="E8" s="313">
        <v>0.11876549683457166</v>
      </c>
      <c r="F8" s="313">
        <v>0.13354442875030118</v>
      </c>
      <c r="G8" s="313">
        <f>+VLOOKUP(TableA3!B8,TableC4d!B:P,10,0)</f>
        <v>0.51548551975995838</v>
      </c>
      <c r="H8" s="530">
        <f t="shared" si="0"/>
        <v>0.39653657581408575</v>
      </c>
      <c r="J8" s="525"/>
    </row>
    <row r="9" spans="2:23" ht="33.5">
      <c r="B9" s="311" t="s">
        <v>92</v>
      </c>
      <c r="C9" s="526">
        <v>4.9844079449585167E-2</v>
      </c>
      <c r="D9" s="313">
        <v>5.6636793936156428E-2</v>
      </c>
      <c r="E9" s="313">
        <v>5.5915669479175159E-2</v>
      </c>
      <c r="F9" s="313">
        <v>6.7235673807373941E-2</v>
      </c>
      <c r="G9" s="313">
        <f>+VLOOKUP(TableA3!B9,TableC4d!B:P,10,0)</f>
        <v>5.312587278739106E-2</v>
      </c>
      <c r="H9" s="530">
        <f t="shared" si="0"/>
        <v>3.2817933378058925E-3</v>
      </c>
      <c r="J9" s="525"/>
    </row>
    <row r="10" spans="2:23" ht="33.5">
      <c r="B10" s="311" t="s">
        <v>41</v>
      </c>
      <c r="C10" s="526">
        <v>8.4310816146709378E-2</v>
      </c>
      <c r="D10" s="313">
        <v>0.11927580428934675</v>
      </c>
      <c r="E10" s="313">
        <v>9.8031585428375034E-2</v>
      </c>
      <c r="F10" s="313">
        <v>0.13130241498020279</v>
      </c>
      <c r="G10" s="313">
        <f>+VLOOKUP(TableA3!B10,TableC4d!B:P,10,0)</f>
        <v>9.9857716236109298E-2</v>
      </c>
      <c r="H10" s="530">
        <f t="shared" si="0"/>
        <v>1.554690008939992E-2</v>
      </c>
      <c r="J10" s="525"/>
    </row>
    <row r="11" spans="2:23" ht="33.5">
      <c r="B11" s="311" t="s">
        <v>93</v>
      </c>
      <c r="C11" s="526">
        <v>0.10357464690128163</v>
      </c>
      <c r="D11" s="313">
        <v>0.15753433513164125</v>
      </c>
      <c r="E11" s="313">
        <v>0.15441695263547353</v>
      </c>
      <c r="F11" s="313">
        <v>0.14335183444145599</v>
      </c>
      <c r="G11" s="313">
        <f>+VLOOKUP(TableA3!B11,TableC4d!B:P,10,0)</f>
        <v>0.1267575796050204</v>
      </c>
      <c r="H11" s="530">
        <f t="shared" si="0"/>
        <v>2.3182932703738779E-2</v>
      </c>
      <c r="J11" s="525"/>
    </row>
    <row r="12" spans="2:23" ht="33.5">
      <c r="B12" s="311" t="s">
        <v>94</v>
      </c>
      <c r="C12" s="526">
        <v>0.10767039354958928</v>
      </c>
      <c r="D12" s="313">
        <v>0.12221408014023442</v>
      </c>
      <c r="E12" s="313">
        <v>0.11523155997636586</v>
      </c>
      <c r="F12" s="313">
        <v>0.14910233588871938</v>
      </c>
      <c r="G12" s="313">
        <f>+VLOOKUP(TableA3!B12,TableC4d!B:P,10,0)</f>
        <v>0.12424249034567023</v>
      </c>
      <c r="H12" s="530">
        <f t="shared" si="0"/>
        <v>1.6572096796080946E-2</v>
      </c>
      <c r="J12" s="525"/>
    </row>
    <row r="13" spans="2:23" ht="33.5">
      <c r="B13" s="311" t="s">
        <v>32</v>
      </c>
      <c r="C13" s="526">
        <v>0.20997996704769475</v>
      </c>
      <c r="D13" s="313">
        <v>0.23890082750939995</v>
      </c>
      <c r="E13" s="313">
        <v>0.22095809198259919</v>
      </c>
      <c r="F13" s="313">
        <v>0.26292877080329241</v>
      </c>
      <c r="G13" s="313">
        <f>+VLOOKUP(TableA3!B13,TableC4d!B:P,10,0)</f>
        <v>0.19228368641156302</v>
      </c>
      <c r="H13" s="530">
        <f t="shared" si="0"/>
        <v>-1.7696280636131739E-2</v>
      </c>
      <c r="J13" s="525"/>
    </row>
    <row r="14" spans="2:23" ht="33.5">
      <c r="B14" s="311" t="s">
        <v>34</v>
      </c>
      <c r="C14" s="526">
        <v>0.27916595513803488</v>
      </c>
      <c r="D14" s="313">
        <v>0.28358731313486601</v>
      </c>
      <c r="E14" s="313">
        <v>0.26127485100474251</v>
      </c>
      <c r="F14" s="313">
        <v>0.2918573071841562</v>
      </c>
      <c r="G14" s="313">
        <f>+VLOOKUP(TableA3!B14,TableC4d!B:P,10,0)</f>
        <v>0.25808839233020486</v>
      </c>
      <c r="H14" s="530">
        <f t="shared" si="0"/>
        <v>-2.1077562807830019E-2</v>
      </c>
      <c r="J14" s="525"/>
    </row>
    <row r="15" spans="2:23" ht="33.5">
      <c r="B15" s="311" t="s">
        <v>40</v>
      </c>
      <c r="C15" s="526">
        <v>7.2011378873881565E-2</v>
      </c>
      <c r="D15" s="313">
        <v>0.10306379493778557</v>
      </c>
      <c r="E15" s="313">
        <v>0.13463315932449813</v>
      </c>
      <c r="F15" s="313">
        <v>0.14787530243774208</v>
      </c>
      <c r="G15" s="313">
        <f>+VLOOKUP(TableA3!B15,TableC4d!B:P,10,0)</f>
        <v>0.10451057884349915</v>
      </c>
      <c r="H15" s="530">
        <f t="shared" si="0"/>
        <v>3.2499199969617587E-2</v>
      </c>
      <c r="J15" s="525"/>
    </row>
    <row r="16" spans="2:23" ht="33.5">
      <c r="B16" s="311" t="s">
        <v>95</v>
      </c>
      <c r="C16" s="526">
        <v>0.20717165133116644</v>
      </c>
      <c r="D16" s="313">
        <v>0.2358404356150357</v>
      </c>
      <c r="E16" s="313">
        <v>0.12967235482879061</v>
      </c>
      <c r="F16" s="313">
        <v>0.31075709138920871</v>
      </c>
      <c r="G16" s="313">
        <f>+VLOOKUP(TableA3!B16,TableC4d!B:P,10,0)</f>
        <v>0.2176933677432078</v>
      </c>
      <c r="H16" s="530">
        <f t="shared" si="0"/>
        <v>1.052171641204136E-2</v>
      </c>
      <c r="J16" s="525"/>
    </row>
    <row r="17" spans="2:10" ht="33.5">
      <c r="B17" s="311" t="s">
        <v>113</v>
      </c>
      <c r="C17" s="526">
        <v>0.21980592416387462</v>
      </c>
      <c r="D17" s="313">
        <v>0.19942467056272711</v>
      </c>
      <c r="E17" s="313">
        <v>0.15730890376433715</v>
      </c>
      <c r="F17" s="313">
        <v>0.18024887311802001</v>
      </c>
      <c r="G17" s="313">
        <f>+VLOOKUP(TableA3!B17,TableC4d!B:P,10,0)</f>
        <v>0.22673550423453503</v>
      </c>
      <c r="H17" s="530">
        <f t="shared" si="0"/>
        <v>6.9295800706604127E-3</v>
      </c>
      <c r="J17" s="525"/>
    </row>
    <row r="18" spans="2:10" ht="33.5">
      <c r="B18" s="311" t="s">
        <v>114</v>
      </c>
      <c r="C18" s="526">
        <v>1.9073748557127242E-2</v>
      </c>
      <c r="D18" s="313">
        <v>6.0991213522355842E-2</v>
      </c>
      <c r="E18" s="313">
        <v>5.2442381205074613E-2</v>
      </c>
      <c r="F18" s="313">
        <v>7.8328714198686131E-2</v>
      </c>
      <c r="G18" s="313">
        <f>+VLOOKUP(TableA3!B18,TableC4d!B:P,10,0)</f>
        <v>8.1459912258115247E-2</v>
      </c>
      <c r="H18" s="530">
        <f t="shared" si="0"/>
        <v>6.2386163700988005E-2</v>
      </c>
      <c r="J18" s="525"/>
    </row>
    <row r="19" spans="2:10" ht="33.5">
      <c r="B19" s="311" t="s">
        <v>33</v>
      </c>
      <c r="C19" s="526">
        <v>0.19118227241411057</v>
      </c>
      <c r="D19" s="313">
        <v>0.1886465436817534</v>
      </c>
      <c r="E19" s="313">
        <v>0.15476308875175407</v>
      </c>
      <c r="F19" s="313">
        <v>0.19521539579379302</v>
      </c>
      <c r="G19" s="313">
        <f>+VLOOKUP(TableA3!B19,TableC4d!B:P,10,0)</f>
        <v>0.15568451750232418</v>
      </c>
      <c r="H19" s="530">
        <f t="shared" si="0"/>
        <v>-3.5497754911786389E-2</v>
      </c>
      <c r="J19" s="525"/>
    </row>
    <row r="20" spans="2:10" ht="33.5">
      <c r="B20" s="311" t="s">
        <v>31</v>
      </c>
      <c r="C20" s="526">
        <v>1.7437633144078594E-2</v>
      </c>
      <c r="D20" s="313">
        <v>2.0068264094953346E-2</v>
      </c>
      <c r="E20" s="313">
        <v>2.3557737794889837E-2</v>
      </c>
      <c r="F20" s="313">
        <v>2.5916312289758273E-2</v>
      </c>
      <c r="G20" s="313">
        <f>+VLOOKUP(TableA3!B20,TableC4d!B:P,10,0)</f>
        <v>2.47308978197079E-2</v>
      </c>
      <c r="H20" s="530">
        <f t="shared" si="0"/>
        <v>7.2932646756293067E-3</v>
      </c>
      <c r="J20" s="525"/>
    </row>
    <row r="21" spans="2:10" ht="33.5">
      <c r="B21" s="311" t="s">
        <v>48</v>
      </c>
      <c r="C21" s="526">
        <v>2.5672298890945015E-2</v>
      </c>
      <c r="D21" s="313">
        <v>2.2353860780750807E-2</v>
      </c>
      <c r="E21" s="313">
        <v>2.3157038070597321E-2</v>
      </c>
      <c r="F21" s="313">
        <v>2.9041864107233271E-2</v>
      </c>
      <c r="G21" s="313">
        <f>+VLOOKUP(TableA3!B21,TableC4d!B:P,10,0)</f>
        <v>3.6838649547281221E-2</v>
      </c>
      <c r="H21" s="530">
        <f t="shared" si="0"/>
        <v>1.1166350656336206E-2</v>
      </c>
      <c r="J21" s="525"/>
    </row>
    <row r="22" spans="2:10" ht="33.5">
      <c r="B22" s="311" t="s">
        <v>96</v>
      </c>
      <c r="C22" s="526">
        <v>6.9945021635384561E-2</v>
      </c>
      <c r="D22" s="313">
        <v>8.2487735475061344E-2</v>
      </c>
      <c r="E22" s="313">
        <v>8.6309859222023333E-2</v>
      </c>
      <c r="F22" s="313">
        <v>0.22739948745119543</v>
      </c>
      <c r="G22" s="529">
        <f>+VLOOKUP(TableA3!B22,TableC4d!B:P,10,0)</f>
        <v>8.5835345149111814E-2</v>
      </c>
      <c r="H22" s="530">
        <f t="shared" si="0"/>
        <v>1.5890323513727253E-2</v>
      </c>
      <c r="J22" s="525"/>
    </row>
    <row r="23" spans="2:10" ht="33.5">
      <c r="B23" s="311" t="s">
        <v>38</v>
      </c>
      <c r="C23" s="526">
        <v>0.10509727731973387</v>
      </c>
      <c r="D23" s="313">
        <v>8.8277492665807228E-2</v>
      </c>
      <c r="E23" s="313">
        <v>8.1106999015288006E-2</v>
      </c>
      <c r="F23" s="313">
        <v>0.11922716548764499</v>
      </c>
      <c r="G23" s="313">
        <f>+VLOOKUP(TableA3!B23,TableC4d!B:P,10,0)</f>
        <v>0.1296052322814818</v>
      </c>
      <c r="H23" s="530">
        <f t="shared" si="0"/>
        <v>2.450795496174793E-2</v>
      </c>
      <c r="J23" s="525"/>
    </row>
    <row r="24" spans="2:10" ht="33.5">
      <c r="B24" s="311" t="s">
        <v>116</v>
      </c>
      <c r="C24" s="526">
        <v>5.3623417899033209E-2</v>
      </c>
      <c r="D24" s="313">
        <v>5.7666567997749184E-2</v>
      </c>
      <c r="E24" s="313">
        <v>5.7563816556013316E-2</v>
      </c>
      <c r="F24" s="313">
        <v>7.0406844746315825E-2</v>
      </c>
      <c r="G24" s="313">
        <f>+VLOOKUP(TableA3!B24,TableC4d!B:P,10,0)</f>
        <v>9.4475193608210745E-2</v>
      </c>
      <c r="H24" s="530">
        <f t="shared" si="0"/>
        <v>4.0851775709177536E-2</v>
      </c>
      <c r="J24" s="525"/>
    </row>
    <row r="25" spans="2:10" ht="33.5">
      <c r="B25" s="311" t="s">
        <v>117</v>
      </c>
      <c r="C25" s="526">
        <v>8.2933723016851785E-2</v>
      </c>
      <c r="D25" s="313">
        <v>0.10429007216066878</v>
      </c>
      <c r="E25" s="313">
        <v>7.307190890031845E-2</v>
      </c>
      <c r="F25" s="313">
        <v>6.3975667408534317E-2</v>
      </c>
      <c r="G25" s="313">
        <f>+VLOOKUP(TableA3!B25,TableC4d!B:P,10,0)</f>
        <v>6.6470733828482384E-2</v>
      </c>
      <c r="H25" s="530">
        <f t="shared" si="0"/>
        <v>-1.6462989188369401E-2</v>
      </c>
      <c r="J25" s="525"/>
    </row>
    <row r="26" spans="2:10" ht="33.5">
      <c r="B26" s="311" t="s">
        <v>97</v>
      </c>
      <c r="C26" s="526">
        <v>7.996006497283209E-2</v>
      </c>
      <c r="D26" s="313">
        <v>9.2160070510784509E-2</v>
      </c>
      <c r="E26" s="313">
        <v>8.1271092807283729E-2</v>
      </c>
      <c r="F26" s="313">
        <v>9.1256778594276625E-2</v>
      </c>
      <c r="G26" s="313">
        <f>+VLOOKUP(TableA3!B26,TableC4d!B:P,10,0)</f>
        <v>6.8293140483961665E-2</v>
      </c>
      <c r="H26" s="530">
        <f t="shared" si="0"/>
        <v>-1.1666924488870425E-2</v>
      </c>
      <c r="J26" s="525"/>
    </row>
    <row r="27" spans="2:10" ht="33.5">
      <c r="B27" s="311" t="s">
        <v>42</v>
      </c>
      <c r="C27" s="526">
        <v>8.8987018527531159E-2</v>
      </c>
      <c r="D27" s="313">
        <v>0.10907372539849944</v>
      </c>
      <c r="E27" s="313">
        <v>9.3766868837645651E-2</v>
      </c>
      <c r="F27" s="313">
        <v>9.8788412947997103E-2</v>
      </c>
      <c r="G27" s="313">
        <f>+VLOOKUP(TableA3!B27,TableC4d!B:P,10,0)</f>
        <v>8.5984235308168386E-2</v>
      </c>
      <c r="H27" s="530">
        <f t="shared" si="0"/>
        <v>-3.0027832193627729E-3</v>
      </c>
      <c r="J27" s="525"/>
    </row>
    <row r="28" spans="2:10" ht="33.5">
      <c r="B28" s="311" t="s">
        <v>98</v>
      </c>
      <c r="C28" s="526">
        <v>4.8028448162720727E-2</v>
      </c>
      <c r="D28" s="313">
        <v>5.9769321144162252E-2</v>
      </c>
      <c r="E28" s="313">
        <v>5.9886940897175001E-2</v>
      </c>
      <c r="F28" s="313">
        <v>6.9327251066273174E-2</v>
      </c>
      <c r="G28" s="313">
        <f>+VLOOKUP(TableA3!B28,TableC4d!B:P,10,0)</f>
        <v>6.1175749379768038E-2</v>
      </c>
      <c r="H28" s="530">
        <f t="shared" si="0"/>
        <v>1.3147301217047311E-2</v>
      </c>
      <c r="J28" s="525"/>
    </row>
    <row r="29" spans="2:10" ht="33.5">
      <c r="B29" s="311" t="s">
        <v>99</v>
      </c>
      <c r="C29" s="526">
        <v>6.0803338265822897E-2</v>
      </c>
      <c r="D29" s="313">
        <f>AVERAGE(C29,E29)</f>
        <v>7.0845475553858117E-2</v>
      </c>
      <c r="E29" s="313">
        <v>8.0887612841893344E-2</v>
      </c>
      <c r="F29" s="313">
        <v>8.3789168240549272E-2</v>
      </c>
      <c r="G29" s="313">
        <f>+VLOOKUP(TableA3!B29,TableC4d!B:P,10,0)</f>
        <v>6.5291349676218927E-2</v>
      </c>
      <c r="H29" s="530">
        <f t="shared" si="0"/>
        <v>4.4880114103960297E-3</v>
      </c>
      <c r="J29" s="525"/>
    </row>
    <row r="30" spans="2:10" ht="33.5">
      <c r="B30" s="311" t="s">
        <v>30</v>
      </c>
      <c r="C30" s="526">
        <v>0.14169566205750209</v>
      </c>
      <c r="D30" s="313">
        <v>0.13224191042325864</v>
      </c>
      <c r="E30" s="313">
        <v>0.13980941256858773</v>
      </c>
      <c r="F30" s="313">
        <v>0.16331544756941857</v>
      </c>
      <c r="G30" s="313">
        <f>+VLOOKUP(TableA3!B30,TableC4d!B:P,10,0)</f>
        <v>0.16207100530905744</v>
      </c>
      <c r="H30" s="530">
        <f t="shared" si="0"/>
        <v>2.037534325155535E-2</v>
      </c>
      <c r="J30" s="525"/>
    </row>
    <row r="31" spans="2:10" ht="33.5">
      <c r="B31" s="311" t="s">
        <v>100</v>
      </c>
      <c r="C31" s="526">
        <v>0.12759064303400486</v>
      </c>
      <c r="D31" s="313">
        <v>0.16107413275695859</v>
      </c>
      <c r="E31" s="313">
        <v>0.17096716658491809</v>
      </c>
      <c r="F31" s="313">
        <v>0.18344971290170389</v>
      </c>
      <c r="G31" s="313">
        <f>+VLOOKUP(TableA3!B31,TableC4d!B:P,10,0)</f>
        <v>0.14819217181076463</v>
      </c>
      <c r="H31" s="530">
        <f t="shared" si="0"/>
        <v>2.0601528776759775E-2</v>
      </c>
      <c r="J31" s="525"/>
    </row>
    <row r="32" spans="2:10" ht="33.5">
      <c r="B32" s="311" t="s">
        <v>44</v>
      </c>
      <c r="C32" s="526">
        <v>8.1066999260363509E-2</v>
      </c>
      <c r="D32" s="313">
        <v>5.4179364073812152E-2</v>
      </c>
      <c r="E32" s="313">
        <v>5.1491143457959285E-2</v>
      </c>
      <c r="F32" s="313">
        <v>6.7929615878362229E-2</v>
      </c>
      <c r="G32" s="313">
        <f>+VLOOKUP(TableA3!B32,TableC4d!B:P,10,0)</f>
        <v>8.0354128022939536E-2</v>
      </c>
      <c r="H32" s="530">
        <f t="shared" si="0"/>
        <v>-7.1287123742397318E-4</v>
      </c>
      <c r="J32" s="525"/>
    </row>
    <row r="33" spans="2:10" ht="33.5">
      <c r="B33" s="311" t="s">
        <v>28</v>
      </c>
      <c r="C33" s="526">
        <v>0.17523172069902965</v>
      </c>
      <c r="D33" s="313">
        <v>0.22317561806271471</v>
      </c>
      <c r="E33" s="313">
        <v>0.24587094687149039</v>
      </c>
      <c r="F33" s="313">
        <v>0.28033488376460547</v>
      </c>
      <c r="G33" s="313">
        <f>+VLOOKUP(TableA3!B33,TableC4d!B:P,10,0)</f>
        <v>0.2831661356494643</v>
      </c>
      <c r="H33" s="530">
        <f t="shared" si="0"/>
        <v>0.10793441495043465</v>
      </c>
      <c r="J33" s="525"/>
    </row>
    <row r="34" spans="2:10" ht="33.5">
      <c r="B34" s="335" t="s">
        <v>11</v>
      </c>
      <c r="C34" s="338">
        <v>0.14080811485538131</v>
      </c>
      <c r="D34" s="337">
        <v>0.16532883138134644</v>
      </c>
      <c r="E34" s="337">
        <v>0.19183214921944411</v>
      </c>
      <c r="F34" s="337">
        <v>0.23107460008173181</v>
      </c>
      <c r="G34" s="337">
        <f>+VLOOKUP(TableA3!B34,TableC4d!B:P,10,0)</f>
        <v>0.13772366000947181</v>
      </c>
      <c r="H34" s="531">
        <f t="shared" si="0"/>
        <v>-3.0844548459094956E-3</v>
      </c>
      <c r="J34" s="525"/>
    </row>
    <row r="35" spans="2:10" ht="40" customHeight="1">
      <c r="B35" s="315" t="s">
        <v>456</v>
      </c>
      <c r="C35" s="315"/>
      <c r="D35" s="315"/>
      <c r="E35" s="315"/>
      <c r="F35" s="315"/>
      <c r="G35" s="315"/>
      <c r="H35" s="530"/>
    </row>
    <row r="36" spans="2:10" ht="40" customHeight="1">
      <c r="B36" s="339" t="s">
        <v>78</v>
      </c>
      <c r="C36" s="315"/>
      <c r="D36" s="313">
        <v>5.9434517432942834E-2</v>
      </c>
      <c r="E36" s="313">
        <v>7.034284193090054E-2</v>
      </c>
      <c r="F36" s="313">
        <v>8.9357910795109241E-2</v>
      </c>
      <c r="G36" s="313">
        <f>+VLOOKUP(TableA3!B36,TableC4d!B:P,10,0)</f>
        <v>0.1068089262711968</v>
      </c>
      <c r="H36" s="530">
        <f>G36-D36</f>
        <v>4.7374408838253966E-2</v>
      </c>
    </row>
    <row r="37" spans="2:10" ht="33.5">
      <c r="B37" s="311" t="s">
        <v>37</v>
      </c>
      <c r="C37" s="526">
        <v>9.0271246129663765E-2</v>
      </c>
      <c r="D37" s="313">
        <v>0.10366864283168098</v>
      </c>
      <c r="E37" s="313">
        <v>0.11567973150402824</v>
      </c>
      <c r="F37" s="313">
        <v>0.14120006453000392</v>
      </c>
      <c r="G37" s="313">
        <f>+VLOOKUP(TableA3!B37,TableC4d!B:P,10,0)</f>
        <v>0.15341345366150586</v>
      </c>
      <c r="H37" s="530">
        <f t="shared" si="0"/>
        <v>6.314220753184209E-2</v>
      </c>
    </row>
    <row r="38" spans="2:10" ht="33.5">
      <c r="B38" s="311" t="s">
        <v>47</v>
      </c>
      <c r="C38" s="526">
        <v>3.5861224922702772E-2</v>
      </c>
      <c r="D38" s="313">
        <v>2.9024114590146977E-2</v>
      </c>
      <c r="E38" s="313">
        <v>2.7346777527327469E-2</v>
      </c>
      <c r="F38" s="313">
        <v>3.316150358841391E-2</v>
      </c>
      <c r="G38" s="313">
        <f>+VLOOKUP(TableA3!B38,TableC4d!B:P,10,0)</f>
        <v>3.8147870169244827E-2</v>
      </c>
      <c r="H38" s="530">
        <f t="shared" si="0"/>
        <v>2.2866452465420545E-3</v>
      </c>
    </row>
    <row r="39" spans="2:10" ht="33.5">
      <c r="B39" s="311" t="s">
        <v>121</v>
      </c>
      <c r="C39" s="526">
        <v>2.060605590013246E-2</v>
      </c>
      <c r="D39" s="313">
        <v>1.4974236041179142E-2</v>
      </c>
      <c r="E39" s="313">
        <v>2.4446608196856373E-2</v>
      </c>
      <c r="F39" s="313">
        <v>3.5450410572162215E-2</v>
      </c>
      <c r="G39" s="313">
        <f>+VLOOKUP(TableA3!B39,TableC4d!B:P,10,0)</f>
        <v>5.8946289921846154E-2</v>
      </c>
      <c r="H39" s="530">
        <f t="shared" si="0"/>
        <v>3.8340234021713694E-2</v>
      </c>
    </row>
    <row r="40" spans="2:10" ht="33.5">
      <c r="B40" s="311" t="s">
        <v>122</v>
      </c>
      <c r="C40" s="526">
        <v>0.20608794998489571</v>
      </c>
      <c r="D40" s="313">
        <v>0.17479942969577303</v>
      </c>
      <c r="E40" s="313">
        <v>0.2160457919689921</v>
      </c>
      <c r="F40" s="313">
        <v>0.28205793392825368</v>
      </c>
      <c r="G40" s="313">
        <f>+VLOOKUP(TableA3!B40,TableC4d!B:P,10,0)</f>
        <v>0.28674377075296209</v>
      </c>
      <c r="H40" s="530">
        <f t="shared" si="0"/>
        <v>8.0655820768066377E-2</v>
      </c>
    </row>
    <row r="41" spans="2:10" ht="33.5">
      <c r="B41" s="311" t="s">
        <v>79</v>
      </c>
      <c r="C41" s="526"/>
      <c r="D41" s="313">
        <v>4.5910167522056927E-2</v>
      </c>
      <c r="E41" s="313">
        <v>4.7043116699865495E-2</v>
      </c>
      <c r="F41" s="313">
        <v>6.5436840449000944E-2</v>
      </c>
      <c r="G41" s="313">
        <f>+VLOOKUP(TableA3!B41,TableC4d!B:P,10,0)</f>
        <v>0.11842202609107352</v>
      </c>
      <c r="H41" s="530">
        <f>G41-D41</f>
        <v>7.2511858569016596E-2</v>
      </c>
    </row>
    <row r="42" spans="2:10" ht="33.5">
      <c r="B42" s="311" t="s">
        <v>80</v>
      </c>
      <c r="C42" s="526"/>
      <c r="D42" s="313">
        <v>8.8770895075767825E-2</v>
      </c>
      <c r="E42" s="313">
        <v>8.6895502683355497E-2</v>
      </c>
      <c r="F42" s="313">
        <v>0.1149766750058083</v>
      </c>
      <c r="G42" s="313">
        <f>+VLOOKUP(TableA3!B42,TableC4d!B:P,10,0)</f>
        <v>0.12329830501423332</v>
      </c>
      <c r="H42" s="530">
        <f>G42-D42</f>
        <v>3.4527409938465495E-2</v>
      </c>
    </row>
    <row r="43" spans="2:10" ht="33.5">
      <c r="B43" s="311" t="s">
        <v>45</v>
      </c>
      <c r="C43" s="526">
        <v>8.7746373397239688E-2</v>
      </c>
      <c r="D43" s="313">
        <v>4.5959234214588959E-2</v>
      </c>
      <c r="E43" s="313">
        <v>4.8820236674130865E-2</v>
      </c>
      <c r="F43" s="313">
        <v>6.2705117563161314E-2</v>
      </c>
      <c r="G43" s="313">
        <f>+VLOOKUP(TableA3!B43,TableC4d!B:P,10,0)</f>
        <v>5.5699768396038747E-2</v>
      </c>
      <c r="H43" s="530">
        <f t="shared" si="0"/>
        <v>-3.2046605001200941E-2</v>
      </c>
    </row>
    <row r="44" spans="2:10" ht="33.5">
      <c r="B44" s="311" t="s">
        <v>81</v>
      </c>
      <c r="C44" s="526"/>
      <c r="D44" s="313">
        <v>5.6804025552309491E-2</v>
      </c>
      <c r="E44" s="313">
        <v>5.824683496382177E-2</v>
      </c>
      <c r="F44" s="313">
        <v>6.0974717294271508E-2</v>
      </c>
      <c r="G44" s="313">
        <f>+VLOOKUP(TableA3!B44,TableC4d!B:P,10,0)</f>
        <v>6.4102658069863566E-2</v>
      </c>
      <c r="H44" s="530">
        <f>G44-D44</f>
        <v>7.2986325175540753E-3</v>
      </c>
    </row>
    <row r="45" spans="2:10" ht="33.5">
      <c r="B45" s="311" t="s">
        <v>82</v>
      </c>
      <c r="C45" s="526"/>
      <c r="D45" s="313">
        <v>0.25711852447779115</v>
      </c>
      <c r="E45" s="313">
        <v>0.18485492047843474</v>
      </c>
      <c r="F45" s="313">
        <v>0.25251943569943869</v>
      </c>
      <c r="G45" s="313">
        <f>+VLOOKUP(TableA3!B45,TableC4d!B:P,10,0)</f>
        <v>0.22677662197381757</v>
      </c>
      <c r="H45" s="530">
        <f>G45-D45</f>
        <v>-3.0341902503973589E-2</v>
      </c>
    </row>
    <row r="46" spans="2:10" ht="33.5">
      <c r="B46" s="311" t="s">
        <v>46</v>
      </c>
      <c r="C46" s="526">
        <v>5.640790843651218E-2</v>
      </c>
      <c r="D46" s="313">
        <v>6.199448946601567E-2</v>
      </c>
      <c r="E46" s="313">
        <v>4.8753134522671999E-2</v>
      </c>
      <c r="F46" s="313">
        <v>5.4031855017291776E-2</v>
      </c>
      <c r="G46" s="313">
        <f>+VLOOKUP(TableA3!B46,TableC4d!B:P,10,0)</f>
        <v>5.0832713065595038E-2</v>
      </c>
      <c r="H46" s="530">
        <f t="shared" si="0"/>
        <v>-5.5751953709171423E-3</v>
      </c>
    </row>
    <row r="47" spans="2:10" ht="33.5">
      <c r="B47" s="311" t="s">
        <v>45</v>
      </c>
      <c r="C47" s="526">
        <v>6.0818162944512984E-2</v>
      </c>
      <c r="D47" s="313">
        <v>6.9288625315652164E-2</v>
      </c>
      <c r="E47" s="313">
        <v>4.8820236674130865E-2</v>
      </c>
      <c r="F47" s="313">
        <v>6.2705117563161314E-2</v>
      </c>
      <c r="G47" s="313">
        <f>+VLOOKUP(TableA3!B47,TableC4d!B:P,10,0)</f>
        <v>5.5699768396038747E-2</v>
      </c>
      <c r="H47" s="530">
        <f t="shared" si="0"/>
        <v>-5.1183945484742366E-3</v>
      </c>
    </row>
    <row r="48" spans="2:10" ht="33.5">
      <c r="B48" s="311" t="s">
        <v>39</v>
      </c>
      <c r="C48" s="526">
        <v>7.0004884806695672E-2</v>
      </c>
      <c r="D48" s="313">
        <v>6.9288625315652164E-2</v>
      </c>
      <c r="E48" s="313">
        <v>7.5515786324574147E-2</v>
      </c>
      <c r="F48" s="313">
        <v>0.10227173352876283</v>
      </c>
      <c r="G48" s="313">
        <f>+VLOOKUP(TableA3!B48,TableC4d!B:P,10,0)</f>
        <v>0.11642695001396279</v>
      </c>
      <c r="H48" s="530">
        <f t="shared" si="0"/>
        <v>4.6422065207267119E-2</v>
      </c>
    </row>
    <row r="49" spans="2:8" ht="33.5">
      <c r="B49" s="311" t="s">
        <v>83</v>
      </c>
      <c r="C49" s="526"/>
      <c r="D49" s="313">
        <v>5.9171316426134005E-2</v>
      </c>
      <c r="E49" s="313">
        <v>7.4295502678128802E-2</v>
      </c>
      <c r="F49" s="313">
        <v>8.3299565208812321E-2</v>
      </c>
      <c r="G49" s="313">
        <f>+VLOOKUP(TableA3!B49,TableC4d!B:P,10,0)</f>
        <v>8.2348642592232679E-2</v>
      </c>
      <c r="H49" s="530">
        <f>G49-D49</f>
        <v>2.3177326166098675E-2</v>
      </c>
    </row>
    <row r="50" spans="2:8" ht="33.5">
      <c r="B50" s="311" t="s">
        <v>84</v>
      </c>
      <c r="C50" s="526"/>
      <c r="D50" s="313">
        <v>0.17087743040128819</v>
      </c>
      <c r="E50" s="313">
        <v>0.14539543886970191</v>
      </c>
      <c r="F50" s="313">
        <v>0.22498535217894447</v>
      </c>
      <c r="G50" s="313">
        <f>+VLOOKUP(TableA3!B50,TableC4d!B:P,10,0)</f>
        <v>0.2312767568248624</v>
      </c>
      <c r="H50" s="530">
        <f>G50-D50</f>
        <v>6.0399326423574207E-2</v>
      </c>
    </row>
    <row r="51" spans="2:8" ht="34" thickBot="1">
      <c r="B51" s="314" t="s">
        <v>85</v>
      </c>
      <c r="C51" s="528"/>
      <c r="D51" s="527">
        <v>0.16764289617509134</v>
      </c>
      <c r="E51" s="527">
        <v>0.15225982035564478</v>
      </c>
      <c r="F51" s="527">
        <v>0.16462913351840691</v>
      </c>
      <c r="G51" s="527">
        <f>+VLOOKUP(TableA3!B51,TableC4d!B:P,10,0)</f>
        <v>0.17621746192576157</v>
      </c>
      <c r="H51" s="527">
        <f>G51-D51</f>
        <v>8.5745657506702266E-3</v>
      </c>
    </row>
    <row r="52" spans="2:8" ht="16" thickTop="1"/>
    <row r="54" spans="2:8">
      <c r="B54" s="777" t="s">
        <v>458</v>
      </c>
      <c r="C54" s="778"/>
      <c r="D54" s="778"/>
      <c r="E54" s="778"/>
      <c r="F54" s="778"/>
      <c r="G54" s="778"/>
      <c r="H54" s="779"/>
    </row>
    <row r="55" spans="2:8">
      <c r="B55" s="780"/>
      <c r="C55" s="781"/>
      <c r="D55" s="781"/>
      <c r="E55" s="781"/>
      <c r="F55" s="781"/>
      <c r="G55" s="781"/>
      <c r="H55" s="782"/>
    </row>
    <row r="56" spans="2:8">
      <c r="B56" s="780"/>
      <c r="C56" s="781"/>
      <c r="D56" s="781"/>
      <c r="E56" s="781"/>
      <c r="F56" s="781"/>
      <c r="G56" s="781"/>
      <c r="H56" s="782"/>
    </row>
    <row r="57" spans="2:8">
      <c r="B57" s="783"/>
      <c r="C57" s="784"/>
      <c r="D57" s="784"/>
      <c r="E57" s="784"/>
      <c r="F57" s="784"/>
      <c r="G57" s="784"/>
      <c r="H57" s="785"/>
    </row>
  </sheetData>
  <mergeCells count="3">
    <mergeCell ref="B4:H4"/>
    <mergeCell ref="B2:H2"/>
    <mergeCell ref="B54:H57"/>
  </mergeCells>
  <printOptions horizontalCentered="1"/>
  <pageMargins left="0.25" right="0.25" top="0.75" bottom="0.75" header="0.3" footer="0.3"/>
  <pageSetup scale="25" orientation="portrait" horizontalDpi="4294967292" vertic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sheetPr>
  <dimension ref="B1:F15"/>
  <sheetViews>
    <sheetView workbookViewId="0">
      <selection activeCell="C2" sqref="C2"/>
    </sheetView>
  </sheetViews>
  <sheetFormatPr defaultColWidth="10.1796875" defaultRowHeight="15.5"/>
  <cols>
    <col min="1" max="16384" width="10.1796875" style="423"/>
  </cols>
  <sheetData>
    <row r="1" spans="2:6">
      <c r="C1" s="423" t="s">
        <v>913</v>
      </c>
    </row>
    <row r="2" spans="2:6">
      <c r="B2" s="423" t="s">
        <v>143</v>
      </c>
    </row>
    <row r="4" spans="2:6">
      <c r="C4" s="423" t="s">
        <v>51</v>
      </c>
    </row>
    <row r="5" spans="2:6" s="669" customFormat="1" ht="108.5">
      <c r="C5" s="669" t="s">
        <v>144</v>
      </c>
      <c r="D5" s="669" t="s">
        <v>716</v>
      </c>
      <c r="E5" s="669" t="s">
        <v>146</v>
      </c>
      <c r="F5" s="669" t="s">
        <v>145</v>
      </c>
    </row>
    <row r="6" spans="2:6">
      <c r="B6" s="423" t="s">
        <v>147</v>
      </c>
      <c r="C6" s="321">
        <f>+[3]TableF3!D6</f>
        <v>1.0425330907353418E-2</v>
      </c>
      <c r="E6" s="321">
        <f>+$E$10*F6/$F$10</f>
        <v>7.4985027297472237E-2</v>
      </c>
      <c r="F6" s="424">
        <v>5.4183261001233426E-2</v>
      </c>
    </row>
    <row r="7" spans="2:6">
      <c r="B7" s="423" t="s">
        <v>148</v>
      </c>
      <c r="C7" s="321">
        <f>+[3]TableF3!D7</f>
        <v>1.1057169144162717E-2</v>
      </c>
      <c r="E7" s="321">
        <f>+$E$10*F7/$F$10</f>
        <v>0.1643517542147104</v>
      </c>
      <c r="F7" s="424">
        <v>0.11875856174991901</v>
      </c>
    </row>
    <row r="8" spans="2:6">
      <c r="B8" s="423" t="s">
        <v>149</v>
      </c>
      <c r="C8" s="321">
        <f>+[3]TableF3!D8</f>
        <v>1.8323308867469645E-2</v>
      </c>
      <c r="E8" s="321">
        <f>+$E$10*F8/$F$10</f>
        <v>0.16896149745743247</v>
      </c>
      <c r="F8" s="424">
        <v>0.12208950567660745</v>
      </c>
    </row>
    <row r="9" spans="2:6">
      <c r="B9" s="423" t="s">
        <v>150</v>
      </c>
      <c r="C9" s="321">
        <f>+[3]TableF3!D9</f>
        <v>2.0218823577897539E-2</v>
      </c>
      <c r="E9" s="321">
        <f>+$E$10*F9/$F$10</f>
        <v>0.16912231665600472</v>
      </c>
      <c r="F9" s="424">
        <v>0.12220571165697844</v>
      </c>
    </row>
    <row r="10" spans="2:6">
      <c r="B10" s="423" t="s">
        <v>151</v>
      </c>
      <c r="C10" s="670">
        <f>+[3]TableF3!D10</f>
        <v>3.5067022142916043E-2</v>
      </c>
      <c r="E10" s="321">
        <f>+AVERAGE(DataF3!D5:D9)</f>
        <v>0.14400040464511066</v>
      </c>
      <c r="F10" s="424">
        <v>0.10405292616906572</v>
      </c>
    </row>
    <row r="11" spans="2:6">
      <c r="B11" s="423" t="s">
        <v>152</v>
      </c>
      <c r="C11" s="321">
        <f>+AVERAGE(DataF3!B10:B19)</f>
        <v>6.2135247922709726E-2</v>
      </c>
      <c r="E11" s="321">
        <f>+AVERAGE(DataF3!D10:D19)</f>
        <v>0.15333686202469374</v>
      </c>
    </row>
    <row r="12" spans="2:6">
      <c r="B12" s="423" t="s">
        <v>153</v>
      </c>
      <c r="C12" s="321">
        <f>+AVERAGE(DataF3!B20:B29)</f>
        <v>6.0251517832543809E-2</v>
      </c>
      <c r="E12" s="321">
        <f>+AVERAGE(DataF3!D20:D29)</f>
        <v>0.16208177287530798</v>
      </c>
    </row>
    <row r="13" spans="2:6">
      <c r="B13" s="423" t="s">
        <v>154</v>
      </c>
      <c r="C13" s="321">
        <f>+AVERAGE(DataF3!B30:B39)</f>
        <v>0.12580707992438631</v>
      </c>
      <c r="E13" s="321">
        <f>+AVERAGE(DataF3!D30:D39)</f>
        <v>0.17428607900178558</v>
      </c>
    </row>
    <row r="14" spans="2:6">
      <c r="B14" s="423" t="s">
        <v>155</v>
      </c>
      <c r="C14" s="321">
        <f>AVERAGE(DataF3!B40:B45)</f>
        <v>0.15098080235395681</v>
      </c>
      <c r="E14" s="321">
        <f>+AVERAGE(DataF3!D40:D45)</f>
        <v>0.18329212546645368</v>
      </c>
    </row>
    <row r="15" spans="2:6">
      <c r="B15" s="423" t="s">
        <v>156</v>
      </c>
      <c r="C15" s="424">
        <f>AVERAGE(DataF3!B46:B49)</f>
        <v>0.16767996329062376</v>
      </c>
      <c r="E15" s="424">
        <f>AVERAGE(DataF3!D46:D49)</f>
        <v>0.19358576211009798</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1"/>
  </sheetPr>
  <dimension ref="A1"/>
  <sheetViews>
    <sheetView workbookViewId="0">
      <selection activeCell="S24" sqref="S24"/>
    </sheetView>
  </sheetViews>
  <sheetFormatPr defaultColWidth="8.81640625" defaultRowHeight="15.5"/>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pageSetUpPr fitToPage="1"/>
  </sheetPr>
  <dimension ref="A2:BB89"/>
  <sheetViews>
    <sheetView workbookViewId="0">
      <pane xSplit="1" ySplit="9" topLeftCell="J26" activePane="bottomRight" state="frozen"/>
      <selection activeCell="Z81" sqref="Z81"/>
      <selection pane="topRight" activeCell="Z81" sqref="Z81"/>
      <selection pane="bottomLeft" activeCell="Z81" sqref="Z81"/>
      <selection pane="bottomRight" activeCell="Z81" sqref="Z81"/>
    </sheetView>
  </sheetViews>
  <sheetFormatPr defaultColWidth="11" defaultRowHeight="15.5"/>
  <cols>
    <col min="1" max="1" width="19.1796875" style="368" customWidth="1"/>
    <col min="2" max="8" width="11.453125" style="368" customWidth="1"/>
    <col min="9" max="9" width="10.81640625" style="368" customWidth="1"/>
    <col min="10" max="16" width="11" style="368"/>
    <col min="17" max="17" width="11.1796875" style="368" bestFit="1" customWidth="1"/>
    <col min="18" max="23" width="11.1796875" style="368" customWidth="1"/>
    <col min="24" max="24" width="11" style="368"/>
    <col min="25" max="25" width="11.1796875" style="368" bestFit="1" customWidth="1"/>
    <col min="26" max="27" width="11.1796875" style="368" customWidth="1"/>
    <col min="28" max="29" width="11.1796875" style="368" bestFit="1" customWidth="1"/>
    <col min="30" max="31" width="11" style="368"/>
    <col min="32" max="33" width="11.1796875" style="368" bestFit="1" customWidth="1"/>
    <col min="34" max="35" width="11.1796875" style="368" customWidth="1"/>
    <col min="36" max="16384" width="11" style="368"/>
  </cols>
  <sheetData>
    <row r="2" spans="1:54" ht="16" thickBot="1"/>
    <row r="3" spans="1:54" ht="32" customHeight="1" thickTop="1">
      <c r="A3" s="797" t="s">
        <v>620</v>
      </c>
      <c r="B3" s="798"/>
      <c r="C3" s="798"/>
      <c r="D3" s="798"/>
      <c r="E3" s="798"/>
      <c r="F3" s="798"/>
      <c r="G3" s="798"/>
      <c r="H3" s="798"/>
      <c r="I3" s="798"/>
      <c r="J3" s="798"/>
      <c r="K3" s="798"/>
      <c r="L3" s="798"/>
      <c r="M3" s="798"/>
      <c r="N3" s="798"/>
      <c r="O3" s="798"/>
      <c r="P3" s="799"/>
      <c r="S3" s="675"/>
      <c r="T3" s="676"/>
      <c r="U3" s="676"/>
      <c r="V3" s="676"/>
      <c r="W3" s="676"/>
      <c r="X3" s="676"/>
      <c r="Y3" s="676"/>
      <c r="Z3" s="677"/>
    </row>
    <row r="4" spans="1:54" ht="12" customHeight="1">
      <c r="A4" s="369"/>
      <c r="B4" s="370"/>
      <c r="C4" s="370"/>
      <c r="D4" s="370"/>
      <c r="E4" s="370"/>
      <c r="F4" s="370"/>
      <c r="G4" s="370"/>
      <c r="P4" s="371"/>
      <c r="S4" s="372"/>
      <c r="Z4" s="371"/>
    </row>
    <row r="5" spans="1:54">
      <c r="A5" s="372"/>
      <c r="B5" s="373" t="s">
        <v>49</v>
      </c>
      <c r="C5" s="373" t="s">
        <v>50</v>
      </c>
      <c r="D5" s="373" t="s">
        <v>51</v>
      </c>
      <c r="E5" s="373" t="s">
        <v>52</v>
      </c>
      <c r="F5" s="373" t="s">
        <v>53</v>
      </c>
      <c r="G5" s="373" t="s">
        <v>54</v>
      </c>
      <c r="H5" s="373" t="s">
        <v>55</v>
      </c>
      <c r="I5" s="373" t="s">
        <v>56</v>
      </c>
      <c r="J5" s="373" t="s">
        <v>57</v>
      </c>
      <c r="K5" s="373" t="s">
        <v>58</v>
      </c>
      <c r="L5" s="374" t="s">
        <v>59</v>
      </c>
      <c r="M5" s="373" t="s">
        <v>60</v>
      </c>
      <c r="N5" s="373" t="s">
        <v>61</v>
      </c>
      <c r="O5" s="374" t="s">
        <v>62</v>
      </c>
      <c r="P5" s="375" t="s">
        <v>63</v>
      </c>
      <c r="S5" s="372"/>
      <c r="Z5" s="371"/>
    </row>
    <row r="6" spans="1:54" ht="21" customHeight="1" thickBot="1">
      <c r="A6" s="372"/>
      <c r="B6" s="800" t="s">
        <v>64</v>
      </c>
      <c r="C6" s="801"/>
      <c r="D6" s="801"/>
      <c r="E6" s="801"/>
      <c r="F6" s="801"/>
      <c r="G6" s="801"/>
      <c r="H6" s="800" t="s">
        <v>65</v>
      </c>
      <c r="I6" s="801"/>
      <c r="J6" s="801"/>
      <c r="K6" s="801"/>
      <c r="L6" s="801"/>
      <c r="M6" s="801"/>
      <c r="N6" s="801"/>
      <c r="O6" s="802" t="s">
        <v>605</v>
      </c>
      <c r="P6" s="805" t="s">
        <v>66</v>
      </c>
      <c r="S6" s="791" t="s">
        <v>891</v>
      </c>
      <c r="T6" s="792"/>
      <c r="U6" s="792"/>
      <c r="V6" s="792"/>
      <c r="W6" s="792"/>
      <c r="X6" s="792"/>
      <c r="Y6" s="792"/>
      <c r="Z6" s="793"/>
    </row>
    <row r="7" spans="1:54" ht="21" customHeight="1">
      <c r="A7" s="372"/>
      <c r="B7" s="808" t="s">
        <v>67</v>
      </c>
      <c r="C7" s="809"/>
      <c r="D7" s="809"/>
      <c r="E7" s="809"/>
      <c r="F7" s="809"/>
      <c r="G7" s="809"/>
      <c r="H7" s="808" t="s">
        <v>67</v>
      </c>
      <c r="I7" s="809"/>
      <c r="J7" s="809"/>
      <c r="K7" s="809"/>
      <c r="L7" s="809"/>
      <c r="M7" s="809"/>
      <c r="N7" s="809"/>
      <c r="O7" s="803"/>
      <c r="P7" s="806"/>
      <c r="S7" s="786" t="s">
        <v>895</v>
      </c>
      <c r="T7" s="787"/>
      <c r="U7" s="787"/>
      <c r="V7" s="813" t="s">
        <v>899</v>
      </c>
      <c r="W7" s="787"/>
      <c r="X7" s="787"/>
      <c r="Y7" s="787"/>
      <c r="Z7" s="814"/>
    </row>
    <row r="8" spans="1:54" ht="85" customHeight="1">
      <c r="A8" s="372"/>
      <c r="B8" s="810" t="s">
        <v>68</v>
      </c>
      <c r="C8" s="376" t="s">
        <v>20</v>
      </c>
      <c r="D8" s="377" t="s">
        <v>69</v>
      </c>
      <c r="E8" s="376" t="s">
        <v>21</v>
      </c>
      <c r="F8" s="377" t="s">
        <v>70</v>
      </c>
      <c r="G8" s="376" t="s">
        <v>22</v>
      </c>
      <c r="H8" s="810" t="s">
        <v>71</v>
      </c>
      <c r="I8" s="376" t="s">
        <v>20</v>
      </c>
      <c r="J8" s="377" t="s">
        <v>69</v>
      </c>
      <c r="K8" s="377" t="s">
        <v>21</v>
      </c>
      <c r="L8" s="377" t="s">
        <v>70</v>
      </c>
      <c r="M8" s="376" t="s">
        <v>22</v>
      </c>
      <c r="N8" s="378" t="s">
        <v>18</v>
      </c>
      <c r="O8" s="803"/>
      <c r="P8" s="806"/>
      <c r="S8" s="816" t="s">
        <v>896</v>
      </c>
      <c r="T8" s="815" t="s">
        <v>898</v>
      </c>
      <c r="U8" s="788" t="s">
        <v>888</v>
      </c>
      <c r="V8" s="789" t="s">
        <v>889</v>
      </c>
      <c r="W8" s="790" t="s">
        <v>896</v>
      </c>
      <c r="X8" s="788" t="s">
        <v>897</v>
      </c>
      <c r="Y8" s="788" t="s">
        <v>892</v>
      </c>
      <c r="Z8" s="812" t="s">
        <v>890</v>
      </c>
      <c r="AH8" s="522"/>
      <c r="AI8" s="522"/>
      <c r="AJ8" s="522"/>
      <c r="BA8" s="522"/>
      <c r="BB8" s="522"/>
    </row>
    <row r="9" spans="1:54" ht="33" customHeight="1">
      <c r="A9" s="372"/>
      <c r="B9" s="811"/>
      <c r="C9" s="379"/>
      <c r="D9" s="379"/>
      <c r="E9" s="379"/>
      <c r="F9" s="379"/>
      <c r="G9" s="379"/>
      <c r="H9" s="811"/>
      <c r="I9" s="380"/>
      <c r="J9" s="381"/>
      <c r="K9" s="381"/>
      <c r="L9" s="381"/>
      <c r="M9" s="381"/>
      <c r="N9" s="380"/>
      <c r="O9" s="804"/>
      <c r="P9" s="807"/>
      <c r="S9" s="816"/>
      <c r="T9" s="815"/>
      <c r="U9" s="788"/>
      <c r="V9" s="789"/>
      <c r="W9" s="790"/>
      <c r="X9" s="788"/>
      <c r="Y9" s="788"/>
      <c r="Z9" s="812"/>
      <c r="AJ9" s="522"/>
      <c r="BA9" s="522"/>
      <c r="BB9" s="522"/>
    </row>
    <row r="10" spans="1:54" ht="14" hidden="1" customHeight="1">
      <c r="A10" s="382">
        <v>1966</v>
      </c>
      <c r="B10" s="383">
        <v>3.3040656503871023E-2</v>
      </c>
      <c r="C10" s="384">
        <v>1.898637424880497E-3</v>
      </c>
      <c r="D10" s="384">
        <v>5.6880975747719519E-3</v>
      </c>
      <c r="E10" s="384">
        <v>1.2101307127591675E-2</v>
      </c>
      <c r="F10" s="384">
        <v>1.2953765629503422E-2</v>
      </c>
      <c r="G10" s="384">
        <v>3.9884874712347288E-4</v>
      </c>
      <c r="H10" s="383">
        <f t="shared" ref="H10:H25" si="0">I10+J10+K10+L10+M10+N10</f>
        <v>3.8162096190127621E-2</v>
      </c>
      <c r="I10" s="385">
        <f t="shared" ref="I10:I25" si="1">C10*$O10/($O10+$P10)</f>
        <v>1.8885814105061617E-3</v>
      </c>
      <c r="J10" s="385">
        <f t="shared" ref="J10:J25" si="2">D10*$O10/($O10+$P10)</f>
        <v>5.65797092171805E-3</v>
      </c>
      <c r="K10" s="385">
        <f t="shared" ref="K10:K25" si="3">E10*$O10/($O10+$P10)</f>
        <v>1.2037213311242844E-2</v>
      </c>
      <c r="L10" s="385">
        <f t="shared" ref="L10:L25" si="4">F10*$O10/($O10+$P10)</f>
        <v>1.2885156820014556E-2</v>
      </c>
      <c r="M10" s="385">
        <f t="shared" ref="M10:M25" si="5">G10*$O10/($O10+$P10)</f>
        <v>3.9673626967954401E-4</v>
      </c>
      <c r="N10" s="385">
        <f t="shared" ref="N10:N25" si="6">P10/(P10+O10)</f>
        <v>5.2964374569664631E-3</v>
      </c>
      <c r="O10" s="386">
        <v>9.4228154727834763</v>
      </c>
      <c r="P10" s="387">
        <v>5.0173091461079823E-2</v>
      </c>
      <c r="Q10" s="388">
        <f t="shared" ref="Q10:Q25" si="7">B10-C10-D10-E10-F10-G10</f>
        <v>3.3068166260807885E-18</v>
      </c>
      <c r="R10" s="388"/>
      <c r="S10" s="678"/>
      <c r="T10" s="388"/>
      <c r="U10" s="388"/>
      <c r="V10" s="693"/>
      <c r="W10" s="388"/>
      <c r="Y10" s="389"/>
      <c r="Z10" s="679"/>
      <c r="AA10" s="389"/>
    </row>
    <row r="11" spans="1:54" ht="14" hidden="1" customHeight="1">
      <c r="A11" s="390">
        <v>1967</v>
      </c>
      <c r="B11" s="391">
        <v>3.619953501609862E-2</v>
      </c>
      <c r="C11" s="392">
        <v>2.5292380756968959E-3</v>
      </c>
      <c r="D11" s="392">
        <v>6.7474486434360419E-3</v>
      </c>
      <c r="E11" s="392">
        <v>1.2981742301347356E-2</v>
      </c>
      <c r="F11" s="392">
        <v>1.3311776880172913E-2</v>
      </c>
      <c r="G11" s="392">
        <v>6.2932911544540441E-4</v>
      </c>
      <c r="H11" s="391">
        <f t="shared" si="0"/>
        <v>4.1739457176158845E-2</v>
      </c>
      <c r="I11" s="393">
        <f t="shared" si="1"/>
        <v>2.5147000228813105E-3</v>
      </c>
      <c r="J11" s="393">
        <f t="shared" si="2"/>
        <v>6.7086643290247966E-3</v>
      </c>
      <c r="K11" s="393">
        <f t="shared" si="3"/>
        <v>1.2907123285830874E-2</v>
      </c>
      <c r="L11" s="393">
        <f t="shared" si="4"/>
        <v>1.3235260826894728E-2</v>
      </c>
      <c r="M11" s="393">
        <f t="shared" si="5"/>
        <v>6.2571173359169741E-4</v>
      </c>
      <c r="N11" s="393">
        <f t="shared" si="6"/>
        <v>5.7479969779354358E-3</v>
      </c>
      <c r="O11" s="394">
        <v>10.244990314210032</v>
      </c>
      <c r="P11" s="395">
        <v>5.9228619289741803E-2</v>
      </c>
      <c r="Q11" s="388">
        <f t="shared" si="7"/>
        <v>7.1557343384043293E-18</v>
      </c>
      <c r="R11" s="388"/>
      <c r="S11" s="678"/>
      <c r="T11" s="388"/>
      <c r="U11" s="388"/>
      <c r="V11" s="693"/>
      <c r="W11" s="388"/>
      <c r="Y11" s="389"/>
      <c r="Z11" s="679"/>
      <c r="AA11" s="389"/>
    </row>
    <row r="12" spans="1:54" ht="14" hidden="1" customHeight="1">
      <c r="A12" s="390">
        <v>1968</v>
      </c>
      <c r="B12" s="391">
        <v>3.5579051424552213E-2</v>
      </c>
      <c r="C12" s="392">
        <v>1.6850844632500005E-3</v>
      </c>
      <c r="D12" s="392">
        <v>4.6494211014773898E-3</v>
      </c>
      <c r="E12" s="392">
        <v>1.4264690140101462E-2</v>
      </c>
      <c r="F12" s="392">
        <v>1.409833513667574E-2</v>
      </c>
      <c r="G12" s="392">
        <v>8.8152058304761865E-4</v>
      </c>
      <c r="H12" s="391">
        <f t="shared" si="0"/>
        <v>4.107391210916362E-2</v>
      </c>
      <c r="I12" s="393">
        <f t="shared" si="1"/>
        <v>1.6754835681418645E-3</v>
      </c>
      <c r="J12" s="393">
        <f t="shared" si="2"/>
        <v>4.6229306760522185E-3</v>
      </c>
      <c r="K12" s="393">
        <f t="shared" si="3"/>
        <v>1.418341599819819E-2</v>
      </c>
      <c r="L12" s="393">
        <f t="shared" si="4"/>
        <v>1.4018008814880859E-2</v>
      </c>
      <c r="M12" s="393">
        <f t="shared" si="5"/>
        <v>8.7649805341300326E-4</v>
      </c>
      <c r="N12" s="393">
        <f t="shared" si="6"/>
        <v>5.6975749984774782E-3</v>
      </c>
      <c r="O12" s="394">
        <v>11.682860923865118</v>
      </c>
      <c r="P12" s="395">
        <v>6.6945402763552014E-2</v>
      </c>
      <c r="Q12" s="388">
        <f t="shared" si="7"/>
        <v>5.6378512969246231E-18</v>
      </c>
      <c r="R12" s="388"/>
      <c r="S12" s="678"/>
      <c r="T12" s="388"/>
      <c r="U12" s="388"/>
      <c r="V12" s="693"/>
      <c r="W12" s="388"/>
      <c r="Y12" s="389"/>
      <c r="Z12" s="679"/>
      <c r="AA12" s="389"/>
    </row>
    <row r="13" spans="1:54" ht="14" hidden="1" customHeight="1">
      <c r="A13" s="396">
        <v>1969</v>
      </c>
      <c r="B13" s="397">
        <v>3.7168831829668146E-2</v>
      </c>
      <c r="C13" s="398">
        <v>1.6841489799379963E-3</v>
      </c>
      <c r="D13" s="398">
        <v>4.621053804767951E-3</v>
      </c>
      <c r="E13" s="398">
        <v>1.5195924133777124E-2</v>
      </c>
      <c r="F13" s="398">
        <v>1.4552992943769738E-2</v>
      </c>
      <c r="G13" s="398">
        <v>1.1147119674153408E-3</v>
      </c>
      <c r="H13" s="397">
        <f t="shared" si="0"/>
        <v>4.288913133228664E-2</v>
      </c>
      <c r="I13" s="399">
        <f t="shared" si="1"/>
        <v>1.6741432417662855E-3</v>
      </c>
      <c r="J13" s="399">
        <f t="shared" si="2"/>
        <v>4.5935995504242542E-3</v>
      </c>
      <c r="K13" s="399">
        <f t="shared" si="3"/>
        <v>1.5105643261971263E-2</v>
      </c>
      <c r="L13" s="399">
        <f t="shared" si="4"/>
        <v>1.4466531805981635E-2</v>
      </c>
      <c r="M13" s="399">
        <f t="shared" si="5"/>
        <v>1.1080893252288751E-3</v>
      </c>
      <c r="N13" s="399">
        <f t="shared" si="6"/>
        <v>5.9411241469143287E-3</v>
      </c>
      <c r="O13" s="400">
        <v>13.434163832120014</v>
      </c>
      <c r="P13" s="401">
        <v>8.029105425784383E-2</v>
      </c>
      <c r="Q13" s="388">
        <f t="shared" si="7"/>
        <v>-2.8189256484623115E-18</v>
      </c>
      <c r="R13" s="388"/>
      <c r="S13" s="678"/>
      <c r="T13" s="388"/>
      <c r="U13" s="388"/>
      <c r="V13" s="693"/>
      <c r="W13" s="388"/>
      <c r="Y13" s="389"/>
      <c r="Z13" s="679"/>
      <c r="AA13" s="389"/>
    </row>
    <row r="14" spans="1:54" ht="14" hidden="1" customHeight="1">
      <c r="A14" s="402">
        <v>1970</v>
      </c>
      <c r="B14" s="403">
        <v>4.7872629542884619E-2</v>
      </c>
      <c r="C14" s="404">
        <v>4.3901504668719549E-3</v>
      </c>
      <c r="D14" s="404">
        <v>1.1349787357197525E-2</v>
      </c>
      <c r="E14" s="404">
        <v>1.5940051003780015E-2</v>
      </c>
      <c r="F14" s="404">
        <v>1.4861916465841916E-2</v>
      </c>
      <c r="G14" s="404">
        <v>1.3307242491931988E-3</v>
      </c>
      <c r="H14" s="403">
        <f t="shared" si="0"/>
        <v>5.4978519381143988E-2</v>
      </c>
      <c r="I14" s="405">
        <f t="shared" si="1"/>
        <v>4.3573860211066811E-3</v>
      </c>
      <c r="J14" s="405">
        <f t="shared" si="2"/>
        <v>1.1265081947868525E-2</v>
      </c>
      <c r="K14" s="405">
        <f t="shared" si="3"/>
        <v>1.5821087669709789E-2</v>
      </c>
      <c r="L14" s="405">
        <f t="shared" si="4"/>
        <v>1.4750999434708797E-2</v>
      </c>
      <c r="M14" s="405">
        <f t="shared" si="5"/>
        <v>1.3207928259264489E-3</v>
      </c>
      <c r="N14" s="405">
        <f t="shared" si="6"/>
        <v>7.4631714818237495E-3</v>
      </c>
      <c r="O14" s="406">
        <v>14.508208982900875</v>
      </c>
      <c r="P14" s="407">
        <v>0.10909141950448248</v>
      </c>
      <c r="Q14" s="388">
        <f t="shared" si="7"/>
        <v>7.3725747729014302E-18</v>
      </c>
      <c r="R14" s="388"/>
      <c r="S14" s="678"/>
      <c r="T14" s="388"/>
      <c r="U14" s="388"/>
      <c r="V14" s="693"/>
      <c r="W14" s="388"/>
      <c r="Y14" s="389"/>
      <c r="Z14" s="679"/>
      <c r="AA14" s="389"/>
    </row>
    <row r="15" spans="1:54" ht="14" hidden="1" customHeight="1">
      <c r="A15" s="390">
        <v>1971</v>
      </c>
      <c r="B15" s="391">
        <v>4.8041310617690333E-2</v>
      </c>
      <c r="C15" s="392">
        <v>3.7451690308618378E-3</v>
      </c>
      <c r="D15" s="392">
        <v>9.922438215876692E-3</v>
      </c>
      <c r="E15" s="392">
        <v>1.653669746679988E-2</v>
      </c>
      <c r="F15" s="392">
        <v>1.6886825283613769E-2</v>
      </c>
      <c r="G15" s="392">
        <v>9.5018062053815592E-4</v>
      </c>
      <c r="H15" s="391">
        <f t="shared" si="0"/>
        <v>5.5180847234238557E-2</v>
      </c>
      <c r="I15" s="393">
        <f t="shared" si="1"/>
        <v>3.7170808672374795E-3</v>
      </c>
      <c r="J15" s="393">
        <f t="shared" si="2"/>
        <v>9.8480215297769465E-3</v>
      </c>
      <c r="K15" s="393">
        <f t="shared" si="3"/>
        <v>1.6412674903218256E-2</v>
      </c>
      <c r="L15" s="393">
        <f t="shared" si="4"/>
        <v>1.6760176817882718E-2</v>
      </c>
      <c r="M15" s="393">
        <f t="shared" si="5"/>
        <v>9.4305441915113115E-4</v>
      </c>
      <c r="N15" s="393">
        <f t="shared" si="6"/>
        <v>7.4998386969720252E-3</v>
      </c>
      <c r="O15" s="394">
        <v>18.588267365410385</v>
      </c>
      <c r="P15" s="395">
        <v>0.14046245263450691</v>
      </c>
      <c r="Q15" s="388">
        <f t="shared" si="7"/>
        <v>-1.951563910473908E-18</v>
      </c>
      <c r="R15" s="388"/>
      <c r="S15" s="678"/>
      <c r="T15" s="388"/>
      <c r="U15" s="388"/>
      <c r="V15" s="693"/>
      <c r="W15" s="388"/>
      <c r="Y15" s="389"/>
      <c r="Z15" s="679"/>
      <c r="AA15" s="389"/>
    </row>
    <row r="16" spans="1:54" ht="14" hidden="1" customHeight="1">
      <c r="A16" s="390">
        <v>1972</v>
      </c>
      <c r="B16" s="391">
        <v>4.5857490571448237E-2</v>
      </c>
      <c r="C16" s="392">
        <v>2.6950100809650245E-3</v>
      </c>
      <c r="D16" s="392">
        <v>7.1900952017752403E-3</v>
      </c>
      <c r="E16" s="392">
        <v>1.6112458814536285E-2</v>
      </c>
      <c r="F16" s="392">
        <v>1.6893105932405832E-2</v>
      </c>
      <c r="G16" s="392">
        <v>2.9668205417658572E-3</v>
      </c>
      <c r="H16" s="391">
        <f t="shared" si="0"/>
        <v>5.2671559842204521E-2</v>
      </c>
      <c r="I16" s="393">
        <f t="shared" si="1"/>
        <v>2.6757634954753156E-3</v>
      </c>
      <c r="J16" s="393">
        <f t="shared" si="2"/>
        <v>7.1387466806852699E-3</v>
      </c>
      <c r="K16" s="393">
        <f t="shared" si="3"/>
        <v>1.5997390667588075E-2</v>
      </c>
      <c r="L16" s="393">
        <f t="shared" si="4"/>
        <v>1.6772462744533846E-2</v>
      </c>
      <c r="M16" s="393">
        <f t="shared" si="5"/>
        <v>2.9456328046241565E-3</v>
      </c>
      <c r="N16" s="393">
        <f t="shared" si="6"/>
        <v>7.1415634492978559E-3</v>
      </c>
      <c r="O16" s="394">
        <v>22.297871023862761</v>
      </c>
      <c r="P16" s="395">
        <v>0.16038707517498552</v>
      </c>
      <c r="Q16" s="388">
        <f t="shared" si="7"/>
        <v>-4.3368086899420177E-18</v>
      </c>
      <c r="R16" s="388"/>
      <c r="S16" s="678"/>
      <c r="T16" s="388"/>
      <c r="U16" s="388"/>
      <c r="V16" s="693"/>
      <c r="W16" s="388"/>
      <c r="Y16" s="389"/>
      <c r="Z16" s="679"/>
      <c r="AA16" s="389"/>
    </row>
    <row r="17" spans="1:43" ht="14" hidden="1" customHeight="1">
      <c r="A17" s="390">
        <v>1973</v>
      </c>
      <c r="B17" s="391">
        <v>5.8957352454350805E-2</v>
      </c>
      <c r="C17" s="392">
        <v>4.6483780878436203E-3</v>
      </c>
      <c r="D17" s="392">
        <v>1.2851813221375213E-2</v>
      </c>
      <c r="E17" s="392">
        <v>1.7490885750707012E-2</v>
      </c>
      <c r="F17" s="392">
        <v>1.9648997609632707E-2</v>
      </c>
      <c r="G17" s="392">
        <v>4.3172777847922585E-3</v>
      </c>
      <c r="H17" s="391">
        <f t="shared" si="0"/>
        <v>6.4529578625502265E-2</v>
      </c>
      <c r="I17" s="393">
        <f t="shared" si="1"/>
        <v>4.6208534967934235E-3</v>
      </c>
      <c r="J17" s="393">
        <f t="shared" si="2"/>
        <v>1.2775713365363723E-2</v>
      </c>
      <c r="K17" s="393">
        <f t="shared" si="3"/>
        <v>1.738731640494898E-2</v>
      </c>
      <c r="L17" s="393">
        <f t="shared" si="4"/>
        <v>1.9532649366539957E-2</v>
      </c>
      <c r="M17" s="393">
        <f t="shared" si="5"/>
        <v>4.2917137486422566E-3</v>
      </c>
      <c r="N17" s="393">
        <f t="shared" si="6"/>
        <v>5.9213322432139235E-3</v>
      </c>
      <c r="O17" s="394">
        <v>33.961296166346642</v>
      </c>
      <c r="P17" s="395">
        <v>0.20229396780529896</v>
      </c>
      <c r="Q17" s="388">
        <f t="shared" si="7"/>
        <v>-8.6736173798840355E-18</v>
      </c>
      <c r="R17" s="388"/>
      <c r="S17" s="678"/>
      <c r="T17" s="388"/>
      <c r="U17" s="388"/>
      <c r="V17" s="693"/>
      <c r="W17" s="388"/>
      <c r="Y17" s="389"/>
      <c r="Z17" s="679"/>
      <c r="AA17" s="389"/>
    </row>
    <row r="18" spans="1:43" ht="14" hidden="1" customHeight="1">
      <c r="A18" s="390">
        <v>1974</v>
      </c>
      <c r="B18" s="391">
        <v>5.1899076728985312E-2</v>
      </c>
      <c r="C18" s="392">
        <v>4.6263527159735481E-3</v>
      </c>
      <c r="D18" s="392">
        <v>1.2432364287132833E-2</v>
      </c>
      <c r="E18" s="392">
        <v>1.2665265863785531E-2</v>
      </c>
      <c r="F18" s="392">
        <v>1.8402147726217209E-2</v>
      </c>
      <c r="G18" s="392">
        <v>3.7729461358762006E-3</v>
      </c>
      <c r="H18" s="391">
        <f t="shared" si="0"/>
        <v>5.603566398457889E-2</v>
      </c>
      <c r="I18" s="393">
        <f t="shared" si="1"/>
        <v>4.6061678271974126E-3</v>
      </c>
      <c r="J18" s="393">
        <f t="shared" si="2"/>
        <v>1.2378121581103583E-2</v>
      </c>
      <c r="K18" s="393">
        <f t="shared" si="3"/>
        <v>1.2610007002545224E-2</v>
      </c>
      <c r="L18" s="393">
        <f t="shared" si="4"/>
        <v>1.8321858710679505E-2</v>
      </c>
      <c r="M18" s="393">
        <f t="shared" si="5"/>
        <v>3.756484680646455E-3</v>
      </c>
      <c r="N18" s="393">
        <f t="shared" si="6"/>
        <v>4.3630241824067122E-3</v>
      </c>
      <c r="O18" s="394">
        <v>61.350978805566598</v>
      </c>
      <c r="P18" s="395">
        <v>0.26884879794987498</v>
      </c>
      <c r="Q18" s="388">
        <f t="shared" si="7"/>
        <v>-1.2576745200831851E-17</v>
      </c>
      <c r="R18" s="388"/>
      <c r="S18" s="678"/>
      <c r="T18" s="388"/>
      <c r="U18" s="388"/>
      <c r="V18" s="693"/>
      <c r="W18" s="388"/>
      <c r="Y18" s="389"/>
      <c r="Z18" s="679"/>
      <c r="AA18" s="389"/>
    </row>
    <row r="19" spans="1:43" ht="14" hidden="1" customHeight="1">
      <c r="A19" s="390">
        <v>1975</v>
      </c>
      <c r="B19" s="391">
        <v>5.1837146481650331E-2</v>
      </c>
      <c r="C19" s="392">
        <v>3.4229565668976404E-3</v>
      </c>
      <c r="D19" s="392">
        <v>9.1923484662654077E-3</v>
      </c>
      <c r="E19" s="392">
        <v>1.0897782275265404E-2</v>
      </c>
      <c r="F19" s="392">
        <v>2.4151502504292623E-2</v>
      </c>
      <c r="G19" s="392">
        <v>4.1725566689292557E-3</v>
      </c>
      <c r="H19" s="391">
        <f t="shared" si="0"/>
        <v>5.7027266029947607E-2</v>
      </c>
      <c r="I19" s="393">
        <f t="shared" si="1"/>
        <v>3.4042197499838524E-3</v>
      </c>
      <c r="J19" s="393">
        <f t="shared" si="2"/>
        <v>9.142030752074759E-3</v>
      </c>
      <c r="K19" s="393">
        <f t="shared" si="3"/>
        <v>1.0838129239281066E-2</v>
      </c>
      <c r="L19" s="393">
        <f t="shared" si="4"/>
        <v>2.4019300335853786E-2</v>
      </c>
      <c r="M19" s="393">
        <f t="shared" si="5"/>
        <v>4.1497166390193846E-3</v>
      </c>
      <c r="N19" s="393">
        <f t="shared" si="6"/>
        <v>5.4738693137347614E-3</v>
      </c>
      <c r="O19" s="394">
        <v>58.650392421020527</v>
      </c>
      <c r="P19" s="395">
        <v>0.32281161188835905</v>
      </c>
      <c r="Q19" s="388">
        <f t="shared" si="7"/>
        <v>0</v>
      </c>
      <c r="R19" s="388"/>
      <c r="S19" s="678"/>
      <c r="T19" s="388"/>
      <c r="U19" s="388"/>
      <c r="V19" s="693"/>
      <c r="W19" s="388"/>
      <c r="Y19" s="389"/>
      <c r="Z19" s="679"/>
      <c r="AA19" s="389"/>
    </row>
    <row r="20" spans="1:43" ht="14" hidden="1" customHeight="1">
      <c r="A20" s="390">
        <v>1976</v>
      </c>
      <c r="B20" s="391">
        <v>4.4775937912194405E-2</v>
      </c>
      <c r="C20" s="392">
        <v>3.1938090775673078E-3</v>
      </c>
      <c r="D20" s="392">
        <v>8.6560177785785647E-3</v>
      </c>
      <c r="E20" s="392">
        <v>8.5150864965612364E-3</v>
      </c>
      <c r="F20" s="392">
        <v>2.1721506611042881E-2</v>
      </c>
      <c r="G20" s="392">
        <v>2.6895179484444183E-3</v>
      </c>
      <c r="H20" s="391">
        <f t="shared" si="0"/>
        <v>5.0436454927728996E-2</v>
      </c>
      <c r="I20" s="393">
        <f t="shared" si="1"/>
        <v>3.1748830356620977E-3</v>
      </c>
      <c r="J20" s="393">
        <f t="shared" si="2"/>
        <v>8.6047234929056068E-3</v>
      </c>
      <c r="K20" s="393">
        <f t="shared" si="3"/>
        <v>8.4646273488957289E-3</v>
      </c>
      <c r="L20" s="393">
        <f t="shared" si="4"/>
        <v>2.1592788164078596E-2</v>
      </c>
      <c r="M20" s="393">
        <f t="shared" si="5"/>
        <v>2.6735802614503527E-3</v>
      </c>
      <c r="N20" s="393">
        <f t="shared" si="6"/>
        <v>5.9258526247366059E-3</v>
      </c>
      <c r="O20" s="394">
        <v>76.24868802241302</v>
      </c>
      <c r="P20" s="395">
        <v>0.45453197756260488</v>
      </c>
      <c r="Q20" s="388">
        <f t="shared" si="7"/>
        <v>0</v>
      </c>
      <c r="R20" s="388"/>
      <c r="S20" s="678"/>
      <c r="T20" s="388"/>
      <c r="U20" s="388"/>
      <c r="V20" s="693"/>
      <c r="W20" s="388"/>
      <c r="Y20" s="389"/>
      <c r="Z20" s="679"/>
      <c r="AA20" s="389"/>
    </row>
    <row r="21" spans="1:43" ht="14" hidden="1" customHeight="1">
      <c r="A21" s="390">
        <v>1977</v>
      </c>
      <c r="B21" s="391">
        <v>5.6318961250691434E-2</v>
      </c>
      <c r="C21" s="392">
        <v>4.3814958222946811E-3</v>
      </c>
      <c r="D21" s="392">
        <v>1.4294448164429823E-2</v>
      </c>
      <c r="E21" s="392">
        <v>1.0946461323473754E-2</v>
      </c>
      <c r="F21" s="392">
        <v>2.4061835861306006E-2</v>
      </c>
      <c r="G21" s="392">
        <v>2.6347200791871669E-3</v>
      </c>
      <c r="H21" s="391">
        <f t="shared" si="0"/>
        <v>6.3992654966454648E-2</v>
      </c>
      <c r="I21" s="393">
        <f t="shared" si="1"/>
        <v>4.3458669863039251E-3</v>
      </c>
      <c r="J21" s="393">
        <f t="shared" si="2"/>
        <v>1.4178210566612804E-2</v>
      </c>
      <c r="K21" s="393">
        <f t="shared" si="3"/>
        <v>1.0857448417609805E-2</v>
      </c>
      <c r="L21" s="393">
        <f t="shared" si="4"/>
        <v>2.3866173183921553E-2</v>
      </c>
      <c r="M21" s="393">
        <f t="shared" si="5"/>
        <v>2.61329543030236E-3</v>
      </c>
      <c r="N21" s="393">
        <f t="shared" si="6"/>
        <v>8.1316603817042001E-3</v>
      </c>
      <c r="O21" s="394">
        <v>68.697999999999993</v>
      </c>
      <c r="P21" s="395">
        <v>0.56320862617441159</v>
      </c>
      <c r="Q21" s="388">
        <f t="shared" si="7"/>
        <v>0</v>
      </c>
      <c r="R21" s="388"/>
      <c r="S21" s="678"/>
      <c r="T21" s="388"/>
      <c r="U21" s="388"/>
      <c r="V21" s="693"/>
      <c r="W21" s="388"/>
      <c r="Y21" s="389"/>
      <c r="Z21" s="679"/>
      <c r="AA21" s="389"/>
    </row>
    <row r="22" spans="1:43" ht="14" hidden="1" customHeight="1">
      <c r="A22" s="390">
        <v>1978</v>
      </c>
      <c r="B22" s="391">
        <v>7.704350223904588E-2</v>
      </c>
      <c r="C22" s="392">
        <v>6.4426001697639804E-3</v>
      </c>
      <c r="D22" s="392">
        <v>1.6811347270981686E-2</v>
      </c>
      <c r="E22" s="392">
        <v>1.4818415092544749E-2</v>
      </c>
      <c r="F22" s="392">
        <v>3.465001432876999E-2</v>
      </c>
      <c r="G22" s="392">
        <v>4.3211253769854605E-3</v>
      </c>
      <c r="H22" s="391">
        <f t="shared" si="0"/>
        <v>8.6702869480800304E-2</v>
      </c>
      <c r="I22" s="393">
        <f t="shared" si="1"/>
        <v>6.375173978841105E-3</v>
      </c>
      <c r="J22" s="393">
        <f t="shared" si="2"/>
        <v>1.6635405092219179E-2</v>
      </c>
      <c r="K22" s="393">
        <f t="shared" si="3"/>
        <v>1.4663330303969244E-2</v>
      </c>
      <c r="L22" s="393">
        <f t="shared" si="4"/>
        <v>3.4287378371229638E-2</v>
      </c>
      <c r="M22" s="393">
        <f t="shared" si="5"/>
        <v>4.2759018621012545E-3</v>
      </c>
      <c r="N22" s="393">
        <f t="shared" si="6"/>
        <v>1.0465679872439883E-2</v>
      </c>
      <c r="O22" s="394">
        <v>72.894579840390378</v>
      </c>
      <c r="P22" s="395">
        <v>0.77095995715155363</v>
      </c>
      <c r="Q22" s="388">
        <f t="shared" si="7"/>
        <v>1.9081958235744878E-17</v>
      </c>
      <c r="R22" s="388"/>
      <c r="S22" s="678"/>
      <c r="T22" s="388"/>
      <c r="U22" s="388"/>
      <c r="V22" s="693"/>
      <c r="W22" s="388"/>
      <c r="Y22" s="389"/>
      <c r="Z22" s="679"/>
      <c r="AA22" s="389"/>
    </row>
    <row r="23" spans="1:43" ht="14" hidden="1" customHeight="1">
      <c r="A23" s="396">
        <v>1979</v>
      </c>
      <c r="B23" s="397">
        <v>8.9828881510760308E-2</v>
      </c>
      <c r="C23" s="398">
        <v>7.9652436048524271E-3</v>
      </c>
      <c r="D23" s="398">
        <v>1.7127800372071462E-2</v>
      </c>
      <c r="E23" s="398">
        <v>1.7235076533865308E-2</v>
      </c>
      <c r="F23" s="398">
        <v>4.1743830080940743E-2</v>
      </c>
      <c r="G23" s="398">
        <v>5.7569309190303574E-3</v>
      </c>
      <c r="H23" s="397">
        <f t="shared" si="0"/>
        <v>9.9144918476467142E-2</v>
      </c>
      <c r="I23" s="399">
        <f t="shared" si="1"/>
        <v>7.8837155247405977E-3</v>
      </c>
      <c r="J23" s="399">
        <f t="shared" si="2"/>
        <v>1.6952489138649426E-2</v>
      </c>
      <c r="K23" s="399">
        <f t="shared" si="3"/>
        <v>1.7058667277589645E-2</v>
      </c>
      <c r="L23" s="399">
        <f t="shared" si="4"/>
        <v>4.1316562003296475E-2</v>
      </c>
      <c r="M23" s="399">
        <f t="shared" si="5"/>
        <v>5.6980059760594918E-3</v>
      </c>
      <c r="N23" s="399">
        <f t="shared" si="6"/>
        <v>1.0235478556131501E-2</v>
      </c>
      <c r="O23" s="400">
        <v>103.27088121791286</v>
      </c>
      <c r="P23" s="401">
        <v>1.0679579508838724</v>
      </c>
      <c r="Q23" s="388">
        <f t="shared" si="7"/>
        <v>0</v>
      </c>
      <c r="R23" s="388"/>
      <c r="S23" s="678"/>
      <c r="T23" s="388"/>
      <c r="U23" s="388"/>
      <c r="V23" s="693"/>
      <c r="W23" s="388"/>
      <c r="Y23" s="389"/>
      <c r="Z23" s="679"/>
      <c r="AA23" s="389"/>
    </row>
    <row r="24" spans="1:43" ht="14" hidden="1" customHeight="1">
      <c r="A24" s="402">
        <v>1980</v>
      </c>
      <c r="B24" s="403">
        <v>0.12869384307141513</v>
      </c>
      <c r="C24" s="404">
        <v>1.2832093259819792E-2</v>
      </c>
      <c r="D24" s="404">
        <v>2.3212331447731601E-2</v>
      </c>
      <c r="E24" s="404">
        <v>2.6499874249388159E-2</v>
      </c>
      <c r="F24" s="404">
        <v>5.6341816843682321E-2</v>
      </c>
      <c r="G24" s="404">
        <v>9.807727270793232E-3</v>
      </c>
      <c r="H24" s="403">
        <f t="shared" si="0"/>
        <v>0.14261397817274102</v>
      </c>
      <c r="I24" s="405">
        <f t="shared" si="1"/>
        <v>1.2627085559152132E-2</v>
      </c>
      <c r="J24" s="405">
        <f t="shared" si="2"/>
        <v>2.2841487299323199E-2</v>
      </c>
      <c r="K24" s="405">
        <f t="shared" si="3"/>
        <v>2.6076507758991761E-2</v>
      </c>
      <c r="L24" s="405">
        <f t="shared" si="4"/>
        <v>5.5441690411564729E-2</v>
      </c>
      <c r="M24" s="405">
        <f t="shared" si="5"/>
        <v>9.6510373546704539E-3</v>
      </c>
      <c r="N24" s="405">
        <f t="shared" si="6"/>
        <v>1.5976169789038749E-2</v>
      </c>
      <c r="O24" s="406">
        <v>71.178701530015758</v>
      </c>
      <c r="P24" s="407">
        <v>1.1556254900483982</v>
      </c>
      <c r="Q24" s="388">
        <f t="shared" si="7"/>
        <v>1.9081958235744878E-17</v>
      </c>
      <c r="R24" s="388"/>
      <c r="S24" s="678"/>
      <c r="T24" s="388"/>
      <c r="U24" s="388"/>
      <c r="V24" s="693"/>
      <c r="W24" s="388"/>
      <c r="Y24" s="389"/>
      <c r="Z24" s="679"/>
      <c r="AA24" s="389"/>
      <c r="AC24" s="408"/>
      <c r="AG24" s="408"/>
      <c r="AH24" s="408"/>
      <c r="AI24" s="408"/>
    </row>
    <row r="25" spans="1:43" ht="14" hidden="1" customHeight="1">
      <c r="A25" s="390">
        <v>1981</v>
      </c>
      <c r="B25" s="391">
        <v>0.12598685967527637</v>
      </c>
      <c r="C25" s="392">
        <v>1.4050324119263172E-2</v>
      </c>
      <c r="D25" s="392">
        <v>2.1697768347914512E-2</v>
      </c>
      <c r="E25" s="392">
        <v>2.7974266188269023E-2</v>
      </c>
      <c r="F25" s="392">
        <v>5.1037502756982385E-2</v>
      </c>
      <c r="G25" s="392">
        <v>1.1226998262847265E-2</v>
      </c>
      <c r="H25" s="391">
        <f t="shared" si="0"/>
        <v>0.14098173703656844</v>
      </c>
      <c r="I25" s="393">
        <f t="shared" si="1"/>
        <v>1.380927180856624E-2</v>
      </c>
      <c r="J25" s="393">
        <f t="shared" si="2"/>
        <v>2.1325513789739535E-2</v>
      </c>
      <c r="K25" s="393">
        <f t="shared" si="3"/>
        <v>2.7494329821855366E-2</v>
      </c>
      <c r="L25" s="393">
        <f t="shared" si="4"/>
        <v>5.0161885378526005E-2</v>
      </c>
      <c r="M25" s="393">
        <f t="shared" si="5"/>
        <v>1.1034383925236403E-2</v>
      </c>
      <c r="N25" s="393">
        <f t="shared" si="6"/>
        <v>1.7156352312644906E-2</v>
      </c>
      <c r="O25" s="394">
        <v>63.904518863416868</v>
      </c>
      <c r="P25" s="395">
        <v>1.1155064618575015</v>
      </c>
      <c r="Q25" s="388">
        <f t="shared" si="7"/>
        <v>1.5612511283791264E-17</v>
      </c>
      <c r="R25" s="388"/>
      <c r="S25" s="678"/>
      <c r="T25" s="388"/>
      <c r="U25" s="388"/>
      <c r="V25" s="693"/>
      <c r="W25" s="388"/>
      <c r="Y25" s="389"/>
      <c r="Z25" s="679"/>
      <c r="AA25" s="389"/>
      <c r="AC25" s="408"/>
      <c r="AG25" s="408"/>
      <c r="AH25" s="408"/>
      <c r="AI25" s="408"/>
    </row>
    <row r="26" spans="1:43" ht="14" customHeight="1">
      <c r="A26" s="390"/>
      <c r="B26" s="391"/>
      <c r="C26" s="392"/>
      <c r="D26" s="392"/>
      <c r="E26" s="392"/>
      <c r="F26" s="392"/>
      <c r="G26" s="392"/>
      <c r="H26" s="391"/>
      <c r="I26" s="393"/>
      <c r="J26" s="393"/>
      <c r="K26" s="393"/>
      <c r="L26" s="393"/>
      <c r="M26" s="393"/>
      <c r="N26" s="393"/>
      <c r="O26" s="394"/>
      <c r="P26" s="395"/>
      <c r="Q26" s="388"/>
      <c r="R26" s="388"/>
      <c r="S26" s="678"/>
      <c r="T26" s="388"/>
      <c r="U26" s="388"/>
      <c r="V26" s="693"/>
      <c r="W26" s="388"/>
      <c r="Y26" s="389"/>
      <c r="Z26" s="679"/>
      <c r="AA26" s="389"/>
      <c r="AC26" s="408"/>
      <c r="AG26" s="408"/>
      <c r="AH26" s="408"/>
      <c r="AI26" s="408"/>
    </row>
    <row r="27" spans="1:43" ht="14" customHeight="1">
      <c r="A27" s="390">
        <v>1965</v>
      </c>
      <c r="B27" s="391"/>
      <c r="C27" s="392"/>
      <c r="D27" s="392"/>
      <c r="E27" s="392"/>
      <c r="F27" s="392"/>
      <c r="G27" s="392"/>
      <c r="H27" s="391"/>
      <c r="I27" s="393"/>
      <c r="J27" s="393"/>
      <c r="K27" s="393"/>
      <c r="L27" s="393"/>
      <c r="M27" s="393"/>
      <c r="N27" s="393"/>
      <c r="O27" s="394"/>
      <c r="P27" s="395"/>
      <c r="Q27" s="388"/>
      <c r="R27" s="388"/>
      <c r="S27" s="678"/>
      <c r="T27" s="388"/>
      <c r="U27" s="388"/>
      <c r="V27" s="693"/>
      <c r="W27" s="388"/>
      <c r="Y27" s="389"/>
      <c r="Z27" s="679"/>
      <c r="AA27" s="389"/>
      <c r="AC27" s="408"/>
      <c r="AG27" s="408"/>
      <c r="AH27" s="408"/>
      <c r="AI27" s="408"/>
    </row>
    <row r="28" spans="1:43" ht="14" customHeight="1">
      <c r="A28" s="390">
        <v>1966</v>
      </c>
      <c r="B28" s="391">
        <v>3.3040656503871023E-2</v>
      </c>
      <c r="C28" s="392">
        <v>1.898637424880497E-3</v>
      </c>
      <c r="D28" s="392">
        <v>5.6880975747719519E-3</v>
      </c>
      <c r="E28" s="392">
        <v>1.2101307127591675E-2</v>
      </c>
      <c r="F28" s="392">
        <v>1.2953765629503422E-2</v>
      </c>
      <c r="G28" s="392">
        <v>3.9884874712347288E-4</v>
      </c>
      <c r="H28" s="391">
        <v>3.8162096190127621E-2</v>
      </c>
      <c r="I28" s="393">
        <v>1.8885814105061617E-3</v>
      </c>
      <c r="J28" s="393">
        <v>5.65797092171805E-3</v>
      </c>
      <c r="K28" s="393">
        <v>1.2037213311242844E-2</v>
      </c>
      <c r="L28" s="393">
        <v>1.2885156820014556E-2</v>
      </c>
      <c r="M28" s="393">
        <v>3.9673626967954401E-4</v>
      </c>
      <c r="N28" s="393">
        <v>5.2964374569664631E-3</v>
      </c>
      <c r="O28" s="394">
        <v>9.4228154727834763</v>
      </c>
      <c r="P28" s="395">
        <v>5.0173091461079823E-2</v>
      </c>
      <c r="Q28" s="388">
        <f t="shared" ref="Q28:Q43" si="8">B28-C28-D28-E28-F28-G28</f>
        <v>3.3068166260807885E-18</v>
      </c>
      <c r="R28" s="569"/>
      <c r="S28" s="680"/>
      <c r="T28" s="323"/>
      <c r="U28" s="323"/>
      <c r="V28" s="693"/>
      <c r="W28" s="388"/>
      <c r="Y28" s="389"/>
      <c r="Z28" s="679"/>
      <c r="AA28" s="389"/>
      <c r="AC28" s="408"/>
      <c r="AG28" s="408"/>
      <c r="AI28" s="408"/>
    </row>
    <row r="29" spans="1:43" ht="14" customHeight="1">
      <c r="A29" s="390">
        <v>1967</v>
      </c>
      <c r="B29" s="391">
        <v>3.619953501609862E-2</v>
      </c>
      <c r="C29" s="392">
        <v>2.5292380756968959E-3</v>
      </c>
      <c r="D29" s="392">
        <v>6.7474486434360419E-3</v>
      </c>
      <c r="E29" s="392">
        <v>1.2981742301347356E-2</v>
      </c>
      <c r="F29" s="392">
        <v>1.3311776880172913E-2</v>
      </c>
      <c r="G29" s="392">
        <v>6.2932911544540441E-4</v>
      </c>
      <c r="H29" s="391">
        <v>4.1739457176158845E-2</v>
      </c>
      <c r="I29" s="393">
        <v>2.5147000228813105E-3</v>
      </c>
      <c r="J29" s="393">
        <v>6.7086643290247966E-3</v>
      </c>
      <c r="K29" s="393">
        <v>1.2907123285830874E-2</v>
      </c>
      <c r="L29" s="393">
        <v>1.3235260826894728E-2</v>
      </c>
      <c r="M29" s="393">
        <v>6.2571173359169741E-4</v>
      </c>
      <c r="N29" s="393">
        <v>5.7479969779354358E-3</v>
      </c>
      <c r="O29" s="394">
        <v>10.244990314210032</v>
      </c>
      <c r="P29" s="395">
        <v>5.9228619289741803E-2</v>
      </c>
      <c r="Q29" s="388">
        <f t="shared" si="8"/>
        <v>7.1557343384043293E-18</v>
      </c>
      <c r="R29" s="569"/>
      <c r="S29" s="680"/>
      <c r="T29" s="323"/>
      <c r="U29" s="323"/>
      <c r="V29" s="693"/>
      <c r="W29" s="388"/>
      <c r="Y29" s="389"/>
      <c r="Z29" s="679"/>
      <c r="AA29" s="389"/>
      <c r="AC29" s="408"/>
      <c r="AG29" s="408"/>
      <c r="AI29" s="408"/>
    </row>
    <row r="30" spans="1:43" ht="14" customHeight="1">
      <c r="A30" s="390">
        <v>1968</v>
      </c>
      <c r="B30" s="391">
        <v>3.5579051424552213E-2</v>
      </c>
      <c r="C30" s="392">
        <v>1.6850844632500005E-3</v>
      </c>
      <c r="D30" s="392">
        <v>4.6494211014773898E-3</v>
      </c>
      <c r="E30" s="392">
        <v>1.4264690140101462E-2</v>
      </c>
      <c r="F30" s="392">
        <v>1.409833513667574E-2</v>
      </c>
      <c r="G30" s="392">
        <v>8.8152058304761865E-4</v>
      </c>
      <c r="H30" s="391">
        <v>4.107391210916362E-2</v>
      </c>
      <c r="I30" s="393">
        <v>1.6754835681418645E-3</v>
      </c>
      <c r="J30" s="393">
        <v>4.6229306760522185E-3</v>
      </c>
      <c r="K30" s="393">
        <v>1.418341599819819E-2</v>
      </c>
      <c r="L30" s="393">
        <v>1.4018008814880859E-2</v>
      </c>
      <c r="M30" s="393">
        <v>8.7649805341300326E-4</v>
      </c>
      <c r="N30" s="393">
        <v>5.6975749984774782E-3</v>
      </c>
      <c r="O30" s="394">
        <v>11.682860923865118</v>
      </c>
      <c r="P30" s="395">
        <v>6.6945402763552014E-2</v>
      </c>
      <c r="Q30" s="388">
        <f t="shared" si="8"/>
        <v>5.6378512969246231E-18</v>
      </c>
      <c r="R30" s="569"/>
      <c r="S30" s="680"/>
      <c r="T30" s="323"/>
      <c r="U30" s="323"/>
      <c r="V30" s="693"/>
      <c r="W30" s="388"/>
      <c r="Y30" s="389"/>
      <c r="Z30" s="679"/>
      <c r="AA30" s="389"/>
      <c r="AC30" s="408"/>
      <c r="AG30" s="408"/>
      <c r="AI30" s="408"/>
    </row>
    <row r="31" spans="1:43" ht="14" customHeight="1">
      <c r="A31" s="390">
        <v>1969</v>
      </c>
      <c r="B31" s="391">
        <v>3.7168831829668146E-2</v>
      </c>
      <c r="C31" s="392">
        <v>1.6841489799379963E-3</v>
      </c>
      <c r="D31" s="392">
        <v>4.621053804767951E-3</v>
      </c>
      <c r="E31" s="392">
        <v>1.5195924133777124E-2</v>
      </c>
      <c r="F31" s="392">
        <v>1.4552992943769738E-2</v>
      </c>
      <c r="G31" s="392">
        <v>1.1147119674153408E-3</v>
      </c>
      <c r="H31" s="391">
        <v>4.288913133228664E-2</v>
      </c>
      <c r="I31" s="393">
        <v>1.6741432417662855E-3</v>
      </c>
      <c r="J31" s="393">
        <v>4.5935995504242542E-3</v>
      </c>
      <c r="K31" s="393">
        <v>1.5105643261971263E-2</v>
      </c>
      <c r="L31" s="393">
        <v>1.4466531805981635E-2</v>
      </c>
      <c r="M31" s="393">
        <v>1.1080893252288751E-3</v>
      </c>
      <c r="N31" s="393">
        <v>5.9411241469143287E-3</v>
      </c>
      <c r="O31" s="394">
        <v>13.434163832120014</v>
      </c>
      <c r="P31" s="395">
        <v>8.029105425784383E-2</v>
      </c>
      <c r="Q31" s="388">
        <f t="shared" si="8"/>
        <v>-2.8189256484623115E-18</v>
      </c>
      <c r="R31" s="569"/>
      <c r="S31" s="680"/>
      <c r="T31" s="323"/>
      <c r="U31" s="323"/>
      <c r="V31" s="693"/>
      <c r="W31" s="388"/>
      <c r="Y31" s="389"/>
      <c r="Z31" s="679"/>
      <c r="AA31" s="389"/>
      <c r="AC31" s="408"/>
      <c r="AG31" s="408"/>
      <c r="AI31" s="408"/>
    </row>
    <row r="32" spans="1:43" ht="14" customHeight="1">
      <c r="A32" s="390">
        <v>1970</v>
      </c>
      <c r="B32" s="391">
        <v>4.7872629542884619E-2</v>
      </c>
      <c r="C32" s="392">
        <v>4.3901504668719549E-3</v>
      </c>
      <c r="D32" s="392">
        <v>1.1349787357197525E-2</v>
      </c>
      <c r="E32" s="392">
        <v>1.5940051003780015E-2</v>
      </c>
      <c r="F32" s="392">
        <v>1.4861916465841916E-2</v>
      </c>
      <c r="G32" s="392">
        <v>1.3307242491931988E-3</v>
      </c>
      <c r="H32" s="391">
        <v>5.4978519381143988E-2</v>
      </c>
      <c r="I32" s="393">
        <v>4.3573860211066811E-3</v>
      </c>
      <c r="J32" s="393">
        <v>1.1265081947868525E-2</v>
      </c>
      <c r="K32" s="393">
        <v>1.5821087669709789E-2</v>
      </c>
      <c r="L32" s="393">
        <v>1.4750999434708797E-2</v>
      </c>
      <c r="M32" s="393">
        <v>1.3207928259264489E-3</v>
      </c>
      <c r="N32" s="393">
        <v>7.4631714818237495E-3</v>
      </c>
      <c r="O32" s="394">
        <v>14.508208982900875</v>
      </c>
      <c r="P32" s="395">
        <v>0.10909141950448248</v>
      </c>
      <c r="Q32" s="388">
        <f t="shared" si="8"/>
        <v>7.3725747729014302E-18</v>
      </c>
      <c r="R32" s="569"/>
      <c r="S32" s="680"/>
      <c r="T32" s="323"/>
      <c r="U32" s="323"/>
      <c r="V32" s="693"/>
      <c r="W32" s="388"/>
      <c r="Y32" s="389"/>
      <c r="Z32" s="679"/>
      <c r="AA32" s="389"/>
      <c r="AC32" s="408"/>
      <c r="AG32" s="408"/>
      <c r="AI32" s="408"/>
      <c r="AN32" s="408"/>
      <c r="AQ32" s="428"/>
    </row>
    <row r="33" spans="1:43" ht="14" customHeight="1">
      <c r="A33" s="390">
        <v>1971</v>
      </c>
      <c r="B33" s="391">
        <v>4.8041310617690333E-2</v>
      </c>
      <c r="C33" s="392">
        <v>3.7451690308618378E-3</v>
      </c>
      <c r="D33" s="392">
        <v>9.922438215876692E-3</v>
      </c>
      <c r="E33" s="392">
        <v>1.653669746679988E-2</v>
      </c>
      <c r="F33" s="392">
        <v>1.6886825283613769E-2</v>
      </c>
      <c r="G33" s="392">
        <v>9.5018062053815592E-4</v>
      </c>
      <c r="H33" s="391">
        <v>5.5180847234238557E-2</v>
      </c>
      <c r="I33" s="393">
        <v>3.7170808672374795E-3</v>
      </c>
      <c r="J33" s="393">
        <v>9.8480215297769465E-3</v>
      </c>
      <c r="K33" s="393">
        <v>1.6412674903218256E-2</v>
      </c>
      <c r="L33" s="393">
        <v>1.6760176817882718E-2</v>
      </c>
      <c r="M33" s="393">
        <v>9.4305441915113115E-4</v>
      </c>
      <c r="N33" s="393">
        <v>7.4998386969720252E-3</v>
      </c>
      <c r="O33" s="394">
        <v>18.588267365410385</v>
      </c>
      <c r="P33" s="395">
        <v>0.14046245263450691</v>
      </c>
      <c r="Q33" s="388">
        <f t="shared" si="8"/>
        <v>-1.951563910473908E-18</v>
      </c>
      <c r="R33" s="569"/>
      <c r="S33" s="680"/>
      <c r="T33" s="323"/>
      <c r="U33" s="323"/>
      <c r="V33" s="693"/>
      <c r="W33" s="388"/>
      <c r="Y33" s="389"/>
      <c r="Z33" s="679"/>
      <c r="AA33" s="389"/>
      <c r="AC33" s="408"/>
      <c r="AG33" s="408"/>
      <c r="AI33" s="408"/>
      <c r="AN33" s="408"/>
      <c r="AQ33" s="428"/>
    </row>
    <row r="34" spans="1:43" ht="14" customHeight="1">
      <c r="A34" s="390">
        <v>1972</v>
      </c>
      <c r="B34" s="391">
        <v>4.5857490571448237E-2</v>
      </c>
      <c r="C34" s="392">
        <v>2.6950100809650245E-3</v>
      </c>
      <c r="D34" s="392">
        <v>7.1900952017752403E-3</v>
      </c>
      <c r="E34" s="392">
        <v>1.6112458814536285E-2</v>
      </c>
      <c r="F34" s="392">
        <v>1.6893105932405832E-2</v>
      </c>
      <c r="G34" s="392">
        <v>2.9668205417658572E-3</v>
      </c>
      <c r="H34" s="391">
        <v>5.2671559842204521E-2</v>
      </c>
      <c r="I34" s="393">
        <v>2.6757634954753156E-3</v>
      </c>
      <c r="J34" s="393">
        <v>7.1387466806852699E-3</v>
      </c>
      <c r="K34" s="393">
        <v>1.5997390667588075E-2</v>
      </c>
      <c r="L34" s="393">
        <v>1.6772462744533846E-2</v>
      </c>
      <c r="M34" s="393">
        <v>2.9456328046241565E-3</v>
      </c>
      <c r="N34" s="393">
        <v>7.1415634492978559E-3</v>
      </c>
      <c r="O34" s="394">
        <v>22.297871023862761</v>
      </c>
      <c r="P34" s="395">
        <v>0.16038707517498552</v>
      </c>
      <c r="Q34" s="388">
        <f t="shared" si="8"/>
        <v>-4.3368086899420177E-18</v>
      </c>
      <c r="R34" s="569"/>
      <c r="S34" s="680"/>
      <c r="T34" s="323"/>
      <c r="U34" s="323"/>
      <c r="V34" s="693"/>
      <c r="W34" s="388"/>
      <c r="Y34" s="389"/>
      <c r="Z34" s="679"/>
      <c r="AA34" s="389"/>
      <c r="AC34" s="408"/>
      <c r="AG34" s="408"/>
      <c r="AI34" s="408"/>
      <c r="AN34" s="408"/>
      <c r="AQ34" s="428"/>
    </row>
    <row r="35" spans="1:43" ht="14" customHeight="1">
      <c r="A35" s="390">
        <v>1973</v>
      </c>
      <c r="B35" s="391">
        <v>5.8957352454350805E-2</v>
      </c>
      <c r="C35" s="392">
        <v>4.6483780878436203E-3</v>
      </c>
      <c r="D35" s="392">
        <v>1.2851813221375213E-2</v>
      </c>
      <c r="E35" s="392">
        <v>1.7490885750707012E-2</v>
      </c>
      <c r="F35" s="392">
        <v>1.9648997609632707E-2</v>
      </c>
      <c r="G35" s="392">
        <v>4.3172777847922585E-3</v>
      </c>
      <c r="H35" s="391">
        <v>6.4529578625502265E-2</v>
      </c>
      <c r="I35" s="393">
        <v>4.6208534967934235E-3</v>
      </c>
      <c r="J35" s="393">
        <v>1.2775713365363723E-2</v>
      </c>
      <c r="K35" s="393">
        <v>1.738731640494898E-2</v>
      </c>
      <c r="L35" s="393">
        <v>1.9532649366539957E-2</v>
      </c>
      <c r="M35" s="393">
        <v>4.2917137486422566E-3</v>
      </c>
      <c r="N35" s="393">
        <v>5.9213322432139235E-3</v>
      </c>
      <c r="O35" s="394">
        <v>33.961296166346642</v>
      </c>
      <c r="P35" s="395">
        <v>0.20229396780529896</v>
      </c>
      <c r="Q35" s="388">
        <f t="shared" si="8"/>
        <v>-8.6736173798840355E-18</v>
      </c>
      <c r="R35" s="569"/>
      <c r="S35" s="680"/>
      <c r="T35" s="323"/>
      <c r="U35" s="323"/>
      <c r="V35" s="693"/>
      <c r="W35" s="388"/>
      <c r="Y35" s="389"/>
      <c r="Z35" s="679"/>
      <c r="AA35" s="389"/>
      <c r="AC35" s="408"/>
      <c r="AG35" s="408"/>
      <c r="AI35" s="408"/>
      <c r="AN35" s="408"/>
      <c r="AQ35" s="428"/>
    </row>
    <row r="36" spans="1:43" ht="14" customHeight="1">
      <c r="A36" s="390">
        <v>1974</v>
      </c>
      <c r="B36" s="391">
        <v>5.1899076728985312E-2</v>
      </c>
      <c r="C36" s="392">
        <v>4.6263527159735481E-3</v>
      </c>
      <c r="D36" s="392">
        <v>1.2432364287132833E-2</v>
      </c>
      <c r="E36" s="392">
        <v>1.2665265863785531E-2</v>
      </c>
      <c r="F36" s="392">
        <v>1.8402147726217209E-2</v>
      </c>
      <c r="G36" s="392">
        <v>3.7729461358762006E-3</v>
      </c>
      <c r="H36" s="391">
        <v>5.603566398457889E-2</v>
      </c>
      <c r="I36" s="393">
        <v>4.6061678271974126E-3</v>
      </c>
      <c r="J36" s="393">
        <v>1.2378121581103583E-2</v>
      </c>
      <c r="K36" s="393">
        <v>1.2610007002545224E-2</v>
      </c>
      <c r="L36" s="393">
        <v>1.8321858710679505E-2</v>
      </c>
      <c r="M36" s="393">
        <v>3.756484680646455E-3</v>
      </c>
      <c r="N36" s="393">
        <v>4.3630241824067122E-3</v>
      </c>
      <c r="O36" s="394">
        <v>61.350978805566598</v>
      </c>
      <c r="P36" s="395">
        <v>0.26884879794987498</v>
      </c>
      <c r="Q36" s="388">
        <f t="shared" si="8"/>
        <v>-1.2576745200831851E-17</v>
      </c>
      <c r="R36" s="569"/>
      <c r="S36" s="680"/>
      <c r="T36" s="323"/>
      <c r="U36" s="323"/>
      <c r="V36" s="693"/>
      <c r="W36" s="388"/>
      <c r="Y36" s="389"/>
      <c r="Z36" s="679"/>
      <c r="AA36" s="389"/>
      <c r="AC36" s="408"/>
      <c r="AG36" s="408"/>
      <c r="AI36" s="408"/>
      <c r="AN36" s="408"/>
      <c r="AQ36" s="428"/>
    </row>
    <row r="37" spans="1:43" ht="14" customHeight="1">
      <c r="A37" s="390">
        <v>1975</v>
      </c>
      <c r="B37" s="391">
        <v>5.1837146481650331E-2</v>
      </c>
      <c r="C37" s="392">
        <v>3.4229565668976404E-3</v>
      </c>
      <c r="D37" s="392">
        <v>9.1923484662654077E-3</v>
      </c>
      <c r="E37" s="392">
        <v>1.0897782275265404E-2</v>
      </c>
      <c r="F37" s="392">
        <v>2.4151502504292623E-2</v>
      </c>
      <c r="G37" s="392">
        <v>4.1725566689292557E-3</v>
      </c>
      <c r="H37" s="391">
        <v>5.7027266029947607E-2</v>
      </c>
      <c r="I37" s="393">
        <v>3.4042197499838524E-3</v>
      </c>
      <c r="J37" s="393">
        <v>9.142030752074759E-3</v>
      </c>
      <c r="K37" s="393">
        <v>1.0838129239281066E-2</v>
      </c>
      <c r="L37" s="393">
        <v>2.4019300335853786E-2</v>
      </c>
      <c r="M37" s="393">
        <v>4.1497166390193846E-3</v>
      </c>
      <c r="N37" s="393">
        <v>5.4738693137347614E-3</v>
      </c>
      <c r="O37" s="394">
        <v>58.650392421020527</v>
      </c>
      <c r="P37" s="395">
        <v>0.32281161188835905</v>
      </c>
      <c r="Q37" s="388">
        <f t="shared" si="8"/>
        <v>0</v>
      </c>
      <c r="S37" s="372"/>
      <c r="V37" s="693"/>
      <c r="W37" s="388"/>
      <c r="Z37" s="371"/>
    </row>
    <row r="38" spans="1:43" ht="14" customHeight="1">
      <c r="A38" s="390">
        <v>1976</v>
      </c>
      <c r="B38" s="391">
        <v>4.4775937912194405E-2</v>
      </c>
      <c r="C38" s="392">
        <v>3.1938090775673078E-3</v>
      </c>
      <c r="D38" s="392">
        <v>8.6560177785785647E-3</v>
      </c>
      <c r="E38" s="392">
        <v>8.5150864965612364E-3</v>
      </c>
      <c r="F38" s="392">
        <v>2.1721506611042881E-2</v>
      </c>
      <c r="G38" s="392">
        <v>2.6895179484444183E-3</v>
      </c>
      <c r="H38" s="391">
        <v>5.0436454927728996E-2</v>
      </c>
      <c r="I38" s="393">
        <v>3.1748830356620977E-3</v>
      </c>
      <c r="J38" s="393">
        <v>8.6047234929056068E-3</v>
      </c>
      <c r="K38" s="393">
        <v>8.4646273488957289E-3</v>
      </c>
      <c r="L38" s="393">
        <v>2.1592788164078596E-2</v>
      </c>
      <c r="M38" s="393">
        <v>2.6735802614503527E-3</v>
      </c>
      <c r="N38" s="393">
        <v>5.9258526247366059E-3</v>
      </c>
      <c r="O38" s="394">
        <v>76.24868802241302</v>
      </c>
      <c r="P38" s="395">
        <v>0.45453197756260488</v>
      </c>
      <c r="Q38" s="388">
        <f t="shared" si="8"/>
        <v>0</v>
      </c>
      <c r="S38" s="372"/>
      <c r="V38" s="693"/>
      <c r="W38" s="388"/>
      <c r="Z38" s="371"/>
    </row>
    <row r="39" spans="1:43" ht="14" customHeight="1">
      <c r="A39" s="390">
        <v>1977</v>
      </c>
      <c r="B39" s="391">
        <v>5.6318961250691434E-2</v>
      </c>
      <c r="C39" s="392">
        <v>4.3814958222946811E-3</v>
      </c>
      <c r="D39" s="392">
        <v>1.4294448164429823E-2</v>
      </c>
      <c r="E39" s="392">
        <v>1.0946461323473754E-2</v>
      </c>
      <c r="F39" s="392">
        <v>2.4061835861306006E-2</v>
      </c>
      <c r="G39" s="392">
        <v>2.6347200791871669E-3</v>
      </c>
      <c r="H39" s="391">
        <v>6.3992654966454648E-2</v>
      </c>
      <c r="I39" s="393">
        <v>4.3458669863039251E-3</v>
      </c>
      <c r="J39" s="393">
        <v>1.4178210566612804E-2</v>
      </c>
      <c r="K39" s="393">
        <v>1.0857448417609805E-2</v>
      </c>
      <c r="L39" s="393">
        <v>2.3866173183921553E-2</v>
      </c>
      <c r="M39" s="393">
        <v>2.61329543030236E-3</v>
      </c>
      <c r="N39" s="393">
        <v>8.1316603817042001E-3</v>
      </c>
      <c r="O39" s="394">
        <v>68.697999999999993</v>
      </c>
      <c r="P39" s="395">
        <v>0.56320862617441159</v>
      </c>
      <c r="Q39" s="388">
        <f t="shared" si="8"/>
        <v>0</v>
      </c>
      <c r="S39" s="372"/>
      <c r="V39" s="693"/>
      <c r="W39" s="388"/>
      <c r="Z39" s="371"/>
    </row>
    <row r="40" spans="1:43" ht="14" customHeight="1">
      <c r="A40" s="390">
        <v>1978</v>
      </c>
      <c r="B40" s="391">
        <v>7.704350223904588E-2</v>
      </c>
      <c r="C40" s="392">
        <v>6.4426001697639804E-3</v>
      </c>
      <c r="D40" s="392">
        <v>1.6811347270981686E-2</v>
      </c>
      <c r="E40" s="392">
        <v>1.4818415092544749E-2</v>
      </c>
      <c r="F40" s="392">
        <v>3.465001432876999E-2</v>
      </c>
      <c r="G40" s="392">
        <v>4.3211253769854605E-3</v>
      </c>
      <c r="H40" s="391">
        <v>8.6702869480800304E-2</v>
      </c>
      <c r="I40" s="393">
        <v>6.375173978841105E-3</v>
      </c>
      <c r="J40" s="393">
        <v>1.6635405092219179E-2</v>
      </c>
      <c r="K40" s="393">
        <v>1.4663330303969244E-2</v>
      </c>
      <c r="L40" s="393">
        <v>3.4287378371229638E-2</v>
      </c>
      <c r="M40" s="393">
        <v>4.2759018621012545E-3</v>
      </c>
      <c r="N40" s="393">
        <v>1.0465679872439883E-2</v>
      </c>
      <c r="O40" s="394">
        <v>72.894579840390378</v>
      </c>
      <c r="P40" s="395">
        <v>0.77095995715155363</v>
      </c>
      <c r="Q40" s="388">
        <f t="shared" si="8"/>
        <v>1.9081958235744878E-17</v>
      </c>
      <c r="S40" s="372"/>
      <c r="V40" s="693"/>
      <c r="W40" s="388"/>
      <c r="Z40" s="371"/>
    </row>
    <row r="41" spans="1:43" ht="14" customHeight="1">
      <c r="A41" s="390">
        <v>1979</v>
      </c>
      <c r="B41" s="391">
        <v>8.9828881510760308E-2</v>
      </c>
      <c r="C41" s="392">
        <v>7.9652436048524271E-3</v>
      </c>
      <c r="D41" s="392">
        <v>1.7127800372071462E-2</v>
      </c>
      <c r="E41" s="392">
        <v>1.7235076533865308E-2</v>
      </c>
      <c r="F41" s="392">
        <v>4.1743830080940743E-2</v>
      </c>
      <c r="G41" s="392">
        <v>5.7569309190303574E-3</v>
      </c>
      <c r="H41" s="391">
        <v>9.9144918476467142E-2</v>
      </c>
      <c r="I41" s="393">
        <v>7.8837155247405977E-3</v>
      </c>
      <c r="J41" s="393">
        <v>1.6952489138649426E-2</v>
      </c>
      <c r="K41" s="393">
        <v>1.7058667277589645E-2</v>
      </c>
      <c r="L41" s="393">
        <v>4.1316562003296475E-2</v>
      </c>
      <c r="M41" s="393">
        <v>5.6980059760594918E-3</v>
      </c>
      <c r="N41" s="393">
        <v>1.0235478556131501E-2</v>
      </c>
      <c r="O41" s="394">
        <v>103.27088121791286</v>
      </c>
      <c r="P41" s="395">
        <v>1.0679579508838724</v>
      </c>
      <c r="Q41" s="388">
        <f t="shared" si="8"/>
        <v>0</v>
      </c>
      <c r="S41" s="372"/>
      <c r="V41" s="693"/>
      <c r="W41" s="388"/>
      <c r="Z41" s="371"/>
    </row>
    <row r="42" spans="1:43" ht="14" customHeight="1">
      <c r="A42" s="390">
        <v>1980</v>
      </c>
      <c r="B42" s="391">
        <v>0.12869384307141513</v>
      </c>
      <c r="C42" s="392">
        <v>1.2832093259819792E-2</v>
      </c>
      <c r="D42" s="392">
        <v>2.3212331447731601E-2</v>
      </c>
      <c r="E42" s="392">
        <v>2.6499874249388159E-2</v>
      </c>
      <c r="F42" s="392">
        <v>5.6341816843682321E-2</v>
      </c>
      <c r="G42" s="392">
        <v>9.807727270793232E-3</v>
      </c>
      <c r="H42" s="391">
        <v>0.14261397817274102</v>
      </c>
      <c r="I42" s="393">
        <v>1.2627085559152132E-2</v>
      </c>
      <c r="J42" s="393">
        <v>2.2841487299323199E-2</v>
      </c>
      <c r="K42" s="393">
        <v>2.6076507758991761E-2</v>
      </c>
      <c r="L42" s="393">
        <v>5.5441690411564729E-2</v>
      </c>
      <c r="M42" s="393">
        <v>9.6510373546704539E-3</v>
      </c>
      <c r="N42" s="393">
        <v>1.5976169789038749E-2</v>
      </c>
      <c r="O42" s="394">
        <v>71.178701530015758</v>
      </c>
      <c r="P42" s="395">
        <v>1.1556254900483982</v>
      </c>
      <c r="Q42" s="388">
        <f t="shared" si="8"/>
        <v>1.9081958235744878E-17</v>
      </c>
      <c r="S42" s="372"/>
      <c r="V42" s="693"/>
      <c r="W42" s="388"/>
      <c r="Z42" s="371"/>
    </row>
    <row r="43" spans="1:43" ht="14" customHeight="1">
      <c r="A43" s="390">
        <v>1981</v>
      </c>
      <c r="B43" s="391">
        <v>0.12598685967527637</v>
      </c>
      <c r="C43" s="392">
        <v>1.4050324119263172E-2</v>
      </c>
      <c r="D43" s="392">
        <v>2.1697768347914512E-2</v>
      </c>
      <c r="E43" s="392">
        <v>2.7974266188269023E-2</v>
      </c>
      <c r="F43" s="392">
        <v>5.1037502756982385E-2</v>
      </c>
      <c r="G43" s="392">
        <v>1.1226998262847265E-2</v>
      </c>
      <c r="H43" s="391">
        <v>0.14098173703656844</v>
      </c>
      <c r="I43" s="393">
        <v>1.380927180856624E-2</v>
      </c>
      <c r="J43" s="393">
        <v>2.1325513789739535E-2</v>
      </c>
      <c r="K43" s="393">
        <v>2.7494329821855366E-2</v>
      </c>
      <c r="L43" s="393">
        <v>5.0161885378526005E-2</v>
      </c>
      <c r="M43" s="393">
        <v>1.1034383925236403E-2</v>
      </c>
      <c r="N43" s="393">
        <v>1.7156352312644906E-2</v>
      </c>
      <c r="O43" s="394">
        <v>63.904518863416868</v>
      </c>
      <c r="P43" s="395">
        <v>1.1155064618575015</v>
      </c>
      <c r="Q43" s="388">
        <f t="shared" si="8"/>
        <v>1.5612511283791264E-17</v>
      </c>
      <c r="S43" s="372"/>
      <c r="V43" s="693"/>
      <c r="W43" s="388"/>
      <c r="Z43" s="371"/>
    </row>
    <row r="44" spans="1:43" ht="14" customHeight="1">
      <c r="A44" s="390">
        <v>1982</v>
      </c>
      <c r="B44" s="391">
        <v>0.14980867942137191</v>
      </c>
      <c r="C44" s="392">
        <v>1.4092393840410639E-2</v>
      </c>
      <c r="D44" s="392">
        <v>1.8777414839010732E-2</v>
      </c>
      <c r="E44" s="392">
        <v>2.7251516565562295E-2</v>
      </c>
      <c r="F44" s="392">
        <v>7.8002799813345777E-2</v>
      </c>
      <c r="G44" s="392">
        <v>1.1684554363042464E-2</v>
      </c>
      <c r="H44" s="391">
        <v>0.16880182354109144</v>
      </c>
      <c r="I44" s="393">
        <v>1.3777571916539902E-2</v>
      </c>
      <c r="J44" s="393">
        <v>1.8357930262303496E-2</v>
      </c>
      <c r="K44" s="393">
        <v>2.6642721851851993E-2</v>
      </c>
      <c r="L44" s="393">
        <v>7.6260229191020198E-2</v>
      </c>
      <c r="M44" s="393">
        <v>1.1423523204972157E-2</v>
      </c>
      <c r="N44" s="393">
        <v>2.2339847114403687E-2</v>
      </c>
      <c r="O44" s="394">
        <v>53.575000000000003</v>
      </c>
      <c r="P44" s="395">
        <v>1.2242058813807779</v>
      </c>
      <c r="Q44" s="388">
        <f t="shared" ref="Q44:Q81" si="9">B44-C44-D44-E44-F44-G44</f>
        <v>0</v>
      </c>
      <c r="S44" s="372"/>
      <c r="V44" s="693"/>
      <c r="W44" s="388"/>
      <c r="Z44" s="371"/>
    </row>
    <row r="45" spans="1:43" ht="14" customHeight="1">
      <c r="A45" s="390">
        <v>1983</v>
      </c>
      <c r="B45" s="391">
        <v>0.1400041355067719</v>
      </c>
      <c r="C45" s="392">
        <v>1.6455870696488264E-2</v>
      </c>
      <c r="D45" s="392">
        <v>2.6846331460867769E-2</v>
      </c>
      <c r="E45" s="392">
        <v>2.1384016266326637E-2</v>
      </c>
      <c r="F45" s="392">
        <v>6.2739083985250022E-2</v>
      </c>
      <c r="G45" s="392">
        <v>1.2578833097839198E-2</v>
      </c>
      <c r="H45" s="391">
        <v>0.15880202736432308</v>
      </c>
      <c r="I45" s="393">
        <v>1.6096176318240625E-2</v>
      </c>
      <c r="J45" s="393">
        <v>2.6259521155831307E-2</v>
      </c>
      <c r="K45" s="393">
        <v>2.0916601896268712E-2</v>
      </c>
      <c r="L45" s="393">
        <v>6.1367725627972894E-2</v>
      </c>
      <c r="M45" s="393">
        <v>1.2303883468393359E-2</v>
      </c>
      <c r="N45" s="393">
        <v>2.1858118897616175E-2</v>
      </c>
      <c r="O45" s="394">
        <v>58.033999999999999</v>
      </c>
      <c r="P45" s="395">
        <v>1.2968610143495936</v>
      </c>
      <c r="Q45" s="388">
        <f t="shared" si="9"/>
        <v>2.2551405187698492E-17</v>
      </c>
      <c r="S45" s="372"/>
      <c r="V45" s="693"/>
      <c r="W45" s="388"/>
      <c r="Z45" s="371"/>
    </row>
    <row r="46" spans="1:43" ht="14" customHeight="1">
      <c r="A46" s="390">
        <v>1984</v>
      </c>
      <c r="B46" s="391">
        <v>0.13324542351846105</v>
      </c>
      <c r="C46" s="392">
        <v>1.7157927396835245E-2</v>
      </c>
      <c r="D46" s="392">
        <v>2.451132485262178E-2</v>
      </c>
      <c r="E46" s="392">
        <v>2.3270245113248527E-2</v>
      </c>
      <c r="F46" s="392">
        <v>5.6934533043748063E-2</v>
      </c>
      <c r="G46" s="392">
        <v>1.1371393112007447E-2</v>
      </c>
      <c r="H46" s="391">
        <v>0.15138455891983879</v>
      </c>
      <c r="I46" s="393">
        <v>1.6798852317564717E-2</v>
      </c>
      <c r="J46" s="393">
        <v>2.3998360453663881E-2</v>
      </c>
      <c r="K46" s="393">
        <v>2.2783253595250522E-2</v>
      </c>
      <c r="L46" s="393">
        <v>5.5743027129712949E-2</v>
      </c>
      <c r="M46" s="393">
        <v>1.1133416590212421E-2</v>
      </c>
      <c r="N46" s="393">
        <v>2.0927648833434325E-2</v>
      </c>
      <c r="O46" s="394">
        <v>64.460000000000008</v>
      </c>
      <c r="P46" s="395">
        <v>1.3778310072752502</v>
      </c>
      <c r="Q46" s="388">
        <f t="shared" si="9"/>
        <v>-1.5612511283791264E-17</v>
      </c>
      <c r="S46" s="372"/>
      <c r="V46" s="693"/>
      <c r="W46" s="388"/>
      <c r="Z46" s="371"/>
    </row>
    <row r="47" spans="1:43" ht="14" customHeight="1">
      <c r="A47" s="390">
        <v>1985</v>
      </c>
      <c r="B47" s="391">
        <v>0.14040937445158819</v>
      </c>
      <c r="C47" s="392">
        <v>1.7740623155342129E-2</v>
      </c>
      <c r="D47" s="392">
        <v>2.9354987954882658E-2</v>
      </c>
      <c r="E47" s="392">
        <v>2.7616023994511893E-2</v>
      </c>
      <c r="F47" s="392">
        <v>5.7545348670250955E-2</v>
      </c>
      <c r="G47" s="392">
        <v>8.1523906766005644E-3</v>
      </c>
      <c r="H47" s="391">
        <v>0.15952010163897429</v>
      </c>
      <c r="I47" s="393">
        <v>1.7346207256448788E-2</v>
      </c>
      <c r="J47" s="393">
        <v>2.870235733081454E-2</v>
      </c>
      <c r="K47" s="393">
        <v>2.7002054641108678E-2</v>
      </c>
      <c r="L47" s="393">
        <v>5.62659798327435E-2</v>
      </c>
      <c r="M47" s="393">
        <v>7.9711438021990381E-3</v>
      </c>
      <c r="N47" s="393">
        <v>2.2232358775659745E-2</v>
      </c>
      <c r="O47" s="394">
        <v>62.680999999999997</v>
      </c>
      <c r="P47" s="395">
        <v>1.4252327666235287</v>
      </c>
      <c r="Q47" s="388">
        <f t="shared" si="9"/>
        <v>0</v>
      </c>
      <c r="S47" s="372"/>
      <c r="V47" s="693"/>
      <c r="W47" s="388"/>
      <c r="Z47" s="371"/>
    </row>
    <row r="48" spans="1:43" ht="14" customHeight="1">
      <c r="A48" s="390">
        <v>1986</v>
      </c>
      <c r="B48" s="391">
        <v>0.14691270404542228</v>
      </c>
      <c r="C48" s="392">
        <v>1.5330021291696239E-2</v>
      </c>
      <c r="D48" s="392">
        <v>4.3417317246273956E-2</v>
      </c>
      <c r="E48" s="392">
        <v>2.8548616039744498E-2</v>
      </c>
      <c r="F48" s="392">
        <v>4.6611071682044002E-2</v>
      </c>
      <c r="G48" s="392">
        <v>1.3005677785663592E-2</v>
      </c>
      <c r="H48" s="391">
        <v>0.16763137751108267</v>
      </c>
      <c r="I48" s="393">
        <v>1.4957705695308332E-2</v>
      </c>
      <c r="J48" s="393">
        <v>4.236285397733737E-2</v>
      </c>
      <c r="K48" s="393">
        <v>2.7855264425637856E-2</v>
      </c>
      <c r="L48" s="393">
        <v>4.5479042663859937E-2</v>
      </c>
      <c r="M48" s="393">
        <v>1.2689812817894684E-2</v>
      </c>
      <c r="N48" s="393">
        <v>2.4286697931044477E-2</v>
      </c>
      <c r="O48" s="394">
        <v>56.36</v>
      </c>
      <c r="P48" s="395">
        <v>1.4028693597711464</v>
      </c>
      <c r="Q48" s="388">
        <f t="shared" si="9"/>
        <v>-1.5612511283791264E-17</v>
      </c>
      <c r="S48" s="372"/>
      <c r="V48" s="693"/>
      <c r="W48" s="388"/>
      <c r="Z48" s="371"/>
    </row>
    <row r="49" spans="1:26" ht="14" customHeight="1">
      <c r="A49" s="390">
        <v>1987</v>
      </c>
      <c r="B49" s="391">
        <v>0.17109846232265738</v>
      </c>
      <c r="C49" s="392">
        <v>2.8148274006739728E-2</v>
      </c>
      <c r="D49" s="392">
        <v>5.1779797808172628E-2</v>
      </c>
      <c r="E49" s="392">
        <v>3.0286296831195311E-2</v>
      </c>
      <c r="F49" s="392">
        <v>4.7362161243734602E-2</v>
      </c>
      <c r="G49" s="392">
        <v>1.3521932432815111E-2</v>
      </c>
      <c r="H49" s="391">
        <v>0.194947942783848</v>
      </c>
      <c r="I49" s="393">
        <v>2.7338380816263715E-2</v>
      </c>
      <c r="J49" s="393">
        <v>5.0289969137362375E-2</v>
      </c>
      <c r="K49" s="393">
        <v>2.9414887608645919E-2</v>
      </c>
      <c r="L49" s="393">
        <v>4.5999438546479941E-2</v>
      </c>
      <c r="M49" s="393">
        <v>1.3132874084271553E-2</v>
      </c>
      <c r="N49" s="393">
        <v>2.8772392590824477E-2</v>
      </c>
      <c r="O49" s="394">
        <v>70.626000000000005</v>
      </c>
      <c r="P49" s="395">
        <v>2.0922788681226812</v>
      </c>
      <c r="Q49" s="388">
        <f t="shared" si="9"/>
        <v>0</v>
      </c>
      <c r="S49" s="372"/>
      <c r="V49" s="693"/>
      <c r="W49" s="388"/>
      <c r="Z49" s="371"/>
    </row>
    <row r="50" spans="1:26" ht="14" customHeight="1">
      <c r="A50" s="390">
        <v>1988</v>
      </c>
      <c r="B50" s="391">
        <v>0.13982084792006677</v>
      </c>
      <c r="C50" s="392">
        <v>2.2911034422614523E-2</v>
      </c>
      <c r="D50" s="392">
        <v>5.4729839161797501E-2</v>
      </c>
      <c r="E50" s="392">
        <v>2.5577136307573474E-2</v>
      </c>
      <c r="F50" s="392">
        <v>2.232548868152541E-2</v>
      </c>
      <c r="G50" s="392">
        <v>1.4277349346555869E-2</v>
      </c>
      <c r="H50" s="391">
        <v>0.15991605945165366</v>
      </c>
      <c r="I50" s="393">
        <v>2.2375794662366159E-2</v>
      </c>
      <c r="J50" s="393">
        <v>5.3451259353874132E-2</v>
      </c>
      <c r="K50" s="393">
        <v>2.4979611985773639E-2</v>
      </c>
      <c r="L50" s="393">
        <v>2.1803928240870123E-2</v>
      </c>
      <c r="M50" s="393">
        <v>1.3943806787967165E-2</v>
      </c>
      <c r="N50" s="393">
        <v>2.3361658420802425E-2</v>
      </c>
      <c r="O50" s="394">
        <v>80.266999999999996</v>
      </c>
      <c r="P50" s="395">
        <v>1.9200252095678005</v>
      </c>
      <c r="Q50" s="388">
        <f t="shared" si="9"/>
        <v>0</v>
      </c>
      <c r="S50" s="372"/>
      <c r="V50" s="693"/>
      <c r="W50" s="388"/>
      <c r="Z50" s="371"/>
    </row>
    <row r="51" spans="1:26" ht="14" customHeight="1">
      <c r="A51" s="396">
        <v>1989</v>
      </c>
      <c r="B51" s="397">
        <v>0.16793233170549338</v>
      </c>
      <c r="C51" s="398">
        <v>3.1298922821693109E-2</v>
      </c>
      <c r="D51" s="398">
        <v>4.9057176904923241E-2</v>
      </c>
      <c r="E51" s="398">
        <v>2.4966703273593942E-2</v>
      </c>
      <c r="F51" s="398">
        <v>4.8227679510246042E-2</v>
      </c>
      <c r="G51" s="398">
        <v>1.4381849195037036E-2</v>
      </c>
      <c r="H51" s="397">
        <v>0.19180191351092366</v>
      </c>
      <c r="I51" s="399">
        <v>3.0401048493460203E-2</v>
      </c>
      <c r="J51" s="399">
        <v>4.7649870333721311E-2</v>
      </c>
      <c r="K51" s="399">
        <v>2.4250481758314461E-2</v>
      </c>
      <c r="L51" s="399">
        <v>4.6844168787235421E-2</v>
      </c>
      <c r="M51" s="399">
        <v>1.396927610879041E-2</v>
      </c>
      <c r="N51" s="399">
        <v>2.8687068029401869E-2</v>
      </c>
      <c r="O51" s="400">
        <v>85.593999999999994</v>
      </c>
      <c r="P51" s="401">
        <v>2.5279606809383548</v>
      </c>
      <c r="Q51" s="388">
        <f t="shared" si="9"/>
        <v>0</v>
      </c>
      <c r="S51" s="372"/>
      <c r="V51" s="693"/>
      <c r="W51" s="388"/>
      <c r="Z51" s="371"/>
    </row>
    <row r="52" spans="1:26" ht="14" customHeight="1">
      <c r="A52" s="402">
        <v>1990</v>
      </c>
      <c r="B52" s="403">
        <v>0.19557788944723617</v>
      </c>
      <c r="C52" s="404">
        <v>3.7268696423292932E-2</v>
      </c>
      <c r="D52" s="404">
        <v>5.5879396984924626E-2</v>
      </c>
      <c r="E52" s="404">
        <v>3.0493644694058526E-2</v>
      </c>
      <c r="F52" s="404">
        <v>4.6621342004138339E-2</v>
      </c>
      <c r="G52" s="404">
        <v>2.5314809340821757E-2</v>
      </c>
      <c r="H52" s="403">
        <v>0.2222382814534053</v>
      </c>
      <c r="I52" s="405">
        <v>3.6033526425888029E-2</v>
      </c>
      <c r="J52" s="405">
        <v>5.4027425726125282E-2</v>
      </c>
      <c r="K52" s="405">
        <v>2.9483015435395062E-2</v>
      </c>
      <c r="L52" s="405">
        <v>4.5076203901420218E-2</v>
      </c>
      <c r="M52" s="405">
        <v>2.4475818552609864E-2</v>
      </c>
      <c r="N52" s="405">
        <v>3.3142291411966833E-2</v>
      </c>
      <c r="O52" s="406">
        <v>84.574999999999989</v>
      </c>
      <c r="P52" s="407">
        <v>2.8990918428529842</v>
      </c>
      <c r="Q52" s="388">
        <f t="shared" si="9"/>
        <v>0</v>
      </c>
      <c r="S52" s="372"/>
      <c r="T52" s="674">
        <v>846.85833333333335</v>
      </c>
      <c r="V52" s="693"/>
      <c r="W52" s="388"/>
      <c r="Z52" s="371"/>
    </row>
    <row r="53" spans="1:26" ht="14" customHeight="1">
      <c r="A53" s="390">
        <v>1991</v>
      </c>
      <c r="B53" s="391">
        <v>0.20827819538614753</v>
      </c>
      <c r="C53" s="392">
        <v>4.111812935703469E-2</v>
      </c>
      <c r="D53" s="392">
        <v>5.8607658831393843E-2</v>
      </c>
      <c r="E53" s="392">
        <v>3.8116806046302236E-2</v>
      </c>
      <c r="F53" s="392">
        <v>4.6875213162166952E-2</v>
      </c>
      <c r="G53" s="392">
        <v>2.3560387989249806E-2</v>
      </c>
      <c r="H53" s="391">
        <v>0.23597268604314992</v>
      </c>
      <c r="I53" s="393">
        <v>3.9679813975702964E-2</v>
      </c>
      <c r="J53" s="393">
        <v>5.6557558340948895E-2</v>
      </c>
      <c r="K53" s="393">
        <v>3.6783477189155311E-2</v>
      </c>
      <c r="L53" s="393">
        <v>4.523551453898985E-2</v>
      </c>
      <c r="M53" s="393">
        <v>2.2736243774399149E-2</v>
      </c>
      <c r="N53" s="393">
        <v>3.4980078223953756E-2</v>
      </c>
      <c r="O53" s="394">
        <v>73.301000000000002</v>
      </c>
      <c r="P53" s="395">
        <v>2.6570173900400404</v>
      </c>
      <c r="Q53" s="388">
        <f t="shared" si="9"/>
        <v>0</v>
      </c>
      <c r="S53" s="372"/>
      <c r="T53" s="674">
        <v>837.35</v>
      </c>
      <c r="V53" s="693"/>
      <c r="W53" s="388"/>
      <c r="Z53" s="371"/>
    </row>
    <row r="54" spans="1:26" ht="14" customHeight="1">
      <c r="A54" s="390">
        <v>1992</v>
      </c>
      <c r="B54" s="391">
        <v>0.19422005270206055</v>
      </c>
      <c r="C54" s="392">
        <v>4.9894163894768674E-2</v>
      </c>
      <c r="D54" s="392">
        <v>5.4530793266807778E-2</v>
      </c>
      <c r="E54" s="392">
        <v>2.162800408944951E-2</v>
      </c>
      <c r="F54" s="392">
        <v>4.6481489481187091E-2</v>
      </c>
      <c r="G54" s="392">
        <v>2.168560196984751E-2</v>
      </c>
      <c r="H54" s="391">
        <v>0.22111926058292281</v>
      </c>
      <c r="I54" s="393">
        <v>4.82285559441765E-2</v>
      </c>
      <c r="J54" s="393">
        <v>5.2710401547069664E-2</v>
      </c>
      <c r="K54" s="393">
        <v>2.0906000296725284E-2</v>
      </c>
      <c r="L54" s="393">
        <v>4.4929806230245811E-2</v>
      </c>
      <c r="M54" s="393">
        <v>2.0961675397382338E-2</v>
      </c>
      <c r="N54" s="393">
        <v>3.3382821167323218E-2</v>
      </c>
      <c r="O54" s="394">
        <v>69.447000000000003</v>
      </c>
      <c r="P54" s="395">
        <v>2.3984022137976133</v>
      </c>
      <c r="Q54" s="388">
        <f t="shared" si="9"/>
        <v>0</v>
      </c>
      <c r="S54" s="372"/>
      <c r="T54" s="674">
        <v>857.45</v>
      </c>
      <c r="V54" s="693"/>
      <c r="W54" s="388"/>
      <c r="Z54" s="371"/>
    </row>
    <row r="55" spans="1:26" ht="14" customHeight="1">
      <c r="A55" s="390">
        <v>1993</v>
      </c>
      <c r="B55" s="391">
        <v>0.19241871874449429</v>
      </c>
      <c r="C55" s="392">
        <v>4.5089243362651958E-2</v>
      </c>
      <c r="D55" s="392">
        <v>4.2039925732175042E-2</v>
      </c>
      <c r="E55" s="392">
        <v>2.7037282990228631E-2</v>
      </c>
      <c r="F55" s="392">
        <v>4.3828858742054833E-2</v>
      </c>
      <c r="G55" s="392">
        <v>3.4423407917383818E-2</v>
      </c>
      <c r="H55" s="391">
        <v>0.21917563111041416</v>
      </c>
      <c r="I55" s="393">
        <v>4.3595339329333467E-2</v>
      </c>
      <c r="J55" s="393">
        <v>4.0647052179017852E-2</v>
      </c>
      <c r="K55" s="393">
        <v>2.6141479399465064E-2</v>
      </c>
      <c r="L55" s="393">
        <v>4.2376713973869676E-2</v>
      </c>
      <c r="M55" s="393">
        <v>3.3282886052451756E-2</v>
      </c>
      <c r="N55" s="393">
        <v>3.3132160176276355E-2</v>
      </c>
      <c r="O55" s="394">
        <v>73.786999999999992</v>
      </c>
      <c r="P55" s="395">
        <v>2.5284972798067393</v>
      </c>
      <c r="Q55" s="388">
        <f t="shared" si="9"/>
        <v>0</v>
      </c>
      <c r="S55" s="372"/>
      <c r="T55" s="674">
        <v>871.14166666666665</v>
      </c>
      <c r="V55" s="693"/>
      <c r="W55" s="388"/>
      <c r="Z55" s="371"/>
    </row>
    <row r="56" spans="1:26" ht="14" customHeight="1">
      <c r="A56" s="390">
        <v>1994</v>
      </c>
      <c r="B56" s="391">
        <v>0.18929328621908129</v>
      </c>
      <c r="C56" s="392">
        <v>4.5535924617196702E-2</v>
      </c>
      <c r="D56" s="392">
        <v>4.685512367491166E-2</v>
      </c>
      <c r="E56" s="392">
        <v>2.7597173144876325E-2</v>
      </c>
      <c r="F56" s="392">
        <v>3.5700824499411074E-2</v>
      </c>
      <c r="G56" s="392">
        <v>3.3604240282685514E-2</v>
      </c>
      <c r="H56" s="391">
        <v>0.21589573879094776</v>
      </c>
      <c r="I56" s="393">
        <v>4.4041713141759947E-2</v>
      </c>
      <c r="J56" s="393">
        <v>4.5317624127760234E-2</v>
      </c>
      <c r="K56" s="393">
        <v>2.6691602144631028E-2</v>
      </c>
      <c r="L56" s="393">
        <v>3.4529341058632805E-2</v>
      </c>
      <c r="M56" s="393">
        <v>3.2501553955882341E-2</v>
      </c>
      <c r="N56" s="393">
        <v>3.2813904362281418E-2</v>
      </c>
      <c r="O56" s="394">
        <v>84.9</v>
      </c>
      <c r="P56" s="395">
        <v>2.8804182493140544</v>
      </c>
      <c r="Q56" s="388">
        <f t="shared" si="9"/>
        <v>0</v>
      </c>
      <c r="S56" s="372"/>
      <c r="T56" s="674">
        <v>898.73333333333335</v>
      </c>
      <c r="V56" s="693"/>
      <c r="W56" s="388"/>
      <c r="Z56" s="371"/>
    </row>
    <row r="57" spans="1:26">
      <c r="A57" s="390">
        <v>1995</v>
      </c>
      <c r="B57" s="391">
        <v>0.20848711699164346</v>
      </c>
      <c r="C57" s="392">
        <v>4.5560584958217271E-2</v>
      </c>
      <c r="D57" s="392">
        <v>5.9235724233983288E-2</v>
      </c>
      <c r="E57" s="392">
        <v>3.1267409470752086E-2</v>
      </c>
      <c r="F57" s="392">
        <v>3.794394150417827E-2</v>
      </c>
      <c r="G57" s="392">
        <v>3.4479456824512533E-2</v>
      </c>
      <c r="H57" s="391">
        <v>0.23733267458795446</v>
      </c>
      <c r="I57" s="393">
        <v>4.3900194450688414E-2</v>
      </c>
      <c r="J57" s="393">
        <v>5.7076962788867903E-2</v>
      </c>
      <c r="K57" s="393">
        <v>3.0127913348657387E-2</v>
      </c>
      <c r="L57" s="393">
        <v>3.6561128698997088E-2</v>
      </c>
      <c r="M57" s="393">
        <v>3.322290221994207E-2</v>
      </c>
      <c r="N57" s="393">
        <v>3.6443573080801622E-2</v>
      </c>
      <c r="O57" s="394">
        <v>114.88</v>
      </c>
      <c r="P57" s="395">
        <v>4.3449844332506036</v>
      </c>
      <c r="Q57" s="388">
        <f t="shared" si="9"/>
        <v>0</v>
      </c>
      <c r="S57" s="372"/>
      <c r="T57" s="674">
        <v>930.2</v>
      </c>
      <c r="V57" s="693"/>
      <c r="W57" s="388"/>
      <c r="Z57" s="371"/>
    </row>
    <row r="58" spans="1:26">
      <c r="A58" s="390">
        <v>1996</v>
      </c>
      <c r="B58" s="391">
        <v>0.19729520213068072</v>
      </c>
      <c r="C58" s="392">
        <v>4.3526982738108941E-2</v>
      </c>
      <c r="D58" s="392">
        <v>4.8193603352598494E-2</v>
      </c>
      <c r="E58" s="392">
        <v>2.2688372592814324E-2</v>
      </c>
      <c r="F58" s="392">
        <v>3.7624628704321997E-2</v>
      </c>
      <c r="G58" s="392">
        <v>4.5261614742836964E-2</v>
      </c>
      <c r="H58" s="391">
        <v>0.22459365070876289</v>
      </c>
      <c r="I58" s="393">
        <v>4.2046713648912867E-2</v>
      </c>
      <c r="J58" s="393">
        <v>4.655463145856531E-2</v>
      </c>
      <c r="K58" s="393">
        <v>2.191678461403393E-2</v>
      </c>
      <c r="L58" s="393">
        <v>3.6345087340322844E-2</v>
      </c>
      <c r="M58" s="393">
        <v>4.3722354150527096E-2</v>
      </c>
      <c r="N58" s="393">
        <v>3.4008079496400861E-2</v>
      </c>
      <c r="O58" s="394">
        <v>130.28700000000001</v>
      </c>
      <c r="P58" s="395">
        <v>4.5867988740916914</v>
      </c>
      <c r="Q58" s="388">
        <f t="shared" si="9"/>
        <v>0</v>
      </c>
      <c r="S58" s="372"/>
      <c r="T58" s="674">
        <v>972.0916666666667</v>
      </c>
      <c r="V58" s="693"/>
      <c r="W58" s="388"/>
      <c r="Z58" s="371"/>
    </row>
    <row r="59" spans="1:26">
      <c r="A59" s="390">
        <v>1997</v>
      </c>
      <c r="B59" s="391">
        <v>0.2247690207032306</v>
      </c>
      <c r="C59" s="392">
        <v>5.6301420184783436E-2</v>
      </c>
      <c r="D59" s="392">
        <v>5.4499331147722783E-2</v>
      </c>
      <c r="E59" s="392">
        <v>2.3233086354720434E-2</v>
      </c>
      <c r="F59" s="392">
        <v>5.5545929011554161E-2</v>
      </c>
      <c r="G59" s="392">
        <v>3.5189254004449777E-2</v>
      </c>
      <c r="H59" s="391">
        <v>0.25499068595223295</v>
      </c>
      <c r="I59" s="393">
        <v>5.4106561208157607E-2</v>
      </c>
      <c r="J59" s="393">
        <v>5.2374724951341038E-2</v>
      </c>
      <c r="K59" s="393">
        <v>2.2327365895573593E-2</v>
      </c>
      <c r="L59" s="393">
        <v>5.3380522162030659E-2</v>
      </c>
      <c r="M59" s="393">
        <v>3.3817433368683515E-2</v>
      </c>
      <c r="N59" s="393">
        <v>3.8984078366446524E-2</v>
      </c>
      <c r="O59" s="394">
        <v>144.27699999999999</v>
      </c>
      <c r="P59" s="395">
        <v>5.85266669142709</v>
      </c>
      <c r="Q59" s="388">
        <f t="shared" si="9"/>
        <v>0</v>
      </c>
      <c r="S59" s="372"/>
      <c r="T59" s="674">
        <v>989.125</v>
      </c>
      <c r="V59" s="693"/>
      <c r="W59" s="388"/>
      <c r="Z59" s="371"/>
    </row>
    <row r="60" spans="1:26">
      <c r="A60" s="390">
        <v>1998</v>
      </c>
      <c r="B60" s="391">
        <v>0.26337617575054761</v>
      </c>
      <c r="C60" s="392">
        <v>8.7078018296611256E-2</v>
      </c>
      <c r="D60" s="392">
        <v>5.963310140445819E-2</v>
      </c>
      <c r="E60" s="392">
        <v>2.7686509470429069E-2</v>
      </c>
      <c r="F60" s="392">
        <v>6.4134776446334238E-2</v>
      </c>
      <c r="G60" s="392">
        <v>2.4843770132714858E-2</v>
      </c>
      <c r="H60" s="391">
        <v>0.29715641043968355</v>
      </c>
      <c r="I60" s="393">
        <v>8.3084778059884554E-2</v>
      </c>
      <c r="J60" s="393">
        <v>5.6898435358683545E-2</v>
      </c>
      <c r="K60" s="393">
        <v>2.6416856281317222E-2</v>
      </c>
      <c r="L60" s="393">
        <v>6.1193671734848853E-2</v>
      </c>
      <c r="M60" s="393">
        <v>2.3704479821949866E-2</v>
      </c>
      <c r="N60" s="393">
        <v>4.585818918299954E-2</v>
      </c>
      <c r="O60" s="394">
        <v>124.176</v>
      </c>
      <c r="P60" s="395">
        <v>5.9681762558043117</v>
      </c>
      <c r="Q60" s="388">
        <f t="shared" si="9"/>
        <v>0</v>
      </c>
      <c r="S60" s="372"/>
      <c r="T60" s="674">
        <v>996.35</v>
      </c>
      <c r="V60" s="693"/>
      <c r="W60" s="388"/>
      <c r="Z60" s="371"/>
    </row>
    <row r="61" spans="1:26">
      <c r="A61" s="396">
        <v>1999</v>
      </c>
      <c r="B61" s="397">
        <v>0.24067316633323002</v>
      </c>
      <c r="C61" s="398">
        <v>7.9411930457324809E-2</v>
      </c>
      <c r="D61" s="398">
        <v>4.5422525289526332E-2</v>
      </c>
      <c r="E61" s="398">
        <v>2.5035926625151455E-2</v>
      </c>
      <c r="F61" s="398">
        <v>5.6376623742568119E-2</v>
      </c>
      <c r="G61" s="398">
        <v>3.4426160218659303E-2</v>
      </c>
      <c r="H61" s="397">
        <v>0.27232370018827079</v>
      </c>
      <c r="I61" s="399">
        <v>7.6101853844733086E-2</v>
      </c>
      <c r="J61" s="399">
        <v>4.352920727320491E-2</v>
      </c>
      <c r="K61" s="399">
        <v>2.3992370137867595E-2</v>
      </c>
      <c r="L61" s="399">
        <v>5.4026713059469426E-2</v>
      </c>
      <c r="M61" s="399">
        <v>3.2991196641462842E-2</v>
      </c>
      <c r="N61" s="399">
        <v>4.1682359231532899E-2</v>
      </c>
      <c r="O61" s="400">
        <v>141.95600000000002</v>
      </c>
      <c r="P61" s="401">
        <v>6.174425613543586</v>
      </c>
      <c r="Q61" s="388">
        <f t="shared" si="9"/>
        <v>0</v>
      </c>
      <c r="S61" s="372"/>
      <c r="T61" s="674">
        <v>1010.6833333333333</v>
      </c>
      <c r="V61" s="693"/>
      <c r="W61" s="388"/>
      <c r="Z61" s="371"/>
    </row>
    <row r="62" spans="1:26">
      <c r="A62" s="402">
        <v>2000</v>
      </c>
      <c r="B62" s="403">
        <v>0.24181115854898202</v>
      </c>
      <c r="C62" s="404">
        <v>7.2504429148151375E-2</v>
      </c>
      <c r="D62" s="404">
        <v>4.3873253753884581E-2</v>
      </c>
      <c r="E62" s="404">
        <v>2.1718799918677936E-2</v>
      </c>
      <c r="F62" s="404">
        <v>5.4898202201504459E-2</v>
      </c>
      <c r="G62" s="404">
        <v>4.8816473526763673E-2</v>
      </c>
      <c r="H62" s="403">
        <v>0.27312296193690111</v>
      </c>
      <c r="I62" s="405">
        <v>6.9510129699091372E-2</v>
      </c>
      <c r="J62" s="405">
        <v>4.2061369140941933E-2</v>
      </c>
      <c r="K62" s="405">
        <v>2.0821853464581212E-2</v>
      </c>
      <c r="L62" s="405">
        <v>5.263100751370875E-2</v>
      </c>
      <c r="M62" s="405">
        <v>4.6800443037266777E-2</v>
      </c>
      <c r="N62" s="405">
        <v>4.1298159081311042E-2</v>
      </c>
      <c r="O62" s="406">
        <v>172.15499999999997</v>
      </c>
      <c r="P62" s="407">
        <v>7.4159496448136055</v>
      </c>
      <c r="Q62" s="388">
        <f t="shared" si="9"/>
        <v>0</v>
      </c>
      <c r="S62" s="372"/>
      <c r="T62" s="674">
        <v>1025.8666666666666</v>
      </c>
      <c r="V62" s="693"/>
      <c r="W62" s="388"/>
      <c r="Z62" s="371"/>
    </row>
    <row r="63" spans="1:26">
      <c r="A63" s="390">
        <v>2001</v>
      </c>
      <c r="B63" s="391">
        <v>0.26986217935098233</v>
      </c>
      <c r="C63" s="392">
        <v>9.0043768325330384E-2</v>
      </c>
      <c r="D63" s="392">
        <v>4.8704655873312651E-2</v>
      </c>
      <c r="E63" s="392">
        <v>2.4589583421861499E-2</v>
      </c>
      <c r="F63" s="392">
        <v>7.0043485035198805E-2</v>
      </c>
      <c r="G63" s="392">
        <v>3.6480686695278972E-2</v>
      </c>
      <c r="H63" s="391">
        <v>0.30342349845328126</v>
      </c>
      <c r="I63" s="393">
        <v>8.5904840637330823E-2</v>
      </c>
      <c r="J63" s="393">
        <v>4.6465910733280165E-2</v>
      </c>
      <c r="K63" s="393">
        <v>2.3459305229889302E-2</v>
      </c>
      <c r="L63" s="393">
        <v>6.6823885001038363E-2</v>
      </c>
      <c r="M63" s="393">
        <v>3.4803825241693495E-2</v>
      </c>
      <c r="N63" s="393">
        <v>4.5965731610049056E-2</v>
      </c>
      <c r="O63" s="394">
        <v>141.19800000000001</v>
      </c>
      <c r="P63" s="395">
        <v>6.802973003085965</v>
      </c>
      <c r="Q63" s="388">
        <f t="shared" si="9"/>
        <v>0</v>
      </c>
      <c r="S63" s="372"/>
      <c r="T63" s="674">
        <v>1009.4416666666667</v>
      </c>
      <c r="V63" s="693"/>
      <c r="W63" s="388"/>
      <c r="Z63" s="371"/>
    </row>
    <row r="64" spans="1:26">
      <c r="A64" s="390">
        <v>2002</v>
      </c>
      <c r="B64" s="391">
        <v>0.2736751901930386</v>
      </c>
      <c r="C64" s="392">
        <v>0.11838739852555423</v>
      </c>
      <c r="D64" s="392">
        <v>3.2654983613635023E-2</v>
      </c>
      <c r="E64" s="392">
        <v>2.8167539951985662E-2</v>
      </c>
      <c r="F64" s="392">
        <v>6.1143055255738502E-2</v>
      </c>
      <c r="G64" s="392">
        <v>3.3322212846125167E-2</v>
      </c>
      <c r="H64" s="391">
        <v>0.30780806839633928</v>
      </c>
      <c r="I64" s="393">
        <v>0.11282390599422747</v>
      </c>
      <c r="J64" s="393">
        <v>3.1120396658370172E-2</v>
      </c>
      <c r="K64" s="393">
        <v>2.6843835739371387E-2</v>
      </c>
      <c r="L64" s="393">
        <v>5.826970103481291E-2</v>
      </c>
      <c r="M64" s="393">
        <v>3.175627014778399E-2</v>
      </c>
      <c r="N64" s="393">
        <v>4.6993958821773374E-2</v>
      </c>
      <c r="O64" s="394">
        <v>152.87100000000001</v>
      </c>
      <c r="P64" s="395">
        <v>7.538266462782893</v>
      </c>
      <c r="Q64" s="388">
        <f t="shared" si="9"/>
        <v>0</v>
      </c>
      <c r="S64" s="372"/>
      <c r="T64" s="674">
        <v>1004.4916666666667</v>
      </c>
      <c r="V64" s="693"/>
      <c r="W64" s="388"/>
      <c r="Z64" s="371"/>
    </row>
    <row r="65" spans="1:26">
      <c r="A65" s="390">
        <v>2003</v>
      </c>
      <c r="B65" s="391">
        <v>0.25758783049619705</v>
      </c>
      <c r="C65" s="392">
        <v>0.11267415187733913</v>
      </c>
      <c r="D65" s="392">
        <v>2.9713871785584933E-2</v>
      </c>
      <c r="E65" s="392">
        <v>2.5319328745623565E-2</v>
      </c>
      <c r="F65" s="392">
        <v>5.7824459736810337E-2</v>
      </c>
      <c r="G65" s="392">
        <v>3.2056018350839065E-2</v>
      </c>
      <c r="H65" s="391">
        <v>0.29046722676424919</v>
      </c>
      <c r="I65" s="393">
        <v>0.10768412310232893</v>
      </c>
      <c r="J65" s="393">
        <v>2.839792600071275E-2</v>
      </c>
      <c r="K65" s="393">
        <v>2.4198005204247839E-2</v>
      </c>
      <c r="L65" s="393">
        <v>5.5263573205352592E-2</v>
      </c>
      <c r="M65" s="393">
        <v>3.063634532630119E-2</v>
      </c>
      <c r="N65" s="393">
        <v>4.4287253925305914E-2</v>
      </c>
      <c r="O65" s="394">
        <v>207.07500000000002</v>
      </c>
      <c r="P65" s="395">
        <v>9.5957526403712698</v>
      </c>
      <c r="Q65" s="388">
        <f t="shared" si="9"/>
        <v>0</v>
      </c>
      <c r="S65" s="372"/>
      <c r="T65" s="674">
        <v>1023.8166666666667</v>
      </c>
      <c r="V65" s="693"/>
      <c r="W65" s="388"/>
      <c r="Z65" s="371"/>
    </row>
    <row r="66" spans="1:26">
      <c r="A66" s="390">
        <v>2004</v>
      </c>
      <c r="B66" s="391">
        <v>0.27582382334414118</v>
      </c>
      <c r="C66" s="392">
        <v>0.11435947179465379</v>
      </c>
      <c r="D66" s="392">
        <v>3.2392575445484864E-2</v>
      </c>
      <c r="E66" s="392">
        <v>3.4216638391114648E-2</v>
      </c>
      <c r="F66" s="392">
        <v>6.1728299640984224E-2</v>
      </c>
      <c r="G66" s="392">
        <v>3.3126838071903635E-2</v>
      </c>
      <c r="H66" s="391">
        <v>0.31000075762995749</v>
      </c>
      <c r="I66" s="393">
        <v>0.10896236501528522</v>
      </c>
      <c r="J66" s="393">
        <v>3.0863832912885945E-2</v>
      </c>
      <c r="K66" s="393">
        <v>3.2601810619266543E-2</v>
      </c>
      <c r="L66" s="393">
        <v>5.8815080305121357E-2</v>
      </c>
      <c r="M66" s="393">
        <v>3.1563442582827284E-2</v>
      </c>
      <c r="N66" s="393">
        <v>4.7194226194571129E-2</v>
      </c>
      <c r="O66" s="394">
        <v>258.76299999999998</v>
      </c>
      <c r="P66" s="395">
        <v>12.817008343695896</v>
      </c>
      <c r="Q66" s="388">
        <f t="shared" si="9"/>
        <v>0</v>
      </c>
      <c r="S66" s="372"/>
      <c r="T66" s="674">
        <v>1048.5083333333334</v>
      </c>
      <c r="V66" s="693"/>
      <c r="W66" s="388"/>
      <c r="Z66" s="371"/>
    </row>
    <row r="67" spans="1:26">
      <c r="A67" s="390">
        <v>2005</v>
      </c>
      <c r="B67" s="391">
        <v>0.23844894139665457</v>
      </c>
      <c r="C67" s="392">
        <v>9.4658655059686889E-2</v>
      </c>
      <c r="D67" s="392">
        <v>2.9535618200959176E-2</v>
      </c>
      <c r="E67" s="392">
        <v>3.413449403131176E-2</v>
      </c>
      <c r="F67" s="392">
        <v>5.6279281664214344E-2</v>
      </c>
      <c r="G67" s="392">
        <v>2.384089244048242E-2</v>
      </c>
      <c r="H67" s="391">
        <v>0.26940633772926098</v>
      </c>
      <c r="I67" s="393">
        <v>9.081073774949576E-2</v>
      </c>
      <c r="J67" s="393">
        <v>2.83349819097399E-2</v>
      </c>
      <c r="K67" s="393">
        <v>3.2746911349359649E-2</v>
      </c>
      <c r="L67" s="393">
        <v>5.3991503309616946E-2</v>
      </c>
      <c r="M67" s="393">
        <v>2.2871749337252271E-2</v>
      </c>
      <c r="N67" s="393">
        <v>4.0650454073796423E-2</v>
      </c>
      <c r="O67" s="394">
        <v>324.86200000000002</v>
      </c>
      <c r="P67" s="395">
        <v>13.765355774023046</v>
      </c>
      <c r="Q67" s="388">
        <f t="shared" si="9"/>
        <v>-3.8163916471489756E-17</v>
      </c>
      <c r="S67" s="372"/>
      <c r="T67" s="674">
        <v>1051.925</v>
      </c>
      <c r="V67" s="693"/>
      <c r="W67" s="388"/>
      <c r="Z67" s="371"/>
    </row>
    <row r="68" spans="1:26">
      <c r="A68" s="390">
        <v>2006</v>
      </c>
      <c r="B68" s="391">
        <v>0.25735143112970665</v>
      </c>
      <c r="C68" s="392">
        <v>0.10365524738431713</v>
      </c>
      <c r="D68" s="392">
        <v>1.7146721942163358E-2</v>
      </c>
      <c r="E68" s="392">
        <v>3.8425415045413351E-2</v>
      </c>
      <c r="F68" s="392">
        <v>6.6563344569155067E-2</v>
      </c>
      <c r="G68" s="392">
        <v>3.1560702188657752E-2</v>
      </c>
      <c r="H68" s="391">
        <v>0.28992513035707901</v>
      </c>
      <c r="I68" s="393">
        <v>9.9108770095911652E-2</v>
      </c>
      <c r="J68" s="393">
        <v>1.6394640558462521E-2</v>
      </c>
      <c r="K68" s="393">
        <v>3.6740017719084091E-2</v>
      </c>
      <c r="L68" s="393">
        <v>6.3643774726232102E-2</v>
      </c>
      <c r="M68" s="393">
        <v>3.0176401641143245E-2</v>
      </c>
      <c r="N68" s="393">
        <v>4.3861525616245407E-2</v>
      </c>
      <c r="O68" s="394">
        <v>365.20100000000002</v>
      </c>
      <c r="P68" s="395">
        <v>16.75308906160528</v>
      </c>
      <c r="Q68" s="388">
        <f t="shared" si="9"/>
        <v>0</v>
      </c>
      <c r="S68" s="372"/>
      <c r="T68" s="674">
        <v>1045.1583333333333</v>
      </c>
      <c r="V68" s="693"/>
      <c r="W68" s="388"/>
      <c r="Z68" s="371"/>
    </row>
    <row r="69" spans="1:26">
      <c r="A69" s="390">
        <v>2007</v>
      </c>
      <c r="B69" s="391">
        <v>0.26148969133595518</v>
      </c>
      <c r="C69" s="392">
        <v>0.11278751042783935</v>
      </c>
      <c r="D69" s="392">
        <v>1.7831009414849244E-2</v>
      </c>
      <c r="E69" s="392">
        <v>3.6980097723751638E-2</v>
      </c>
      <c r="F69" s="392">
        <v>6.3284471457514008E-2</v>
      </c>
      <c r="G69" s="392">
        <v>3.0606602312000953E-2</v>
      </c>
      <c r="H69" s="391">
        <v>0.29445988325974304</v>
      </c>
      <c r="I69" s="393">
        <v>0.10775220378176283</v>
      </c>
      <c r="J69" s="393">
        <v>1.7034958505734735E-2</v>
      </c>
      <c r="K69" s="393">
        <v>3.5329151345605457E-2</v>
      </c>
      <c r="L69" s="393">
        <v>6.0459187713642962E-2</v>
      </c>
      <c r="M69" s="393">
        <v>2.9240195451428915E-2</v>
      </c>
      <c r="N69" s="393">
        <v>4.4644186461568161E-2</v>
      </c>
      <c r="O69" s="394">
        <v>419.55000000000007</v>
      </c>
      <c r="P69" s="395">
        <v>19.605751244216865</v>
      </c>
      <c r="Q69" s="388">
        <f t="shared" si="9"/>
        <v>0</v>
      </c>
      <c r="S69" s="372"/>
      <c r="T69" s="674">
        <v>1032.4583333333333</v>
      </c>
      <c r="V69" s="693"/>
      <c r="W69" s="388"/>
      <c r="Z69" s="371"/>
    </row>
    <row r="70" spans="1:26">
      <c r="A70" s="390">
        <v>2008</v>
      </c>
      <c r="B70" s="391">
        <v>0.23418262615827837</v>
      </c>
      <c r="C70" s="392">
        <v>8.5540054947256861E-2</v>
      </c>
      <c r="D70" s="392">
        <v>7.5763985056483468E-3</v>
      </c>
      <c r="E70" s="392">
        <v>4.0998935786516102E-2</v>
      </c>
      <c r="F70" s="392">
        <v>7.0703405037870856E-2</v>
      </c>
      <c r="G70" s="392">
        <v>2.9363831880986201E-2</v>
      </c>
      <c r="H70" s="391">
        <v>0.26443750314237269</v>
      </c>
      <c r="I70" s="409">
        <v>8.216065415531712E-2</v>
      </c>
      <c r="J70" s="409">
        <v>7.2770804010969057E-3</v>
      </c>
      <c r="K70" s="409">
        <v>3.9379205285395097E-2</v>
      </c>
      <c r="L70" s="409">
        <v>6.7910150542942818E-2</v>
      </c>
      <c r="M70" s="409">
        <v>2.8203765327671784E-2</v>
      </c>
      <c r="N70" s="393">
        <v>3.9506647429948964E-2</v>
      </c>
      <c r="O70" s="394">
        <v>449.15799999999996</v>
      </c>
      <c r="P70" s="395">
        <v>18.474596100910393</v>
      </c>
      <c r="Q70" s="388">
        <f t="shared" si="9"/>
        <v>0</v>
      </c>
      <c r="S70" s="372"/>
      <c r="T70" s="674">
        <v>1013.8333333333334</v>
      </c>
      <c r="V70" s="693"/>
      <c r="W70" s="388"/>
      <c r="Z70" s="371"/>
    </row>
    <row r="71" spans="1:26">
      <c r="A71" s="396">
        <v>2009</v>
      </c>
      <c r="B71" s="397">
        <v>0.30254666034579197</v>
      </c>
      <c r="C71" s="398">
        <v>0.11080844488924674</v>
      </c>
      <c r="D71" s="398">
        <v>3.6886818718818902E-2</v>
      </c>
      <c r="E71" s="398">
        <v>5.6769982868422969E-2</v>
      </c>
      <c r="F71" s="398">
        <v>6.4013905924315051E-2</v>
      </c>
      <c r="G71" s="398">
        <v>3.4067507944988321E-2</v>
      </c>
      <c r="H71" s="397">
        <v>0.33879156828500212</v>
      </c>
      <c r="I71" s="410">
        <v>0.1050500067894464</v>
      </c>
      <c r="J71" s="410">
        <v>3.4969902887149386E-2</v>
      </c>
      <c r="K71" s="410">
        <v>5.3819788660740657E-2</v>
      </c>
      <c r="L71" s="410">
        <v>6.0687263129534846E-2</v>
      </c>
      <c r="M71" s="410">
        <v>3.2297104652064659E-2</v>
      </c>
      <c r="N71" s="399">
        <v>5.1967502166066194E-2</v>
      </c>
      <c r="O71" s="400">
        <v>398.67900000000003</v>
      </c>
      <c r="P71" s="401">
        <v>21.854052306648168</v>
      </c>
      <c r="Q71" s="388">
        <f t="shared" si="9"/>
        <v>0</v>
      </c>
      <c r="S71" s="372"/>
      <c r="T71" s="674">
        <v>964.47500000000002</v>
      </c>
      <c r="V71" s="693"/>
      <c r="W71" s="388"/>
      <c r="Z71" s="371"/>
    </row>
    <row r="72" spans="1:26">
      <c r="A72" s="390">
        <v>2010</v>
      </c>
      <c r="B72" s="391">
        <v>0.26530674333348547</v>
      </c>
      <c r="C72" s="392">
        <v>0.11167756474195574</v>
      </c>
      <c r="D72" s="392">
        <v>1.2225836804853826E-2</v>
      </c>
      <c r="E72" s="392">
        <v>4.6977984366749027E-2</v>
      </c>
      <c r="F72" s="392">
        <v>6.01686756937065E-2</v>
      </c>
      <c r="G72" s="392">
        <v>3.4256681726220359E-2</v>
      </c>
      <c r="H72" s="391">
        <v>0.29872706526898118</v>
      </c>
      <c r="I72" s="409">
        <v>0.10659748522199022</v>
      </c>
      <c r="J72" s="409">
        <v>1.1669698037767644E-2</v>
      </c>
      <c r="K72" s="409">
        <v>4.4841011763324015E-2</v>
      </c>
      <c r="L72" s="409">
        <v>5.7431674239194909E-2</v>
      </c>
      <c r="M72" s="409">
        <v>3.2698386041124981E-2</v>
      </c>
      <c r="N72" s="393">
        <v>4.5488809965579434E-2</v>
      </c>
      <c r="O72" s="394">
        <v>460.17300000000006</v>
      </c>
      <c r="P72" s="395">
        <v>21.930305654704512</v>
      </c>
      <c r="Q72" s="388">
        <f t="shared" si="9"/>
        <v>0</v>
      </c>
      <c r="S72" s="372"/>
      <c r="T72" s="674">
        <v>932.23333333333335</v>
      </c>
      <c r="V72" s="693"/>
      <c r="W72" s="388"/>
      <c r="Z72" s="371"/>
    </row>
    <row r="73" spans="1:26">
      <c r="A73" s="390">
        <v>2011</v>
      </c>
      <c r="B73" s="391">
        <v>0.27559669784418844</v>
      </c>
      <c r="C73" s="392">
        <v>0.1120180791604882</v>
      </c>
      <c r="D73" s="392">
        <v>2.9155854340139158E-2</v>
      </c>
      <c r="E73" s="392">
        <v>4.7832069122847043E-2</v>
      </c>
      <c r="F73" s="392">
        <v>4.3961018592448955E-2</v>
      </c>
      <c r="G73" s="392">
        <v>4.2629676628265084E-2</v>
      </c>
      <c r="H73" s="391">
        <v>0.30974506466145546</v>
      </c>
      <c r="I73" s="409">
        <v>0.10673754765827918</v>
      </c>
      <c r="J73" s="409">
        <v>2.7781447561601686E-2</v>
      </c>
      <c r="K73" s="409">
        <v>4.5577265704399177E-2</v>
      </c>
      <c r="L73" s="409">
        <v>4.1888696470106186E-2</v>
      </c>
      <c r="M73" s="409">
        <v>4.0620113957207084E-2</v>
      </c>
      <c r="N73" s="393">
        <v>4.713999330986212E-2</v>
      </c>
      <c r="O73" s="394">
        <v>561.08799999999997</v>
      </c>
      <c r="P73" s="395">
        <v>27.758206221834989</v>
      </c>
      <c r="Q73" s="388">
        <f t="shared" si="9"/>
        <v>0</v>
      </c>
      <c r="S73" s="372"/>
      <c r="T73" s="674">
        <v>924.77499999999998</v>
      </c>
      <c r="V73" s="693"/>
      <c r="W73" s="388"/>
      <c r="Z73" s="371"/>
    </row>
    <row r="74" spans="1:26">
      <c r="A74" s="390">
        <v>2012</v>
      </c>
      <c r="B74" s="391">
        <v>0.30140233354190438</v>
      </c>
      <c r="C74" s="392">
        <v>0.1279730575288012</v>
      </c>
      <c r="D74" s="392">
        <v>3.6037395561117451E-2</v>
      </c>
      <c r="E74" s="392">
        <v>4.3691339394162462E-2</v>
      </c>
      <c r="F74" s="392">
        <v>4.9703706430122563E-2</v>
      </c>
      <c r="G74" s="392">
        <v>4.3996834627700689E-2</v>
      </c>
      <c r="H74" s="391">
        <v>0.33746867314837736</v>
      </c>
      <c r="I74" s="409">
        <v>0.12136622218577291</v>
      </c>
      <c r="J74" s="409">
        <v>3.417690130348594E-2</v>
      </c>
      <c r="K74" s="409">
        <v>4.1435696754471438E-2</v>
      </c>
      <c r="L74" s="409">
        <v>4.7137664712723328E-2</v>
      </c>
      <c r="M74" s="409">
        <v>4.1725420256482397E-2</v>
      </c>
      <c r="N74" s="393">
        <v>5.1626767935441339E-2</v>
      </c>
      <c r="O74" s="394">
        <v>543.38</v>
      </c>
      <c r="P74" s="395">
        <v>29.580076927825459</v>
      </c>
      <c r="Q74" s="388">
        <f t="shared" si="9"/>
        <v>0</v>
      </c>
      <c r="S74" s="372"/>
      <c r="T74" s="674">
        <v>939.81666666666672</v>
      </c>
      <c r="V74" s="693"/>
      <c r="W74" s="388"/>
      <c r="Z74" s="371"/>
    </row>
    <row r="75" spans="1:26">
      <c r="A75" s="390">
        <v>2013</v>
      </c>
      <c r="B75" s="391">
        <v>0.29897445117113453</v>
      </c>
      <c r="C75" s="392">
        <v>0.12066418356698702</v>
      </c>
      <c r="D75" s="392">
        <v>1.1549149349456545E-2</v>
      </c>
      <c r="E75" s="392">
        <v>6.7893755642668141E-2</v>
      </c>
      <c r="F75" s="392">
        <v>4.7201041182195161E-2</v>
      </c>
      <c r="G75" s="392">
        <v>5.1666321429827682E-2</v>
      </c>
      <c r="H75" s="391">
        <v>0.33490306562388955</v>
      </c>
      <c r="I75" s="409">
        <v>0.11447996255410485</v>
      </c>
      <c r="J75" s="409">
        <v>1.0957238063302828E-2</v>
      </c>
      <c r="K75" s="409">
        <v>6.4414098482796958E-2</v>
      </c>
      <c r="L75" s="409">
        <v>4.4781916781897878E-2</v>
      </c>
      <c r="M75" s="409">
        <v>4.901834469638975E-2</v>
      </c>
      <c r="N75" s="393">
        <v>5.1251505045397293E-2</v>
      </c>
      <c r="O75" s="394">
        <v>511.726</v>
      </c>
      <c r="P75" s="395">
        <v>27.643498577687772</v>
      </c>
      <c r="Q75" s="388">
        <f t="shared" si="9"/>
        <v>0</v>
      </c>
      <c r="S75" s="372"/>
      <c r="T75" s="674">
        <v>925.70833333333337</v>
      </c>
      <c r="V75" s="693"/>
      <c r="W75" s="388"/>
      <c r="Z75" s="371"/>
    </row>
    <row r="76" spans="1:26">
      <c r="A76" s="390">
        <v>2014</v>
      </c>
      <c r="B76" s="391">
        <v>0.33766189244098976</v>
      </c>
      <c r="C76" s="392">
        <v>0.11109547368762923</v>
      </c>
      <c r="D76" s="392">
        <v>3.9963841465394986E-2</v>
      </c>
      <c r="E76" s="392">
        <v>6.8897886421784613E-2</v>
      </c>
      <c r="F76" s="392">
        <v>6.5559897947768606E-2</v>
      </c>
      <c r="G76" s="392">
        <v>5.2144792918412342E-2</v>
      </c>
      <c r="H76" s="391">
        <v>0.37616149902966656</v>
      </c>
      <c r="I76" s="409">
        <v>0.10463784731532307</v>
      </c>
      <c r="J76" s="409">
        <v>3.7640870528602141E-2</v>
      </c>
      <c r="K76" s="409">
        <v>6.4893071521724341E-2</v>
      </c>
      <c r="L76" s="409">
        <v>6.1749109696002474E-2</v>
      </c>
      <c r="M76" s="409">
        <v>4.9113782034249931E-2</v>
      </c>
      <c r="N76" s="393">
        <v>5.812681793376457E-2</v>
      </c>
      <c r="O76" s="394">
        <v>554.226</v>
      </c>
      <c r="P76" s="395">
        <v>34.203536537144039</v>
      </c>
      <c r="Q76" s="388">
        <f t="shared" si="9"/>
        <v>0</v>
      </c>
      <c r="S76" s="390"/>
      <c r="T76" s="674">
        <v>909.25833333333333</v>
      </c>
      <c r="U76" s="682"/>
      <c r="V76" s="694"/>
      <c r="W76" s="681"/>
      <c r="X76" s="682"/>
      <c r="Y76" s="682"/>
      <c r="Z76" s="683"/>
    </row>
    <row r="77" spans="1:26">
      <c r="A77" s="390">
        <v>2015</v>
      </c>
      <c r="B77" s="391">
        <v>0.42995851004207553</v>
      </c>
      <c r="C77" s="392">
        <v>0.15391854249792969</v>
      </c>
      <c r="D77" s="392">
        <v>6.8646641070039399E-2</v>
      </c>
      <c r="E77" s="392">
        <v>8.2946456205509125E-2</v>
      </c>
      <c r="F77" s="392">
        <v>6.4859427672798148E-2</v>
      </c>
      <c r="G77" s="392">
        <v>5.9587442595799144E-2</v>
      </c>
      <c r="H77" s="391">
        <v>0.47205436030883263</v>
      </c>
      <c r="I77" s="409">
        <v>0.14255212087351671</v>
      </c>
      <c r="J77" s="409">
        <v>6.3577293005544128E-2</v>
      </c>
      <c r="K77" s="409">
        <v>7.6821109784070626E-2</v>
      </c>
      <c r="L77" s="409">
        <v>6.0069753931851315E-2</v>
      </c>
      <c r="M77" s="409">
        <v>5.5187089103149164E-2</v>
      </c>
      <c r="N77" s="393">
        <v>7.3846993610700656E-2</v>
      </c>
      <c r="O77" s="394">
        <v>478.18800000000005</v>
      </c>
      <c r="P77" s="395">
        <v>38.128414999573373</v>
      </c>
      <c r="Q77" s="388">
        <f t="shared" si="9"/>
        <v>0</v>
      </c>
      <c r="S77" s="691">
        <f t="shared" ref="S77:S82" si="10">T77*U77/1000000</f>
        <v>24.248496120000002</v>
      </c>
      <c r="T77" s="674">
        <v>901.2166666666667</v>
      </c>
      <c r="U77" s="559">
        <f>2020*13.32</f>
        <v>26906.400000000001</v>
      </c>
      <c r="V77" s="695">
        <f>V78</f>
        <v>66326</v>
      </c>
      <c r="W77" s="674">
        <f t="shared" ref="W77:W82" si="11">V77*U77/1000000000</f>
        <v>1.7845938864000002</v>
      </c>
      <c r="X77" s="684">
        <f t="shared" ref="X77:X82" si="12">P77/W77</f>
        <v>21.365317504526764</v>
      </c>
      <c r="Y77" s="682"/>
      <c r="Z77" s="683"/>
    </row>
    <row r="78" spans="1:26">
      <c r="A78" s="390">
        <v>2016</v>
      </c>
      <c r="B78" s="391">
        <v>0.48051095394964177</v>
      </c>
      <c r="C78" s="392">
        <v>0.17718215116680872</v>
      </c>
      <c r="D78" s="392">
        <v>9.92927733880071E-2</v>
      </c>
      <c r="E78" s="392">
        <v>9.7954341265636152E-2</v>
      </c>
      <c r="F78" s="392">
        <v>4.4066898569421087E-2</v>
      </c>
      <c r="G78" s="392">
        <v>6.2014789559768711E-2</v>
      </c>
      <c r="H78" s="391">
        <v>0.52326130944155103</v>
      </c>
      <c r="I78" s="409">
        <v>0.16260128558977396</v>
      </c>
      <c r="J78" s="409">
        <v>9.1121664887475945E-2</v>
      </c>
      <c r="K78" s="409">
        <v>8.9893376471633896E-2</v>
      </c>
      <c r="L78" s="409">
        <v>4.0440497601794051E-2</v>
      </c>
      <c r="M78" s="409">
        <v>5.6911401298567407E-2</v>
      </c>
      <c r="N78" s="393">
        <v>8.2293083592305832E-2</v>
      </c>
      <c r="O78" s="394">
        <v>434.09</v>
      </c>
      <c r="P78" s="395">
        <v>38.925940317000027</v>
      </c>
      <c r="Q78" s="388">
        <f t="shared" si="9"/>
        <v>0</v>
      </c>
      <c r="S78" s="691">
        <f t="shared" si="10"/>
        <v>23.627295619999998</v>
      </c>
      <c r="T78" s="674">
        <v>894.24166666666667</v>
      </c>
      <c r="U78" s="559">
        <f>2020*13.08</f>
        <v>26421.599999999999</v>
      </c>
      <c r="V78" s="696">
        <v>66326</v>
      </c>
      <c r="W78" s="674">
        <f t="shared" si="11"/>
        <v>1.7524390416</v>
      </c>
      <c r="X78" s="684">
        <f t="shared" si="12"/>
        <v>22.212436149254088</v>
      </c>
      <c r="Y78" s="685">
        <f>0.605</f>
        <v>0.60499999999999998</v>
      </c>
      <c r="Z78" s="686">
        <f>Y78/P78</f>
        <v>1.5542334881908553E-2</v>
      </c>
    </row>
    <row r="79" spans="1:26">
      <c r="A79" s="390">
        <v>2017</v>
      </c>
      <c r="B79" s="391">
        <v>0.45771324324976387</v>
      </c>
      <c r="C79" s="392">
        <v>0.15082223991477878</v>
      </c>
      <c r="D79" s="392">
        <v>0.10906162020514705</v>
      </c>
      <c r="E79" s="392">
        <v>6.8464626331349421E-2</v>
      </c>
      <c r="F79" s="392">
        <v>6.4678666674090113E-2</v>
      </c>
      <c r="G79" s="392">
        <v>6.4686090124398465E-2</v>
      </c>
      <c r="H79" s="391">
        <v>0.49019833626441106</v>
      </c>
      <c r="I79" s="409">
        <v>0.14178739915696617</v>
      </c>
      <c r="J79" s="409">
        <v>0.10252840353962538</v>
      </c>
      <c r="K79" s="409">
        <v>6.4363328029478264E-2</v>
      </c>
      <c r="L79" s="409">
        <v>6.0804162130474834E-2</v>
      </c>
      <c r="M79" s="409">
        <v>6.0811140887139542E-2</v>
      </c>
      <c r="N79" s="393">
        <v>5.9903902520726908E-2</v>
      </c>
      <c r="O79" s="394">
        <v>538.83299999999997</v>
      </c>
      <c r="P79" s="395">
        <v>34.335000000000001</v>
      </c>
      <c r="Q79" s="388">
        <f t="shared" si="9"/>
        <v>0</v>
      </c>
      <c r="S79" s="691">
        <f t="shared" si="10"/>
        <v>23.047960966666668</v>
      </c>
      <c r="T79" s="674">
        <v>870.98333333333335</v>
      </c>
      <c r="U79" s="559">
        <f>2020*13.1</f>
        <v>26462</v>
      </c>
      <c r="V79" s="696">
        <v>71619</v>
      </c>
      <c r="W79" s="674">
        <f t="shared" si="11"/>
        <v>1.8951819780000001</v>
      </c>
      <c r="X79" s="684">
        <f t="shared" si="12"/>
        <v>18.116993723333096</v>
      </c>
      <c r="Y79" s="687">
        <v>0.55700000000000005</v>
      </c>
      <c r="Z79" s="686">
        <f>Y79/P79</f>
        <v>1.6222513470219892E-2</v>
      </c>
    </row>
    <row r="80" spans="1:26">
      <c r="A80" s="390">
        <v>2018</v>
      </c>
      <c r="B80" s="391">
        <v>0.47367200435788598</v>
      </c>
      <c r="C80" s="392">
        <v>0.17905446099026848</v>
      </c>
      <c r="D80" s="392">
        <v>5.6533862607935886E-2</v>
      </c>
      <c r="E80" s="392">
        <v>7.2433674377464119E-2</v>
      </c>
      <c r="F80" s="392">
        <v>7.126869495337386E-2</v>
      </c>
      <c r="G80" s="392">
        <v>9.4381311428843664E-2</v>
      </c>
      <c r="H80" s="391">
        <v>0.50713470415725304</v>
      </c>
      <c r="I80" s="409">
        <v>0.16767059821750244</v>
      </c>
      <c r="J80" s="409">
        <v>5.2939572187111747E-2</v>
      </c>
      <c r="K80" s="409">
        <v>6.7828511207108449E-2</v>
      </c>
      <c r="L80" s="409">
        <v>6.6737598443092405E-2</v>
      </c>
      <c r="M80" s="409">
        <v>8.8380768958818037E-2</v>
      </c>
      <c r="N80" s="393">
        <v>6.3577655143620002E-2</v>
      </c>
      <c r="O80" s="394">
        <v>556.23300000000006</v>
      </c>
      <c r="P80" s="395">
        <v>37.765000000000001</v>
      </c>
      <c r="Q80" s="388">
        <f t="shared" si="9"/>
        <v>0</v>
      </c>
      <c r="S80" s="691">
        <f t="shared" si="10"/>
        <v>22.630059359999997</v>
      </c>
      <c r="T80" s="674">
        <v>863.4</v>
      </c>
      <c r="U80" s="559">
        <f>13.04*2010</f>
        <v>26210.399999999998</v>
      </c>
      <c r="V80" s="696">
        <v>73835</v>
      </c>
      <c r="W80" s="674">
        <f t="shared" si="11"/>
        <v>1.9352448839999998</v>
      </c>
      <c r="X80" s="684">
        <f t="shared" si="12"/>
        <v>19.514326229320755</v>
      </c>
      <c r="Y80" s="687">
        <v>0.58699999999999997</v>
      </c>
      <c r="Z80" s="686">
        <f>Y80/P80</f>
        <v>1.5543492651926385E-2</v>
      </c>
    </row>
    <row r="81" spans="1:26">
      <c r="A81" s="396">
        <v>2019</v>
      </c>
      <c r="B81" s="397">
        <v>0.45228023263325418</v>
      </c>
      <c r="C81" s="398">
        <v>0.16256726573709937</v>
      </c>
      <c r="D81" s="398">
        <v>6.1564421441253445E-2</v>
      </c>
      <c r="E81" s="398">
        <v>7.9536534422243843E-2</v>
      </c>
      <c r="F81" s="398">
        <v>6.1284494183189882E-2</v>
      </c>
      <c r="G81" s="398">
        <v>8.7327516849467643E-2</v>
      </c>
      <c r="H81" s="397">
        <v>0.48585934499670164</v>
      </c>
      <c r="I81" s="410">
        <v>0.15260073758156303</v>
      </c>
      <c r="J81" s="410">
        <v>5.7790085095670601E-2</v>
      </c>
      <c r="K81" s="410">
        <v>7.4660379889417886E-2</v>
      </c>
      <c r="L81" s="410">
        <v>5.7527319366936717E-2</v>
      </c>
      <c r="M81" s="410">
        <v>8.1973719752081453E-2</v>
      </c>
      <c r="N81" s="399">
        <v>6.1307103311031931E-2</v>
      </c>
      <c r="O81" s="400">
        <v>510.84699999999998</v>
      </c>
      <c r="P81" s="401">
        <v>33.363999999999997</v>
      </c>
      <c r="Q81" s="388">
        <f t="shared" si="9"/>
        <v>0</v>
      </c>
      <c r="S81" s="691">
        <f>T81*U81/1000000</f>
        <v>23.974275837499999</v>
      </c>
      <c r="T81" s="674">
        <v>880.25833333333333</v>
      </c>
      <c r="U81" s="559">
        <f>13.55*2010</f>
        <v>27235.5</v>
      </c>
      <c r="V81" s="696">
        <v>73556</v>
      </c>
      <c r="W81" s="674">
        <f t="shared" si="11"/>
        <v>2.003334438</v>
      </c>
      <c r="X81" s="684">
        <f t="shared" si="12"/>
        <v>16.654233745069778</v>
      </c>
      <c r="Y81" s="687">
        <v>1.2170000000000001</v>
      </c>
      <c r="Z81" s="686">
        <f>Y81/P81</f>
        <v>3.6476441673660237E-2</v>
      </c>
    </row>
    <row r="82" spans="1:26" ht="16" thickBot="1">
      <c r="A82" s="411">
        <v>2020</v>
      </c>
      <c r="B82" s="412">
        <v>0.48140354775909683</v>
      </c>
      <c r="C82" s="414">
        <v>0.20551122592831794</v>
      </c>
      <c r="D82" s="414">
        <v>6.7341680729459646E-2</v>
      </c>
      <c r="E82" s="414">
        <v>5.7758147739189011E-2</v>
      </c>
      <c r="F82" s="414">
        <v>4.7207001997726802E-2</v>
      </c>
      <c r="G82" s="414">
        <v>0.10358549136440343</v>
      </c>
      <c r="H82" s="413">
        <v>0.51954491351855636</v>
      </c>
      <c r="I82" s="414">
        <v>0.19039643136708237</v>
      </c>
      <c r="J82" s="414">
        <v>6.2388882335910445E-2</v>
      </c>
      <c r="K82" s="414">
        <v>5.3510192264387663E-2</v>
      </c>
      <c r="L82" s="414">
        <v>4.3735054741199049E-2</v>
      </c>
      <c r="M82" s="414">
        <v>9.5967058773067979E-2</v>
      </c>
      <c r="N82" s="414">
        <v>7.3547294036908753E-2</v>
      </c>
      <c r="O82" s="555">
        <v>431.99100000000004</v>
      </c>
      <c r="P82" s="554">
        <v>34.293999999999997</v>
      </c>
      <c r="Q82" s="388">
        <v>0</v>
      </c>
      <c r="S82" s="691">
        <f t="shared" si="10"/>
        <v>23.701209608333333</v>
      </c>
      <c r="T82" s="674">
        <v>835.10833333333335</v>
      </c>
      <c r="U82" s="559">
        <f>14.05*2020</f>
        <v>28381</v>
      </c>
      <c r="V82" s="696">
        <f>'US-CBCR-2020'!K63</f>
        <v>81948.733600000007</v>
      </c>
      <c r="W82" s="685">
        <f t="shared" si="11"/>
        <v>2.3257870083015999</v>
      </c>
      <c r="X82" s="684">
        <f t="shared" si="12"/>
        <v>14.745116331629655</v>
      </c>
      <c r="Y82" s="687">
        <f>'US-CBCR-2020'!G63/1000000000</f>
        <v>0.4378550531821</v>
      </c>
      <c r="Z82" s="686">
        <f>Y82/P82</f>
        <v>1.2767686860153381E-2</v>
      </c>
    </row>
    <row r="83" spans="1:26" ht="16.5" thickTop="1" thickBot="1">
      <c r="H83" s="415"/>
      <c r="S83" s="691"/>
      <c r="T83" s="674">
        <v>879.85</v>
      </c>
      <c r="V83" s="697"/>
      <c r="Z83" s="371"/>
    </row>
    <row r="84" spans="1:26" s="416" customFormat="1" ht="16" customHeight="1">
      <c r="A84" s="794" t="s">
        <v>603</v>
      </c>
      <c r="B84" s="795"/>
      <c r="C84" s="795"/>
      <c r="D84" s="795"/>
      <c r="E84" s="795"/>
      <c r="F84" s="795"/>
      <c r="G84" s="795"/>
      <c r="H84" s="795"/>
      <c r="I84" s="795"/>
      <c r="J84" s="795"/>
      <c r="K84" s="795"/>
      <c r="L84" s="795"/>
      <c r="M84" s="795"/>
      <c r="N84" s="795"/>
      <c r="O84" s="795"/>
      <c r="P84" s="796"/>
      <c r="S84" s="691"/>
      <c r="T84" s="674">
        <v>923.33333333333337</v>
      </c>
      <c r="V84" s="697"/>
      <c r="W84" s="368"/>
      <c r="Z84" s="692"/>
    </row>
    <row r="85" spans="1:26" s="416" customFormat="1">
      <c r="A85" s="417" t="s">
        <v>75</v>
      </c>
      <c r="B85" s="368"/>
      <c r="C85" s="368"/>
      <c r="D85" s="368"/>
      <c r="E85" s="368"/>
      <c r="F85" s="368"/>
      <c r="G85" s="368"/>
      <c r="H85" s="368"/>
      <c r="P85" s="418"/>
    </row>
    <row r="86" spans="1:26" s="416" customFormat="1">
      <c r="A86" s="417" t="s">
        <v>602</v>
      </c>
      <c r="B86" s="368"/>
      <c r="C86" s="368"/>
      <c r="D86" s="368"/>
      <c r="E86" s="368"/>
      <c r="F86" s="368"/>
      <c r="G86" s="368"/>
      <c r="H86" s="368"/>
      <c r="P86" s="418"/>
    </row>
    <row r="87" spans="1:26" s="416" customFormat="1" ht="16" thickBot="1">
      <c r="A87" s="419" t="s">
        <v>615</v>
      </c>
      <c r="B87" s="420"/>
      <c r="C87" s="420"/>
      <c r="D87" s="420"/>
      <c r="E87" s="420"/>
      <c r="F87" s="420"/>
      <c r="G87" s="420"/>
      <c r="H87" s="420"/>
      <c r="I87" s="421"/>
      <c r="J87" s="421"/>
      <c r="K87" s="421"/>
      <c r="L87" s="421"/>
      <c r="M87" s="421"/>
      <c r="N87" s="421"/>
      <c r="O87" s="421"/>
      <c r="P87" s="422"/>
    </row>
    <row r="89" spans="1:26" s="416" customFormat="1">
      <c r="A89" s="368"/>
      <c r="B89" s="368"/>
      <c r="C89" s="368"/>
      <c r="D89" s="368"/>
      <c r="E89" s="368"/>
      <c r="F89" s="368"/>
      <c r="G89" s="368"/>
      <c r="H89" s="368"/>
    </row>
  </sheetData>
  <mergeCells count="21">
    <mergeCell ref="S6:Z6"/>
    <mergeCell ref="A84:P84"/>
    <mergeCell ref="A3:P3"/>
    <mergeCell ref="B6:G6"/>
    <mergeCell ref="H6:N6"/>
    <mergeCell ref="O6:O9"/>
    <mergeCell ref="P6:P9"/>
    <mergeCell ref="B7:G7"/>
    <mergeCell ref="H7:N7"/>
    <mergeCell ref="B8:B9"/>
    <mergeCell ref="H8:H9"/>
    <mergeCell ref="Y8:Y9"/>
    <mergeCell ref="Z8:Z9"/>
    <mergeCell ref="V7:Z7"/>
    <mergeCell ref="T8:T9"/>
    <mergeCell ref="S8:S9"/>
    <mergeCell ref="S7:U7"/>
    <mergeCell ref="U8:U9"/>
    <mergeCell ref="V8:V9"/>
    <mergeCell ref="W8:W9"/>
    <mergeCell ref="X8:X9"/>
  </mergeCells>
  <pageMargins left="0.75" right="0.75" top="1" bottom="1" header="0.5" footer="0.5"/>
  <pageSetup scale="48" orientation="portrait" horizontalDpi="4294967292" verticalDpi="4294967292"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4680-E6F0-F340-8001-262820522EA5}">
  <sheetPr>
    <tabColor rgb="FFFF0000"/>
  </sheetPr>
  <dimension ref="A1:IS170"/>
  <sheetViews>
    <sheetView zoomScale="132" zoomScaleNormal="132" workbookViewId="0">
      <pane xSplit="1" ySplit="5" topLeftCell="F63" activePane="bottomRight" state="frozen"/>
      <selection activeCell="Z81" sqref="Z81"/>
      <selection pane="topRight" activeCell="Z81" sqref="Z81"/>
      <selection pane="bottomLeft" activeCell="Z81" sqref="Z81"/>
      <selection pane="bottomRight" activeCell="Z81" sqref="Z81"/>
    </sheetView>
  </sheetViews>
  <sheetFormatPr defaultColWidth="9.1796875" defaultRowHeight="14.5"/>
  <cols>
    <col min="1" max="1" width="50.6328125" style="595" customWidth="1"/>
    <col min="2" max="2" width="16" style="594" customWidth="1"/>
    <col min="3" max="3" width="15.6328125" style="594" customWidth="1"/>
    <col min="4" max="4" width="15.453125" style="594" bestFit="1" customWidth="1"/>
    <col min="5" max="5" width="14.1796875" style="594" customWidth="1"/>
    <col min="6" max="6" width="14.36328125" style="593" customWidth="1"/>
    <col min="7" max="7" width="12.453125" style="593" customWidth="1"/>
    <col min="8" max="8" width="12.81640625" style="593" customWidth="1"/>
    <col min="9" max="9" width="15.1796875" style="593" customWidth="1"/>
    <col min="10" max="10" width="14.6328125" style="593" customWidth="1"/>
    <col min="11" max="11" width="11.6328125" style="593" customWidth="1"/>
    <col min="12" max="12" width="14.6328125" style="593" customWidth="1"/>
    <col min="13" max="13" width="12.36328125" style="593" customWidth="1"/>
    <col min="14" max="16384" width="9.1796875" style="593"/>
  </cols>
  <sheetData>
    <row r="1" spans="1:253" ht="27.75" customHeight="1">
      <c r="A1" s="830" t="s">
        <v>705</v>
      </c>
      <c r="B1" s="831"/>
      <c r="C1" s="831"/>
      <c r="D1" s="831"/>
      <c r="E1" s="831"/>
      <c r="F1" s="831"/>
      <c r="G1" s="831"/>
      <c r="H1" s="831"/>
      <c r="I1" s="831"/>
      <c r="J1" s="831"/>
      <c r="K1" s="831"/>
      <c r="L1" s="831"/>
    </row>
    <row r="2" spans="1:253" ht="14.25" customHeight="1" thickBot="1">
      <c r="A2" s="819" t="s">
        <v>704</v>
      </c>
      <c r="B2" s="820"/>
      <c r="C2" s="820"/>
      <c r="D2" s="820"/>
      <c r="E2" s="820"/>
      <c r="F2" s="820"/>
      <c r="G2" s="820"/>
      <c r="H2" s="820"/>
      <c r="I2" s="820"/>
      <c r="J2" s="820"/>
      <c r="K2" s="820"/>
      <c r="L2" s="820"/>
    </row>
    <row r="3" spans="1:253" ht="14.25" customHeight="1">
      <c r="A3" s="835" t="s">
        <v>703</v>
      </c>
      <c r="B3" s="823" t="s">
        <v>702</v>
      </c>
      <c r="C3" s="832" t="s">
        <v>701</v>
      </c>
      <c r="D3" s="833"/>
      <c r="E3" s="834"/>
      <c r="F3" s="823" t="s">
        <v>700</v>
      </c>
      <c r="G3" s="821" t="s">
        <v>699</v>
      </c>
      <c r="H3" s="823" t="s">
        <v>698</v>
      </c>
      <c r="I3" s="821" t="s">
        <v>697</v>
      </c>
      <c r="J3" s="821" t="s">
        <v>696</v>
      </c>
      <c r="K3" s="821" t="s">
        <v>695</v>
      </c>
      <c r="L3" s="828" t="s">
        <v>694</v>
      </c>
    </row>
    <row r="4" spans="1:253" ht="63.75" customHeight="1">
      <c r="A4" s="836"/>
      <c r="B4" s="837"/>
      <c r="C4" s="664" t="s">
        <v>693</v>
      </c>
      <c r="D4" s="664" t="s">
        <v>692</v>
      </c>
      <c r="E4" s="664" t="s">
        <v>344</v>
      </c>
      <c r="F4" s="824"/>
      <c r="G4" s="822"/>
      <c r="H4" s="824"/>
      <c r="I4" s="822"/>
      <c r="J4" s="822"/>
      <c r="K4" s="822"/>
      <c r="L4" s="829"/>
    </row>
    <row r="5" spans="1:253" s="659" customFormat="1" ht="14.25" customHeight="1">
      <c r="A5" s="663"/>
      <c r="B5" s="661" t="s">
        <v>691</v>
      </c>
      <c r="C5" s="661" t="s">
        <v>690</v>
      </c>
      <c r="D5" s="662" t="s">
        <v>689</v>
      </c>
      <c r="E5" s="661" t="s">
        <v>688</v>
      </c>
      <c r="F5" s="661" t="s">
        <v>687</v>
      </c>
      <c r="G5" s="661" t="s">
        <v>686</v>
      </c>
      <c r="H5" s="661" t="s">
        <v>685</v>
      </c>
      <c r="I5" s="661" t="s">
        <v>684</v>
      </c>
      <c r="J5" s="661" t="s">
        <v>683</v>
      </c>
      <c r="K5" s="661" t="s">
        <v>682</v>
      </c>
      <c r="L5" s="660" t="s">
        <v>681</v>
      </c>
    </row>
    <row r="6" spans="1:253" s="602" customFormat="1" ht="15" customHeight="1">
      <c r="A6" s="658" t="s">
        <v>680</v>
      </c>
      <c r="B6" s="604">
        <v>1759.1095</v>
      </c>
      <c r="C6" s="603">
        <v>16278155919237.6</v>
      </c>
      <c r="D6" s="657">
        <v>6560028647123.96</v>
      </c>
      <c r="E6" s="657">
        <v>22838184566361.602</v>
      </c>
      <c r="F6" s="656">
        <v>1669526983315.3201</v>
      </c>
      <c r="G6" s="656">
        <v>310773985362.836</v>
      </c>
      <c r="H6" s="655">
        <v>288859433299.53497</v>
      </c>
      <c r="I6" s="655">
        <v>32065572108732.102</v>
      </c>
      <c r="J6" s="603">
        <v>13340940420242.9</v>
      </c>
      <c r="K6" s="604">
        <v>39393388.759300001</v>
      </c>
      <c r="L6" s="603">
        <v>8597427301096.3799</v>
      </c>
      <c r="M6" s="673">
        <f>F6-F7</f>
        <v>794826040249.83008</v>
      </c>
      <c r="N6" s="639"/>
      <c r="O6" s="639"/>
      <c r="P6" s="639"/>
      <c r="Q6" s="639"/>
      <c r="R6" s="639"/>
      <c r="S6" s="639"/>
      <c r="T6" s="639"/>
      <c r="U6" s="639"/>
      <c r="V6" s="639"/>
      <c r="W6" s="639"/>
      <c r="X6" s="639"/>
      <c r="Y6" s="639"/>
      <c r="Z6" s="639"/>
      <c r="AA6" s="639"/>
      <c r="AB6" s="639"/>
      <c r="AC6" s="639"/>
      <c r="AD6" s="639"/>
      <c r="AE6" s="639"/>
      <c r="AF6" s="639"/>
      <c r="AG6" s="639"/>
      <c r="AH6" s="639"/>
      <c r="AI6" s="639"/>
      <c r="AJ6" s="639"/>
      <c r="AK6" s="639"/>
      <c r="AL6" s="639"/>
      <c r="AM6" s="639"/>
      <c r="AN6" s="639"/>
      <c r="AO6" s="639"/>
      <c r="AP6" s="639"/>
      <c r="AQ6" s="639"/>
      <c r="AR6" s="639"/>
      <c r="AS6" s="639"/>
      <c r="AT6" s="639"/>
      <c r="AU6" s="639"/>
      <c r="AV6" s="639"/>
      <c r="AW6" s="639"/>
      <c r="AX6" s="639"/>
      <c r="AY6" s="639"/>
      <c r="AZ6" s="639"/>
      <c r="BA6" s="639"/>
      <c r="BB6" s="639"/>
      <c r="BC6" s="639"/>
      <c r="BD6" s="639"/>
      <c r="BE6" s="639"/>
      <c r="BF6" s="639"/>
      <c r="BG6" s="639"/>
      <c r="BH6" s="639"/>
      <c r="BI6" s="639"/>
      <c r="BJ6" s="639"/>
      <c r="BK6" s="639"/>
      <c r="BL6" s="639"/>
      <c r="BM6" s="639"/>
      <c r="BN6" s="639"/>
      <c r="BO6" s="639"/>
      <c r="BP6" s="639"/>
      <c r="BQ6" s="639"/>
      <c r="BR6" s="639"/>
      <c r="BS6" s="639"/>
      <c r="BT6" s="639"/>
      <c r="BU6" s="639"/>
      <c r="BV6" s="639"/>
      <c r="BW6" s="639"/>
      <c r="BX6" s="639"/>
      <c r="BY6" s="639"/>
      <c r="BZ6" s="639"/>
      <c r="CA6" s="639"/>
      <c r="CB6" s="639"/>
      <c r="CC6" s="639"/>
      <c r="CD6" s="639"/>
      <c r="CE6" s="639"/>
      <c r="CF6" s="639"/>
      <c r="CG6" s="639"/>
      <c r="CH6" s="639"/>
      <c r="CI6" s="639"/>
      <c r="CJ6" s="639"/>
      <c r="CK6" s="639"/>
      <c r="CL6" s="639"/>
      <c r="CM6" s="639"/>
      <c r="CN6" s="639"/>
      <c r="CO6" s="639"/>
      <c r="CP6" s="639"/>
      <c r="CQ6" s="639"/>
      <c r="CR6" s="639"/>
      <c r="CS6" s="639"/>
      <c r="CT6" s="639"/>
      <c r="CU6" s="639"/>
      <c r="CV6" s="639"/>
      <c r="CW6" s="639"/>
      <c r="CX6" s="639"/>
      <c r="CY6" s="639"/>
      <c r="CZ6" s="639"/>
      <c r="DA6" s="639"/>
      <c r="DB6" s="639"/>
      <c r="DC6" s="639"/>
      <c r="DD6" s="639"/>
      <c r="DE6" s="639"/>
      <c r="DF6" s="639"/>
      <c r="DG6" s="639"/>
      <c r="DH6" s="639"/>
      <c r="DI6" s="639"/>
      <c r="DJ6" s="639"/>
      <c r="DK6" s="639"/>
      <c r="DL6" s="639"/>
      <c r="DM6" s="639"/>
      <c r="DN6" s="639"/>
      <c r="DO6" s="639"/>
      <c r="DP6" s="639"/>
      <c r="DQ6" s="639"/>
      <c r="DR6" s="639"/>
      <c r="DS6" s="639"/>
      <c r="DT6" s="639"/>
      <c r="DU6" s="639"/>
      <c r="DV6" s="639"/>
      <c r="DW6" s="639"/>
      <c r="DX6" s="639"/>
      <c r="DY6" s="639"/>
      <c r="DZ6" s="639"/>
      <c r="EA6" s="639"/>
      <c r="EB6" s="639"/>
      <c r="EC6" s="639"/>
      <c r="ED6" s="639"/>
      <c r="EE6" s="639"/>
      <c r="EF6" s="639"/>
      <c r="EG6" s="639"/>
      <c r="EH6" s="639"/>
      <c r="EI6" s="639"/>
      <c r="EJ6" s="639"/>
      <c r="EK6" s="639"/>
      <c r="EL6" s="639"/>
      <c r="EM6" s="639"/>
      <c r="EN6" s="639"/>
      <c r="EO6" s="639"/>
      <c r="EP6" s="639"/>
      <c r="EQ6" s="639"/>
      <c r="ER6" s="639"/>
      <c r="ES6" s="639"/>
      <c r="ET6" s="639"/>
      <c r="EU6" s="639"/>
      <c r="EV6" s="639"/>
      <c r="EW6" s="639"/>
      <c r="EX6" s="639"/>
      <c r="EY6" s="639"/>
      <c r="EZ6" s="639"/>
      <c r="FA6" s="639"/>
      <c r="FB6" s="639"/>
      <c r="FC6" s="639"/>
      <c r="FD6" s="639"/>
      <c r="FE6" s="639"/>
      <c r="FF6" s="639"/>
      <c r="FG6" s="639"/>
      <c r="FH6" s="639"/>
      <c r="FI6" s="639"/>
      <c r="FJ6" s="639"/>
      <c r="FK6" s="639"/>
      <c r="FL6" s="639"/>
      <c r="FM6" s="639"/>
      <c r="FN6" s="639"/>
      <c r="FO6" s="639"/>
      <c r="FP6" s="639"/>
      <c r="FQ6" s="639"/>
      <c r="FR6" s="639"/>
      <c r="FS6" s="639"/>
      <c r="FT6" s="639"/>
      <c r="FU6" s="639"/>
      <c r="FV6" s="639"/>
      <c r="FW6" s="639"/>
      <c r="FX6" s="639"/>
      <c r="FY6" s="639"/>
      <c r="FZ6" s="639"/>
      <c r="GA6" s="639"/>
      <c r="GB6" s="639"/>
      <c r="GC6" s="639"/>
      <c r="GD6" s="639"/>
      <c r="GE6" s="639"/>
      <c r="GF6" s="639"/>
      <c r="GG6" s="639"/>
      <c r="GH6" s="639"/>
      <c r="GI6" s="639"/>
      <c r="GJ6" s="639"/>
      <c r="GK6" s="639"/>
      <c r="GL6" s="639"/>
      <c r="GM6" s="639"/>
      <c r="GN6" s="639"/>
      <c r="GO6" s="639"/>
      <c r="GP6" s="639"/>
      <c r="GQ6" s="639"/>
      <c r="GR6" s="639"/>
      <c r="GS6" s="639"/>
      <c r="GT6" s="639"/>
      <c r="GU6" s="639"/>
      <c r="GV6" s="639"/>
      <c r="GW6" s="639"/>
      <c r="GX6" s="639"/>
      <c r="GY6" s="639"/>
      <c r="GZ6" s="639"/>
      <c r="HA6" s="639"/>
      <c r="HB6" s="639"/>
      <c r="HC6" s="639"/>
      <c r="HD6" s="639"/>
      <c r="HE6" s="639"/>
      <c r="HF6" s="639"/>
      <c r="HG6" s="639"/>
      <c r="HH6" s="639"/>
      <c r="HI6" s="639"/>
      <c r="HJ6" s="639"/>
      <c r="HK6" s="639"/>
      <c r="HL6" s="639"/>
      <c r="HM6" s="639"/>
      <c r="HN6" s="639"/>
      <c r="HO6" s="639"/>
      <c r="HP6" s="639"/>
      <c r="HQ6" s="639"/>
      <c r="HR6" s="639"/>
      <c r="HS6" s="639"/>
      <c r="HT6" s="639"/>
      <c r="HU6" s="639"/>
      <c r="HV6" s="639"/>
      <c r="HW6" s="639"/>
      <c r="HX6" s="639"/>
      <c r="HY6" s="639"/>
      <c r="HZ6" s="639"/>
      <c r="IA6" s="639"/>
      <c r="IB6" s="639"/>
      <c r="IC6" s="639"/>
      <c r="ID6" s="639"/>
      <c r="IE6" s="639"/>
      <c r="IF6" s="639"/>
      <c r="IG6" s="639"/>
      <c r="IH6" s="639"/>
      <c r="II6" s="639"/>
      <c r="IJ6" s="639"/>
      <c r="IK6" s="639"/>
      <c r="IL6" s="639"/>
      <c r="IM6" s="639"/>
      <c r="IN6" s="639"/>
      <c r="IO6" s="639"/>
      <c r="IP6" s="639"/>
      <c r="IQ6" s="639"/>
      <c r="IR6" s="639"/>
      <c r="IS6" s="639"/>
    </row>
    <row r="7" spans="1:253" s="602" customFormat="1" ht="15" customHeight="1">
      <c r="A7" s="602" t="s">
        <v>11</v>
      </c>
      <c r="B7" s="604">
        <v>1691.1074000000001</v>
      </c>
      <c r="C7" s="603">
        <v>11369863196300.199</v>
      </c>
      <c r="D7" s="638">
        <v>3400397915553.5498</v>
      </c>
      <c r="E7" s="638">
        <v>14770261111853.801</v>
      </c>
      <c r="F7" s="637">
        <v>874700943065.48999</v>
      </c>
      <c r="G7" s="637">
        <v>192792909852.93799</v>
      </c>
      <c r="H7" s="636">
        <v>170209780256.405</v>
      </c>
      <c r="I7" s="636">
        <v>17358806748275.1</v>
      </c>
      <c r="J7" s="603">
        <v>9666094007756.25</v>
      </c>
      <c r="K7" s="604">
        <v>24091251.211199999</v>
      </c>
      <c r="L7" s="603">
        <v>6216869138428.7998</v>
      </c>
      <c r="M7" s="639"/>
      <c r="N7" s="639"/>
      <c r="O7" s="639"/>
      <c r="P7" s="639"/>
      <c r="Q7" s="639"/>
      <c r="R7" s="639"/>
      <c r="S7" s="639"/>
      <c r="T7" s="639"/>
      <c r="U7" s="639"/>
      <c r="V7" s="639"/>
      <c r="W7" s="639"/>
      <c r="X7" s="639"/>
      <c r="Y7" s="639"/>
      <c r="Z7" s="639"/>
      <c r="AA7" s="639"/>
      <c r="AB7" s="639"/>
      <c r="AC7" s="639"/>
      <c r="AD7" s="639"/>
      <c r="AE7" s="639"/>
      <c r="AF7" s="639"/>
      <c r="AG7" s="639"/>
      <c r="AH7" s="639"/>
      <c r="AI7" s="639"/>
      <c r="AJ7" s="639"/>
      <c r="AK7" s="639"/>
      <c r="AL7" s="639"/>
      <c r="AM7" s="639"/>
      <c r="AN7" s="639"/>
      <c r="AO7" s="639"/>
      <c r="AP7" s="639"/>
      <c r="AQ7" s="639"/>
      <c r="AR7" s="639"/>
      <c r="AS7" s="639"/>
      <c r="AT7" s="639"/>
      <c r="AU7" s="639"/>
      <c r="AV7" s="639"/>
      <c r="AW7" s="639"/>
      <c r="AX7" s="639"/>
      <c r="AY7" s="639"/>
      <c r="AZ7" s="639"/>
      <c r="BA7" s="639"/>
      <c r="BB7" s="639"/>
      <c r="BC7" s="639"/>
      <c r="BD7" s="639"/>
      <c r="BE7" s="639"/>
      <c r="BF7" s="639"/>
      <c r="BG7" s="639"/>
      <c r="BH7" s="639"/>
      <c r="BI7" s="639"/>
      <c r="BJ7" s="639"/>
      <c r="BK7" s="639"/>
      <c r="BL7" s="639"/>
      <c r="BM7" s="639"/>
      <c r="BN7" s="639"/>
      <c r="BO7" s="639"/>
      <c r="BP7" s="639"/>
      <c r="BQ7" s="639"/>
      <c r="BR7" s="639"/>
      <c r="BS7" s="639"/>
      <c r="BT7" s="639"/>
      <c r="BU7" s="639"/>
      <c r="BV7" s="639"/>
      <c r="BW7" s="639"/>
      <c r="BX7" s="639"/>
      <c r="BY7" s="639"/>
      <c r="BZ7" s="639"/>
      <c r="CA7" s="639"/>
      <c r="CB7" s="639"/>
      <c r="CC7" s="639"/>
      <c r="CD7" s="639"/>
      <c r="CE7" s="639"/>
      <c r="CF7" s="639"/>
      <c r="CG7" s="639"/>
      <c r="CH7" s="639"/>
      <c r="CI7" s="639"/>
      <c r="CJ7" s="639"/>
      <c r="CK7" s="639"/>
      <c r="CL7" s="639"/>
      <c r="CM7" s="639"/>
      <c r="CN7" s="639"/>
      <c r="CO7" s="639"/>
      <c r="CP7" s="639"/>
      <c r="CQ7" s="639"/>
      <c r="CR7" s="639"/>
      <c r="CS7" s="639"/>
      <c r="CT7" s="639"/>
      <c r="CU7" s="639"/>
      <c r="CV7" s="639"/>
      <c r="CW7" s="639"/>
      <c r="CX7" s="639"/>
      <c r="CY7" s="639"/>
      <c r="CZ7" s="639"/>
      <c r="DA7" s="639"/>
      <c r="DB7" s="639"/>
      <c r="DC7" s="639"/>
      <c r="DD7" s="639"/>
      <c r="DE7" s="639"/>
      <c r="DF7" s="639"/>
      <c r="DG7" s="639"/>
      <c r="DH7" s="639"/>
      <c r="DI7" s="639"/>
      <c r="DJ7" s="639"/>
      <c r="DK7" s="639"/>
      <c r="DL7" s="639"/>
      <c r="DM7" s="639"/>
      <c r="DN7" s="639"/>
      <c r="DO7" s="639"/>
      <c r="DP7" s="639"/>
      <c r="DQ7" s="639"/>
      <c r="DR7" s="639"/>
      <c r="DS7" s="639"/>
      <c r="DT7" s="639"/>
      <c r="DU7" s="639"/>
      <c r="DV7" s="639"/>
      <c r="DW7" s="639"/>
      <c r="DX7" s="639"/>
      <c r="DY7" s="639"/>
      <c r="DZ7" s="639"/>
      <c r="EA7" s="639"/>
      <c r="EB7" s="639"/>
      <c r="EC7" s="639"/>
      <c r="ED7" s="639"/>
      <c r="EE7" s="639"/>
      <c r="EF7" s="639"/>
      <c r="EG7" s="639"/>
      <c r="EH7" s="639"/>
      <c r="EI7" s="639"/>
      <c r="EJ7" s="639"/>
      <c r="EK7" s="639"/>
      <c r="EL7" s="639"/>
      <c r="EM7" s="639"/>
      <c r="EN7" s="639"/>
      <c r="EO7" s="639"/>
      <c r="EP7" s="639"/>
      <c r="EQ7" s="639"/>
      <c r="ER7" s="639"/>
      <c r="ES7" s="639"/>
      <c r="ET7" s="639"/>
      <c r="EU7" s="639"/>
      <c r="EV7" s="639"/>
      <c r="EW7" s="639"/>
      <c r="EX7" s="639"/>
      <c r="EY7" s="639"/>
      <c r="EZ7" s="639"/>
      <c r="FA7" s="639"/>
      <c r="FB7" s="639"/>
      <c r="FC7" s="639"/>
      <c r="FD7" s="639"/>
      <c r="FE7" s="639"/>
      <c r="FF7" s="639"/>
      <c r="FG7" s="639"/>
      <c r="FH7" s="639"/>
      <c r="FI7" s="639"/>
      <c r="FJ7" s="639"/>
      <c r="FK7" s="639"/>
      <c r="FL7" s="639"/>
      <c r="FM7" s="639"/>
      <c r="FN7" s="639"/>
      <c r="FO7" s="639"/>
      <c r="FP7" s="639"/>
      <c r="FQ7" s="639"/>
      <c r="FR7" s="639"/>
      <c r="FS7" s="639"/>
      <c r="FT7" s="639"/>
      <c r="FU7" s="639"/>
      <c r="FV7" s="639"/>
      <c r="FW7" s="639"/>
      <c r="FX7" s="639"/>
      <c r="FY7" s="639"/>
      <c r="FZ7" s="639"/>
      <c r="GA7" s="639"/>
      <c r="GB7" s="639"/>
      <c r="GC7" s="639"/>
      <c r="GD7" s="639"/>
      <c r="GE7" s="639"/>
      <c r="GF7" s="639"/>
      <c r="GG7" s="639"/>
      <c r="GH7" s="639"/>
      <c r="GI7" s="639"/>
      <c r="GJ7" s="639"/>
      <c r="GK7" s="639"/>
      <c r="GL7" s="639"/>
      <c r="GM7" s="639"/>
      <c r="GN7" s="639"/>
      <c r="GO7" s="639"/>
      <c r="GP7" s="639"/>
      <c r="GQ7" s="639"/>
      <c r="GR7" s="639"/>
      <c r="GS7" s="639"/>
      <c r="GT7" s="639"/>
      <c r="GU7" s="639"/>
      <c r="GV7" s="639"/>
      <c r="GW7" s="639"/>
      <c r="GX7" s="639"/>
      <c r="GY7" s="639"/>
      <c r="GZ7" s="639"/>
      <c r="HA7" s="639"/>
      <c r="HB7" s="639"/>
      <c r="HC7" s="639"/>
      <c r="HD7" s="639"/>
      <c r="HE7" s="639"/>
      <c r="HF7" s="639"/>
      <c r="HG7" s="639"/>
      <c r="HH7" s="639"/>
      <c r="HI7" s="639"/>
      <c r="HJ7" s="639"/>
      <c r="HK7" s="639"/>
      <c r="HL7" s="639"/>
      <c r="HM7" s="639"/>
      <c r="HN7" s="639"/>
      <c r="HO7" s="639"/>
      <c r="HP7" s="639"/>
      <c r="HQ7" s="639"/>
      <c r="HR7" s="639"/>
      <c r="HS7" s="639"/>
      <c r="HT7" s="639"/>
      <c r="HU7" s="639"/>
      <c r="HV7" s="639"/>
      <c r="HW7" s="639"/>
      <c r="HX7" s="639"/>
      <c r="HY7" s="639"/>
      <c r="HZ7" s="639"/>
      <c r="IA7" s="639"/>
      <c r="IB7" s="639"/>
      <c r="IC7" s="639"/>
      <c r="ID7" s="639"/>
      <c r="IE7" s="639"/>
      <c r="IF7" s="639"/>
      <c r="IG7" s="639"/>
      <c r="IH7" s="639"/>
      <c r="II7" s="639"/>
      <c r="IJ7" s="639"/>
      <c r="IK7" s="639"/>
      <c r="IL7" s="639"/>
      <c r="IM7" s="639"/>
      <c r="IN7" s="639"/>
      <c r="IO7" s="639"/>
      <c r="IP7" s="639"/>
      <c r="IQ7" s="639"/>
      <c r="IR7" s="639"/>
      <c r="IS7" s="639"/>
    </row>
    <row r="8" spans="1:253" s="602" customFormat="1" ht="15" customHeight="1">
      <c r="A8" s="602" t="s">
        <v>679</v>
      </c>
      <c r="B8" s="604">
        <v>599.0308</v>
      </c>
      <c r="C8" s="603">
        <v>634728911393.979</v>
      </c>
      <c r="D8" s="638">
        <v>147505427260.52499</v>
      </c>
      <c r="E8" s="638">
        <v>782234338654.50403</v>
      </c>
      <c r="F8" s="637">
        <v>170666336433.642</v>
      </c>
      <c r="G8" s="637">
        <v>1913711247.1127999</v>
      </c>
      <c r="H8" s="636">
        <v>7156845645.5592003</v>
      </c>
      <c r="I8" s="636">
        <v>1800051177692.1899</v>
      </c>
      <c r="J8" s="603">
        <v>665984949324.672</v>
      </c>
      <c r="K8" s="604">
        <v>1102550.6377000001</v>
      </c>
      <c r="L8" s="603">
        <v>487789076791.65601</v>
      </c>
      <c r="M8" s="639"/>
      <c r="N8" s="639"/>
      <c r="O8" s="639"/>
      <c r="P8" s="639"/>
      <c r="Q8" s="639"/>
      <c r="R8" s="639"/>
      <c r="S8" s="639"/>
      <c r="T8" s="639"/>
      <c r="U8" s="639"/>
      <c r="V8" s="639"/>
      <c r="W8" s="639"/>
      <c r="X8" s="639"/>
      <c r="Y8" s="639"/>
      <c r="Z8" s="639"/>
      <c r="AA8" s="639"/>
      <c r="AB8" s="639"/>
      <c r="AC8" s="639"/>
      <c r="AD8" s="639"/>
      <c r="AE8" s="639"/>
      <c r="AF8" s="639"/>
      <c r="AG8" s="639"/>
      <c r="AH8" s="639"/>
      <c r="AI8" s="639"/>
      <c r="AJ8" s="639"/>
      <c r="AK8" s="639"/>
      <c r="AL8" s="639"/>
      <c r="AM8" s="639"/>
      <c r="AN8" s="639"/>
      <c r="AO8" s="639"/>
      <c r="AP8" s="639"/>
      <c r="AQ8" s="639"/>
      <c r="AR8" s="639"/>
      <c r="AS8" s="639"/>
      <c r="AT8" s="639"/>
      <c r="AU8" s="639"/>
      <c r="AV8" s="639"/>
      <c r="AW8" s="639"/>
      <c r="AX8" s="639"/>
      <c r="AY8" s="639"/>
      <c r="AZ8" s="639"/>
      <c r="BA8" s="639"/>
      <c r="BB8" s="639"/>
      <c r="BC8" s="639"/>
      <c r="BD8" s="639"/>
      <c r="BE8" s="639"/>
      <c r="BF8" s="639"/>
      <c r="BG8" s="639"/>
      <c r="BH8" s="639"/>
      <c r="BI8" s="639"/>
      <c r="BJ8" s="639"/>
      <c r="BK8" s="639"/>
      <c r="BL8" s="639"/>
      <c r="BM8" s="639"/>
      <c r="BN8" s="639"/>
      <c r="BO8" s="639"/>
      <c r="BP8" s="639"/>
      <c r="BQ8" s="639"/>
      <c r="BR8" s="639"/>
      <c r="BS8" s="639"/>
      <c r="BT8" s="639"/>
      <c r="BU8" s="639"/>
      <c r="BV8" s="639"/>
      <c r="BW8" s="639"/>
      <c r="BX8" s="639"/>
      <c r="BY8" s="639"/>
      <c r="BZ8" s="639"/>
      <c r="CA8" s="639"/>
      <c r="CB8" s="639"/>
      <c r="CC8" s="639"/>
      <c r="CD8" s="639"/>
      <c r="CE8" s="639"/>
      <c r="CF8" s="639"/>
      <c r="CG8" s="639"/>
      <c r="CH8" s="639"/>
      <c r="CI8" s="639"/>
      <c r="CJ8" s="639"/>
      <c r="CK8" s="639"/>
      <c r="CL8" s="639"/>
      <c r="CM8" s="639"/>
      <c r="CN8" s="639"/>
      <c r="CO8" s="639"/>
      <c r="CP8" s="639"/>
      <c r="CQ8" s="639"/>
      <c r="CR8" s="639"/>
      <c r="CS8" s="639"/>
      <c r="CT8" s="639"/>
      <c r="CU8" s="639"/>
      <c r="CV8" s="639"/>
      <c r="CW8" s="639"/>
      <c r="CX8" s="639"/>
      <c r="CY8" s="639"/>
      <c r="CZ8" s="639"/>
      <c r="DA8" s="639"/>
      <c r="DB8" s="639"/>
      <c r="DC8" s="639"/>
      <c r="DD8" s="639"/>
      <c r="DE8" s="639"/>
      <c r="DF8" s="639"/>
      <c r="DG8" s="639"/>
      <c r="DH8" s="639"/>
      <c r="DI8" s="639"/>
      <c r="DJ8" s="639"/>
      <c r="DK8" s="639"/>
      <c r="DL8" s="639"/>
      <c r="DM8" s="639"/>
      <c r="DN8" s="639"/>
      <c r="DO8" s="639"/>
      <c r="DP8" s="639"/>
      <c r="DQ8" s="639"/>
      <c r="DR8" s="639"/>
      <c r="DS8" s="639"/>
      <c r="DT8" s="639"/>
      <c r="DU8" s="639"/>
      <c r="DV8" s="639"/>
      <c r="DW8" s="639"/>
      <c r="DX8" s="639"/>
      <c r="DY8" s="639"/>
      <c r="DZ8" s="639"/>
      <c r="EA8" s="639"/>
      <c r="EB8" s="639"/>
      <c r="EC8" s="639"/>
      <c r="ED8" s="639"/>
      <c r="EE8" s="639"/>
      <c r="EF8" s="639"/>
      <c r="EG8" s="639"/>
      <c r="EH8" s="639"/>
      <c r="EI8" s="639"/>
      <c r="EJ8" s="639"/>
      <c r="EK8" s="639"/>
      <c r="EL8" s="639"/>
      <c r="EM8" s="639"/>
      <c r="EN8" s="639"/>
      <c r="EO8" s="639"/>
      <c r="EP8" s="639"/>
      <c r="EQ8" s="639"/>
      <c r="ER8" s="639"/>
      <c r="ES8" s="639"/>
      <c r="ET8" s="639"/>
      <c r="EU8" s="639"/>
      <c r="EV8" s="639"/>
      <c r="EW8" s="639"/>
      <c r="EX8" s="639"/>
      <c r="EY8" s="639"/>
      <c r="EZ8" s="639"/>
      <c r="FA8" s="639"/>
      <c r="FB8" s="639"/>
      <c r="FC8" s="639"/>
      <c r="FD8" s="639"/>
      <c r="FE8" s="639"/>
      <c r="FF8" s="639"/>
      <c r="FG8" s="639"/>
      <c r="FH8" s="639"/>
      <c r="FI8" s="639"/>
      <c r="FJ8" s="639"/>
      <c r="FK8" s="639"/>
      <c r="FL8" s="639"/>
      <c r="FM8" s="639"/>
      <c r="FN8" s="639"/>
      <c r="FO8" s="639"/>
      <c r="FP8" s="639"/>
      <c r="FQ8" s="639"/>
      <c r="FR8" s="639"/>
      <c r="FS8" s="639"/>
      <c r="FT8" s="639"/>
      <c r="FU8" s="639"/>
      <c r="FV8" s="639"/>
      <c r="FW8" s="639"/>
      <c r="FX8" s="639"/>
      <c r="FY8" s="639"/>
      <c r="FZ8" s="639"/>
      <c r="GA8" s="639"/>
      <c r="GB8" s="639"/>
      <c r="GC8" s="639"/>
      <c r="GD8" s="639"/>
      <c r="GE8" s="639"/>
      <c r="GF8" s="639"/>
      <c r="GG8" s="639"/>
      <c r="GH8" s="639"/>
      <c r="GI8" s="639"/>
      <c r="GJ8" s="639"/>
      <c r="GK8" s="639"/>
      <c r="GL8" s="639"/>
      <c r="GM8" s="639"/>
      <c r="GN8" s="639"/>
      <c r="GO8" s="639"/>
      <c r="GP8" s="639"/>
      <c r="GQ8" s="639"/>
      <c r="GR8" s="639"/>
      <c r="GS8" s="639"/>
      <c r="GT8" s="639"/>
      <c r="GU8" s="639"/>
      <c r="GV8" s="639"/>
      <c r="GW8" s="639"/>
      <c r="GX8" s="639"/>
      <c r="GY8" s="639"/>
      <c r="GZ8" s="639"/>
      <c r="HA8" s="639"/>
      <c r="HB8" s="639"/>
      <c r="HC8" s="639"/>
      <c r="HD8" s="639"/>
      <c r="HE8" s="639"/>
      <c r="HF8" s="639"/>
      <c r="HG8" s="639"/>
      <c r="HH8" s="639"/>
      <c r="HI8" s="639"/>
      <c r="HJ8" s="639"/>
      <c r="HK8" s="639"/>
      <c r="HL8" s="639"/>
      <c r="HM8" s="639"/>
      <c r="HN8" s="639"/>
      <c r="HO8" s="639"/>
      <c r="HP8" s="639"/>
      <c r="HQ8" s="639"/>
      <c r="HR8" s="639"/>
      <c r="HS8" s="639"/>
      <c r="HT8" s="639"/>
      <c r="HU8" s="639"/>
      <c r="HV8" s="639"/>
      <c r="HW8" s="639"/>
      <c r="HX8" s="639"/>
      <c r="HY8" s="639"/>
      <c r="HZ8" s="639"/>
      <c r="IA8" s="639"/>
      <c r="IB8" s="639"/>
      <c r="IC8" s="639"/>
      <c r="ID8" s="639"/>
      <c r="IE8" s="639"/>
      <c r="IF8" s="639"/>
      <c r="IG8" s="639"/>
      <c r="IH8" s="639"/>
      <c r="II8" s="639"/>
      <c r="IJ8" s="639"/>
      <c r="IK8" s="639"/>
      <c r="IL8" s="639"/>
      <c r="IM8" s="639"/>
      <c r="IN8" s="639"/>
      <c r="IO8" s="639"/>
      <c r="IP8" s="639"/>
      <c r="IQ8" s="639"/>
      <c r="IR8" s="639"/>
      <c r="IS8" s="639"/>
    </row>
    <row r="9" spans="1:253" s="602" customFormat="1" ht="15" customHeight="1">
      <c r="A9" s="602" t="s">
        <v>678</v>
      </c>
      <c r="B9" s="604">
        <v>626.01530000000002</v>
      </c>
      <c r="C9" s="603">
        <v>52367019558.806702</v>
      </c>
      <c r="D9" s="638">
        <v>16906198304.4405</v>
      </c>
      <c r="E9" s="638">
        <v>69273217863.247192</v>
      </c>
      <c r="F9" s="637">
        <v>5544452280.4756002</v>
      </c>
      <c r="G9" s="637">
        <v>2717207574.7670002</v>
      </c>
      <c r="H9" s="636">
        <v>2294646506.9232001</v>
      </c>
      <c r="I9" s="636">
        <v>73159302826.4935</v>
      </c>
      <c r="J9" s="603">
        <v>14846277833.287901</v>
      </c>
      <c r="K9" s="604">
        <v>272951.07250000001</v>
      </c>
      <c r="L9" s="603">
        <v>49050010617.5933</v>
      </c>
      <c r="M9" s="639"/>
      <c r="N9" s="639"/>
      <c r="O9" s="639"/>
      <c r="P9" s="639"/>
      <c r="Q9" s="639"/>
      <c r="R9" s="639"/>
      <c r="S9" s="639"/>
      <c r="T9" s="639"/>
      <c r="U9" s="639"/>
      <c r="V9" s="639"/>
      <c r="W9" s="639"/>
      <c r="X9" s="639"/>
      <c r="Y9" s="639"/>
      <c r="Z9" s="639"/>
      <c r="AA9" s="639"/>
      <c r="AB9" s="639"/>
      <c r="AC9" s="639"/>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row>
    <row r="10" spans="1:253" s="602" customFormat="1" ht="15" customHeight="1">
      <c r="A10" s="614" t="s">
        <v>210</v>
      </c>
      <c r="B10" s="610">
        <v>46</v>
      </c>
      <c r="C10" s="609">
        <v>1249818787</v>
      </c>
      <c r="D10" s="613">
        <v>518063075</v>
      </c>
      <c r="E10" s="613">
        <v>1767881862</v>
      </c>
      <c r="F10" s="622">
        <v>-636842907</v>
      </c>
      <c r="G10" s="612">
        <v>220704873</v>
      </c>
      <c r="H10" s="611">
        <v>243295118</v>
      </c>
      <c r="I10" s="611">
        <v>10201279434</v>
      </c>
      <c r="J10" s="622">
        <v>-7420776270</v>
      </c>
      <c r="K10" s="610">
        <v>3586</v>
      </c>
      <c r="L10" s="609">
        <v>1276819533</v>
      </c>
      <c r="M10" s="639"/>
      <c r="N10" s="639"/>
      <c r="O10" s="639"/>
      <c r="P10" s="639"/>
      <c r="Q10" s="639"/>
      <c r="R10" s="639"/>
      <c r="S10" s="639"/>
      <c r="T10" s="639"/>
      <c r="U10" s="639"/>
      <c r="V10" s="639"/>
      <c r="W10" s="639"/>
      <c r="X10" s="639"/>
      <c r="Y10" s="639"/>
      <c r="Z10" s="639"/>
      <c r="AA10" s="639"/>
      <c r="AB10" s="639"/>
      <c r="AC10" s="639"/>
      <c r="AD10" s="639"/>
      <c r="AE10" s="639"/>
      <c r="AF10" s="639"/>
      <c r="AG10" s="639"/>
      <c r="AH10" s="639"/>
      <c r="AI10" s="639"/>
      <c r="AJ10" s="639"/>
      <c r="AK10" s="639"/>
      <c r="AL10" s="639"/>
      <c r="AM10" s="639"/>
      <c r="AN10" s="639"/>
      <c r="AO10" s="639"/>
      <c r="AP10" s="639"/>
      <c r="AQ10" s="639"/>
      <c r="AR10" s="639"/>
      <c r="AS10" s="639"/>
      <c r="AT10" s="639"/>
      <c r="AU10" s="639"/>
      <c r="AV10" s="639"/>
      <c r="AW10" s="639"/>
      <c r="AX10" s="639"/>
      <c r="AY10" s="639"/>
      <c r="AZ10" s="639"/>
      <c r="BA10" s="639"/>
      <c r="BB10" s="639"/>
      <c r="BC10" s="639"/>
      <c r="BD10" s="639"/>
      <c r="BE10" s="639"/>
      <c r="BF10" s="639"/>
      <c r="BG10" s="639"/>
      <c r="BH10" s="639"/>
      <c r="BI10" s="639"/>
      <c r="BJ10" s="639"/>
      <c r="BK10" s="639"/>
      <c r="BL10" s="639"/>
      <c r="BM10" s="639"/>
      <c r="BN10" s="639"/>
      <c r="BO10" s="639"/>
      <c r="BP10" s="639"/>
      <c r="BQ10" s="639"/>
      <c r="BR10" s="639"/>
      <c r="BS10" s="639"/>
      <c r="BT10" s="639"/>
      <c r="BU10" s="639"/>
      <c r="BV10" s="639"/>
      <c r="BW10" s="639"/>
      <c r="BX10" s="639"/>
      <c r="BY10" s="639"/>
      <c r="BZ10" s="639"/>
      <c r="CA10" s="639"/>
      <c r="CB10" s="639"/>
      <c r="CC10" s="639"/>
      <c r="CD10" s="639"/>
      <c r="CE10" s="639"/>
      <c r="CF10" s="639"/>
      <c r="CG10" s="639"/>
      <c r="CH10" s="639"/>
      <c r="CI10" s="639"/>
      <c r="CJ10" s="639"/>
      <c r="CK10" s="639"/>
      <c r="CL10" s="639"/>
      <c r="CM10" s="639"/>
      <c r="CN10" s="639"/>
      <c r="CO10" s="639"/>
      <c r="CP10" s="639"/>
      <c r="CQ10" s="639"/>
      <c r="CR10" s="639"/>
      <c r="CS10" s="639"/>
      <c r="CT10" s="639"/>
      <c r="CU10" s="639"/>
      <c r="CV10" s="639"/>
      <c r="CW10" s="639"/>
      <c r="CX10" s="639"/>
      <c r="CY10" s="639"/>
      <c r="CZ10" s="639"/>
      <c r="DA10" s="639"/>
      <c r="DB10" s="639"/>
      <c r="DC10" s="639"/>
      <c r="DD10" s="639"/>
      <c r="DE10" s="639"/>
      <c r="DF10" s="639"/>
      <c r="DG10" s="639"/>
      <c r="DH10" s="639"/>
      <c r="DI10" s="639"/>
      <c r="DJ10" s="639"/>
      <c r="DK10" s="639"/>
      <c r="DL10" s="639"/>
      <c r="DM10" s="639"/>
      <c r="DN10" s="639"/>
      <c r="DO10" s="639"/>
      <c r="DP10" s="639"/>
      <c r="DQ10" s="639"/>
      <c r="DR10" s="639"/>
      <c r="DS10" s="639"/>
      <c r="DT10" s="639"/>
      <c r="DU10" s="639"/>
      <c r="DV10" s="639"/>
      <c r="DW10" s="639"/>
      <c r="DX10" s="639"/>
      <c r="DY10" s="639"/>
      <c r="DZ10" s="639"/>
      <c r="EA10" s="639"/>
      <c r="EB10" s="639"/>
      <c r="EC10" s="639"/>
      <c r="ED10" s="639"/>
      <c r="EE10" s="639"/>
      <c r="EF10" s="639"/>
      <c r="EG10" s="639"/>
      <c r="EH10" s="639"/>
      <c r="EI10" s="639"/>
      <c r="EJ10" s="639"/>
      <c r="EK10" s="639"/>
      <c r="EL10" s="639"/>
      <c r="EM10" s="639"/>
      <c r="EN10" s="639"/>
      <c r="EO10" s="639"/>
      <c r="EP10" s="639"/>
      <c r="EQ10" s="639"/>
      <c r="ER10" s="639"/>
      <c r="ES10" s="639"/>
      <c r="ET10" s="639"/>
      <c r="EU10" s="639"/>
      <c r="EV10" s="639"/>
      <c r="EW10" s="639"/>
      <c r="EX10" s="639"/>
      <c r="EY10" s="639"/>
      <c r="EZ10" s="639"/>
      <c r="FA10" s="639"/>
      <c r="FB10" s="639"/>
      <c r="FC10" s="639"/>
      <c r="FD10" s="639"/>
      <c r="FE10" s="639"/>
      <c r="FF10" s="639"/>
      <c r="FG10" s="639"/>
      <c r="FH10" s="639"/>
      <c r="FI10" s="639"/>
      <c r="FJ10" s="639"/>
      <c r="FK10" s="639"/>
      <c r="FL10" s="639"/>
      <c r="FM10" s="639"/>
      <c r="FN10" s="639"/>
      <c r="FO10" s="639"/>
      <c r="FP10" s="639"/>
      <c r="FQ10" s="639"/>
      <c r="FR10" s="639"/>
      <c r="FS10" s="639"/>
      <c r="FT10" s="639"/>
      <c r="FU10" s="639"/>
      <c r="FV10" s="639"/>
      <c r="FW10" s="639"/>
      <c r="FX10" s="639"/>
      <c r="FY10" s="639"/>
      <c r="FZ10" s="639"/>
      <c r="GA10" s="639"/>
      <c r="GB10" s="639"/>
      <c r="GC10" s="639"/>
      <c r="GD10" s="639"/>
      <c r="GE10" s="639"/>
      <c r="GF10" s="639"/>
      <c r="GG10" s="639"/>
      <c r="GH10" s="639"/>
      <c r="GI10" s="639"/>
      <c r="GJ10" s="639"/>
      <c r="GK10" s="639"/>
      <c r="GL10" s="639"/>
      <c r="GM10" s="639"/>
      <c r="GN10" s="639"/>
      <c r="GO10" s="639"/>
      <c r="GP10" s="639"/>
      <c r="GQ10" s="639"/>
      <c r="GR10" s="639"/>
      <c r="GS10" s="639"/>
      <c r="GT10" s="639"/>
      <c r="GU10" s="639"/>
      <c r="GV10" s="639"/>
      <c r="GW10" s="639"/>
      <c r="GX10" s="639"/>
      <c r="GY10" s="639"/>
      <c r="GZ10" s="639"/>
      <c r="HA10" s="639"/>
      <c r="HB10" s="639"/>
      <c r="HC10" s="639"/>
      <c r="HD10" s="639"/>
      <c r="HE10" s="639"/>
      <c r="HF10" s="639"/>
      <c r="HG10" s="639"/>
      <c r="HH10" s="639"/>
      <c r="HI10" s="639"/>
      <c r="HJ10" s="639"/>
      <c r="HK10" s="639"/>
      <c r="HL10" s="639"/>
      <c r="HM10" s="639"/>
      <c r="HN10" s="639"/>
      <c r="HO10" s="639"/>
      <c r="HP10" s="639"/>
      <c r="HQ10" s="639"/>
      <c r="HR10" s="639"/>
      <c r="HS10" s="639"/>
      <c r="HT10" s="639"/>
      <c r="HU10" s="639"/>
      <c r="HV10" s="639"/>
      <c r="HW10" s="639"/>
      <c r="HX10" s="639"/>
      <c r="HY10" s="639"/>
      <c r="HZ10" s="639"/>
      <c r="IA10" s="639"/>
      <c r="IB10" s="639"/>
      <c r="IC10" s="639"/>
      <c r="ID10" s="639"/>
      <c r="IE10" s="639"/>
      <c r="IF10" s="639"/>
      <c r="IG10" s="639"/>
      <c r="IH10" s="639"/>
      <c r="II10" s="639"/>
      <c r="IJ10" s="639"/>
      <c r="IK10" s="639"/>
      <c r="IL10" s="639"/>
      <c r="IM10" s="639"/>
      <c r="IN10" s="639"/>
      <c r="IO10" s="639"/>
      <c r="IP10" s="639"/>
      <c r="IQ10" s="639"/>
      <c r="IR10" s="639"/>
      <c r="IS10" s="639"/>
    </row>
    <row r="11" spans="1:253" ht="15" customHeight="1">
      <c r="A11" s="614" t="s">
        <v>211</v>
      </c>
      <c r="B11" s="610">
        <v>36</v>
      </c>
      <c r="C11" s="609">
        <v>29004003</v>
      </c>
      <c r="D11" s="613">
        <v>1382241503</v>
      </c>
      <c r="E11" s="613">
        <v>1411245506</v>
      </c>
      <c r="F11" s="612">
        <v>274904391</v>
      </c>
      <c r="G11" s="612">
        <v>105819922</v>
      </c>
      <c r="H11" s="611">
        <v>76596629</v>
      </c>
      <c r="I11" s="611">
        <v>1480915422</v>
      </c>
      <c r="J11" s="622">
        <v>-1830557277</v>
      </c>
      <c r="K11" s="610">
        <v>3714</v>
      </c>
      <c r="L11" s="609">
        <v>4021186077</v>
      </c>
    </row>
    <row r="12" spans="1:253" ht="15" customHeight="1">
      <c r="A12" s="614" t="s">
        <v>222</v>
      </c>
      <c r="B12" s="610">
        <v>18</v>
      </c>
      <c r="C12" s="609">
        <v>358315091</v>
      </c>
      <c r="D12" s="640">
        <v>42299814</v>
      </c>
      <c r="E12" s="613">
        <v>400614905</v>
      </c>
      <c r="F12" s="612">
        <v>26089004</v>
      </c>
      <c r="G12" s="612">
        <v>5249592</v>
      </c>
      <c r="H12" s="611">
        <v>3976768</v>
      </c>
      <c r="I12" s="611">
        <v>42737309</v>
      </c>
      <c r="J12" s="609">
        <v>78119606</v>
      </c>
      <c r="K12" s="610">
        <v>1486</v>
      </c>
      <c r="L12" s="609">
        <v>58452830</v>
      </c>
    </row>
    <row r="13" spans="1:253" ht="15" customHeight="1">
      <c r="A13" s="614" t="s">
        <v>228</v>
      </c>
      <c r="B13" s="610">
        <v>15</v>
      </c>
      <c r="C13" s="609">
        <v>105400268</v>
      </c>
      <c r="D13" s="640">
        <v>5675686</v>
      </c>
      <c r="E13" s="613">
        <v>111075954</v>
      </c>
      <c r="F13" s="612">
        <v>1641839</v>
      </c>
      <c r="G13" s="612">
        <v>9787830</v>
      </c>
      <c r="H13" s="641">
        <v>8318479</v>
      </c>
      <c r="I13" s="641">
        <v>89459244</v>
      </c>
      <c r="J13" s="609">
        <v>10612940</v>
      </c>
      <c r="K13" s="610">
        <v>300</v>
      </c>
      <c r="L13" s="609">
        <v>208645627</v>
      </c>
    </row>
    <row r="14" spans="1:253" ht="15" customHeight="1">
      <c r="A14" s="614" t="s">
        <v>677</v>
      </c>
      <c r="B14" s="610">
        <v>31.0044</v>
      </c>
      <c r="C14" s="609">
        <v>308967623.84240001</v>
      </c>
      <c r="D14" s="613">
        <v>1377970911</v>
      </c>
      <c r="E14" s="613">
        <v>1686938534.8424001</v>
      </c>
      <c r="F14" s="622">
        <v>-31081470.514400002</v>
      </c>
      <c r="G14" s="612">
        <v>19458698.4452</v>
      </c>
      <c r="H14" s="611">
        <v>12085855</v>
      </c>
      <c r="I14" s="611">
        <v>276461973</v>
      </c>
      <c r="J14" s="609">
        <v>965638282.1092</v>
      </c>
      <c r="K14" s="610">
        <v>1299</v>
      </c>
      <c r="L14" s="609">
        <v>349909104</v>
      </c>
      <c r="M14" s="600"/>
    </row>
    <row r="15" spans="1:253" ht="15" customHeight="1">
      <c r="A15" s="614" t="s">
        <v>79</v>
      </c>
      <c r="B15" s="610">
        <v>174</v>
      </c>
      <c r="C15" s="609">
        <v>9761599975</v>
      </c>
      <c r="D15" s="613">
        <v>1915953579</v>
      </c>
      <c r="E15" s="613">
        <v>11677553554</v>
      </c>
      <c r="F15" s="612">
        <v>597953971</v>
      </c>
      <c r="G15" s="612">
        <v>346297893</v>
      </c>
      <c r="H15" s="611">
        <v>313481648</v>
      </c>
      <c r="I15" s="611">
        <v>2147504476</v>
      </c>
      <c r="J15" s="609">
        <v>12541260726</v>
      </c>
      <c r="K15" s="610">
        <v>47213</v>
      </c>
      <c r="L15" s="609">
        <v>4710187097</v>
      </c>
    </row>
    <row r="16" spans="1:253" ht="15" customHeight="1">
      <c r="A16" s="614" t="s">
        <v>249</v>
      </c>
      <c r="B16" s="610">
        <v>19</v>
      </c>
      <c r="C16" s="609">
        <v>311369380</v>
      </c>
      <c r="D16" s="640">
        <v>11076610</v>
      </c>
      <c r="E16" s="613">
        <v>322445990</v>
      </c>
      <c r="F16" s="612">
        <v>13814983</v>
      </c>
      <c r="G16" s="642">
        <v>20643915</v>
      </c>
      <c r="H16" s="641">
        <v>11850608</v>
      </c>
      <c r="I16" s="641">
        <v>114013947</v>
      </c>
      <c r="J16" s="622">
        <v>-48393290</v>
      </c>
      <c r="K16" s="610">
        <v>3471</v>
      </c>
      <c r="L16" s="643">
        <v>258614412</v>
      </c>
    </row>
    <row r="17" spans="1:253" ht="15" customHeight="1">
      <c r="A17" s="614" t="s">
        <v>252</v>
      </c>
      <c r="B17" s="610">
        <v>24</v>
      </c>
      <c r="C17" s="609">
        <v>65952800</v>
      </c>
      <c r="D17" s="654">
        <v>-1916542</v>
      </c>
      <c r="E17" s="613">
        <v>64036258</v>
      </c>
      <c r="F17" s="612">
        <v>6150842</v>
      </c>
      <c r="G17" s="612">
        <v>11156154</v>
      </c>
      <c r="H17" s="611">
        <v>6987704</v>
      </c>
      <c r="I17" s="611">
        <v>270491927</v>
      </c>
      <c r="J17" s="622">
        <v>-442168652</v>
      </c>
      <c r="K17" s="610">
        <v>127</v>
      </c>
      <c r="L17" s="609">
        <v>25678123</v>
      </c>
    </row>
    <row r="18" spans="1:253" ht="15" customHeight="1">
      <c r="A18" s="614" t="s">
        <v>255</v>
      </c>
      <c r="B18" s="610">
        <v>70.004400000000004</v>
      </c>
      <c r="C18" s="609">
        <v>2509767591</v>
      </c>
      <c r="D18" s="613">
        <v>304783816</v>
      </c>
      <c r="E18" s="613">
        <v>2814551407</v>
      </c>
      <c r="F18" s="622">
        <v>-643511239</v>
      </c>
      <c r="G18" s="612">
        <v>329766752</v>
      </c>
      <c r="H18" s="611">
        <v>231568295</v>
      </c>
      <c r="I18" s="611">
        <v>3610072799</v>
      </c>
      <c r="J18" s="609">
        <v>1465542754.3803999</v>
      </c>
      <c r="K18" s="610">
        <v>7356</v>
      </c>
      <c r="L18" s="609">
        <v>4891961393.1084003</v>
      </c>
      <c r="M18" s="600"/>
    </row>
    <row r="19" spans="1:253" ht="15" customHeight="1">
      <c r="A19" s="614" t="s">
        <v>267</v>
      </c>
      <c r="B19" s="610">
        <v>125.0044</v>
      </c>
      <c r="C19" s="609">
        <v>827540391</v>
      </c>
      <c r="D19" s="613">
        <v>256814259.3716</v>
      </c>
      <c r="E19" s="613">
        <v>1084354650.3715999</v>
      </c>
      <c r="F19" s="612">
        <v>48383012.035599999</v>
      </c>
      <c r="G19" s="612">
        <v>59482415.723200001</v>
      </c>
      <c r="H19" s="611">
        <v>52157849</v>
      </c>
      <c r="I19" s="611">
        <v>850040437.04799998</v>
      </c>
      <c r="J19" s="622">
        <v>-115752773.0008</v>
      </c>
      <c r="K19" s="610">
        <v>4957</v>
      </c>
      <c r="L19" s="609">
        <v>646951147.76839995</v>
      </c>
    </row>
    <row r="20" spans="1:253" ht="15" customHeight="1">
      <c r="A20" s="614" t="s">
        <v>275</v>
      </c>
      <c r="B20" s="610">
        <v>24</v>
      </c>
      <c r="C20" s="643">
        <v>269944058</v>
      </c>
      <c r="D20" s="640">
        <v>7965353</v>
      </c>
      <c r="E20" s="613">
        <v>277909411</v>
      </c>
      <c r="F20" s="612">
        <v>115141352</v>
      </c>
      <c r="G20" s="642">
        <v>202956336</v>
      </c>
      <c r="H20" s="611">
        <v>122795382</v>
      </c>
      <c r="I20" s="641">
        <v>1229778922</v>
      </c>
      <c r="J20" s="622">
        <v>-1092096803</v>
      </c>
      <c r="K20" s="650">
        <v>130</v>
      </c>
      <c r="L20" s="643">
        <v>1030609080</v>
      </c>
    </row>
    <row r="21" spans="1:253" ht="15" customHeight="1">
      <c r="A21" s="614" t="s">
        <v>280</v>
      </c>
      <c r="B21" s="610">
        <v>15</v>
      </c>
      <c r="C21" s="609">
        <v>34007874</v>
      </c>
      <c r="D21" s="640">
        <v>210963588</v>
      </c>
      <c r="E21" s="613">
        <v>244971462</v>
      </c>
      <c r="F21" s="622">
        <v>-6742997</v>
      </c>
      <c r="G21" s="612">
        <v>4637484</v>
      </c>
      <c r="H21" s="641">
        <v>1905646</v>
      </c>
      <c r="I21" s="611">
        <v>34960502</v>
      </c>
      <c r="J21" s="609">
        <v>96903256</v>
      </c>
      <c r="K21" s="610">
        <v>6786</v>
      </c>
      <c r="L21" s="609">
        <v>324301599</v>
      </c>
    </row>
    <row r="22" spans="1:253" s="623" customFormat="1" ht="15" customHeight="1">
      <c r="A22" s="632" t="s">
        <v>201</v>
      </c>
      <c r="B22" s="625">
        <v>216</v>
      </c>
      <c r="C22" s="624">
        <v>6755779678</v>
      </c>
      <c r="D22" s="630">
        <v>1117154897</v>
      </c>
      <c r="E22" s="630">
        <v>7872934575</v>
      </c>
      <c r="F22" s="629">
        <v>6478318185</v>
      </c>
      <c r="G22" s="629">
        <v>269661188</v>
      </c>
      <c r="H22" s="626">
        <v>210787088</v>
      </c>
      <c r="I22" s="626">
        <v>17645697284</v>
      </c>
      <c r="J22" s="624">
        <v>7191401302</v>
      </c>
      <c r="K22" s="625">
        <v>2951</v>
      </c>
      <c r="L22" s="624">
        <v>245008674</v>
      </c>
    </row>
    <row r="23" spans="1:253" ht="15" customHeight="1">
      <c r="A23" s="614" t="s">
        <v>290</v>
      </c>
      <c r="B23" s="610">
        <v>149.00210000000001</v>
      </c>
      <c r="C23" s="609">
        <v>1771859203.4607</v>
      </c>
      <c r="D23" s="613">
        <v>847417116</v>
      </c>
      <c r="E23" s="613">
        <v>2619276319.4607</v>
      </c>
      <c r="F23" s="612">
        <v>98745891.146400005</v>
      </c>
      <c r="G23" s="612">
        <v>45280048.432599999</v>
      </c>
      <c r="H23" s="611">
        <v>59563860.024400003</v>
      </c>
      <c r="I23" s="611">
        <v>942466787</v>
      </c>
      <c r="J23" s="622">
        <v>-355185905</v>
      </c>
      <c r="K23" s="610">
        <v>30636</v>
      </c>
      <c r="L23" s="609">
        <v>863344347</v>
      </c>
    </row>
    <row r="24" spans="1:253" ht="15" customHeight="1">
      <c r="A24" s="614" t="s">
        <v>291</v>
      </c>
      <c r="B24" s="610">
        <v>35</v>
      </c>
      <c r="C24" s="609">
        <v>236896578</v>
      </c>
      <c r="D24" s="613">
        <v>180698824</v>
      </c>
      <c r="E24" s="613">
        <v>417595402</v>
      </c>
      <c r="F24" s="622">
        <v>-3030658</v>
      </c>
      <c r="G24" s="612">
        <v>4641639</v>
      </c>
      <c r="H24" s="611">
        <v>3752862</v>
      </c>
      <c r="I24" s="611">
        <v>60149688</v>
      </c>
      <c r="J24" s="609">
        <v>53982456</v>
      </c>
      <c r="K24" s="610">
        <v>4465</v>
      </c>
      <c r="L24" s="609">
        <v>255990170</v>
      </c>
    </row>
    <row r="25" spans="1:253" ht="15" customHeight="1">
      <c r="A25" s="614" t="s">
        <v>293</v>
      </c>
      <c r="B25" s="610">
        <v>25</v>
      </c>
      <c r="C25" s="609">
        <v>169252667</v>
      </c>
      <c r="D25" s="640">
        <v>4370790</v>
      </c>
      <c r="E25" s="613">
        <v>173623457</v>
      </c>
      <c r="F25" s="612">
        <v>22276888</v>
      </c>
      <c r="G25" s="612">
        <v>8890218</v>
      </c>
      <c r="H25" s="641">
        <v>8443315</v>
      </c>
      <c r="I25" s="611">
        <v>18422028</v>
      </c>
      <c r="J25" s="609">
        <v>24696925</v>
      </c>
      <c r="K25" s="610">
        <v>1048</v>
      </c>
      <c r="L25" s="609">
        <v>89910451</v>
      </c>
    </row>
    <row r="26" spans="1:253" ht="15" customHeight="1">
      <c r="A26" s="614" t="s">
        <v>82</v>
      </c>
      <c r="B26" s="610">
        <v>123</v>
      </c>
      <c r="C26" s="609">
        <v>3158577174</v>
      </c>
      <c r="D26" s="613">
        <v>2591449292</v>
      </c>
      <c r="E26" s="613">
        <v>5750026466</v>
      </c>
      <c r="F26" s="622">
        <v>-1428029501</v>
      </c>
      <c r="G26" s="612">
        <v>379711391</v>
      </c>
      <c r="H26" s="611">
        <v>401056027</v>
      </c>
      <c r="I26" s="611">
        <v>4909920228</v>
      </c>
      <c r="J26" s="609">
        <v>23076083</v>
      </c>
      <c r="K26" s="610">
        <v>10123</v>
      </c>
      <c r="L26" s="609">
        <v>15902195305</v>
      </c>
    </row>
    <row r="27" spans="1:253" ht="15" customHeight="1">
      <c r="A27" s="614" t="s">
        <v>310</v>
      </c>
      <c r="B27" s="610">
        <v>30</v>
      </c>
      <c r="C27" s="609">
        <v>242183952</v>
      </c>
      <c r="D27" s="613">
        <v>32310040</v>
      </c>
      <c r="E27" s="613">
        <v>274493992</v>
      </c>
      <c r="F27" s="612">
        <v>5982309</v>
      </c>
      <c r="G27" s="612">
        <v>11340606</v>
      </c>
      <c r="H27" s="611">
        <v>10099422</v>
      </c>
      <c r="I27" s="611">
        <v>68291286</v>
      </c>
      <c r="J27" s="609">
        <v>29250349</v>
      </c>
      <c r="K27" s="610">
        <v>716</v>
      </c>
      <c r="L27" s="609">
        <v>217397513</v>
      </c>
    </row>
    <row r="28" spans="1:253" ht="15" customHeight="1">
      <c r="A28" s="614" t="s">
        <v>39</v>
      </c>
      <c r="B28" s="610">
        <v>446.01089999999999</v>
      </c>
      <c r="C28" s="609">
        <v>21503659877.503601</v>
      </c>
      <c r="D28" s="613">
        <v>4072979909.0689001</v>
      </c>
      <c r="E28" s="613">
        <v>25576639786.572498</v>
      </c>
      <c r="F28" s="612">
        <v>631075894.80799997</v>
      </c>
      <c r="G28" s="612">
        <v>345287250.16600001</v>
      </c>
      <c r="H28" s="611">
        <v>339041326.89880002</v>
      </c>
      <c r="I28" s="611">
        <v>25157200185.445499</v>
      </c>
      <c r="J28" s="609">
        <v>3540024248.7990999</v>
      </c>
      <c r="K28" s="610">
        <v>113854.07249999999</v>
      </c>
      <c r="L28" s="609">
        <v>8443482429.7165003</v>
      </c>
    </row>
    <row r="29" spans="1:253" s="602" customFormat="1" ht="15" customHeight="1">
      <c r="A29" s="614" t="s">
        <v>317</v>
      </c>
      <c r="B29" s="610">
        <v>10</v>
      </c>
      <c r="C29" s="643">
        <v>265339758</v>
      </c>
      <c r="D29" s="640">
        <v>509048232</v>
      </c>
      <c r="E29" s="640">
        <v>774387990</v>
      </c>
      <c r="F29" s="642">
        <v>266261780</v>
      </c>
      <c r="G29" s="642">
        <v>6548128</v>
      </c>
      <c r="H29" s="641">
        <v>7206835</v>
      </c>
      <c r="I29" s="641">
        <v>50614762</v>
      </c>
      <c r="J29" s="643">
        <v>288295494</v>
      </c>
      <c r="K29" s="650">
        <v>636</v>
      </c>
      <c r="L29" s="643">
        <v>79567139</v>
      </c>
      <c r="M29" s="639"/>
      <c r="N29" s="639"/>
      <c r="O29" s="639"/>
      <c r="P29" s="639"/>
      <c r="Q29" s="639"/>
      <c r="R29" s="639"/>
      <c r="S29" s="639"/>
      <c r="T29" s="639"/>
      <c r="U29" s="639"/>
      <c r="V29" s="639"/>
      <c r="W29" s="639"/>
      <c r="X29" s="639"/>
      <c r="Y29" s="639"/>
      <c r="Z29" s="639"/>
      <c r="AA29" s="639"/>
      <c r="AB29" s="639"/>
      <c r="AC29" s="639"/>
      <c r="AD29" s="639"/>
      <c r="AE29" s="639"/>
      <c r="AF29" s="639"/>
      <c r="AG29" s="639"/>
      <c r="AH29" s="639"/>
      <c r="AI29" s="639"/>
      <c r="AJ29" s="639"/>
      <c r="AK29" s="639"/>
      <c r="AL29" s="639"/>
      <c r="AM29" s="639"/>
      <c r="AN29" s="639"/>
      <c r="AO29" s="639"/>
      <c r="AP29" s="639"/>
      <c r="AQ29" s="639"/>
      <c r="AR29" s="639"/>
      <c r="AS29" s="639"/>
      <c r="AT29" s="639"/>
      <c r="AU29" s="639"/>
      <c r="AV29" s="639"/>
      <c r="AW29" s="639"/>
      <c r="AX29" s="639"/>
      <c r="AY29" s="639"/>
      <c r="AZ29" s="639"/>
      <c r="BA29" s="639"/>
      <c r="BB29" s="639"/>
      <c r="BC29" s="639"/>
      <c r="BD29" s="639"/>
      <c r="BE29" s="639"/>
      <c r="BF29" s="639"/>
      <c r="BG29" s="639"/>
      <c r="BH29" s="639"/>
      <c r="BI29" s="639"/>
      <c r="BJ29" s="639"/>
      <c r="BK29" s="639"/>
      <c r="BL29" s="639"/>
      <c r="BM29" s="639"/>
      <c r="BN29" s="639"/>
      <c r="BO29" s="639"/>
      <c r="BP29" s="639"/>
      <c r="BQ29" s="639"/>
      <c r="BR29" s="639"/>
      <c r="BS29" s="639"/>
      <c r="BT29" s="639"/>
      <c r="BU29" s="639"/>
      <c r="BV29" s="639"/>
      <c r="BW29" s="639"/>
      <c r="BX29" s="639"/>
      <c r="BY29" s="639"/>
      <c r="BZ29" s="639"/>
      <c r="CA29" s="639"/>
      <c r="CB29" s="639"/>
      <c r="CC29" s="639"/>
      <c r="CD29" s="639"/>
      <c r="CE29" s="639"/>
      <c r="CF29" s="639"/>
      <c r="CG29" s="639"/>
      <c r="CH29" s="639"/>
      <c r="CI29" s="639"/>
      <c r="CJ29" s="639"/>
      <c r="CK29" s="639"/>
      <c r="CL29" s="639"/>
      <c r="CM29" s="639"/>
      <c r="CN29" s="639"/>
      <c r="CO29" s="639"/>
      <c r="CP29" s="639"/>
      <c r="CQ29" s="639"/>
      <c r="CR29" s="639"/>
      <c r="CS29" s="639"/>
      <c r="CT29" s="639"/>
      <c r="CU29" s="639"/>
      <c r="CV29" s="639"/>
      <c r="CW29" s="639"/>
      <c r="CX29" s="639"/>
      <c r="CY29" s="639"/>
      <c r="CZ29" s="639"/>
      <c r="DA29" s="639"/>
      <c r="DB29" s="639"/>
      <c r="DC29" s="639"/>
      <c r="DD29" s="639"/>
      <c r="DE29" s="639"/>
      <c r="DF29" s="639"/>
      <c r="DG29" s="639"/>
      <c r="DH29" s="639"/>
      <c r="DI29" s="639"/>
      <c r="DJ29" s="639"/>
      <c r="DK29" s="639"/>
      <c r="DL29" s="639"/>
      <c r="DM29" s="639"/>
      <c r="DN29" s="639"/>
      <c r="DO29" s="639"/>
      <c r="DP29" s="639"/>
      <c r="DQ29" s="639"/>
      <c r="DR29" s="639"/>
      <c r="DS29" s="639"/>
      <c r="DT29" s="639"/>
      <c r="DU29" s="639"/>
      <c r="DV29" s="639"/>
      <c r="DW29" s="639"/>
      <c r="DX29" s="639"/>
      <c r="DY29" s="639"/>
      <c r="DZ29" s="639"/>
      <c r="EA29" s="639"/>
      <c r="EB29" s="639"/>
      <c r="EC29" s="639"/>
      <c r="ED29" s="639"/>
      <c r="EE29" s="639"/>
      <c r="EF29" s="639"/>
      <c r="EG29" s="639"/>
      <c r="EH29" s="639"/>
      <c r="EI29" s="639"/>
      <c r="EJ29" s="639"/>
      <c r="EK29" s="639"/>
      <c r="EL29" s="639"/>
      <c r="EM29" s="639"/>
      <c r="EN29" s="639"/>
      <c r="EO29" s="639"/>
      <c r="EP29" s="639"/>
      <c r="EQ29" s="639"/>
      <c r="ER29" s="639"/>
      <c r="ES29" s="639"/>
      <c r="ET29" s="639"/>
      <c r="EU29" s="639"/>
      <c r="EV29" s="639"/>
      <c r="EW29" s="639"/>
      <c r="EX29" s="639"/>
      <c r="EY29" s="639"/>
      <c r="EZ29" s="639"/>
      <c r="FA29" s="639"/>
      <c r="FB29" s="639"/>
      <c r="FC29" s="639"/>
      <c r="FD29" s="639"/>
      <c r="FE29" s="639"/>
      <c r="FF29" s="639"/>
      <c r="FG29" s="639"/>
      <c r="FH29" s="639"/>
      <c r="FI29" s="639"/>
      <c r="FJ29" s="639"/>
      <c r="FK29" s="639"/>
      <c r="FL29" s="639"/>
      <c r="FM29" s="639"/>
      <c r="FN29" s="639"/>
      <c r="FO29" s="639"/>
      <c r="FP29" s="639"/>
      <c r="FQ29" s="639"/>
      <c r="FR29" s="639"/>
      <c r="FS29" s="639"/>
      <c r="FT29" s="639"/>
      <c r="FU29" s="639"/>
      <c r="FV29" s="639"/>
      <c r="FW29" s="639"/>
      <c r="FX29" s="639"/>
      <c r="FY29" s="639"/>
      <c r="FZ29" s="639"/>
      <c r="GA29" s="639"/>
      <c r="GB29" s="639"/>
      <c r="GC29" s="639"/>
      <c r="GD29" s="639"/>
      <c r="GE29" s="639"/>
      <c r="GF29" s="639"/>
      <c r="GG29" s="639"/>
      <c r="GH29" s="639"/>
      <c r="GI29" s="639"/>
      <c r="GJ29" s="639"/>
      <c r="GK29" s="639"/>
      <c r="GL29" s="639"/>
      <c r="GM29" s="639"/>
      <c r="GN29" s="639"/>
      <c r="GO29" s="639"/>
      <c r="GP29" s="639"/>
      <c r="GQ29" s="639"/>
      <c r="GR29" s="639"/>
      <c r="GS29" s="639"/>
      <c r="GT29" s="639"/>
      <c r="GU29" s="639"/>
      <c r="GV29" s="639"/>
      <c r="GW29" s="639"/>
      <c r="GX29" s="639"/>
      <c r="GY29" s="639"/>
      <c r="GZ29" s="639"/>
      <c r="HA29" s="639"/>
      <c r="HB29" s="639"/>
      <c r="HC29" s="639"/>
      <c r="HD29" s="639"/>
      <c r="HE29" s="639"/>
      <c r="HF29" s="639"/>
      <c r="HG29" s="639"/>
      <c r="HH29" s="639"/>
      <c r="HI29" s="639"/>
      <c r="HJ29" s="639"/>
      <c r="HK29" s="639"/>
      <c r="HL29" s="639"/>
      <c r="HM29" s="639"/>
      <c r="HN29" s="639"/>
      <c r="HO29" s="639"/>
      <c r="HP29" s="639"/>
      <c r="HQ29" s="639"/>
      <c r="HR29" s="639"/>
      <c r="HS29" s="639"/>
      <c r="HT29" s="639"/>
      <c r="HU29" s="639"/>
      <c r="HV29" s="639"/>
      <c r="HW29" s="639"/>
      <c r="HX29" s="639"/>
      <c r="HY29" s="639"/>
      <c r="HZ29" s="639"/>
      <c r="IA29" s="639"/>
      <c r="IB29" s="639"/>
      <c r="IC29" s="639"/>
      <c r="ID29" s="639"/>
      <c r="IE29" s="639"/>
      <c r="IF29" s="639"/>
      <c r="IG29" s="639"/>
      <c r="IH29" s="639"/>
      <c r="II29" s="639"/>
      <c r="IJ29" s="639"/>
      <c r="IK29" s="639"/>
      <c r="IL29" s="639"/>
      <c r="IM29" s="639"/>
      <c r="IN29" s="639"/>
      <c r="IO29" s="639"/>
      <c r="IP29" s="639"/>
      <c r="IQ29" s="639"/>
      <c r="IR29" s="639"/>
      <c r="IS29" s="639"/>
    </row>
    <row r="30" spans="1:253" ht="15" customHeight="1">
      <c r="A30" s="614" t="s">
        <v>320</v>
      </c>
      <c r="B30" s="610">
        <v>38</v>
      </c>
      <c r="C30" s="609">
        <v>166762385</v>
      </c>
      <c r="D30" s="613">
        <v>73169861</v>
      </c>
      <c r="E30" s="613">
        <v>239932246</v>
      </c>
      <c r="F30" s="622">
        <v>-21647269</v>
      </c>
      <c r="G30" s="612">
        <v>1607673</v>
      </c>
      <c r="H30" s="611">
        <v>8484312</v>
      </c>
      <c r="I30" s="611">
        <v>218946613</v>
      </c>
      <c r="J30" s="622">
        <v>-167673437</v>
      </c>
      <c r="K30" s="610">
        <v>4351</v>
      </c>
      <c r="L30" s="609">
        <v>221680215</v>
      </c>
    </row>
    <row r="31" spans="1:253" ht="15" customHeight="1">
      <c r="A31" s="614" t="s">
        <v>326</v>
      </c>
      <c r="B31" s="610">
        <v>66</v>
      </c>
      <c r="C31" s="609">
        <v>208239926</v>
      </c>
      <c r="D31" s="613">
        <v>249671596</v>
      </c>
      <c r="E31" s="613">
        <v>457911522</v>
      </c>
      <c r="F31" s="612">
        <v>22312385</v>
      </c>
      <c r="G31" s="612">
        <v>19265304</v>
      </c>
      <c r="H31" s="611">
        <v>8693177</v>
      </c>
      <c r="I31" s="611">
        <v>160793357</v>
      </c>
      <c r="J31" s="609">
        <v>156100292</v>
      </c>
      <c r="K31" s="610">
        <v>11883</v>
      </c>
      <c r="L31" s="609">
        <v>149301317</v>
      </c>
    </row>
    <row r="32" spans="1:253" ht="15" customHeight="1">
      <c r="A32" s="614" t="s">
        <v>328</v>
      </c>
      <c r="B32" s="610">
        <v>31</v>
      </c>
      <c r="C32" s="609">
        <v>374909267</v>
      </c>
      <c r="D32" s="613">
        <v>19741816</v>
      </c>
      <c r="E32" s="613">
        <v>394651083</v>
      </c>
      <c r="F32" s="612">
        <v>47429648</v>
      </c>
      <c r="G32" s="612">
        <v>13364740</v>
      </c>
      <c r="H32" s="622">
        <v>-9451569</v>
      </c>
      <c r="I32" s="611">
        <v>878707627</v>
      </c>
      <c r="J32" s="622">
        <v>-11916430</v>
      </c>
      <c r="K32" s="610">
        <v>1641</v>
      </c>
      <c r="L32" s="609">
        <v>405891033</v>
      </c>
    </row>
    <row r="33" spans="1:253" ht="15" customHeight="1">
      <c r="A33" s="614" t="s">
        <v>334</v>
      </c>
      <c r="B33" s="610">
        <v>32</v>
      </c>
      <c r="C33" s="609">
        <v>330191993</v>
      </c>
      <c r="D33" s="613">
        <v>82442837</v>
      </c>
      <c r="E33" s="613">
        <v>412634830</v>
      </c>
      <c r="F33" s="622">
        <v>-66578436</v>
      </c>
      <c r="G33" s="612">
        <v>8292743</v>
      </c>
      <c r="H33" s="611">
        <v>8924395</v>
      </c>
      <c r="I33" s="611">
        <v>282039557</v>
      </c>
      <c r="J33" s="622">
        <v>-371162174</v>
      </c>
      <c r="K33" s="610">
        <v>2126</v>
      </c>
      <c r="L33" s="609">
        <v>176424802</v>
      </c>
    </row>
    <row r="34" spans="1:253" ht="15" customHeight="1">
      <c r="A34" s="614" t="s">
        <v>335</v>
      </c>
      <c r="B34" s="610">
        <v>25.002099999999999</v>
      </c>
      <c r="C34" s="643">
        <v>46017986</v>
      </c>
      <c r="D34" s="640">
        <v>193926658</v>
      </c>
      <c r="E34" s="613">
        <v>239944644</v>
      </c>
      <c r="F34" s="612">
        <v>25096386</v>
      </c>
      <c r="G34" s="642">
        <v>5667555</v>
      </c>
      <c r="H34" s="641">
        <v>4156152</v>
      </c>
      <c r="I34" s="611">
        <v>29527631</v>
      </c>
      <c r="J34" s="609">
        <v>180510811</v>
      </c>
      <c r="K34" s="610">
        <v>3760</v>
      </c>
      <c r="L34" s="643">
        <v>328924360</v>
      </c>
    </row>
    <row r="35" spans="1:253" ht="15" customHeight="1">
      <c r="A35" s="614" t="s">
        <v>676</v>
      </c>
      <c r="B35" s="610">
        <v>69</v>
      </c>
      <c r="C35" s="609">
        <v>1305661272</v>
      </c>
      <c r="D35" s="613">
        <v>899924784</v>
      </c>
      <c r="E35" s="613">
        <v>2205586056</v>
      </c>
      <c r="F35" s="622">
        <v>-299662003</v>
      </c>
      <c r="G35" s="612">
        <v>261687226</v>
      </c>
      <c r="H35" s="611">
        <v>148869323</v>
      </c>
      <c r="I35" s="611">
        <v>2388809401</v>
      </c>
      <c r="J35" s="609">
        <v>56545319</v>
      </c>
      <c r="K35" s="610">
        <v>4336</v>
      </c>
      <c r="L35" s="609">
        <v>3867576839</v>
      </c>
    </row>
    <row r="36" spans="1:253" s="602" customFormat="1" ht="15" customHeight="1">
      <c r="A36" s="602" t="s">
        <v>675</v>
      </c>
      <c r="B36" s="604">
        <v>1602.1022</v>
      </c>
      <c r="C36" s="603">
        <v>767446420908.672</v>
      </c>
      <c r="D36" s="638">
        <v>487924887429.94202</v>
      </c>
      <c r="E36" s="638">
        <v>1255371308338.6101</v>
      </c>
      <c r="F36" s="637">
        <v>172191896002.88101</v>
      </c>
      <c r="G36" s="637">
        <v>20328212310.254299</v>
      </c>
      <c r="H36" s="636">
        <v>19358095162.638802</v>
      </c>
      <c r="I36" s="636">
        <v>2184299500853.95</v>
      </c>
      <c r="J36" s="603">
        <v>543343361320.61401</v>
      </c>
      <c r="K36" s="604">
        <v>3709249.2162000001</v>
      </c>
      <c r="L36" s="603">
        <v>419185558403.04498</v>
      </c>
      <c r="M36" s="639"/>
      <c r="N36" s="639"/>
      <c r="O36" s="639"/>
      <c r="P36" s="639"/>
      <c r="Q36" s="639"/>
      <c r="R36" s="639"/>
      <c r="S36" s="639"/>
      <c r="T36" s="639"/>
      <c r="U36" s="639"/>
      <c r="V36" s="639"/>
      <c r="W36" s="639"/>
      <c r="X36" s="639"/>
      <c r="Y36" s="639"/>
      <c r="Z36" s="639"/>
      <c r="AA36" s="639"/>
      <c r="AB36" s="639"/>
      <c r="AC36" s="639"/>
      <c r="AD36" s="639"/>
      <c r="AE36" s="639"/>
      <c r="AF36" s="639"/>
      <c r="AG36" s="639"/>
      <c r="AH36" s="639"/>
      <c r="AI36" s="639"/>
      <c r="AJ36" s="639"/>
      <c r="AK36" s="639"/>
      <c r="AL36" s="639"/>
      <c r="AM36" s="639"/>
      <c r="AN36" s="639"/>
      <c r="AO36" s="639"/>
      <c r="AP36" s="639"/>
      <c r="AQ36" s="639"/>
      <c r="AR36" s="639"/>
      <c r="AS36" s="639"/>
      <c r="AT36" s="639"/>
      <c r="AU36" s="639"/>
      <c r="AV36" s="639"/>
      <c r="AW36" s="639"/>
      <c r="AX36" s="639"/>
      <c r="AY36" s="639"/>
      <c r="AZ36" s="639"/>
      <c r="BA36" s="639"/>
      <c r="BB36" s="639"/>
      <c r="BC36" s="639"/>
      <c r="BD36" s="639"/>
      <c r="BE36" s="639"/>
      <c r="BF36" s="639"/>
      <c r="BG36" s="639"/>
      <c r="BH36" s="639"/>
      <c r="BI36" s="639"/>
      <c r="BJ36" s="639"/>
      <c r="BK36" s="639"/>
      <c r="BL36" s="639"/>
      <c r="BM36" s="639"/>
      <c r="BN36" s="639"/>
      <c r="BO36" s="639"/>
      <c r="BP36" s="639"/>
      <c r="BQ36" s="639"/>
      <c r="BR36" s="639"/>
      <c r="BS36" s="639"/>
      <c r="BT36" s="639"/>
      <c r="BU36" s="639"/>
      <c r="BV36" s="639"/>
      <c r="BW36" s="639"/>
      <c r="BX36" s="639"/>
      <c r="BY36" s="639"/>
      <c r="BZ36" s="639"/>
      <c r="CA36" s="639"/>
      <c r="CB36" s="639"/>
      <c r="CC36" s="639"/>
      <c r="CD36" s="639"/>
      <c r="CE36" s="639"/>
      <c r="CF36" s="639"/>
      <c r="CG36" s="639"/>
      <c r="CH36" s="639"/>
      <c r="CI36" s="639"/>
      <c r="CJ36" s="639"/>
      <c r="CK36" s="639"/>
      <c r="CL36" s="639"/>
      <c r="CM36" s="639"/>
      <c r="CN36" s="639"/>
      <c r="CO36" s="639"/>
      <c r="CP36" s="639"/>
      <c r="CQ36" s="639"/>
      <c r="CR36" s="639"/>
      <c r="CS36" s="639"/>
      <c r="CT36" s="639"/>
      <c r="CU36" s="639"/>
      <c r="CV36" s="639"/>
      <c r="CW36" s="639"/>
      <c r="CX36" s="639"/>
      <c r="CY36" s="639"/>
      <c r="CZ36" s="639"/>
      <c r="DA36" s="639"/>
      <c r="DB36" s="639"/>
      <c r="DC36" s="639"/>
      <c r="DD36" s="639"/>
      <c r="DE36" s="639"/>
      <c r="DF36" s="639"/>
      <c r="DG36" s="639"/>
      <c r="DH36" s="639"/>
      <c r="DI36" s="639"/>
      <c r="DJ36" s="639"/>
      <c r="DK36" s="639"/>
      <c r="DL36" s="639"/>
      <c r="DM36" s="639"/>
      <c r="DN36" s="639"/>
      <c r="DO36" s="639"/>
      <c r="DP36" s="639"/>
      <c r="DQ36" s="639"/>
      <c r="DR36" s="639"/>
      <c r="DS36" s="639"/>
      <c r="DT36" s="639"/>
      <c r="DU36" s="639"/>
      <c r="DV36" s="639"/>
      <c r="DW36" s="639"/>
      <c r="DX36" s="639"/>
      <c r="DY36" s="639"/>
      <c r="DZ36" s="639"/>
      <c r="EA36" s="639"/>
      <c r="EB36" s="639"/>
      <c r="EC36" s="639"/>
      <c r="ED36" s="639"/>
      <c r="EE36" s="639"/>
      <c r="EF36" s="639"/>
      <c r="EG36" s="639"/>
      <c r="EH36" s="639"/>
      <c r="EI36" s="639"/>
      <c r="EJ36" s="639"/>
      <c r="EK36" s="639"/>
      <c r="EL36" s="639"/>
      <c r="EM36" s="639"/>
      <c r="EN36" s="639"/>
      <c r="EO36" s="639"/>
      <c r="EP36" s="639"/>
      <c r="EQ36" s="639"/>
      <c r="ER36" s="639"/>
      <c r="ES36" s="639"/>
      <c r="ET36" s="639"/>
      <c r="EU36" s="639"/>
      <c r="EV36" s="639"/>
      <c r="EW36" s="639"/>
      <c r="EX36" s="639"/>
      <c r="EY36" s="639"/>
      <c r="EZ36" s="639"/>
      <c r="FA36" s="639"/>
      <c r="FB36" s="639"/>
      <c r="FC36" s="639"/>
      <c r="FD36" s="639"/>
      <c r="FE36" s="639"/>
      <c r="FF36" s="639"/>
      <c r="FG36" s="639"/>
      <c r="FH36" s="639"/>
      <c r="FI36" s="639"/>
      <c r="FJ36" s="639"/>
      <c r="FK36" s="639"/>
      <c r="FL36" s="639"/>
      <c r="FM36" s="639"/>
      <c r="FN36" s="639"/>
      <c r="FO36" s="639"/>
      <c r="FP36" s="639"/>
      <c r="FQ36" s="639"/>
      <c r="FR36" s="639"/>
      <c r="FS36" s="639"/>
      <c r="FT36" s="639"/>
      <c r="FU36" s="639"/>
      <c r="FV36" s="639"/>
      <c r="FW36" s="639"/>
      <c r="FX36" s="639"/>
      <c r="FY36" s="639"/>
      <c r="FZ36" s="639"/>
      <c r="GA36" s="639"/>
      <c r="GB36" s="639"/>
      <c r="GC36" s="639"/>
      <c r="GD36" s="639"/>
      <c r="GE36" s="639"/>
      <c r="GF36" s="639"/>
      <c r="GG36" s="639"/>
      <c r="GH36" s="639"/>
      <c r="GI36" s="639"/>
      <c r="GJ36" s="639"/>
      <c r="GK36" s="639"/>
      <c r="GL36" s="639"/>
      <c r="GM36" s="639"/>
      <c r="GN36" s="639"/>
      <c r="GO36" s="639"/>
      <c r="GP36" s="639"/>
      <c r="GQ36" s="639"/>
      <c r="GR36" s="639"/>
      <c r="GS36" s="639"/>
      <c r="GT36" s="639"/>
      <c r="GU36" s="639"/>
      <c r="GV36" s="639"/>
      <c r="GW36" s="639"/>
      <c r="GX36" s="639"/>
      <c r="GY36" s="639"/>
      <c r="GZ36" s="639"/>
      <c r="HA36" s="639"/>
      <c r="HB36" s="639"/>
      <c r="HC36" s="639"/>
      <c r="HD36" s="639"/>
      <c r="HE36" s="639"/>
      <c r="HF36" s="639"/>
      <c r="HG36" s="639"/>
      <c r="HH36" s="639"/>
      <c r="HI36" s="639"/>
      <c r="HJ36" s="639"/>
      <c r="HK36" s="639"/>
      <c r="HL36" s="639"/>
      <c r="HM36" s="639"/>
      <c r="HN36" s="639"/>
      <c r="HO36" s="639"/>
      <c r="HP36" s="639"/>
      <c r="HQ36" s="639"/>
      <c r="HR36" s="639"/>
      <c r="HS36" s="639"/>
      <c r="HT36" s="639"/>
      <c r="HU36" s="639"/>
      <c r="HV36" s="639"/>
      <c r="HW36" s="639"/>
      <c r="HX36" s="639"/>
      <c r="HY36" s="639"/>
      <c r="HZ36" s="639"/>
      <c r="IA36" s="639"/>
      <c r="IB36" s="639"/>
      <c r="IC36" s="639"/>
      <c r="ID36" s="639"/>
      <c r="IE36" s="639"/>
      <c r="IF36" s="639"/>
      <c r="IG36" s="639"/>
      <c r="IH36" s="639"/>
      <c r="II36" s="639"/>
      <c r="IJ36" s="639"/>
      <c r="IK36" s="639"/>
      <c r="IL36" s="639"/>
      <c r="IM36" s="639"/>
      <c r="IN36" s="639"/>
      <c r="IO36" s="639"/>
      <c r="IP36" s="639"/>
      <c r="IQ36" s="639"/>
      <c r="IR36" s="639"/>
      <c r="IS36" s="639"/>
    </row>
    <row r="37" spans="1:253" ht="15" customHeight="1">
      <c r="A37" s="614" t="s">
        <v>78</v>
      </c>
      <c r="B37" s="610">
        <v>421.00630000000001</v>
      </c>
      <c r="C37" s="609">
        <v>21094328630.3312</v>
      </c>
      <c r="D37" s="613">
        <v>11154651489</v>
      </c>
      <c r="E37" s="613">
        <v>32248980119.3312</v>
      </c>
      <c r="F37" s="622">
        <v>-685010947.16569996</v>
      </c>
      <c r="G37" s="612">
        <v>1018286304.7552</v>
      </c>
      <c r="H37" s="611">
        <v>876036089.35070002</v>
      </c>
      <c r="I37" s="611">
        <v>16875740640.1807</v>
      </c>
      <c r="J37" s="609">
        <v>890379440.90970004</v>
      </c>
      <c r="K37" s="610">
        <v>111097.22259999999</v>
      </c>
      <c r="L37" s="609">
        <v>11751446379.082899</v>
      </c>
    </row>
    <row r="38" spans="1:253" s="652" customFormat="1" ht="15" customHeight="1">
      <c r="A38" s="621" t="s">
        <v>176</v>
      </c>
      <c r="B38" s="617">
        <v>31</v>
      </c>
      <c r="C38" s="616">
        <v>257355664</v>
      </c>
      <c r="D38" s="648">
        <v>24095179</v>
      </c>
      <c r="E38" s="620">
        <v>281450843</v>
      </c>
      <c r="F38" s="646">
        <v>-12326187</v>
      </c>
      <c r="G38" s="647">
        <v>6050279</v>
      </c>
      <c r="H38" s="649">
        <v>4903148</v>
      </c>
      <c r="I38" s="618">
        <v>1163487190</v>
      </c>
      <c r="J38" s="646">
        <v>-905351703</v>
      </c>
      <c r="K38" s="617">
        <v>1106</v>
      </c>
      <c r="L38" s="616">
        <v>104673936</v>
      </c>
      <c r="M38" s="653"/>
      <c r="N38" s="653"/>
      <c r="O38" s="653"/>
      <c r="P38" s="653"/>
      <c r="Q38" s="653"/>
      <c r="R38" s="653"/>
      <c r="S38" s="653"/>
      <c r="T38" s="653"/>
      <c r="U38" s="653"/>
      <c r="V38" s="653"/>
      <c r="W38" s="653"/>
      <c r="X38" s="653"/>
      <c r="Y38" s="653"/>
      <c r="Z38" s="653"/>
      <c r="AA38" s="653"/>
      <c r="AB38" s="653"/>
      <c r="AC38" s="653"/>
      <c r="AD38" s="653"/>
      <c r="AE38" s="653"/>
      <c r="AF38" s="653"/>
      <c r="AG38" s="653"/>
      <c r="AH38" s="653"/>
      <c r="AI38" s="653"/>
      <c r="AJ38" s="653"/>
      <c r="AK38" s="653"/>
      <c r="AL38" s="653"/>
      <c r="AM38" s="653"/>
      <c r="AN38" s="653"/>
      <c r="AO38" s="653"/>
      <c r="AP38" s="653"/>
      <c r="AQ38" s="653"/>
      <c r="AR38" s="653"/>
      <c r="AS38" s="653"/>
      <c r="AT38" s="653"/>
      <c r="AU38" s="653"/>
      <c r="AV38" s="653"/>
      <c r="AW38" s="653"/>
      <c r="AX38" s="653"/>
      <c r="AY38" s="653"/>
      <c r="AZ38" s="653"/>
      <c r="BA38" s="653"/>
      <c r="BB38" s="653"/>
      <c r="BC38" s="653"/>
      <c r="BD38" s="653"/>
      <c r="BE38" s="653"/>
      <c r="BF38" s="653"/>
      <c r="BG38" s="653"/>
      <c r="BH38" s="653"/>
      <c r="BI38" s="653"/>
      <c r="BJ38" s="653"/>
      <c r="BK38" s="653"/>
      <c r="BL38" s="653"/>
      <c r="BM38" s="653"/>
      <c r="BN38" s="653"/>
      <c r="BO38" s="653"/>
      <c r="BP38" s="653"/>
      <c r="BQ38" s="653"/>
      <c r="BR38" s="653"/>
      <c r="BS38" s="653"/>
      <c r="BT38" s="653"/>
      <c r="BU38" s="653"/>
      <c r="BV38" s="653"/>
      <c r="BW38" s="653"/>
      <c r="BX38" s="653"/>
      <c r="BY38" s="653"/>
      <c r="BZ38" s="653"/>
      <c r="CA38" s="653"/>
      <c r="CB38" s="653"/>
      <c r="CC38" s="653"/>
      <c r="CD38" s="653"/>
      <c r="CE38" s="653"/>
      <c r="CF38" s="653"/>
      <c r="CG38" s="653"/>
      <c r="CH38" s="653"/>
      <c r="CI38" s="653"/>
      <c r="CJ38" s="653"/>
      <c r="CK38" s="653"/>
      <c r="CL38" s="653"/>
      <c r="CM38" s="653"/>
      <c r="CN38" s="653"/>
      <c r="CO38" s="653"/>
      <c r="CP38" s="653"/>
      <c r="CQ38" s="653"/>
      <c r="CR38" s="653"/>
      <c r="CS38" s="653"/>
      <c r="CT38" s="653"/>
      <c r="CU38" s="653"/>
      <c r="CV38" s="653"/>
      <c r="CW38" s="653"/>
      <c r="CX38" s="653"/>
      <c r="CY38" s="653"/>
      <c r="CZ38" s="653"/>
      <c r="DA38" s="653"/>
      <c r="DB38" s="653"/>
      <c r="DC38" s="653"/>
      <c r="DD38" s="653"/>
      <c r="DE38" s="653"/>
      <c r="DF38" s="653"/>
      <c r="DG38" s="653"/>
      <c r="DH38" s="653"/>
      <c r="DI38" s="653"/>
      <c r="DJ38" s="653"/>
      <c r="DK38" s="653"/>
      <c r="DL38" s="653"/>
      <c r="DM38" s="653"/>
      <c r="DN38" s="653"/>
      <c r="DO38" s="653"/>
      <c r="DP38" s="653"/>
      <c r="DQ38" s="653"/>
      <c r="DR38" s="653"/>
      <c r="DS38" s="653"/>
      <c r="DT38" s="653"/>
      <c r="DU38" s="653"/>
      <c r="DV38" s="653"/>
      <c r="DW38" s="653"/>
      <c r="DX38" s="653"/>
      <c r="DY38" s="653"/>
      <c r="DZ38" s="653"/>
      <c r="EA38" s="653"/>
      <c r="EB38" s="653"/>
      <c r="EC38" s="653"/>
      <c r="ED38" s="653"/>
      <c r="EE38" s="653"/>
      <c r="EF38" s="653"/>
      <c r="EG38" s="653"/>
      <c r="EH38" s="653"/>
      <c r="EI38" s="653"/>
      <c r="EJ38" s="653"/>
      <c r="EK38" s="653"/>
      <c r="EL38" s="653"/>
      <c r="EM38" s="653"/>
      <c r="EN38" s="653"/>
      <c r="EO38" s="653"/>
      <c r="EP38" s="653"/>
      <c r="EQ38" s="653"/>
      <c r="ER38" s="653"/>
      <c r="ES38" s="653"/>
      <c r="ET38" s="653"/>
      <c r="EU38" s="653"/>
      <c r="EV38" s="653"/>
      <c r="EW38" s="653"/>
      <c r="EX38" s="653"/>
      <c r="EY38" s="653"/>
      <c r="EZ38" s="653"/>
      <c r="FA38" s="653"/>
      <c r="FB38" s="653"/>
      <c r="FC38" s="653"/>
      <c r="FD38" s="653"/>
      <c r="FE38" s="653"/>
      <c r="FF38" s="653"/>
      <c r="FG38" s="653"/>
      <c r="FH38" s="653"/>
      <c r="FI38" s="653"/>
      <c r="FJ38" s="653"/>
      <c r="FK38" s="653"/>
      <c r="FL38" s="653"/>
      <c r="FM38" s="653"/>
      <c r="FN38" s="653"/>
      <c r="FO38" s="653"/>
      <c r="FP38" s="653"/>
      <c r="FQ38" s="653"/>
      <c r="FR38" s="653"/>
      <c r="FS38" s="653"/>
      <c r="FT38" s="653"/>
      <c r="FU38" s="653"/>
      <c r="FV38" s="653"/>
      <c r="FW38" s="653"/>
      <c r="FX38" s="653"/>
      <c r="FY38" s="653"/>
      <c r="FZ38" s="653"/>
      <c r="GA38" s="653"/>
      <c r="GB38" s="653"/>
      <c r="GC38" s="653"/>
      <c r="GD38" s="653"/>
      <c r="GE38" s="653"/>
      <c r="GF38" s="653"/>
      <c r="GG38" s="653"/>
      <c r="GH38" s="653"/>
      <c r="GI38" s="653"/>
      <c r="GJ38" s="653"/>
      <c r="GK38" s="653"/>
      <c r="GL38" s="653"/>
      <c r="GM38" s="653"/>
      <c r="GN38" s="653"/>
      <c r="GO38" s="653"/>
      <c r="GP38" s="653"/>
      <c r="GQ38" s="653"/>
      <c r="GR38" s="653"/>
      <c r="GS38" s="653"/>
      <c r="GT38" s="653"/>
      <c r="GU38" s="653"/>
      <c r="GV38" s="653"/>
      <c r="GW38" s="653"/>
      <c r="GX38" s="653"/>
      <c r="GY38" s="653"/>
      <c r="GZ38" s="653"/>
      <c r="HA38" s="653"/>
      <c r="HB38" s="653"/>
      <c r="HC38" s="653"/>
      <c r="HD38" s="653"/>
      <c r="HE38" s="653"/>
      <c r="HF38" s="653"/>
      <c r="HG38" s="653"/>
      <c r="HH38" s="653"/>
      <c r="HI38" s="653"/>
      <c r="HJ38" s="653"/>
      <c r="HK38" s="653"/>
      <c r="HL38" s="653"/>
      <c r="HM38" s="653"/>
      <c r="HN38" s="653"/>
      <c r="HO38" s="653"/>
      <c r="HP38" s="653"/>
      <c r="HQ38" s="653"/>
      <c r="HR38" s="653"/>
      <c r="HS38" s="653"/>
      <c r="HT38" s="653"/>
      <c r="HU38" s="653"/>
      <c r="HV38" s="653"/>
      <c r="HW38" s="653"/>
      <c r="HX38" s="653"/>
      <c r="HY38" s="653"/>
      <c r="HZ38" s="653"/>
      <c r="IA38" s="653"/>
      <c r="IB38" s="653"/>
      <c r="IC38" s="653"/>
      <c r="ID38" s="653"/>
      <c r="IE38" s="653"/>
      <c r="IF38" s="653"/>
      <c r="IG38" s="653"/>
      <c r="IH38" s="653"/>
      <c r="II38" s="653"/>
      <c r="IJ38" s="653"/>
      <c r="IK38" s="653"/>
      <c r="IL38" s="653"/>
      <c r="IM38" s="653"/>
      <c r="IN38" s="653"/>
      <c r="IO38" s="653"/>
      <c r="IP38" s="653"/>
      <c r="IQ38" s="653"/>
      <c r="IR38" s="653"/>
      <c r="IS38" s="653"/>
    </row>
    <row r="39" spans="1:253" s="615" customFormat="1" ht="15" customHeight="1">
      <c r="A39" s="621" t="s">
        <v>178</v>
      </c>
      <c r="B39" s="617">
        <v>74.008799999999994</v>
      </c>
      <c r="C39" s="616">
        <v>1299600893.8627999</v>
      </c>
      <c r="D39" s="620">
        <v>8564924256.1932001</v>
      </c>
      <c r="E39" s="620">
        <v>9864525150.0559998</v>
      </c>
      <c r="F39" s="619">
        <v>5889369502.3872004</v>
      </c>
      <c r="G39" s="647">
        <v>2562475</v>
      </c>
      <c r="H39" s="651">
        <v>-4548263</v>
      </c>
      <c r="I39" s="618">
        <v>53034681796.7444</v>
      </c>
      <c r="J39" s="646">
        <v>-8162019808.2511997</v>
      </c>
      <c r="K39" s="617">
        <v>2016</v>
      </c>
      <c r="L39" s="616">
        <v>1176496798.3340001</v>
      </c>
    </row>
    <row r="40" spans="1:253" s="615" customFormat="1" ht="15" customHeight="1">
      <c r="A40" s="621" t="s">
        <v>181</v>
      </c>
      <c r="B40" s="617">
        <v>190</v>
      </c>
      <c r="C40" s="616">
        <v>1040933748</v>
      </c>
      <c r="D40" s="620">
        <v>23929658925</v>
      </c>
      <c r="E40" s="620">
        <v>24970592673</v>
      </c>
      <c r="F40" s="619">
        <v>7588705311</v>
      </c>
      <c r="G40" s="619">
        <v>104495861</v>
      </c>
      <c r="H40" s="618">
        <v>119162720</v>
      </c>
      <c r="I40" s="618">
        <v>189580427290</v>
      </c>
      <c r="J40" s="616">
        <v>8380390467</v>
      </c>
      <c r="K40" s="617">
        <v>1530</v>
      </c>
      <c r="L40" s="616">
        <v>5807573778</v>
      </c>
    </row>
    <row r="41" spans="1:253" s="615" customFormat="1" ht="15" customHeight="1">
      <c r="A41" s="621" t="s">
        <v>89</v>
      </c>
      <c r="B41" s="617">
        <v>265</v>
      </c>
      <c r="C41" s="616">
        <v>17983305599</v>
      </c>
      <c r="D41" s="620">
        <v>56260173116</v>
      </c>
      <c r="E41" s="620">
        <v>74243478715</v>
      </c>
      <c r="F41" s="619">
        <v>39817271743</v>
      </c>
      <c r="G41" s="619">
        <v>609142094</v>
      </c>
      <c r="H41" s="618">
        <v>362133869</v>
      </c>
      <c r="I41" s="618">
        <v>640850448541</v>
      </c>
      <c r="J41" s="616">
        <v>370100538299</v>
      </c>
      <c r="K41" s="617">
        <v>810</v>
      </c>
      <c r="L41" s="616">
        <v>12302616805</v>
      </c>
    </row>
    <row r="42" spans="1:253" ht="15" customHeight="1">
      <c r="A42" s="614" t="s">
        <v>220</v>
      </c>
      <c r="B42" s="610">
        <v>50.002099999999999</v>
      </c>
      <c r="C42" s="609">
        <v>346946120.9454</v>
      </c>
      <c r="D42" s="613">
        <v>123465707</v>
      </c>
      <c r="E42" s="613">
        <v>470411827.9454</v>
      </c>
      <c r="F42" s="622">
        <v>-9552948.6723999996</v>
      </c>
      <c r="G42" s="612">
        <v>8122648.6469000001</v>
      </c>
      <c r="H42" s="611">
        <v>11968743.293299999</v>
      </c>
      <c r="I42" s="611">
        <v>245682668</v>
      </c>
      <c r="J42" s="609">
        <v>120881572</v>
      </c>
      <c r="K42" s="610">
        <v>1769</v>
      </c>
      <c r="L42" s="609">
        <v>251436057</v>
      </c>
    </row>
    <row r="43" spans="1:253" ht="15" customHeight="1">
      <c r="A43" s="614" t="s">
        <v>37</v>
      </c>
      <c r="B43" s="610">
        <v>768.04539999999997</v>
      </c>
      <c r="C43" s="609">
        <v>103437027230.39301</v>
      </c>
      <c r="D43" s="613">
        <v>30068874076.300598</v>
      </c>
      <c r="E43" s="613">
        <v>133505901306.69299</v>
      </c>
      <c r="F43" s="612">
        <v>5256128889.2058001</v>
      </c>
      <c r="G43" s="612">
        <v>3682350216.1479001</v>
      </c>
      <c r="H43" s="611">
        <v>3274796708.5544</v>
      </c>
      <c r="I43" s="611">
        <v>134047424148.955</v>
      </c>
      <c r="J43" s="622">
        <v>-11793969954.1602</v>
      </c>
      <c r="K43" s="610">
        <v>499763.36949999997</v>
      </c>
      <c r="L43" s="609">
        <v>42266745997.7005</v>
      </c>
    </row>
    <row r="44" spans="1:253" s="615" customFormat="1" ht="15" customHeight="1">
      <c r="A44" s="621" t="s">
        <v>184</v>
      </c>
      <c r="B44" s="617">
        <v>165.00210000000001</v>
      </c>
      <c r="C44" s="616">
        <v>1816135621</v>
      </c>
      <c r="D44" s="620">
        <v>8727555450</v>
      </c>
      <c r="E44" s="620">
        <v>10543691071</v>
      </c>
      <c r="F44" s="619">
        <v>7567669055</v>
      </c>
      <c r="G44" s="619">
        <v>56134927</v>
      </c>
      <c r="H44" s="618">
        <v>59363230</v>
      </c>
      <c r="I44" s="618">
        <v>38116829576.059303</v>
      </c>
      <c r="J44" s="646">
        <v>-2701150704.0021</v>
      </c>
      <c r="K44" s="645">
        <v>109</v>
      </c>
      <c r="L44" s="616">
        <v>520044924</v>
      </c>
    </row>
    <row r="45" spans="1:253" ht="15" customHeight="1">
      <c r="A45" s="614" t="s">
        <v>43</v>
      </c>
      <c r="B45" s="610">
        <v>1367.0804000000001</v>
      </c>
      <c r="C45" s="609">
        <v>350190580116.59802</v>
      </c>
      <c r="D45" s="613">
        <v>91117091497.780807</v>
      </c>
      <c r="E45" s="613">
        <v>441307671614.37903</v>
      </c>
      <c r="F45" s="612">
        <v>20013699730.320999</v>
      </c>
      <c r="G45" s="612">
        <v>6179981249.9425001</v>
      </c>
      <c r="H45" s="611">
        <v>5947249807.2282</v>
      </c>
      <c r="I45" s="611">
        <v>376521301450.83099</v>
      </c>
      <c r="J45" s="609">
        <v>85090539866.002594</v>
      </c>
      <c r="K45" s="610">
        <v>1008541.064</v>
      </c>
      <c r="L45" s="609">
        <v>168088341019.25299</v>
      </c>
    </row>
    <row r="46" spans="1:253" s="615" customFormat="1" ht="15" customHeight="1">
      <c r="A46" s="621" t="s">
        <v>185</v>
      </c>
      <c r="B46" s="617">
        <v>399</v>
      </c>
      <c r="C46" s="616">
        <v>18351695861</v>
      </c>
      <c r="D46" s="620">
        <v>35571560924</v>
      </c>
      <c r="E46" s="620">
        <v>53923256785</v>
      </c>
      <c r="F46" s="619">
        <v>31706716820</v>
      </c>
      <c r="G46" s="619">
        <v>550037526</v>
      </c>
      <c r="H46" s="618">
        <v>262799593</v>
      </c>
      <c r="I46" s="618">
        <v>500616447787</v>
      </c>
      <c r="J46" s="616">
        <v>58172954057</v>
      </c>
      <c r="K46" s="617">
        <v>4612</v>
      </c>
      <c r="L46" s="616">
        <v>604239518</v>
      </c>
    </row>
    <row r="47" spans="1:253" ht="15" customHeight="1">
      <c r="A47" s="614" t="s">
        <v>112</v>
      </c>
      <c r="B47" s="610">
        <v>384.00650000000002</v>
      </c>
      <c r="C47" s="609">
        <v>27144408650.471001</v>
      </c>
      <c r="D47" s="613">
        <v>4127024935</v>
      </c>
      <c r="E47" s="613">
        <v>31271433585.471001</v>
      </c>
      <c r="F47" s="612">
        <v>1326076411.9059</v>
      </c>
      <c r="G47" s="612">
        <v>326224508.63010001</v>
      </c>
      <c r="H47" s="611">
        <v>688445676.48819995</v>
      </c>
      <c r="I47" s="611">
        <v>36990822208</v>
      </c>
      <c r="J47" s="622">
        <v>-2270660654.342</v>
      </c>
      <c r="K47" s="610">
        <v>132308</v>
      </c>
      <c r="L47" s="609">
        <v>19052064340.240799</v>
      </c>
    </row>
    <row r="48" spans="1:253" ht="15" customHeight="1">
      <c r="A48" s="614" t="s">
        <v>121</v>
      </c>
      <c r="B48" s="610">
        <v>416.01740000000001</v>
      </c>
      <c r="C48" s="609">
        <v>15214361257.0982</v>
      </c>
      <c r="D48" s="613">
        <v>3495639343.9419999</v>
      </c>
      <c r="E48" s="613">
        <v>18710000601.040199</v>
      </c>
      <c r="F48" s="612">
        <v>394511402.88510001</v>
      </c>
      <c r="G48" s="612">
        <v>561989791.06079996</v>
      </c>
      <c r="H48" s="611">
        <v>600391639.34350002</v>
      </c>
      <c r="I48" s="611">
        <v>7280121755.7921</v>
      </c>
      <c r="J48" s="609">
        <v>3239523383.2800002</v>
      </c>
      <c r="K48" s="610">
        <v>105459.3233</v>
      </c>
      <c r="L48" s="609">
        <v>7711786793.7785997</v>
      </c>
    </row>
    <row r="49" spans="1:12" ht="15" customHeight="1">
      <c r="A49" s="614" t="s">
        <v>122</v>
      </c>
      <c r="B49" s="610">
        <v>215.0044</v>
      </c>
      <c r="C49" s="609">
        <v>6481555666.802</v>
      </c>
      <c r="D49" s="613">
        <v>6776388243.7720003</v>
      </c>
      <c r="E49" s="613">
        <v>13257943910.573999</v>
      </c>
      <c r="F49" s="612">
        <v>1238696869.7708001</v>
      </c>
      <c r="G49" s="612">
        <v>233789274.1072</v>
      </c>
      <c r="H49" s="611">
        <v>222316654</v>
      </c>
      <c r="I49" s="622">
        <v>-167359690.134</v>
      </c>
      <c r="J49" s="609">
        <v>968400076.93959999</v>
      </c>
      <c r="K49" s="610">
        <v>112080.80959999999</v>
      </c>
      <c r="L49" s="609">
        <v>4368865418.2399998</v>
      </c>
    </row>
    <row r="50" spans="1:12" s="615" customFormat="1" ht="15" customHeight="1">
      <c r="A50" s="621" t="s">
        <v>186</v>
      </c>
      <c r="B50" s="617">
        <v>37.002099999999999</v>
      </c>
      <c r="C50" s="616">
        <v>182569724.0309</v>
      </c>
      <c r="D50" s="620">
        <v>278880986.68010002</v>
      </c>
      <c r="E50" s="620">
        <v>461450710.71100003</v>
      </c>
      <c r="F50" s="619">
        <v>270996920.18040001</v>
      </c>
      <c r="G50" s="619">
        <v>2162700.5693999999</v>
      </c>
      <c r="H50" s="618">
        <v>22991916</v>
      </c>
      <c r="I50" s="618">
        <v>18078145172.777699</v>
      </c>
      <c r="J50" s="646">
        <v>-14869226981.7509</v>
      </c>
      <c r="K50" s="645">
        <v>176</v>
      </c>
      <c r="L50" s="644">
        <v>18275431</v>
      </c>
    </row>
    <row r="51" spans="1:12" ht="15" customHeight="1">
      <c r="A51" s="614" t="s">
        <v>243</v>
      </c>
      <c r="B51" s="610">
        <v>143.00210000000001</v>
      </c>
      <c r="C51" s="609">
        <v>2742117546.8978</v>
      </c>
      <c r="D51" s="613">
        <v>993786106</v>
      </c>
      <c r="E51" s="613">
        <v>3735903652.8978</v>
      </c>
      <c r="F51" s="612">
        <v>557720644.83379996</v>
      </c>
      <c r="G51" s="622">
        <v>-9238651.8427000009</v>
      </c>
      <c r="H51" s="611">
        <v>83012397.206900001</v>
      </c>
      <c r="I51" s="611">
        <v>1219294079</v>
      </c>
      <c r="J51" s="609">
        <v>1009703369</v>
      </c>
      <c r="K51" s="610">
        <v>33580</v>
      </c>
      <c r="L51" s="609">
        <v>1957293257</v>
      </c>
    </row>
    <row r="52" spans="1:12" ht="15" customHeight="1">
      <c r="A52" s="614" t="s">
        <v>244</v>
      </c>
      <c r="B52" s="610">
        <v>137.00649999999999</v>
      </c>
      <c r="C52" s="609">
        <v>2643937664.2663002</v>
      </c>
      <c r="D52" s="613">
        <v>677161123</v>
      </c>
      <c r="E52" s="613">
        <v>3321098787.2663002</v>
      </c>
      <c r="F52" s="612">
        <v>171746114.34099999</v>
      </c>
      <c r="G52" s="612">
        <v>91059729.003000006</v>
      </c>
      <c r="H52" s="611">
        <v>84257958.799799994</v>
      </c>
      <c r="I52" s="611">
        <v>1281113639</v>
      </c>
      <c r="J52" s="609">
        <v>254059932.18520001</v>
      </c>
      <c r="K52" s="610">
        <v>10936</v>
      </c>
      <c r="L52" s="609">
        <v>1305912389</v>
      </c>
    </row>
    <row r="53" spans="1:12" ht="15" customHeight="1">
      <c r="A53" s="614" t="s">
        <v>245</v>
      </c>
      <c r="B53" s="610">
        <v>88.006500000000003</v>
      </c>
      <c r="C53" s="609">
        <v>2715534945.5636001</v>
      </c>
      <c r="D53" s="613">
        <v>1037445152</v>
      </c>
      <c r="E53" s="613">
        <v>3752980097.5636001</v>
      </c>
      <c r="F53" s="612">
        <v>278709328.53799999</v>
      </c>
      <c r="G53" s="612">
        <v>12530537.5516</v>
      </c>
      <c r="H53" s="611">
        <v>72910544.316400006</v>
      </c>
      <c r="I53" s="611">
        <v>1282416879</v>
      </c>
      <c r="J53" s="622">
        <v>-27666547</v>
      </c>
      <c r="K53" s="610">
        <v>38429</v>
      </c>
      <c r="L53" s="609">
        <v>1256824617</v>
      </c>
    </row>
    <row r="54" spans="1:12" ht="15" customHeight="1">
      <c r="A54" s="614" t="s">
        <v>256</v>
      </c>
      <c r="B54" s="610">
        <v>145.00649999999999</v>
      </c>
      <c r="C54" s="609">
        <v>3939515425</v>
      </c>
      <c r="D54" s="613">
        <v>1180870923</v>
      </c>
      <c r="E54" s="613">
        <v>5120386348</v>
      </c>
      <c r="F54" s="612">
        <v>316115413.17919999</v>
      </c>
      <c r="G54" s="612">
        <v>83007268</v>
      </c>
      <c r="H54" s="611">
        <v>65186903</v>
      </c>
      <c r="I54" s="611">
        <v>2008800997.1503999</v>
      </c>
      <c r="J54" s="609">
        <v>1122522925.4942999</v>
      </c>
      <c r="K54" s="610">
        <v>30786</v>
      </c>
      <c r="L54" s="609">
        <v>1073862927</v>
      </c>
    </row>
    <row r="55" spans="1:12" ht="15" customHeight="1">
      <c r="A55" s="614" t="s">
        <v>259</v>
      </c>
      <c r="B55" s="610">
        <v>20</v>
      </c>
      <c r="C55" s="609">
        <v>513124959</v>
      </c>
      <c r="D55" s="640">
        <v>50893810</v>
      </c>
      <c r="E55" s="613">
        <v>564018769</v>
      </c>
      <c r="F55" s="612">
        <v>62682892</v>
      </c>
      <c r="G55" s="642">
        <v>9333187</v>
      </c>
      <c r="H55" s="641">
        <v>10599896</v>
      </c>
      <c r="I55" s="641">
        <v>687864</v>
      </c>
      <c r="J55" s="609">
        <v>38471922</v>
      </c>
      <c r="K55" s="650">
        <v>532</v>
      </c>
      <c r="L55" s="643">
        <v>1074186097</v>
      </c>
    </row>
    <row r="56" spans="1:12" ht="15" customHeight="1">
      <c r="A56" s="614" t="s">
        <v>261</v>
      </c>
      <c r="B56" s="610">
        <v>83.004400000000004</v>
      </c>
      <c r="C56" s="609">
        <v>2521484332.6543999</v>
      </c>
      <c r="D56" s="613">
        <v>1333977710.1040001</v>
      </c>
      <c r="E56" s="613">
        <v>3855462042.7584</v>
      </c>
      <c r="F56" s="612">
        <v>11039953.3236</v>
      </c>
      <c r="G56" s="612">
        <v>33056134.028000001</v>
      </c>
      <c r="H56" s="611">
        <v>28401992</v>
      </c>
      <c r="I56" s="611">
        <v>1066726987.0964</v>
      </c>
      <c r="J56" s="609">
        <v>323449907.89639997</v>
      </c>
      <c r="K56" s="610">
        <v>74731.079199999993</v>
      </c>
      <c r="L56" s="609">
        <v>1073372468.21</v>
      </c>
    </row>
    <row r="57" spans="1:12" ht="15" customHeight="1">
      <c r="A57" s="614" t="s">
        <v>264</v>
      </c>
      <c r="B57" s="610">
        <v>57</v>
      </c>
      <c r="C57" s="609">
        <v>448537732</v>
      </c>
      <c r="D57" s="613">
        <v>139197671</v>
      </c>
      <c r="E57" s="613">
        <v>587735403</v>
      </c>
      <c r="F57" s="612">
        <v>2251022</v>
      </c>
      <c r="G57" s="612">
        <v>10636683</v>
      </c>
      <c r="H57" s="611">
        <v>8095019</v>
      </c>
      <c r="I57" s="611">
        <v>122435743</v>
      </c>
      <c r="J57" s="609">
        <v>134475269</v>
      </c>
      <c r="K57" s="610">
        <v>12533</v>
      </c>
      <c r="L57" s="609">
        <v>130884490</v>
      </c>
    </row>
    <row r="58" spans="1:12" ht="15" customHeight="1">
      <c r="A58" s="614" t="s">
        <v>38</v>
      </c>
      <c r="B58" s="610">
        <v>970.07809999999995</v>
      </c>
      <c r="C58" s="609">
        <v>137255136030.29601</v>
      </c>
      <c r="D58" s="613">
        <v>97218271940.169296</v>
      </c>
      <c r="E58" s="613">
        <v>234473407970.465</v>
      </c>
      <c r="F58" s="612">
        <v>14048242678.0261</v>
      </c>
      <c r="G58" s="612">
        <v>5153656887.1406002</v>
      </c>
      <c r="H58" s="611">
        <v>4798677351.1190004</v>
      </c>
      <c r="I58" s="611">
        <v>113671395254.653</v>
      </c>
      <c r="J58" s="609">
        <v>23252635183.633999</v>
      </c>
      <c r="K58" s="610">
        <v>1338560.5467000001</v>
      </c>
      <c r="L58" s="609">
        <v>89172559574.7276</v>
      </c>
    </row>
    <row r="59" spans="1:12" ht="15" customHeight="1">
      <c r="A59" s="614" t="s">
        <v>295</v>
      </c>
      <c r="B59" s="610">
        <v>45</v>
      </c>
      <c r="C59" s="609">
        <v>1306030071</v>
      </c>
      <c r="D59" s="613">
        <v>228291554</v>
      </c>
      <c r="E59" s="613">
        <v>1534321625</v>
      </c>
      <c r="F59" s="612">
        <v>78892728</v>
      </c>
      <c r="G59" s="612">
        <v>31054954</v>
      </c>
      <c r="H59" s="611">
        <v>13981175</v>
      </c>
      <c r="I59" s="611">
        <v>213566075</v>
      </c>
      <c r="J59" s="609">
        <v>329890965</v>
      </c>
      <c r="K59" s="610">
        <v>11266</v>
      </c>
      <c r="L59" s="609">
        <v>448807167</v>
      </c>
    </row>
    <row r="60" spans="1:12" s="623" customFormat="1" ht="15" customHeight="1">
      <c r="A60" s="632" t="s">
        <v>207</v>
      </c>
      <c r="B60" s="625">
        <v>196</v>
      </c>
      <c r="C60" s="624">
        <v>5814681454</v>
      </c>
      <c r="D60" s="630">
        <v>4883043009</v>
      </c>
      <c r="E60" s="630">
        <v>10697724463</v>
      </c>
      <c r="F60" s="629">
        <v>783878827</v>
      </c>
      <c r="G60" s="629">
        <v>60611419</v>
      </c>
      <c r="H60" s="626">
        <v>64857568</v>
      </c>
      <c r="I60" s="626">
        <v>3103782508</v>
      </c>
      <c r="J60" s="624">
        <v>1157355513</v>
      </c>
      <c r="K60" s="625">
        <v>13990</v>
      </c>
      <c r="L60" s="624">
        <v>3760518425</v>
      </c>
    </row>
    <row r="61" spans="1:12" ht="15" customHeight="1">
      <c r="A61" s="614" t="s">
        <v>301</v>
      </c>
      <c r="B61" s="610">
        <v>49.004399999999997</v>
      </c>
      <c r="C61" s="609">
        <v>710861118</v>
      </c>
      <c r="D61" s="613">
        <v>1697213343</v>
      </c>
      <c r="E61" s="613">
        <v>2408074461</v>
      </c>
      <c r="F61" s="612">
        <v>140247484</v>
      </c>
      <c r="G61" s="612">
        <v>15693236</v>
      </c>
      <c r="H61" s="611">
        <v>9443964</v>
      </c>
      <c r="I61" s="611">
        <v>522985809</v>
      </c>
      <c r="J61" s="609">
        <v>858935961</v>
      </c>
      <c r="K61" s="610">
        <v>2001</v>
      </c>
      <c r="L61" s="609">
        <v>1059985366</v>
      </c>
    </row>
    <row r="62" spans="1:12" ht="15" customHeight="1">
      <c r="A62" s="614" t="s">
        <v>302</v>
      </c>
      <c r="B62" s="610">
        <v>272.0086</v>
      </c>
      <c r="C62" s="609">
        <v>9690546922.4867001</v>
      </c>
      <c r="D62" s="613">
        <v>2982082156</v>
      </c>
      <c r="E62" s="613">
        <v>12672629078.4867</v>
      </c>
      <c r="F62" s="612">
        <v>952383408.29330003</v>
      </c>
      <c r="G62" s="612">
        <v>352042520.49760002</v>
      </c>
      <c r="H62" s="611">
        <v>634221339.14409995</v>
      </c>
      <c r="I62" s="611">
        <v>7391112509.9966002</v>
      </c>
      <c r="J62" s="609">
        <v>5757117168.1257</v>
      </c>
      <c r="K62" s="610">
        <v>56463.010499999997</v>
      </c>
      <c r="L62" s="609">
        <v>14826660364.642599</v>
      </c>
    </row>
    <row r="63" spans="1:12" s="623" customFormat="1" ht="15" customHeight="1">
      <c r="A63" s="632" t="s">
        <v>18</v>
      </c>
      <c r="B63" s="625">
        <v>361.04790000000003</v>
      </c>
      <c r="C63" s="624">
        <v>20110984105.197498</v>
      </c>
      <c r="D63" s="630">
        <v>87196247599</v>
      </c>
      <c r="E63" s="630">
        <v>107307231704.19701</v>
      </c>
      <c r="F63" s="629">
        <v>34293776065.7304</v>
      </c>
      <c r="G63" s="629">
        <v>437855053.1821</v>
      </c>
      <c r="H63" s="626">
        <v>506991318.7281</v>
      </c>
      <c r="I63" s="626">
        <v>31596280363.773602</v>
      </c>
      <c r="J63" s="624">
        <v>24002264192.122299</v>
      </c>
      <c r="K63" s="625">
        <v>81948.733600000007</v>
      </c>
      <c r="L63" s="624">
        <v>24465127453.958698</v>
      </c>
    </row>
    <row r="64" spans="1:12" s="615" customFormat="1" ht="15" customHeight="1">
      <c r="A64" s="621" t="s">
        <v>524</v>
      </c>
      <c r="B64" s="617">
        <v>14</v>
      </c>
      <c r="C64" s="616">
        <v>42804358</v>
      </c>
      <c r="D64" s="648">
        <v>119203056</v>
      </c>
      <c r="E64" s="620">
        <v>162007414</v>
      </c>
      <c r="F64" s="619">
        <v>38135229</v>
      </c>
      <c r="G64" s="647">
        <v>2350584</v>
      </c>
      <c r="H64" s="649">
        <v>1853788</v>
      </c>
      <c r="I64" s="649">
        <v>286853480</v>
      </c>
      <c r="J64" s="616">
        <v>1535758864</v>
      </c>
      <c r="K64" s="645">
        <v>617</v>
      </c>
      <c r="L64" s="644">
        <v>78679918</v>
      </c>
    </row>
    <row r="65" spans="1:253" s="615" customFormat="1" ht="15" customHeight="1">
      <c r="A65" s="621" t="s">
        <v>674</v>
      </c>
      <c r="B65" s="617">
        <v>26</v>
      </c>
      <c r="C65" s="616">
        <v>10626004</v>
      </c>
      <c r="D65" s="648">
        <v>12838326</v>
      </c>
      <c r="E65" s="620">
        <v>23464330</v>
      </c>
      <c r="F65" s="619">
        <v>22976706</v>
      </c>
      <c r="G65" s="647">
        <v>469973</v>
      </c>
      <c r="H65" s="646">
        <v>-290184</v>
      </c>
      <c r="I65" s="618">
        <v>466007640</v>
      </c>
      <c r="J65" s="616">
        <v>131362510</v>
      </c>
      <c r="K65" s="645">
        <v>68</v>
      </c>
      <c r="L65" s="644">
        <v>9819083</v>
      </c>
    </row>
    <row r="66" spans="1:253" ht="15" customHeight="1">
      <c r="A66" s="614" t="s">
        <v>325</v>
      </c>
      <c r="B66" s="610">
        <v>84</v>
      </c>
      <c r="C66" s="609">
        <v>1073966231</v>
      </c>
      <c r="D66" s="613">
        <v>612011614</v>
      </c>
      <c r="E66" s="613">
        <v>1685977845</v>
      </c>
      <c r="F66" s="612">
        <v>234999329</v>
      </c>
      <c r="G66" s="612">
        <v>81614572</v>
      </c>
      <c r="H66" s="611">
        <v>76417532</v>
      </c>
      <c r="I66" s="611">
        <v>1068541401</v>
      </c>
      <c r="J66" s="609">
        <v>863753071</v>
      </c>
      <c r="K66" s="610">
        <v>5100</v>
      </c>
      <c r="L66" s="609">
        <v>1048231196</v>
      </c>
    </row>
    <row r="67" spans="1:253" ht="15" customHeight="1">
      <c r="A67" s="614" t="s">
        <v>84</v>
      </c>
      <c r="B67" s="610">
        <v>159.00210000000001</v>
      </c>
      <c r="C67" s="609">
        <v>9770529507.8966007</v>
      </c>
      <c r="D67" s="613">
        <v>7190708953</v>
      </c>
      <c r="E67" s="613">
        <v>16961238460.896601</v>
      </c>
      <c r="F67" s="612">
        <v>426031210.8118</v>
      </c>
      <c r="G67" s="612">
        <v>48944593.902900003</v>
      </c>
      <c r="H67" s="611">
        <v>17097291.066199999</v>
      </c>
      <c r="I67" s="611">
        <v>1640932877</v>
      </c>
      <c r="J67" s="609">
        <v>1572714341</v>
      </c>
      <c r="K67" s="610">
        <v>6300</v>
      </c>
      <c r="L67" s="609">
        <v>442535506</v>
      </c>
    </row>
    <row r="68" spans="1:253" s="602" customFormat="1" ht="15" customHeight="1">
      <c r="A68" s="614" t="s">
        <v>85</v>
      </c>
      <c r="B68" s="610">
        <v>152.00210000000001</v>
      </c>
      <c r="C68" s="609">
        <v>32214240.5211</v>
      </c>
      <c r="D68" s="613">
        <v>18475139</v>
      </c>
      <c r="E68" s="613">
        <v>50689379.5211</v>
      </c>
      <c r="F68" s="622">
        <v>-668045102.48549998</v>
      </c>
      <c r="G68" s="612">
        <v>557573132</v>
      </c>
      <c r="H68" s="611">
        <v>387497552</v>
      </c>
      <c r="I68" s="611">
        <v>2615384377.1223001</v>
      </c>
      <c r="J68" s="622">
        <v>-2754401112.0211</v>
      </c>
      <c r="K68" s="610">
        <v>3711</v>
      </c>
      <c r="L68" s="609">
        <v>603317288</v>
      </c>
      <c r="M68" s="639"/>
      <c r="N68" s="639"/>
      <c r="O68" s="639"/>
      <c r="P68" s="639"/>
      <c r="Q68" s="639"/>
      <c r="R68" s="639"/>
      <c r="S68" s="639"/>
      <c r="T68" s="639"/>
      <c r="U68" s="639"/>
      <c r="V68" s="639"/>
      <c r="W68" s="639"/>
      <c r="X68" s="639"/>
      <c r="Y68" s="639"/>
      <c r="Z68" s="639"/>
      <c r="AA68" s="639"/>
      <c r="AB68" s="639"/>
      <c r="AC68" s="639"/>
      <c r="AD68" s="639"/>
      <c r="AE68" s="639"/>
      <c r="AF68" s="639"/>
      <c r="AG68" s="639"/>
      <c r="AH68" s="639"/>
      <c r="AI68" s="639"/>
      <c r="AJ68" s="639"/>
      <c r="AK68" s="639"/>
      <c r="AL68" s="639"/>
      <c r="AM68" s="639"/>
      <c r="AN68" s="639"/>
      <c r="AO68" s="639"/>
      <c r="AP68" s="639"/>
      <c r="AQ68" s="639"/>
      <c r="AR68" s="639"/>
      <c r="AS68" s="639"/>
      <c r="AT68" s="639"/>
      <c r="AU68" s="639"/>
      <c r="AV68" s="639"/>
      <c r="AW68" s="639"/>
      <c r="AX68" s="639"/>
      <c r="AY68" s="639"/>
      <c r="AZ68" s="639"/>
      <c r="BA68" s="639"/>
      <c r="BB68" s="639"/>
      <c r="BC68" s="639"/>
      <c r="BD68" s="639"/>
      <c r="BE68" s="639"/>
      <c r="BF68" s="639"/>
      <c r="BG68" s="639"/>
      <c r="BH68" s="639"/>
      <c r="BI68" s="639"/>
      <c r="BJ68" s="639"/>
      <c r="BK68" s="639"/>
      <c r="BL68" s="639"/>
      <c r="BM68" s="639"/>
      <c r="BN68" s="639"/>
      <c r="BO68" s="639"/>
      <c r="BP68" s="639"/>
      <c r="BQ68" s="639"/>
      <c r="BR68" s="639"/>
      <c r="BS68" s="639"/>
      <c r="BT68" s="639"/>
      <c r="BU68" s="639"/>
      <c r="BV68" s="639"/>
      <c r="BW68" s="639"/>
      <c r="BX68" s="639"/>
      <c r="BY68" s="639"/>
      <c r="BZ68" s="639"/>
      <c r="CA68" s="639"/>
      <c r="CB68" s="639"/>
      <c r="CC68" s="639"/>
      <c r="CD68" s="639"/>
      <c r="CE68" s="639"/>
      <c r="CF68" s="639"/>
      <c r="CG68" s="639"/>
      <c r="CH68" s="639"/>
      <c r="CI68" s="639"/>
      <c r="CJ68" s="639"/>
      <c r="CK68" s="639"/>
      <c r="CL68" s="639"/>
      <c r="CM68" s="639"/>
      <c r="CN68" s="639"/>
      <c r="CO68" s="639"/>
      <c r="CP68" s="639"/>
      <c r="CQ68" s="639"/>
      <c r="CR68" s="639"/>
      <c r="CS68" s="639"/>
      <c r="CT68" s="639"/>
      <c r="CU68" s="639"/>
      <c r="CV68" s="639"/>
      <c r="CW68" s="639"/>
      <c r="CX68" s="639"/>
      <c r="CY68" s="639"/>
      <c r="CZ68" s="639"/>
      <c r="DA68" s="639"/>
      <c r="DB68" s="639"/>
      <c r="DC68" s="639"/>
      <c r="DD68" s="639"/>
      <c r="DE68" s="639"/>
      <c r="DF68" s="639"/>
      <c r="DG68" s="639"/>
      <c r="DH68" s="639"/>
      <c r="DI68" s="639"/>
      <c r="DJ68" s="639"/>
      <c r="DK68" s="639"/>
      <c r="DL68" s="639"/>
      <c r="DM68" s="639"/>
      <c r="DN68" s="639"/>
      <c r="DO68" s="639"/>
      <c r="DP68" s="639"/>
      <c r="DQ68" s="639"/>
      <c r="DR68" s="639"/>
      <c r="DS68" s="639"/>
      <c r="DT68" s="639"/>
      <c r="DU68" s="639"/>
      <c r="DV68" s="639"/>
      <c r="DW68" s="639"/>
      <c r="DX68" s="639"/>
      <c r="DY68" s="639"/>
      <c r="DZ68" s="639"/>
      <c r="EA68" s="639"/>
      <c r="EB68" s="639"/>
      <c r="EC68" s="639"/>
      <c r="ED68" s="639"/>
      <c r="EE68" s="639"/>
      <c r="EF68" s="639"/>
      <c r="EG68" s="639"/>
      <c r="EH68" s="639"/>
      <c r="EI68" s="639"/>
      <c r="EJ68" s="639"/>
      <c r="EK68" s="639"/>
      <c r="EL68" s="639"/>
      <c r="EM68" s="639"/>
      <c r="EN68" s="639"/>
      <c r="EO68" s="639"/>
      <c r="EP68" s="639"/>
      <c r="EQ68" s="639"/>
      <c r="ER68" s="639"/>
      <c r="ES68" s="639"/>
      <c r="ET68" s="639"/>
      <c r="EU68" s="639"/>
      <c r="EV68" s="639"/>
      <c r="EW68" s="639"/>
      <c r="EX68" s="639"/>
      <c r="EY68" s="639"/>
      <c r="EZ68" s="639"/>
      <c r="FA68" s="639"/>
      <c r="FB68" s="639"/>
      <c r="FC68" s="639"/>
      <c r="FD68" s="639"/>
      <c r="FE68" s="639"/>
      <c r="FF68" s="639"/>
      <c r="FG68" s="639"/>
      <c r="FH68" s="639"/>
      <c r="FI68" s="639"/>
      <c r="FJ68" s="639"/>
      <c r="FK68" s="639"/>
      <c r="FL68" s="639"/>
      <c r="FM68" s="639"/>
      <c r="FN68" s="639"/>
      <c r="FO68" s="639"/>
      <c r="FP68" s="639"/>
      <c r="FQ68" s="639"/>
      <c r="FR68" s="639"/>
      <c r="FS68" s="639"/>
      <c r="FT68" s="639"/>
      <c r="FU68" s="639"/>
      <c r="FV68" s="639"/>
      <c r="FW68" s="639"/>
      <c r="FX68" s="639"/>
      <c r="FY68" s="639"/>
      <c r="FZ68" s="639"/>
      <c r="GA68" s="639"/>
      <c r="GB68" s="639"/>
      <c r="GC68" s="639"/>
      <c r="GD68" s="639"/>
      <c r="GE68" s="639"/>
      <c r="GF68" s="639"/>
      <c r="GG68" s="639"/>
      <c r="GH68" s="639"/>
      <c r="GI68" s="639"/>
      <c r="GJ68" s="639"/>
      <c r="GK68" s="639"/>
      <c r="GL68" s="639"/>
      <c r="GM68" s="639"/>
      <c r="GN68" s="639"/>
      <c r="GO68" s="639"/>
      <c r="GP68" s="639"/>
      <c r="GQ68" s="639"/>
      <c r="GR68" s="639"/>
      <c r="GS68" s="639"/>
      <c r="GT68" s="639"/>
      <c r="GU68" s="639"/>
      <c r="GV68" s="639"/>
      <c r="GW68" s="639"/>
      <c r="GX68" s="639"/>
      <c r="GY68" s="639"/>
      <c r="GZ68" s="639"/>
      <c r="HA68" s="639"/>
      <c r="HB68" s="639"/>
      <c r="HC68" s="639"/>
      <c r="HD68" s="639"/>
      <c r="HE68" s="639"/>
      <c r="HF68" s="639"/>
      <c r="HG68" s="639"/>
      <c r="HH68" s="639"/>
      <c r="HI68" s="639"/>
      <c r="HJ68" s="639"/>
      <c r="HK68" s="639"/>
      <c r="HL68" s="639"/>
      <c r="HM68" s="639"/>
      <c r="HN68" s="639"/>
      <c r="HO68" s="639"/>
      <c r="HP68" s="639"/>
      <c r="HQ68" s="639"/>
      <c r="HR68" s="639"/>
      <c r="HS68" s="639"/>
      <c r="HT68" s="639"/>
      <c r="HU68" s="639"/>
      <c r="HV68" s="639"/>
      <c r="HW68" s="639"/>
      <c r="HX68" s="639"/>
      <c r="HY68" s="639"/>
      <c r="HZ68" s="639"/>
      <c r="IA68" s="639"/>
      <c r="IB68" s="639"/>
      <c r="IC68" s="639"/>
      <c r="ID68" s="639"/>
      <c r="IE68" s="639"/>
      <c r="IF68" s="639"/>
      <c r="IG68" s="639"/>
      <c r="IH68" s="639"/>
      <c r="II68" s="639"/>
      <c r="IJ68" s="639"/>
      <c r="IK68" s="639"/>
      <c r="IL68" s="639"/>
      <c r="IM68" s="639"/>
      <c r="IN68" s="639"/>
      <c r="IO68" s="639"/>
      <c r="IP68" s="639"/>
      <c r="IQ68" s="639"/>
      <c r="IR68" s="639"/>
      <c r="IS68" s="639"/>
    </row>
    <row r="69" spans="1:253" ht="15" customHeight="1">
      <c r="A69" s="614" t="s">
        <v>673</v>
      </c>
      <c r="B69" s="610">
        <v>86.034700000000001</v>
      </c>
      <c r="C69" s="609">
        <v>884012226.21370006</v>
      </c>
      <c r="D69" s="613">
        <v>34796203</v>
      </c>
      <c r="E69" s="613">
        <v>918808429.21370006</v>
      </c>
      <c r="F69" s="612">
        <v>46125274.681500003</v>
      </c>
      <c r="G69" s="612">
        <v>11033459</v>
      </c>
      <c r="H69" s="611">
        <v>8705903</v>
      </c>
      <c r="I69" s="611">
        <v>1146604816</v>
      </c>
      <c r="J69" s="622">
        <v>-2078517130.4237001</v>
      </c>
      <c r="K69" s="610">
        <v>2272</v>
      </c>
      <c r="L69" s="609">
        <v>1010210244</v>
      </c>
    </row>
    <row r="70" spans="1:253" ht="15" customHeight="1">
      <c r="A70" s="614" t="s">
        <v>672</v>
      </c>
      <c r="B70" s="610">
        <v>67.004400000000004</v>
      </c>
      <c r="C70" s="609">
        <v>378971251.14520001</v>
      </c>
      <c r="D70" s="613">
        <v>98387913</v>
      </c>
      <c r="E70" s="613">
        <v>477359164.14520001</v>
      </c>
      <c r="F70" s="612">
        <v>31034223.7896</v>
      </c>
      <c r="G70" s="612">
        <v>3597183.9312</v>
      </c>
      <c r="H70" s="611">
        <v>38164323</v>
      </c>
      <c r="I70" s="611">
        <v>360377018.95279998</v>
      </c>
      <c r="J70" s="622">
        <v>-401752341.0244</v>
      </c>
      <c r="K70" s="610">
        <v>4047.0572000000002</v>
      </c>
      <c r="L70" s="609">
        <v>362163375.8768</v>
      </c>
    </row>
    <row r="71" spans="1:253" s="602" customFormat="1" ht="15" customHeight="1">
      <c r="A71" s="602" t="s">
        <v>671</v>
      </c>
      <c r="B71" s="604">
        <v>1432.0877</v>
      </c>
      <c r="C71" s="603">
        <v>1388094969693.8899</v>
      </c>
      <c r="D71" s="638">
        <v>813697324392.62</v>
      </c>
      <c r="E71" s="638">
        <v>2201792294086.5098</v>
      </c>
      <c r="F71" s="637">
        <v>191360393706.97198</v>
      </c>
      <c r="G71" s="637">
        <v>37558096239.503502</v>
      </c>
      <c r="H71" s="636">
        <v>36316442158.714897</v>
      </c>
      <c r="I71" s="636">
        <v>1412598106156.29</v>
      </c>
      <c r="J71" s="603">
        <v>641833452233.53406</v>
      </c>
      <c r="K71" s="604">
        <v>5720335.5881000003</v>
      </c>
      <c r="L71" s="603">
        <v>569962293281.80396</v>
      </c>
    </row>
    <row r="72" spans="1:253" ht="15" customHeight="1">
      <c r="A72" s="614" t="s">
        <v>212</v>
      </c>
      <c r="B72" s="610">
        <v>19</v>
      </c>
      <c r="C72" s="609">
        <v>38834176</v>
      </c>
      <c r="D72" s="613">
        <v>60287627</v>
      </c>
      <c r="E72" s="613">
        <v>99121803</v>
      </c>
      <c r="F72" s="612">
        <v>6044221</v>
      </c>
      <c r="G72" s="612">
        <v>2227501</v>
      </c>
      <c r="H72" s="611">
        <v>2490981</v>
      </c>
      <c r="I72" s="611">
        <v>15127581</v>
      </c>
      <c r="J72" s="609">
        <v>14663130</v>
      </c>
      <c r="K72" s="610">
        <v>1520</v>
      </c>
      <c r="L72" s="609">
        <v>25079050</v>
      </c>
    </row>
    <row r="73" spans="1:253" ht="15" customHeight="1">
      <c r="A73" s="614" t="s">
        <v>27</v>
      </c>
      <c r="B73" s="610">
        <v>892.05190000000005</v>
      </c>
      <c r="C73" s="609">
        <v>137496739524.94101</v>
      </c>
      <c r="D73" s="613">
        <v>22246831862.1828</v>
      </c>
      <c r="E73" s="613">
        <v>159743571387.12399</v>
      </c>
      <c r="F73" s="612">
        <v>8436288309.1568003</v>
      </c>
      <c r="G73" s="612">
        <v>3091309617.9942999</v>
      </c>
      <c r="H73" s="611">
        <v>3796217410.6034002</v>
      </c>
      <c r="I73" s="611">
        <v>277574463347.01599</v>
      </c>
      <c r="J73" s="609">
        <v>32616103074.548199</v>
      </c>
      <c r="K73" s="610">
        <v>311170.11339999997</v>
      </c>
      <c r="L73" s="609">
        <v>99693774790.756104</v>
      </c>
    </row>
    <row r="74" spans="1:253" ht="15" customHeight="1">
      <c r="A74" s="614" t="s">
        <v>214</v>
      </c>
      <c r="B74" s="610">
        <v>34</v>
      </c>
      <c r="C74" s="609">
        <v>460391104</v>
      </c>
      <c r="D74" s="613">
        <v>10040078</v>
      </c>
      <c r="E74" s="613">
        <v>470431182</v>
      </c>
      <c r="F74" s="612">
        <v>35987553</v>
      </c>
      <c r="G74" s="612">
        <v>13229630</v>
      </c>
      <c r="H74" s="611">
        <v>38163482</v>
      </c>
      <c r="I74" s="641">
        <v>23254965</v>
      </c>
      <c r="J74" s="609">
        <v>210748366</v>
      </c>
      <c r="K74" s="610">
        <v>1376</v>
      </c>
      <c r="L74" s="609">
        <v>103323504</v>
      </c>
    </row>
    <row r="75" spans="1:253" ht="15" customHeight="1">
      <c r="A75" s="614" t="s">
        <v>180</v>
      </c>
      <c r="B75" s="610">
        <v>72.002099999999999</v>
      </c>
      <c r="C75" s="609">
        <v>713582416.13829994</v>
      </c>
      <c r="D75" s="613">
        <v>505085567.6182</v>
      </c>
      <c r="E75" s="613">
        <v>1218667983.7565</v>
      </c>
      <c r="F75" s="612">
        <v>83698686.873699993</v>
      </c>
      <c r="G75" s="612">
        <v>7875338</v>
      </c>
      <c r="H75" s="611">
        <v>4373492</v>
      </c>
      <c r="I75" s="611">
        <v>1285674989</v>
      </c>
      <c r="J75" s="622">
        <v>-145762440.2326</v>
      </c>
      <c r="K75" s="610">
        <v>5160</v>
      </c>
      <c r="L75" s="609">
        <v>683698070</v>
      </c>
    </row>
    <row r="76" spans="1:253" ht="15" customHeight="1">
      <c r="A76" s="614" t="s">
        <v>216</v>
      </c>
      <c r="B76" s="610">
        <v>67</v>
      </c>
      <c r="C76" s="609">
        <v>1345282881</v>
      </c>
      <c r="D76" s="613">
        <v>29633242</v>
      </c>
      <c r="E76" s="613">
        <v>1374916123</v>
      </c>
      <c r="F76" s="612">
        <v>383045235</v>
      </c>
      <c r="G76" s="612">
        <v>157320432</v>
      </c>
      <c r="H76" s="611">
        <v>160497729</v>
      </c>
      <c r="I76" s="611">
        <v>283519603</v>
      </c>
      <c r="J76" s="609">
        <v>203390997</v>
      </c>
      <c r="K76" s="610">
        <v>4336</v>
      </c>
      <c r="L76" s="609">
        <v>837464727</v>
      </c>
    </row>
    <row r="77" spans="1:253" ht="15" customHeight="1">
      <c r="A77" s="614" t="s">
        <v>670</v>
      </c>
      <c r="B77" s="610">
        <v>26</v>
      </c>
      <c r="C77" s="609">
        <v>241483077</v>
      </c>
      <c r="D77" s="613">
        <v>2101704</v>
      </c>
      <c r="E77" s="613">
        <v>243584781</v>
      </c>
      <c r="F77" s="622">
        <v>-23322858</v>
      </c>
      <c r="G77" s="612">
        <v>6749219</v>
      </c>
      <c r="H77" s="611">
        <v>6667268</v>
      </c>
      <c r="I77" s="611">
        <v>37178808</v>
      </c>
      <c r="J77" s="622">
        <v>-115241438</v>
      </c>
      <c r="K77" s="610">
        <v>713</v>
      </c>
      <c r="L77" s="609">
        <v>61045828</v>
      </c>
    </row>
    <row r="78" spans="1:253" ht="15" customHeight="1">
      <c r="A78" s="614" t="s">
        <v>669</v>
      </c>
      <c r="B78" s="610">
        <v>43</v>
      </c>
      <c r="C78" s="609">
        <v>385227811</v>
      </c>
      <c r="D78" s="613">
        <v>17540015</v>
      </c>
      <c r="E78" s="613">
        <v>402767826</v>
      </c>
      <c r="F78" s="622">
        <v>-3540549</v>
      </c>
      <c r="G78" s="612">
        <v>17468678</v>
      </c>
      <c r="H78" s="611">
        <v>17375161</v>
      </c>
      <c r="I78" s="611">
        <v>395480196</v>
      </c>
      <c r="J78" s="622">
        <v>-119686827</v>
      </c>
      <c r="K78" s="610">
        <v>1702</v>
      </c>
      <c r="L78" s="609">
        <v>398757304</v>
      </c>
    </row>
    <row r="79" spans="1:253" ht="15" customHeight="1">
      <c r="A79" s="614" t="s">
        <v>227</v>
      </c>
      <c r="B79" s="610">
        <v>35</v>
      </c>
      <c r="C79" s="609">
        <v>510430550</v>
      </c>
      <c r="D79" s="613">
        <v>30697921</v>
      </c>
      <c r="E79" s="613">
        <v>541128471</v>
      </c>
      <c r="F79" s="612">
        <v>61619150</v>
      </c>
      <c r="G79" s="612">
        <v>11780208</v>
      </c>
      <c r="H79" s="611">
        <v>10546025</v>
      </c>
      <c r="I79" s="611">
        <v>91760469</v>
      </c>
      <c r="J79" s="609">
        <v>251250429</v>
      </c>
      <c r="K79" s="610">
        <v>3515</v>
      </c>
      <c r="L79" s="609">
        <v>360831623</v>
      </c>
    </row>
    <row r="80" spans="1:253" ht="15" customHeight="1">
      <c r="A80" s="614" t="s">
        <v>47</v>
      </c>
      <c r="B80" s="610">
        <v>1042.0355999999999</v>
      </c>
      <c r="C80" s="609">
        <v>282731558044.828</v>
      </c>
      <c r="D80" s="613">
        <v>163215620986.13101</v>
      </c>
      <c r="E80" s="613">
        <v>445947179030.95898</v>
      </c>
      <c r="F80" s="612">
        <v>32754949777.749199</v>
      </c>
      <c r="G80" s="612">
        <v>8268455941.7228003</v>
      </c>
      <c r="H80" s="611">
        <v>7955721967.6710997</v>
      </c>
      <c r="I80" s="611">
        <v>94210273373.544296</v>
      </c>
      <c r="J80" s="609">
        <v>64869021698.9897</v>
      </c>
      <c r="K80" s="610">
        <v>1357838.3263999999</v>
      </c>
      <c r="L80" s="609">
        <v>104872807966.64999</v>
      </c>
    </row>
    <row r="81" spans="1:12" ht="15" customHeight="1">
      <c r="A81" s="614" t="s">
        <v>251</v>
      </c>
      <c r="B81" s="610">
        <v>18</v>
      </c>
      <c r="C81" s="609">
        <v>55046278</v>
      </c>
      <c r="D81" s="640">
        <v>159043988</v>
      </c>
      <c r="E81" s="613">
        <v>214090266</v>
      </c>
      <c r="F81" s="612">
        <v>24050958</v>
      </c>
      <c r="G81" s="642">
        <v>2759941</v>
      </c>
      <c r="H81" s="611">
        <v>1171858</v>
      </c>
      <c r="I81" s="641">
        <v>25051609</v>
      </c>
      <c r="J81" s="609">
        <v>226449842</v>
      </c>
      <c r="K81" s="610">
        <v>1036</v>
      </c>
      <c r="L81" s="609">
        <v>291544049</v>
      </c>
    </row>
    <row r="82" spans="1:12" ht="15" customHeight="1">
      <c r="A82" s="614" t="s">
        <v>254</v>
      </c>
      <c r="B82" s="610">
        <v>25</v>
      </c>
      <c r="C82" s="609">
        <v>129123702</v>
      </c>
      <c r="D82" s="613">
        <v>6182201</v>
      </c>
      <c r="E82" s="613">
        <v>135305903</v>
      </c>
      <c r="F82" s="612">
        <v>2078763</v>
      </c>
      <c r="G82" s="642">
        <v>227982</v>
      </c>
      <c r="H82" s="611">
        <v>299370</v>
      </c>
      <c r="I82" s="641">
        <v>29215832</v>
      </c>
      <c r="J82" s="622">
        <v>-25748629</v>
      </c>
      <c r="K82" s="610">
        <v>528</v>
      </c>
      <c r="L82" s="609">
        <v>37555460</v>
      </c>
    </row>
    <row r="83" spans="1:12" ht="15" customHeight="1">
      <c r="A83" s="614" t="s">
        <v>668</v>
      </c>
      <c r="B83" s="610">
        <v>53</v>
      </c>
      <c r="C83" s="609">
        <v>620979467</v>
      </c>
      <c r="D83" s="613">
        <v>8207587</v>
      </c>
      <c r="E83" s="613">
        <v>629187054</v>
      </c>
      <c r="F83" s="612">
        <v>51784635</v>
      </c>
      <c r="G83" s="612">
        <v>10085739</v>
      </c>
      <c r="H83" s="611">
        <v>14990110</v>
      </c>
      <c r="I83" s="611">
        <v>194910514</v>
      </c>
      <c r="J83" s="609">
        <v>342787636</v>
      </c>
      <c r="K83" s="610">
        <v>2399</v>
      </c>
      <c r="L83" s="609">
        <v>78200733</v>
      </c>
    </row>
    <row r="84" spans="1:12" s="623" customFormat="1" ht="15" customHeight="1">
      <c r="A84" s="632" t="s">
        <v>24</v>
      </c>
      <c r="B84" s="625">
        <v>929.07029999999997</v>
      </c>
      <c r="C84" s="624">
        <v>134548787608.052</v>
      </c>
      <c r="D84" s="630">
        <v>70010020423.488907</v>
      </c>
      <c r="E84" s="630">
        <v>204558808031.54099</v>
      </c>
      <c r="F84" s="629">
        <v>19209217142.753502</v>
      </c>
      <c r="G84" s="629">
        <v>2500670823.9787998</v>
      </c>
      <c r="H84" s="626">
        <v>2146027941.0495</v>
      </c>
      <c r="I84" s="626">
        <v>226237137453.211</v>
      </c>
      <c r="J84" s="624">
        <v>83228730703.107101</v>
      </c>
      <c r="K84" s="625">
        <v>89406.447700000004</v>
      </c>
      <c r="L84" s="624">
        <v>15068292246.5833</v>
      </c>
    </row>
    <row r="85" spans="1:12" ht="15" customHeight="1">
      <c r="A85" s="614" t="s">
        <v>45</v>
      </c>
      <c r="B85" s="610">
        <v>850.0412</v>
      </c>
      <c r="C85" s="609">
        <v>74233340364.191605</v>
      </c>
      <c r="D85" s="613">
        <v>56498224571.202797</v>
      </c>
      <c r="E85" s="613">
        <v>130731564935.394</v>
      </c>
      <c r="F85" s="612">
        <v>10676434205.519899</v>
      </c>
      <c r="G85" s="612">
        <v>4397217378.9857998</v>
      </c>
      <c r="H85" s="611">
        <v>4036912249.9857998</v>
      </c>
      <c r="I85" s="611">
        <v>45950642776.679298</v>
      </c>
      <c r="J85" s="609">
        <v>39731219780.853203</v>
      </c>
      <c r="K85" s="610">
        <v>1779484.0822999999</v>
      </c>
      <c r="L85" s="609">
        <v>34311592388.712299</v>
      </c>
    </row>
    <row r="86" spans="1:12" ht="15" customHeight="1">
      <c r="A86" s="614" t="s">
        <v>80</v>
      </c>
      <c r="B86" s="610">
        <v>302.00439999999998</v>
      </c>
      <c r="C86" s="609">
        <v>15342828864</v>
      </c>
      <c r="D86" s="613">
        <v>5274169934</v>
      </c>
      <c r="E86" s="613">
        <v>20616998798</v>
      </c>
      <c r="F86" s="612">
        <v>2788788593.2160001</v>
      </c>
      <c r="G86" s="612">
        <v>986384245</v>
      </c>
      <c r="H86" s="611">
        <v>1188599917.6287999</v>
      </c>
      <c r="I86" s="611">
        <v>23304911440</v>
      </c>
      <c r="J86" s="609">
        <v>10457094516.659201</v>
      </c>
      <c r="K86" s="610">
        <v>114776</v>
      </c>
      <c r="L86" s="609">
        <v>24646621044</v>
      </c>
    </row>
    <row r="87" spans="1:12" ht="15" customHeight="1">
      <c r="A87" s="614" t="s">
        <v>263</v>
      </c>
      <c r="B87" s="610">
        <v>29</v>
      </c>
      <c r="C87" s="609">
        <v>793812488</v>
      </c>
      <c r="D87" s="613">
        <v>530751672</v>
      </c>
      <c r="E87" s="613">
        <v>1324564160</v>
      </c>
      <c r="F87" s="622">
        <v>-55292130</v>
      </c>
      <c r="G87" s="612">
        <v>21229560</v>
      </c>
      <c r="H87" s="611">
        <v>16911627</v>
      </c>
      <c r="I87" s="611">
        <v>1283599245</v>
      </c>
      <c r="J87" s="622">
        <v>-362365011</v>
      </c>
      <c r="K87" s="610">
        <v>1531</v>
      </c>
      <c r="L87" s="609">
        <v>788374981</v>
      </c>
    </row>
    <row r="88" spans="1:12" ht="15" customHeight="1">
      <c r="A88" s="614" t="s">
        <v>114</v>
      </c>
      <c r="B88" s="610">
        <v>327.00880000000001</v>
      </c>
      <c r="C88" s="609">
        <v>11530400328.423201</v>
      </c>
      <c r="D88" s="613">
        <v>25711141205.875198</v>
      </c>
      <c r="E88" s="613">
        <v>37241541534.298401</v>
      </c>
      <c r="F88" s="612">
        <v>4332901836.8591995</v>
      </c>
      <c r="G88" s="612">
        <v>1236618705</v>
      </c>
      <c r="H88" s="611">
        <v>1061689243.2192</v>
      </c>
      <c r="I88" s="611">
        <v>78184937223.132004</v>
      </c>
      <c r="J88" s="609">
        <v>17534173863.396801</v>
      </c>
      <c r="K88" s="610">
        <v>75497.074800000002</v>
      </c>
      <c r="L88" s="609">
        <v>24933551623.948799</v>
      </c>
    </row>
    <row r="89" spans="1:12" ht="15" customHeight="1">
      <c r="A89" s="614" t="s">
        <v>31</v>
      </c>
      <c r="B89" s="610">
        <v>759.05</v>
      </c>
      <c r="C89" s="609">
        <v>245106138162.112</v>
      </c>
      <c r="D89" s="613">
        <v>28179806583.160599</v>
      </c>
      <c r="E89" s="613">
        <v>273285944745.272</v>
      </c>
      <c r="F89" s="612">
        <v>26443821051.936199</v>
      </c>
      <c r="G89" s="612">
        <v>7388671766.4891996</v>
      </c>
      <c r="H89" s="611">
        <v>6533408246.6092997</v>
      </c>
      <c r="I89" s="611">
        <v>57635263552.433296</v>
      </c>
      <c r="J89" s="609">
        <v>93002779032.840607</v>
      </c>
      <c r="K89" s="610">
        <v>367648.18609999999</v>
      </c>
      <c r="L89" s="609">
        <v>58842346861.862297</v>
      </c>
    </row>
    <row r="90" spans="1:12" ht="15" customHeight="1">
      <c r="A90" s="614" t="s">
        <v>265</v>
      </c>
      <c r="B90" s="610">
        <v>47</v>
      </c>
      <c r="C90" s="609">
        <v>423196875</v>
      </c>
      <c r="D90" s="613">
        <v>551652268</v>
      </c>
      <c r="E90" s="613">
        <v>974849143</v>
      </c>
      <c r="F90" s="612">
        <v>301514709</v>
      </c>
      <c r="G90" s="612">
        <v>11916698</v>
      </c>
      <c r="H90" s="611">
        <v>13928107</v>
      </c>
      <c r="I90" s="611">
        <v>438261083</v>
      </c>
      <c r="J90" s="609">
        <v>626855202</v>
      </c>
      <c r="K90" s="610">
        <v>2628</v>
      </c>
      <c r="L90" s="609">
        <v>1045600636</v>
      </c>
    </row>
    <row r="91" spans="1:12" ht="15" customHeight="1">
      <c r="A91" s="614" t="s">
        <v>266</v>
      </c>
      <c r="B91" s="610">
        <v>105</v>
      </c>
      <c r="C91" s="609">
        <v>2068500416</v>
      </c>
      <c r="D91" s="613">
        <v>116252994</v>
      </c>
      <c r="E91" s="613">
        <v>2184753410</v>
      </c>
      <c r="F91" s="612">
        <v>431728412</v>
      </c>
      <c r="G91" s="612">
        <v>163360080</v>
      </c>
      <c r="H91" s="611">
        <v>160328348</v>
      </c>
      <c r="I91" s="611">
        <v>497615960</v>
      </c>
      <c r="J91" s="609">
        <v>519841740</v>
      </c>
      <c r="K91" s="610">
        <v>4279</v>
      </c>
      <c r="L91" s="609">
        <v>2015486218</v>
      </c>
    </row>
    <row r="92" spans="1:12" ht="15" customHeight="1">
      <c r="A92" s="614" t="s">
        <v>667</v>
      </c>
      <c r="B92" s="610">
        <v>616.01089999999999</v>
      </c>
      <c r="C92" s="609">
        <v>62403333143.279701</v>
      </c>
      <c r="D92" s="613">
        <v>31596481040.279999</v>
      </c>
      <c r="E92" s="613">
        <v>93999814183.559692</v>
      </c>
      <c r="F92" s="612">
        <v>5423294029.6736002</v>
      </c>
      <c r="G92" s="612">
        <v>1569366866.4579999</v>
      </c>
      <c r="H92" s="611">
        <v>1721748787.8796999</v>
      </c>
      <c r="I92" s="611">
        <v>22457581132.234402</v>
      </c>
      <c r="J92" s="609">
        <v>24990400903.923199</v>
      </c>
      <c r="K92" s="610">
        <v>177396.17019999999</v>
      </c>
      <c r="L92" s="609">
        <v>25840197076.327599</v>
      </c>
    </row>
    <row r="93" spans="1:12" ht="15" customHeight="1">
      <c r="A93" s="614" t="s">
        <v>270</v>
      </c>
      <c r="B93" s="610">
        <v>52</v>
      </c>
      <c r="C93" s="609">
        <v>1277479571</v>
      </c>
      <c r="D93" s="613">
        <v>399335083</v>
      </c>
      <c r="E93" s="613">
        <v>1676814654</v>
      </c>
      <c r="F93" s="612">
        <v>265213293</v>
      </c>
      <c r="G93" s="612">
        <v>7341716</v>
      </c>
      <c r="H93" s="611">
        <v>33596797</v>
      </c>
      <c r="I93" s="611">
        <v>262276375</v>
      </c>
      <c r="J93" s="609">
        <v>919143235</v>
      </c>
      <c r="K93" s="610">
        <v>3643</v>
      </c>
      <c r="L93" s="609">
        <v>413475727</v>
      </c>
    </row>
    <row r="94" spans="1:12" s="623" customFormat="1" ht="15" customHeight="1">
      <c r="A94" s="632" t="s">
        <v>194</v>
      </c>
      <c r="B94" s="625">
        <v>62.002099999999999</v>
      </c>
      <c r="C94" s="624">
        <v>122976971.9154</v>
      </c>
      <c r="D94" s="630">
        <v>66218756</v>
      </c>
      <c r="E94" s="630">
        <v>189195727.9154</v>
      </c>
      <c r="F94" s="633">
        <v>-22328099.4648</v>
      </c>
      <c r="G94" s="629">
        <v>6435167</v>
      </c>
      <c r="H94" s="626">
        <v>4673763</v>
      </c>
      <c r="I94" s="626">
        <v>328921647</v>
      </c>
      <c r="J94" s="633">
        <v>-68898026</v>
      </c>
      <c r="K94" s="625">
        <v>1004</v>
      </c>
      <c r="L94" s="624">
        <v>9574591.3029999994</v>
      </c>
    </row>
    <row r="95" spans="1:12" s="623" customFormat="1" ht="15" customHeight="1">
      <c r="A95" s="632" t="s">
        <v>197</v>
      </c>
      <c r="B95" s="625">
        <v>71</v>
      </c>
      <c r="C95" s="624">
        <v>4751519627</v>
      </c>
      <c r="D95" s="630">
        <v>1579926779</v>
      </c>
      <c r="E95" s="630">
        <v>6331446406</v>
      </c>
      <c r="F95" s="633">
        <v>-1645590117</v>
      </c>
      <c r="G95" s="629">
        <v>14857295</v>
      </c>
      <c r="H95" s="626">
        <v>3945772</v>
      </c>
      <c r="I95" s="626">
        <v>3206452988</v>
      </c>
      <c r="J95" s="633">
        <v>-107997817</v>
      </c>
      <c r="K95" s="625">
        <v>51685</v>
      </c>
      <c r="L95" s="624">
        <v>16158521146</v>
      </c>
    </row>
    <row r="96" spans="1:12" ht="15" customHeight="1">
      <c r="A96" s="614" t="s">
        <v>81</v>
      </c>
      <c r="B96" s="610">
        <v>514.01279999999997</v>
      </c>
      <c r="C96" s="609">
        <v>19462046859.148499</v>
      </c>
      <c r="D96" s="613">
        <v>33895200697.062901</v>
      </c>
      <c r="E96" s="613">
        <v>53357247556.211403</v>
      </c>
      <c r="F96" s="612">
        <v>3134131558.4294</v>
      </c>
      <c r="G96" s="612">
        <v>609618601.99000001</v>
      </c>
      <c r="H96" s="611">
        <v>507782156.6092</v>
      </c>
      <c r="I96" s="611">
        <v>17381399360.796398</v>
      </c>
      <c r="J96" s="609">
        <v>7193119904.6707001</v>
      </c>
      <c r="K96" s="610">
        <v>184759.0252</v>
      </c>
      <c r="L96" s="609">
        <v>17235077896.766399</v>
      </c>
    </row>
    <row r="97" spans="1:253" ht="15" customHeight="1">
      <c r="A97" s="614" t="s">
        <v>116</v>
      </c>
      <c r="B97" s="610">
        <v>464.00650000000002</v>
      </c>
      <c r="C97" s="609">
        <v>10815385748.035601</v>
      </c>
      <c r="D97" s="613">
        <v>1294923993.6900001</v>
      </c>
      <c r="E97" s="613">
        <v>12110309741.725599</v>
      </c>
      <c r="F97" s="612">
        <v>1026990499.1908</v>
      </c>
      <c r="G97" s="612">
        <v>295658324.18239999</v>
      </c>
      <c r="H97" s="611">
        <v>257898151.62200001</v>
      </c>
      <c r="I97" s="611">
        <v>6914995342.8114004</v>
      </c>
      <c r="J97" s="609">
        <v>3095573811.9962001</v>
      </c>
      <c r="K97" s="610">
        <v>33899</v>
      </c>
      <c r="L97" s="609">
        <v>4229589503.7284002</v>
      </c>
    </row>
    <row r="98" spans="1:253" ht="15" customHeight="1">
      <c r="A98" s="614" t="s">
        <v>297</v>
      </c>
      <c r="B98" s="610">
        <v>59</v>
      </c>
      <c r="C98" s="609">
        <v>1636381712</v>
      </c>
      <c r="D98" s="613">
        <v>1049879138</v>
      </c>
      <c r="E98" s="613">
        <v>2686260850</v>
      </c>
      <c r="F98" s="612">
        <v>329195323</v>
      </c>
      <c r="G98" s="612">
        <v>158152948</v>
      </c>
      <c r="H98" s="611">
        <v>153917716</v>
      </c>
      <c r="I98" s="611">
        <v>540337801</v>
      </c>
      <c r="J98" s="609">
        <v>4178792909</v>
      </c>
      <c r="K98" s="610">
        <v>6430</v>
      </c>
      <c r="L98" s="609">
        <v>2557666392</v>
      </c>
    </row>
    <row r="99" spans="1:253" ht="15" customHeight="1">
      <c r="A99" s="614" t="s">
        <v>298</v>
      </c>
      <c r="B99" s="610">
        <v>85.002099999999999</v>
      </c>
      <c r="C99" s="609">
        <v>2197518061.5300002</v>
      </c>
      <c r="D99" s="613">
        <v>156974347</v>
      </c>
      <c r="E99" s="613">
        <v>2354492408.5300002</v>
      </c>
      <c r="F99" s="612">
        <v>398538252.42949998</v>
      </c>
      <c r="G99" s="612">
        <v>116674158.83319999</v>
      </c>
      <c r="H99" s="611">
        <v>137683554.58129999</v>
      </c>
      <c r="I99" s="611">
        <v>825721744</v>
      </c>
      <c r="J99" s="609">
        <v>846275061</v>
      </c>
      <c r="K99" s="610">
        <v>14457</v>
      </c>
      <c r="L99" s="609">
        <v>801556984</v>
      </c>
    </row>
    <row r="100" spans="1:253" ht="15" customHeight="1">
      <c r="A100" s="614" t="s">
        <v>300</v>
      </c>
      <c r="B100" s="610">
        <v>31</v>
      </c>
      <c r="C100" s="609">
        <v>146947967</v>
      </c>
      <c r="D100" s="640">
        <v>5804068</v>
      </c>
      <c r="E100" s="613">
        <v>152752035</v>
      </c>
      <c r="F100" s="612">
        <v>29670424</v>
      </c>
      <c r="G100" s="612">
        <v>5898286</v>
      </c>
      <c r="H100" s="611">
        <v>6512666</v>
      </c>
      <c r="I100" s="611">
        <v>69242123</v>
      </c>
      <c r="J100" s="609">
        <v>16748092</v>
      </c>
      <c r="K100" s="610">
        <v>651</v>
      </c>
      <c r="L100" s="609">
        <v>87371382</v>
      </c>
    </row>
    <row r="101" spans="1:253" ht="15" customHeight="1">
      <c r="A101" s="614" t="s">
        <v>303</v>
      </c>
      <c r="B101" s="610">
        <v>367.00439999999998</v>
      </c>
      <c r="C101" s="609">
        <v>12674014706.563601</v>
      </c>
      <c r="D101" s="613">
        <v>13147236021</v>
      </c>
      <c r="E101" s="613">
        <v>25821250727.563599</v>
      </c>
      <c r="F101" s="612">
        <v>2750504136.1496</v>
      </c>
      <c r="G101" s="612">
        <v>814925345.79920006</v>
      </c>
      <c r="H101" s="611">
        <v>735185784</v>
      </c>
      <c r="I101" s="611">
        <v>4946548159</v>
      </c>
      <c r="J101" s="609">
        <v>7985623077.5192003</v>
      </c>
      <c r="K101" s="610">
        <v>506289</v>
      </c>
      <c r="L101" s="609">
        <v>7741889863</v>
      </c>
    </row>
    <row r="102" spans="1:253" ht="15" customHeight="1">
      <c r="A102" s="614" t="s">
        <v>304</v>
      </c>
      <c r="B102" s="610">
        <v>94</v>
      </c>
      <c r="C102" s="609">
        <v>1721740584</v>
      </c>
      <c r="D102" s="613">
        <v>227107406</v>
      </c>
      <c r="E102" s="613">
        <v>1948847990</v>
      </c>
      <c r="F102" s="612">
        <v>688722878</v>
      </c>
      <c r="G102" s="612">
        <v>66105569</v>
      </c>
      <c r="H102" s="611">
        <v>68130240</v>
      </c>
      <c r="I102" s="611">
        <v>627758478</v>
      </c>
      <c r="J102" s="609">
        <v>12978999986</v>
      </c>
      <c r="K102" s="610">
        <v>2685</v>
      </c>
      <c r="L102" s="609">
        <v>835837182</v>
      </c>
    </row>
    <row r="103" spans="1:253" ht="15" customHeight="1">
      <c r="A103" s="614" t="s">
        <v>309</v>
      </c>
      <c r="B103" s="610">
        <v>227</v>
      </c>
      <c r="C103" s="609">
        <v>13978120089</v>
      </c>
      <c r="D103" s="613">
        <v>2407817854</v>
      </c>
      <c r="E103" s="613">
        <v>16385937943</v>
      </c>
      <c r="F103" s="612">
        <v>489220568</v>
      </c>
      <c r="G103" s="612">
        <v>260235430</v>
      </c>
      <c r="H103" s="611">
        <v>263926137</v>
      </c>
      <c r="I103" s="611">
        <v>1925237441</v>
      </c>
      <c r="J103" s="609">
        <v>3192285612</v>
      </c>
      <c r="K103" s="610">
        <v>29931</v>
      </c>
      <c r="L103" s="609">
        <v>6329751839</v>
      </c>
    </row>
    <row r="104" spans="1:253" s="615" customFormat="1" ht="15" customHeight="1">
      <c r="A104" s="621" t="s">
        <v>22</v>
      </c>
      <c r="B104" s="617">
        <v>867.01279999999997</v>
      </c>
      <c r="C104" s="616">
        <v>249334716489.78799</v>
      </c>
      <c r="D104" s="620">
        <v>294575718251.27399</v>
      </c>
      <c r="E104" s="620">
        <v>543910434741.06299</v>
      </c>
      <c r="F104" s="619">
        <v>58411014610.864998</v>
      </c>
      <c r="G104" s="619">
        <v>3143987920.8340998</v>
      </c>
      <c r="H104" s="618">
        <v>3588661594.9419999</v>
      </c>
      <c r="I104" s="618">
        <v>482824560813.79303</v>
      </c>
      <c r="J104" s="616">
        <v>205164789286.92999</v>
      </c>
      <c r="K104" s="617">
        <v>171826.0546</v>
      </c>
      <c r="L104" s="616">
        <v>65332346176.716499</v>
      </c>
    </row>
    <row r="105" spans="1:253" ht="15" customHeight="1">
      <c r="A105" s="614" t="s">
        <v>525</v>
      </c>
      <c r="B105" s="610">
        <v>70</v>
      </c>
      <c r="C105" s="609">
        <v>319605346</v>
      </c>
      <c r="D105" s="613">
        <v>240010134</v>
      </c>
      <c r="E105" s="613">
        <v>559615480</v>
      </c>
      <c r="F105" s="612">
        <v>57991895</v>
      </c>
      <c r="G105" s="612">
        <v>14151910</v>
      </c>
      <c r="H105" s="611">
        <v>16627199</v>
      </c>
      <c r="I105" s="611">
        <v>194040285</v>
      </c>
      <c r="J105" s="609">
        <v>58207295</v>
      </c>
      <c r="K105" s="610">
        <v>13768</v>
      </c>
      <c r="L105" s="609">
        <v>180916420</v>
      </c>
    </row>
    <row r="106" spans="1:253" ht="15" customHeight="1">
      <c r="A106" s="614" t="s">
        <v>666</v>
      </c>
      <c r="B106" s="610">
        <v>452.0086</v>
      </c>
      <c r="C106" s="609">
        <v>40080081573.245499</v>
      </c>
      <c r="D106" s="613">
        <v>20575953551</v>
      </c>
      <c r="E106" s="613">
        <v>60656035124.245499</v>
      </c>
      <c r="F106" s="612">
        <v>4361624351.8480997</v>
      </c>
      <c r="G106" s="612">
        <v>1002844765.2357</v>
      </c>
      <c r="H106" s="611">
        <v>467488081.91680002</v>
      </c>
      <c r="I106" s="611">
        <v>20634348538.026501</v>
      </c>
      <c r="J106" s="609">
        <v>9758373681.3549995</v>
      </c>
      <c r="K106" s="610">
        <v>107127.0612</v>
      </c>
      <c r="L106" s="609">
        <v>25246221457.003899</v>
      </c>
    </row>
    <row r="107" spans="1:253" ht="15" customHeight="1">
      <c r="A107" s="614" t="s">
        <v>83</v>
      </c>
      <c r="B107" s="610">
        <v>421.00650000000002</v>
      </c>
      <c r="C107" s="609">
        <v>27028801060.366402</v>
      </c>
      <c r="D107" s="613">
        <v>21579153049</v>
      </c>
      <c r="E107" s="613">
        <v>48607954109.366402</v>
      </c>
      <c r="F107" s="612">
        <v>3344729733.4844999</v>
      </c>
      <c r="G107" s="612">
        <v>899798763</v>
      </c>
      <c r="H107" s="611">
        <v>917767627.39680004</v>
      </c>
      <c r="I107" s="611">
        <v>7371873582</v>
      </c>
      <c r="J107" s="609">
        <v>9433054598.5020008</v>
      </c>
      <c r="K107" s="610">
        <v>153803.0105</v>
      </c>
      <c r="L107" s="609">
        <v>14980956585</v>
      </c>
    </row>
    <row r="108" spans="1:253" ht="15" customHeight="1">
      <c r="A108" s="614" t="s">
        <v>665</v>
      </c>
      <c r="B108" s="610">
        <v>498.00420000000003</v>
      </c>
      <c r="C108" s="609">
        <v>22069782263.011501</v>
      </c>
      <c r="D108" s="613">
        <v>11971570311.6539</v>
      </c>
      <c r="E108" s="613">
        <v>34041352574.665401</v>
      </c>
      <c r="F108" s="612">
        <v>5205610151.4034004</v>
      </c>
      <c r="G108" s="612">
        <v>107480689</v>
      </c>
      <c r="H108" s="611">
        <v>90076338</v>
      </c>
      <c r="I108" s="611">
        <v>30204026781.609699</v>
      </c>
      <c r="J108" s="609">
        <v>6724406191.5974998</v>
      </c>
      <c r="K108" s="610">
        <v>47829.0357</v>
      </c>
      <c r="L108" s="609">
        <v>7854048067.4462996</v>
      </c>
    </row>
    <row r="109" spans="1:253" s="602" customFormat="1" ht="15" customHeight="1">
      <c r="A109" s="614" t="s">
        <v>331</v>
      </c>
      <c r="B109" s="610">
        <v>231.0044</v>
      </c>
      <c r="C109" s="609">
        <v>8667724964.3167992</v>
      </c>
      <c r="D109" s="613">
        <v>5656115379</v>
      </c>
      <c r="E109" s="613">
        <v>14323840343.316799</v>
      </c>
      <c r="F109" s="612">
        <v>1078188555.898</v>
      </c>
      <c r="G109" s="612">
        <v>159521878</v>
      </c>
      <c r="H109" s="611">
        <v>163082534</v>
      </c>
      <c r="I109" s="611">
        <v>3159451671</v>
      </c>
      <c r="J109" s="609">
        <v>1468771412.8787999</v>
      </c>
      <c r="K109" s="610">
        <v>82567</v>
      </c>
      <c r="L109" s="609">
        <v>4512033981</v>
      </c>
      <c r="M109" s="639"/>
      <c r="N109" s="639"/>
      <c r="O109" s="639"/>
      <c r="P109" s="639"/>
      <c r="Q109" s="639"/>
      <c r="R109" s="639"/>
      <c r="S109" s="639"/>
      <c r="T109" s="639"/>
      <c r="U109" s="639"/>
      <c r="V109" s="639"/>
      <c r="W109" s="639"/>
      <c r="X109" s="639"/>
      <c r="Y109" s="639"/>
      <c r="Z109" s="639"/>
      <c r="AA109" s="639"/>
      <c r="AB109" s="639"/>
      <c r="AC109" s="639"/>
      <c r="AD109" s="639"/>
      <c r="AE109" s="639"/>
      <c r="AF109" s="639"/>
      <c r="AG109" s="639"/>
      <c r="AH109" s="639"/>
      <c r="AI109" s="639"/>
      <c r="AJ109" s="639"/>
      <c r="AK109" s="639"/>
      <c r="AL109" s="639"/>
      <c r="AM109" s="639"/>
      <c r="AN109" s="639"/>
      <c r="AO109" s="639"/>
      <c r="AP109" s="639"/>
      <c r="AQ109" s="639"/>
      <c r="AR109" s="639"/>
      <c r="AS109" s="639"/>
      <c r="AT109" s="639"/>
      <c r="AU109" s="639"/>
      <c r="AV109" s="639"/>
      <c r="AW109" s="639"/>
      <c r="AX109" s="639"/>
      <c r="AY109" s="639"/>
      <c r="AZ109" s="639"/>
      <c r="BA109" s="639"/>
      <c r="BB109" s="639"/>
      <c r="BC109" s="639"/>
      <c r="BD109" s="639"/>
      <c r="BE109" s="639"/>
      <c r="BF109" s="639"/>
      <c r="BG109" s="639"/>
      <c r="BH109" s="639"/>
      <c r="BI109" s="639"/>
      <c r="BJ109" s="639"/>
      <c r="BK109" s="639"/>
      <c r="BL109" s="639"/>
      <c r="BM109" s="639"/>
      <c r="BN109" s="639"/>
      <c r="BO109" s="639"/>
      <c r="BP109" s="639"/>
      <c r="BQ109" s="639"/>
      <c r="BR109" s="639"/>
      <c r="BS109" s="639"/>
      <c r="BT109" s="639"/>
      <c r="BU109" s="639"/>
      <c r="BV109" s="639"/>
      <c r="BW109" s="639"/>
      <c r="BX109" s="639"/>
      <c r="BY109" s="639"/>
      <c r="BZ109" s="639"/>
      <c r="CA109" s="639"/>
      <c r="CB109" s="639"/>
      <c r="CC109" s="639"/>
      <c r="CD109" s="639"/>
      <c r="CE109" s="639"/>
      <c r="CF109" s="639"/>
      <c r="CG109" s="639"/>
      <c r="CH109" s="639"/>
      <c r="CI109" s="639"/>
      <c r="CJ109" s="639"/>
      <c r="CK109" s="639"/>
      <c r="CL109" s="639"/>
      <c r="CM109" s="639"/>
      <c r="CN109" s="639"/>
      <c r="CO109" s="639"/>
      <c r="CP109" s="639"/>
      <c r="CQ109" s="639"/>
      <c r="CR109" s="639"/>
      <c r="CS109" s="639"/>
      <c r="CT109" s="639"/>
      <c r="CU109" s="639"/>
      <c r="CV109" s="639"/>
      <c r="CW109" s="639"/>
      <c r="CX109" s="639"/>
      <c r="CY109" s="639"/>
      <c r="CZ109" s="639"/>
      <c r="DA109" s="639"/>
      <c r="DB109" s="639"/>
      <c r="DC109" s="639"/>
      <c r="DD109" s="639"/>
      <c r="DE109" s="639"/>
      <c r="DF109" s="639"/>
      <c r="DG109" s="639"/>
      <c r="DH109" s="639"/>
      <c r="DI109" s="639"/>
      <c r="DJ109" s="639"/>
      <c r="DK109" s="639"/>
      <c r="DL109" s="639"/>
      <c r="DM109" s="639"/>
      <c r="DN109" s="639"/>
      <c r="DO109" s="639"/>
      <c r="DP109" s="639"/>
      <c r="DQ109" s="639"/>
      <c r="DR109" s="639"/>
      <c r="DS109" s="639"/>
      <c r="DT109" s="639"/>
      <c r="DU109" s="639"/>
      <c r="DV109" s="639"/>
      <c r="DW109" s="639"/>
      <c r="DX109" s="639"/>
      <c r="DY109" s="639"/>
      <c r="DZ109" s="639"/>
      <c r="EA109" s="639"/>
      <c r="EB109" s="639"/>
      <c r="EC109" s="639"/>
      <c r="ED109" s="639"/>
      <c r="EE109" s="639"/>
      <c r="EF109" s="639"/>
      <c r="EG109" s="639"/>
      <c r="EH109" s="639"/>
      <c r="EI109" s="639"/>
      <c r="EJ109" s="639"/>
      <c r="EK109" s="639"/>
      <c r="EL109" s="639"/>
      <c r="EM109" s="639"/>
      <c r="EN109" s="639"/>
      <c r="EO109" s="639"/>
      <c r="EP109" s="639"/>
      <c r="EQ109" s="639"/>
      <c r="ER109" s="639"/>
      <c r="ES109" s="639"/>
      <c r="ET109" s="639"/>
      <c r="EU109" s="639"/>
      <c r="EV109" s="639"/>
      <c r="EW109" s="639"/>
      <c r="EX109" s="639"/>
      <c r="EY109" s="639"/>
      <c r="EZ109" s="639"/>
      <c r="FA109" s="639"/>
      <c r="FB109" s="639"/>
      <c r="FC109" s="639"/>
      <c r="FD109" s="639"/>
      <c r="FE109" s="639"/>
      <c r="FF109" s="639"/>
      <c r="FG109" s="639"/>
      <c r="FH109" s="639"/>
      <c r="FI109" s="639"/>
      <c r="FJ109" s="639"/>
      <c r="FK109" s="639"/>
      <c r="FL109" s="639"/>
      <c r="FM109" s="639"/>
      <c r="FN109" s="639"/>
      <c r="FO109" s="639"/>
      <c r="FP109" s="639"/>
      <c r="FQ109" s="639"/>
      <c r="FR109" s="639"/>
      <c r="FS109" s="639"/>
      <c r="FT109" s="639"/>
      <c r="FU109" s="639"/>
      <c r="FV109" s="639"/>
      <c r="FW109" s="639"/>
      <c r="FX109" s="639"/>
      <c r="FY109" s="639"/>
      <c r="FZ109" s="639"/>
      <c r="GA109" s="639"/>
      <c r="GB109" s="639"/>
      <c r="GC109" s="639"/>
      <c r="GD109" s="639"/>
      <c r="GE109" s="639"/>
      <c r="GF109" s="639"/>
      <c r="GG109" s="639"/>
      <c r="GH109" s="639"/>
      <c r="GI109" s="639"/>
      <c r="GJ109" s="639"/>
      <c r="GK109" s="639"/>
      <c r="GL109" s="639"/>
      <c r="GM109" s="639"/>
      <c r="GN109" s="639"/>
      <c r="GO109" s="639"/>
      <c r="GP109" s="639"/>
      <c r="GQ109" s="639"/>
      <c r="GR109" s="639"/>
      <c r="GS109" s="639"/>
      <c r="GT109" s="639"/>
      <c r="GU109" s="639"/>
      <c r="GV109" s="639"/>
      <c r="GW109" s="639"/>
      <c r="GX109" s="639"/>
      <c r="GY109" s="639"/>
      <c r="GZ109" s="639"/>
      <c r="HA109" s="639"/>
      <c r="HB109" s="639"/>
      <c r="HC109" s="639"/>
      <c r="HD109" s="639"/>
      <c r="HE109" s="639"/>
      <c r="HF109" s="639"/>
      <c r="HG109" s="639"/>
      <c r="HH109" s="639"/>
      <c r="HI109" s="639"/>
      <c r="HJ109" s="639"/>
      <c r="HK109" s="639"/>
      <c r="HL109" s="639"/>
      <c r="HM109" s="639"/>
      <c r="HN109" s="639"/>
      <c r="HO109" s="639"/>
      <c r="HP109" s="639"/>
      <c r="HQ109" s="639"/>
      <c r="HR109" s="639"/>
      <c r="HS109" s="639"/>
      <c r="HT109" s="639"/>
      <c r="HU109" s="639"/>
      <c r="HV109" s="639"/>
      <c r="HW109" s="639"/>
      <c r="HX109" s="639"/>
      <c r="HY109" s="639"/>
      <c r="HZ109" s="639"/>
      <c r="IA109" s="639"/>
      <c r="IB109" s="639"/>
      <c r="IC109" s="639"/>
      <c r="ID109" s="639"/>
      <c r="IE109" s="639"/>
      <c r="IF109" s="639"/>
      <c r="IG109" s="639"/>
      <c r="IH109" s="639"/>
      <c r="II109" s="639"/>
      <c r="IJ109" s="639"/>
      <c r="IK109" s="639"/>
      <c r="IL109" s="639"/>
      <c r="IM109" s="639"/>
      <c r="IN109" s="639"/>
      <c r="IO109" s="639"/>
      <c r="IP109" s="639"/>
      <c r="IQ109" s="639"/>
      <c r="IR109" s="639"/>
      <c r="IS109" s="639"/>
    </row>
    <row r="110" spans="1:253" ht="15" customHeight="1">
      <c r="A110" s="614" t="s">
        <v>664</v>
      </c>
      <c r="B110" s="610">
        <v>87.004400000000004</v>
      </c>
      <c r="C110" s="609">
        <v>631108819</v>
      </c>
      <c r="D110" s="613">
        <v>108606103</v>
      </c>
      <c r="E110" s="613">
        <v>739714922</v>
      </c>
      <c r="F110" s="612">
        <v>91873960</v>
      </c>
      <c r="G110" s="612">
        <v>9481120</v>
      </c>
      <c r="H110" s="611">
        <v>11416723</v>
      </c>
      <c r="I110" s="611">
        <v>1025051873</v>
      </c>
      <c r="J110" s="609">
        <v>939477350</v>
      </c>
      <c r="K110" s="610">
        <v>4043</v>
      </c>
      <c r="L110" s="609">
        <v>519311906</v>
      </c>
    </row>
    <row r="111" spans="1:253" s="602" customFormat="1" ht="15" customHeight="1">
      <c r="A111" s="602" t="s">
        <v>663</v>
      </c>
      <c r="B111" s="604">
        <v>1459.0877</v>
      </c>
      <c r="C111" s="603">
        <v>2065655401382.0601</v>
      </c>
      <c r="D111" s="638">
        <v>1693596894182.8799</v>
      </c>
      <c r="E111" s="638">
        <v>3759252295564.9502</v>
      </c>
      <c r="F111" s="637">
        <v>255062961825.858</v>
      </c>
      <c r="G111" s="637">
        <v>55463848138.259804</v>
      </c>
      <c r="H111" s="636">
        <v>53523623569.293999</v>
      </c>
      <c r="I111" s="636">
        <v>9236657272928.1094</v>
      </c>
      <c r="J111" s="603">
        <v>1808838371774.52</v>
      </c>
      <c r="K111" s="604">
        <v>4497051.0335999997</v>
      </c>
      <c r="L111" s="603">
        <v>854571223573.48096</v>
      </c>
    </row>
    <row r="112" spans="1:253" ht="15" customHeight="1">
      <c r="A112" s="614" t="s">
        <v>91</v>
      </c>
      <c r="B112" s="610">
        <v>418.03910000000002</v>
      </c>
      <c r="C112" s="609">
        <v>17442312840.7033</v>
      </c>
      <c r="D112" s="613">
        <v>4690733316</v>
      </c>
      <c r="E112" s="613">
        <v>22133046156.7033</v>
      </c>
      <c r="F112" s="612">
        <v>857237440.90760005</v>
      </c>
      <c r="G112" s="612">
        <v>330798281.7428</v>
      </c>
      <c r="H112" s="611">
        <v>363046753</v>
      </c>
      <c r="I112" s="611">
        <v>9465413641.7588005</v>
      </c>
      <c r="J112" s="609">
        <v>5514283204.2594004</v>
      </c>
      <c r="K112" s="610">
        <v>30290.0694</v>
      </c>
      <c r="L112" s="609">
        <v>6251592276</v>
      </c>
    </row>
    <row r="113" spans="1:12" ht="15" customHeight="1">
      <c r="A113" s="614" t="s">
        <v>217</v>
      </c>
      <c r="B113" s="610">
        <v>40</v>
      </c>
      <c r="C113" s="609">
        <v>169059415</v>
      </c>
      <c r="D113" s="613">
        <v>85139633</v>
      </c>
      <c r="E113" s="613">
        <v>254199048</v>
      </c>
      <c r="F113" s="612">
        <v>45361467</v>
      </c>
      <c r="G113" s="612">
        <v>7596737</v>
      </c>
      <c r="H113" s="611">
        <v>10586045</v>
      </c>
      <c r="I113" s="611">
        <v>69195198</v>
      </c>
      <c r="J113" s="609">
        <v>45927718</v>
      </c>
      <c r="K113" s="610">
        <v>1785</v>
      </c>
      <c r="L113" s="609">
        <v>73826759</v>
      </c>
    </row>
    <row r="114" spans="1:12" ht="15" customHeight="1">
      <c r="A114" s="614" t="s">
        <v>25</v>
      </c>
      <c r="B114" s="610">
        <v>590.04200000000003</v>
      </c>
      <c r="C114" s="609">
        <v>49787227668.001602</v>
      </c>
      <c r="D114" s="613">
        <v>88398952719</v>
      </c>
      <c r="E114" s="613">
        <v>138186180387.00201</v>
      </c>
      <c r="F114" s="612">
        <v>8682969390.1443996</v>
      </c>
      <c r="G114" s="612">
        <v>1314273378</v>
      </c>
      <c r="H114" s="611">
        <v>1219257512</v>
      </c>
      <c r="I114" s="611">
        <v>79887993795.674896</v>
      </c>
      <c r="J114" s="609">
        <v>51864724331.740898</v>
      </c>
      <c r="K114" s="610">
        <v>106488.2519</v>
      </c>
      <c r="L114" s="609">
        <v>45526260682.972198</v>
      </c>
    </row>
    <row r="115" spans="1:12" ht="15" customHeight="1">
      <c r="A115" s="614" t="s">
        <v>662</v>
      </c>
      <c r="B115" s="610">
        <v>24</v>
      </c>
      <c r="C115" s="609">
        <v>178237616</v>
      </c>
      <c r="D115" s="613">
        <v>25531163</v>
      </c>
      <c r="E115" s="613">
        <v>203768779</v>
      </c>
      <c r="F115" s="612">
        <v>16430765</v>
      </c>
      <c r="G115" s="612">
        <v>3648386</v>
      </c>
      <c r="H115" s="611">
        <v>2141549</v>
      </c>
      <c r="I115" s="611">
        <v>17906207</v>
      </c>
      <c r="J115" s="609">
        <v>65483977</v>
      </c>
      <c r="K115" s="610">
        <v>2013</v>
      </c>
      <c r="L115" s="609">
        <v>76276174</v>
      </c>
    </row>
    <row r="116" spans="1:12" ht="15" customHeight="1">
      <c r="A116" s="614" t="s">
        <v>224</v>
      </c>
      <c r="B116" s="610">
        <v>132</v>
      </c>
      <c r="C116" s="609">
        <v>1966678271</v>
      </c>
      <c r="D116" s="613">
        <v>1411573039</v>
      </c>
      <c r="E116" s="613">
        <v>3378251310</v>
      </c>
      <c r="F116" s="612">
        <v>184617717</v>
      </c>
      <c r="G116" s="612">
        <v>15434848</v>
      </c>
      <c r="H116" s="611">
        <v>19135358</v>
      </c>
      <c r="I116" s="611">
        <v>1612739788</v>
      </c>
      <c r="J116" s="609">
        <v>945327523</v>
      </c>
      <c r="K116" s="610">
        <v>28855</v>
      </c>
      <c r="L116" s="609">
        <v>2165685809</v>
      </c>
    </row>
    <row r="117" spans="1:12" ht="15" customHeight="1">
      <c r="A117" s="614" t="s">
        <v>240</v>
      </c>
      <c r="B117" s="610">
        <v>107</v>
      </c>
      <c r="C117" s="609">
        <v>831596912</v>
      </c>
      <c r="D117" s="613">
        <v>389636836</v>
      </c>
      <c r="E117" s="613">
        <v>1221233748</v>
      </c>
      <c r="F117" s="612">
        <v>90679814</v>
      </c>
      <c r="G117" s="612">
        <v>19658335</v>
      </c>
      <c r="H117" s="611">
        <v>6542531</v>
      </c>
      <c r="I117" s="611">
        <v>1719421723</v>
      </c>
      <c r="J117" s="609">
        <v>159866814</v>
      </c>
      <c r="K117" s="610">
        <v>4462</v>
      </c>
      <c r="L117" s="609">
        <v>519860980</v>
      </c>
    </row>
    <row r="118" spans="1:12" s="623" customFormat="1" ht="15" customHeight="1">
      <c r="A118" s="632" t="s">
        <v>187</v>
      </c>
      <c r="B118" s="625">
        <v>143</v>
      </c>
      <c r="C118" s="624">
        <v>520400900</v>
      </c>
      <c r="D118" s="630">
        <v>1832995838</v>
      </c>
      <c r="E118" s="630">
        <v>2353396738</v>
      </c>
      <c r="F118" s="629">
        <v>1164823538</v>
      </c>
      <c r="G118" s="629">
        <v>42883464</v>
      </c>
      <c r="H118" s="626">
        <v>65568736</v>
      </c>
      <c r="I118" s="626">
        <v>80622622916</v>
      </c>
      <c r="J118" s="633">
        <v>-13638889519</v>
      </c>
      <c r="K118" s="625">
        <v>2607</v>
      </c>
      <c r="L118" s="624">
        <v>485710188</v>
      </c>
    </row>
    <row r="119" spans="1:12" ht="15" customHeight="1">
      <c r="A119" s="614" t="s">
        <v>92</v>
      </c>
      <c r="B119" s="610">
        <v>381.00209999999998</v>
      </c>
      <c r="C119" s="609">
        <v>11582630336.920799</v>
      </c>
      <c r="D119" s="613">
        <v>7636948400</v>
      </c>
      <c r="E119" s="613">
        <v>19219578736.920799</v>
      </c>
      <c r="F119" s="612">
        <v>1185642483.701</v>
      </c>
      <c r="G119" s="612">
        <v>285628074.46399999</v>
      </c>
      <c r="H119" s="611">
        <v>312667102.24349999</v>
      </c>
      <c r="I119" s="611">
        <v>6310448720</v>
      </c>
      <c r="J119" s="609">
        <v>4521608765</v>
      </c>
      <c r="K119" s="610">
        <v>91007.025200000004</v>
      </c>
      <c r="L119" s="609">
        <v>6289942540.2728004</v>
      </c>
    </row>
    <row r="120" spans="1:12" ht="15" customHeight="1">
      <c r="A120" s="614" t="s">
        <v>41</v>
      </c>
      <c r="B120" s="610">
        <v>419.00439999999998</v>
      </c>
      <c r="C120" s="609">
        <v>14168012224.4916</v>
      </c>
      <c r="D120" s="613">
        <v>7014097294.5179996</v>
      </c>
      <c r="E120" s="613">
        <v>21182109519.009602</v>
      </c>
      <c r="F120" s="612">
        <v>519887883.90359998</v>
      </c>
      <c r="G120" s="612">
        <v>470540637</v>
      </c>
      <c r="H120" s="611">
        <v>347874942</v>
      </c>
      <c r="I120" s="611">
        <v>58162899444</v>
      </c>
      <c r="J120" s="609">
        <v>8649001984.4232006</v>
      </c>
      <c r="K120" s="610">
        <v>32361.1584</v>
      </c>
      <c r="L120" s="609">
        <v>9645142244.9535999</v>
      </c>
    </row>
    <row r="121" spans="1:12" ht="15" customHeight="1">
      <c r="A121" s="614" t="s">
        <v>93</v>
      </c>
      <c r="B121" s="610">
        <v>90</v>
      </c>
      <c r="C121" s="609">
        <v>460971656</v>
      </c>
      <c r="D121" s="613">
        <v>398880314</v>
      </c>
      <c r="E121" s="613">
        <v>859851970</v>
      </c>
      <c r="F121" s="612">
        <v>39589308</v>
      </c>
      <c r="G121" s="612">
        <v>2951380</v>
      </c>
      <c r="H121" s="611">
        <v>1249423</v>
      </c>
      <c r="I121" s="611">
        <v>190395603</v>
      </c>
      <c r="J121" s="609">
        <v>419998419</v>
      </c>
      <c r="K121" s="610">
        <v>5158</v>
      </c>
      <c r="L121" s="609">
        <v>255586326</v>
      </c>
    </row>
    <row r="122" spans="1:12" ht="15" customHeight="1">
      <c r="A122" s="614" t="s">
        <v>94</v>
      </c>
      <c r="B122" s="610">
        <v>355.00439999999998</v>
      </c>
      <c r="C122" s="609">
        <v>8820469564.5263996</v>
      </c>
      <c r="D122" s="613">
        <v>3748628890</v>
      </c>
      <c r="E122" s="613">
        <v>12569098454.5264</v>
      </c>
      <c r="F122" s="612">
        <v>727369886.73039997</v>
      </c>
      <c r="G122" s="612">
        <v>244938173</v>
      </c>
      <c r="H122" s="611">
        <v>214830723</v>
      </c>
      <c r="I122" s="611">
        <v>10769618765</v>
      </c>
      <c r="J122" s="622">
        <v>-4555894087.7212</v>
      </c>
      <c r="K122" s="610">
        <v>21377.052800000001</v>
      </c>
      <c r="L122" s="609">
        <v>5615292930</v>
      </c>
    </row>
    <row r="123" spans="1:12" ht="15" customHeight="1">
      <c r="A123" s="614" t="s">
        <v>32</v>
      </c>
      <c r="B123" s="610">
        <v>841.04560000000004</v>
      </c>
      <c r="C123" s="609">
        <v>137474103529.694</v>
      </c>
      <c r="D123" s="613">
        <v>51802212782.874001</v>
      </c>
      <c r="E123" s="613">
        <v>189276316312.569</v>
      </c>
      <c r="F123" s="612">
        <v>4618903026.415</v>
      </c>
      <c r="G123" s="612">
        <v>3507962632.8789001</v>
      </c>
      <c r="H123" s="611">
        <v>3231379516.0868001</v>
      </c>
      <c r="I123" s="611">
        <v>156863552917.616</v>
      </c>
      <c r="J123" s="609">
        <v>46604083467.609398</v>
      </c>
      <c r="K123" s="610">
        <v>372277.45529999997</v>
      </c>
      <c r="L123" s="609">
        <v>53241670620.5261</v>
      </c>
    </row>
    <row r="124" spans="1:12" ht="15" customHeight="1">
      <c r="A124" s="614" t="s">
        <v>34</v>
      </c>
      <c r="B124" s="610">
        <v>990.06510000000003</v>
      </c>
      <c r="C124" s="609">
        <v>233724506318.29099</v>
      </c>
      <c r="D124" s="613">
        <v>108072860965.226</v>
      </c>
      <c r="E124" s="613">
        <v>341797367283.51599</v>
      </c>
      <c r="F124" s="612">
        <v>8380063158.8345003</v>
      </c>
      <c r="G124" s="612">
        <v>6389626789.651</v>
      </c>
      <c r="H124" s="611">
        <v>4902198715.1542997</v>
      </c>
      <c r="I124" s="611">
        <v>364087512897.79498</v>
      </c>
      <c r="J124" s="609">
        <v>1292942377.6155</v>
      </c>
      <c r="K124" s="610">
        <v>569648.48849999998</v>
      </c>
      <c r="L124" s="609">
        <v>82224505882.703506</v>
      </c>
    </row>
    <row r="125" spans="1:12" s="623" customFormat="1" ht="15" customHeight="1">
      <c r="A125" s="632" t="s">
        <v>191</v>
      </c>
      <c r="B125" s="625">
        <v>46</v>
      </c>
      <c r="C125" s="624">
        <v>378880353</v>
      </c>
      <c r="D125" s="630">
        <v>68517467</v>
      </c>
      <c r="E125" s="630">
        <v>447397820</v>
      </c>
      <c r="F125" s="633">
        <v>-22639608</v>
      </c>
      <c r="G125" s="629">
        <v>6656830</v>
      </c>
      <c r="H125" s="626">
        <v>10328961</v>
      </c>
      <c r="I125" s="626">
        <v>16932903562</v>
      </c>
      <c r="J125" s="633">
        <v>-20023892922</v>
      </c>
      <c r="K125" s="635">
        <v>111</v>
      </c>
      <c r="L125" s="634">
        <v>11637485</v>
      </c>
    </row>
    <row r="126" spans="1:12" ht="15" customHeight="1">
      <c r="A126" s="614" t="s">
        <v>40</v>
      </c>
      <c r="B126" s="610">
        <v>214</v>
      </c>
      <c r="C126" s="609">
        <v>4738761378</v>
      </c>
      <c r="D126" s="613">
        <v>1068399399</v>
      </c>
      <c r="E126" s="613">
        <v>5807160777</v>
      </c>
      <c r="F126" s="612">
        <v>372038898</v>
      </c>
      <c r="G126" s="612">
        <v>98629585</v>
      </c>
      <c r="H126" s="611">
        <v>108833983</v>
      </c>
      <c r="I126" s="611">
        <v>2972439423</v>
      </c>
      <c r="J126" s="622">
        <v>-70055902</v>
      </c>
      <c r="K126" s="610">
        <v>15149</v>
      </c>
      <c r="L126" s="609">
        <v>1556498514</v>
      </c>
    </row>
    <row r="127" spans="1:12" s="623" customFormat="1" ht="15" customHeight="1">
      <c r="A127" s="632" t="s">
        <v>190</v>
      </c>
      <c r="B127" s="625">
        <v>41</v>
      </c>
      <c r="C127" s="624">
        <v>223865340</v>
      </c>
      <c r="D127" s="630">
        <v>54867482</v>
      </c>
      <c r="E127" s="630">
        <v>278732822</v>
      </c>
      <c r="F127" s="629">
        <v>64070219</v>
      </c>
      <c r="G127" s="628">
        <v>7887493</v>
      </c>
      <c r="H127" s="626">
        <v>5807914</v>
      </c>
      <c r="I127" s="626">
        <v>5054403279</v>
      </c>
      <c r="J127" s="624">
        <v>527955633</v>
      </c>
      <c r="K127" s="625">
        <v>577</v>
      </c>
      <c r="L127" s="624">
        <v>427741547</v>
      </c>
    </row>
    <row r="128" spans="1:12" ht="15" customHeight="1">
      <c r="A128" s="614" t="s">
        <v>95</v>
      </c>
      <c r="B128" s="610">
        <v>311</v>
      </c>
      <c r="C128" s="609">
        <v>10462689930</v>
      </c>
      <c r="D128" s="613">
        <v>6733579945</v>
      </c>
      <c r="E128" s="613">
        <v>17196269875</v>
      </c>
      <c r="F128" s="612">
        <v>2866120975</v>
      </c>
      <c r="G128" s="612">
        <v>164214798</v>
      </c>
      <c r="H128" s="611">
        <v>202434033</v>
      </c>
      <c r="I128" s="611">
        <v>51293453076</v>
      </c>
      <c r="J128" s="609">
        <v>24854690235</v>
      </c>
      <c r="K128" s="610">
        <v>69040</v>
      </c>
      <c r="L128" s="609">
        <v>4715200327</v>
      </c>
    </row>
    <row r="129" spans="1:12" ht="15" customHeight="1">
      <c r="A129" s="614" t="s">
        <v>113</v>
      </c>
      <c r="B129" s="610">
        <v>38</v>
      </c>
      <c r="C129" s="609">
        <v>243528520</v>
      </c>
      <c r="D129" s="613">
        <v>787111185</v>
      </c>
      <c r="E129" s="613">
        <v>1030639705</v>
      </c>
      <c r="F129" s="622">
        <v>-63200201</v>
      </c>
      <c r="G129" s="612">
        <v>3569468</v>
      </c>
      <c r="H129" s="611">
        <v>3254823</v>
      </c>
      <c r="I129" s="611">
        <v>1888340278</v>
      </c>
      <c r="J129" s="622">
        <v>-1060225354</v>
      </c>
      <c r="K129" s="610">
        <v>1432</v>
      </c>
      <c r="L129" s="609">
        <v>1320795710</v>
      </c>
    </row>
    <row r="130" spans="1:12" s="615" customFormat="1" ht="15" customHeight="1">
      <c r="A130" s="621" t="s">
        <v>20</v>
      </c>
      <c r="B130" s="617">
        <v>664.04330000000004</v>
      </c>
      <c r="C130" s="616">
        <v>340566088966.12097</v>
      </c>
      <c r="D130" s="620">
        <v>462900693596.06799</v>
      </c>
      <c r="E130" s="620">
        <v>803466782562.18896</v>
      </c>
      <c r="F130" s="619">
        <v>45599959657.378304</v>
      </c>
      <c r="G130" s="619">
        <v>10880468226.939199</v>
      </c>
      <c r="H130" s="618">
        <v>10593694442.1283</v>
      </c>
      <c r="I130" s="618">
        <v>1143763359809.3899</v>
      </c>
      <c r="J130" s="616">
        <v>19163195868.903702</v>
      </c>
      <c r="K130" s="617">
        <v>172570.152</v>
      </c>
      <c r="L130" s="616">
        <v>110797254927.078</v>
      </c>
    </row>
    <row r="131" spans="1:12" s="623" customFormat="1" ht="15" customHeight="1">
      <c r="A131" s="632" t="s">
        <v>661</v>
      </c>
      <c r="B131" s="625">
        <v>39</v>
      </c>
      <c r="C131" s="624">
        <v>1364162584</v>
      </c>
      <c r="D131" s="630">
        <v>2141136666</v>
      </c>
      <c r="E131" s="630">
        <v>3505299250</v>
      </c>
      <c r="F131" s="629">
        <v>263409005</v>
      </c>
      <c r="G131" s="628">
        <v>6385301</v>
      </c>
      <c r="H131" s="627">
        <v>6237509</v>
      </c>
      <c r="I131" s="626">
        <v>96123817130</v>
      </c>
      <c r="J131" s="633">
        <v>-15851834108</v>
      </c>
      <c r="K131" s="625">
        <v>567</v>
      </c>
      <c r="L131" s="624">
        <v>351705178</v>
      </c>
    </row>
    <row r="132" spans="1:12" ht="15" customHeight="1">
      <c r="A132" s="614" t="s">
        <v>33</v>
      </c>
      <c r="B132" s="610">
        <v>733.01739999999995</v>
      </c>
      <c r="C132" s="609">
        <v>82621255356.441101</v>
      </c>
      <c r="D132" s="613">
        <v>22811128958.334599</v>
      </c>
      <c r="E132" s="613">
        <v>105432384314.776</v>
      </c>
      <c r="F132" s="612">
        <v>3627103538.8175998</v>
      </c>
      <c r="G132" s="612">
        <v>1865341666.7744</v>
      </c>
      <c r="H132" s="611">
        <v>1611877039.3443999</v>
      </c>
      <c r="I132" s="611">
        <v>59506298428.012398</v>
      </c>
      <c r="J132" s="609">
        <v>15692086303.213499</v>
      </c>
      <c r="K132" s="610">
        <v>208195.924</v>
      </c>
      <c r="L132" s="609">
        <v>31475739140.928398</v>
      </c>
    </row>
    <row r="133" spans="1:12" s="623" customFormat="1" ht="15" customHeight="1">
      <c r="A133" s="632" t="s">
        <v>188</v>
      </c>
      <c r="B133" s="625">
        <v>93</v>
      </c>
      <c r="C133" s="624">
        <v>2901075475</v>
      </c>
      <c r="D133" s="630">
        <v>4968780732</v>
      </c>
      <c r="E133" s="630">
        <v>7869856207</v>
      </c>
      <c r="F133" s="633">
        <v>-4417097324</v>
      </c>
      <c r="G133" s="629">
        <v>25955125</v>
      </c>
      <c r="H133" s="626">
        <v>20509945</v>
      </c>
      <c r="I133" s="626">
        <v>154163664888</v>
      </c>
      <c r="J133" s="624">
        <v>117583743139</v>
      </c>
      <c r="K133" s="625">
        <v>2051</v>
      </c>
      <c r="L133" s="624">
        <v>3034383013</v>
      </c>
    </row>
    <row r="134" spans="1:12" ht="15" customHeight="1">
      <c r="A134" s="614" t="s">
        <v>96</v>
      </c>
      <c r="B134" s="610">
        <v>72</v>
      </c>
      <c r="C134" s="609">
        <v>234676841</v>
      </c>
      <c r="D134" s="613">
        <v>252478205</v>
      </c>
      <c r="E134" s="613">
        <v>487155046</v>
      </c>
      <c r="F134" s="612">
        <v>20102614</v>
      </c>
      <c r="G134" s="612">
        <v>861082</v>
      </c>
      <c r="H134" s="611">
        <v>2496654</v>
      </c>
      <c r="I134" s="611">
        <v>45978465</v>
      </c>
      <c r="J134" s="609">
        <v>110507379</v>
      </c>
      <c r="K134" s="610">
        <v>2244</v>
      </c>
      <c r="L134" s="609">
        <v>113704944</v>
      </c>
    </row>
    <row r="135" spans="1:12" ht="15" customHeight="1">
      <c r="A135" s="614" t="s">
        <v>276</v>
      </c>
      <c r="B135" s="610">
        <v>97</v>
      </c>
      <c r="C135" s="609">
        <v>810502921</v>
      </c>
      <c r="D135" s="613">
        <v>1911599646</v>
      </c>
      <c r="E135" s="613">
        <v>2722102567</v>
      </c>
      <c r="F135" s="612">
        <v>593465291</v>
      </c>
      <c r="G135" s="612">
        <v>77874765</v>
      </c>
      <c r="H135" s="611">
        <v>104150381</v>
      </c>
      <c r="I135" s="611">
        <v>13419539922</v>
      </c>
      <c r="J135" s="609">
        <v>1600987773</v>
      </c>
      <c r="K135" s="610">
        <v>11133</v>
      </c>
      <c r="L135" s="609">
        <v>770300244</v>
      </c>
    </row>
    <row r="136" spans="1:12" s="615" customFormat="1" ht="15" customHeight="1">
      <c r="A136" s="621" t="s">
        <v>19</v>
      </c>
      <c r="B136" s="617">
        <v>517.00440000000003</v>
      </c>
      <c r="C136" s="616">
        <v>45970780375</v>
      </c>
      <c r="D136" s="620">
        <v>101707819986</v>
      </c>
      <c r="E136" s="620">
        <v>147678600361</v>
      </c>
      <c r="F136" s="619">
        <v>710801153.69920003</v>
      </c>
      <c r="G136" s="619">
        <v>750334229.78400004</v>
      </c>
      <c r="H136" s="618">
        <v>539092066</v>
      </c>
      <c r="I136" s="618">
        <v>1490873063339.8999</v>
      </c>
      <c r="J136" s="616">
        <v>150364035205.39999</v>
      </c>
      <c r="K136" s="617">
        <v>15162</v>
      </c>
      <c r="L136" s="616">
        <v>45813650212</v>
      </c>
    </row>
    <row r="137" spans="1:12" ht="15" customHeight="1">
      <c r="A137" s="614" t="s">
        <v>660</v>
      </c>
      <c r="B137" s="610">
        <v>17</v>
      </c>
      <c r="C137" s="609">
        <v>35423946</v>
      </c>
      <c r="D137" s="613">
        <v>238867404</v>
      </c>
      <c r="E137" s="613">
        <v>274291350</v>
      </c>
      <c r="F137" s="612">
        <v>12511132</v>
      </c>
      <c r="G137" s="612">
        <v>1485435</v>
      </c>
      <c r="H137" s="611">
        <v>1358471</v>
      </c>
      <c r="I137" s="611">
        <v>60132964</v>
      </c>
      <c r="J137" s="609">
        <v>88557432</v>
      </c>
      <c r="K137" s="610">
        <v>6815</v>
      </c>
      <c r="L137" s="609">
        <v>188988415</v>
      </c>
    </row>
    <row r="138" spans="1:12" s="623" customFormat="1" ht="15" customHeight="1">
      <c r="A138" s="632" t="s">
        <v>87</v>
      </c>
      <c r="B138" s="625">
        <v>90.004400000000004</v>
      </c>
      <c r="C138" s="624">
        <v>2476013908</v>
      </c>
      <c r="D138" s="630">
        <v>2829626958</v>
      </c>
      <c r="E138" s="630">
        <v>5305640866</v>
      </c>
      <c r="F138" s="633">
        <v>-29618057500</v>
      </c>
      <c r="G138" s="629">
        <v>21035378</v>
      </c>
      <c r="H138" s="626">
        <v>63236166</v>
      </c>
      <c r="I138" s="626">
        <v>127074217059</v>
      </c>
      <c r="J138" s="633">
        <v>-3899143633</v>
      </c>
      <c r="K138" s="625">
        <v>2825</v>
      </c>
      <c r="L138" s="624">
        <v>3578790087</v>
      </c>
    </row>
    <row r="139" spans="1:12" s="623" customFormat="1" ht="15" customHeight="1">
      <c r="A139" s="632" t="s">
        <v>199</v>
      </c>
      <c r="B139" s="625">
        <v>19</v>
      </c>
      <c r="C139" s="624">
        <v>250456888</v>
      </c>
      <c r="D139" s="631">
        <v>314277244</v>
      </c>
      <c r="E139" s="630">
        <v>564734132</v>
      </c>
      <c r="F139" s="629">
        <v>42030509</v>
      </c>
      <c r="G139" s="628">
        <v>1464085</v>
      </c>
      <c r="H139" s="627">
        <v>2035356</v>
      </c>
      <c r="I139" s="626">
        <v>17958944</v>
      </c>
      <c r="J139" s="624">
        <v>57837463</v>
      </c>
      <c r="K139" s="625">
        <v>309</v>
      </c>
      <c r="L139" s="624">
        <v>102459321</v>
      </c>
    </row>
    <row r="140" spans="1:12" s="615" customFormat="1" ht="15" customHeight="1">
      <c r="A140" s="621" t="s">
        <v>23</v>
      </c>
      <c r="B140" s="617">
        <v>991.06299999999999</v>
      </c>
      <c r="C140" s="616">
        <v>126009151231.87199</v>
      </c>
      <c r="D140" s="620">
        <v>206746750758.63901</v>
      </c>
      <c r="E140" s="620">
        <v>332755901990.51099</v>
      </c>
      <c r="F140" s="619">
        <v>19305507096.3521</v>
      </c>
      <c r="G140" s="619">
        <v>5558635247.7538004</v>
      </c>
      <c r="H140" s="618">
        <v>3605530741.9141998</v>
      </c>
      <c r="I140" s="618">
        <v>2011062478573.8501</v>
      </c>
      <c r="J140" s="616">
        <v>549367075663.70001</v>
      </c>
      <c r="K140" s="617">
        <v>175079.34659999999</v>
      </c>
      <c r="L140" s="616">
        <v>74027888204.458694</v>
      </c>
    </row>
    <row r="141" spans="1:12" ht="15" customHeight="1">
      <c r="A141" s="614" t="s">
        <v>117</v>
      </c>
      <c r="B141" s="610">
        <v>350</v>
      </c>
      <c r="C141" s="609">
        <v>15837695434</v>
      </c>
      <c r="D141" s="613">
        <v>6307842561</v>
      </c>
      <c r="E141" s="613">
        <v>22145537995</v>
      </c>
      <c r="F141" s="612">
        <v>484872388</v>
      </c>
      <c r="G141" s="612">
        <v>741075957</v>
      </c>
      <c r="H141" s="611">
        <v>234641597</v>
      </c>
      <c r="I141" s="611">
        <v>24399480312</v>
      </c>
      <c r="J141" s="609">
        <v>8520996645</v>
      </c>
      <c r="K141" s="610">
        <v>32068</v>
      </c>
      <c r="L141" s="609">
        <v>11311063077</v>
      </c>
    </row>
    <row r="142" spans="1:12" ht="15" customHeight="1">
      <c r="A142" s="614" t="s">
        <v>97</v>
      </c>
      <c r="B142" s="610">
        <v>533.0412</v>
      </c>
      <c r="C142" s="609">
        <v>27334122242.887402</v>
      </c>
      <c r="D142" s="613">
        <v>17885532448.726101</v>
      </c>
      <c r="E142" s="613">
        <v>45219654691.613503</v>
      </c>
      <c r="F142" s="612">
        <v>2120593988.3099</v>
      </c>
      <c r="G142" s="611">
        <v>735140577.78929996</v>
      </c>
      <c r="H142" s="611">
        <v>613592307.977</v>
      </c>
      <c r="I142" s="611">
        <v>20218895793.3298</v>
      </c>
      <c r="J142" s="609">
        <v>8820857029.5139008</v>
      </c>
      <c r="K142" s="610">
        <v>263572.72970000003</v>
      </c>
      <c r="L142" s="609">
        <v>18253665903.233101</v>
      </c>
    </row>
    <row r="143" spans="1:12" ht="15" customHeight="1">
      <c r="A143" s="614" t="s">
        <v>42</v>
      </c>
      <c r="B143" s="610">
        <v>334</v>
      </c>
      <c r="C143" s="609">
        <v>8590888945</v>
      </c>
      <c r="D143" s="613">
        <v>2993231757</v>
      </c>
      <c r="E143" s="613">
        <v>11584120702</v>
      </c>
      <c r="F143" s="612">
        <v>617543895</v>
      </c>
      <c r="G143" s="611">
        <v>245948591</v>
      </c>
      <c r="H143" s="611">
        <v>185850597</v>
      </c>
      <c r="I143" s="611">
        <v>3632632510</v>
      </c>
      <c r="J143" s="609">
        <v>1695290031</v>
      </c>
      <c r="K143" s="610">
        <v>47089</v>
      </c>
      <c r="L143" s="609">
        <v>3687053014</v>
      </c>
    </row>
    <row r="144" spans="1:12" ht="15" customHeight="1">
      <c r="A144" s="614" t="s">
        <v>305</v>
      </c>
      <c r="B144" s="610">
        <v>277.00209999999998</v>
      </c>
      <c r="C144" s="609">
        <v>7643516822</v>
      </c>
      <c r="D144" s="613">
        <v>7618362772</v>
      </c>
      <c r="E144" s="613">
        <v>15261879594</v>
      </c>
      <c r="F144" s="613">
        <v>535107500</v>
      </c>
      <c r="G144" s="612">
        <v>135397182</v>
      </c>
      <c r="H144" s="611">
        <v>116806648</v>
      </c>
      <c r="I144" s="611">
        <v>3867099824.1008</v>
      </c>
      <c r="J144" s="609">
        <v>683648101.13</v>
      </c>
      <c r="K144" s="610">
        <v>100123</v>
      </c>
      <c r="L144" s="609">
        <v>4652516917</v>
      </c>
    </row>
    <row r="145" spans="1:12" ht="15" customHeight="1">
      <c r="A145" s="614" t="s">
        <v>46</v>
      </c>
      <c r="B145" s="610">
        <v>433.00209999999998</v>
      </c>
      <c r="C145" s="609">
        <v>40698356601.630203</v>
      </c>
      <c r="D145" s="613">
        <v>8461478932</v>
      </c>
      <c r="E145" s="613">
        <v>49159835533.630203</v>
      </c>
      <c r="F145" s="613">
        <v>3758524049.9675002</v>
      </c>
      <c r="G145" s="612">
        <v>1276937054.3668001</v>
      </c>
      <c r="H145" s="611">
        <v>1169295756</v>
      </c>
      <c r="I145" s="611">
        <v>13252904589.8619</v>
      </c>
      <c r="J145" s="609">
        <v>9185902641.7842007</v>
      </c>
      <c r="K145" s="610">
        <v>232914</v>
      </c>
      <c r="L145" s="609">
        <v>11289655602.5944</v>
      </c>
    </row>
    <row r="146" spans="1:12" ht="15" customHeight="1">
      <c r="A146" s="614" t="s">
        <v>311</v>
      </c>
      <c r="B146" s="610">
        <v>104</v>
      </c>
      <c r="C146" s="609">
        <v>1029167038</v>
      </c>
      <c r="D146" s="613">
        <v>711208241</v>
      </c>
      <c r="E146" s="613">
        <v>1740375279</v>
      </c>
      <c r="F146" s="613">
        <v>92299993</v>
      </c>
      <c r="G146" s="612">
        <v>22347201</v>
      </c>
      <c r="H146" s="611">
        <v>22725166</v>
      </c>
      <c r="I146" s="611">
        <v>2409868309</v>
      </c>
      <c r="J146" s="622">
        <v>-316068954</v>
      </c>
      <c r="K146" s="610">
        <v>17260</v>
      </c>
      <c r="L146" s="609">
        <v>828609846</v>
      </c>
    </row>
    <row r="147" spans="1:12" ht="15" customHeight="1">
      <c r="A147" s="614" t="s">
        <v>98</v>
      </c>
      <c r="B147" s="610">
        <v>207.0044</v>
      </c>
      <c r="C147" s="609">
        <v>5188832274.4292002</v>
      </c>
      <c r="D147" s="613">
        <v>3138622625.5008001</v>
      </c>
      <c r="E147" s="613">
        <v>8327454899.9300003</v>
      </c>
      <c r="F147" s="613">
        <v>240665542.56479999</v>
      </c>
      <c r="G147" s="612">
        <v>69473761.339200005</v>
      </c>
      <c r="H147" s="611">
        <v>60438982</v>
      </c>
      <c r="I147" s="611">
        <v>2413808564.6988001</v>
      </c>
      <c r="J147" s="609">
        <v>468375705.96719998</v>
      </c>
      <c r="K147" s="610">
        <v>47625.497199999998</v>
      </c>
      <c r="L147" s="609">
        <v>3045364329.3815999</v>
      </c>
    </row>
    <row r="148" spans="1:12" ht="15" customHeight="1">
      <c r="A148" s="614" t="s">
        <v>99</v>
      </c>
      <c r="B148" s="610">
        <v>78</v>
      </c>
      <c r="C148" s="609">
        <v>1091627485</v>
      </c>
      <c r="D148" s="613">
        <v>428727401</v>
      </c>
      <c r="E148" s="613">
        <v>1520354886</v>
      </c>
      <c r="F148" s="613">
        <v>38262733</v>
      </c>
      <c r="G148" s="612">
        <v>10837522</v>
      </c>
      <c r="H148" s="611">
        <v>10687719</v>
      </c>
      <c r="I148" s="611">
        <v>290932060</v>
      </c>
      <c r="J148" s="609">
        <v>386211093</v>
      </c>
      <c r="K148" s="610">
        <v>4692</v>
      </c>
      <c r="L148" s="609">
        <v>527198934</v>
      </c>
    </row>
    <row r="149" spans="1:12" ht="15" customHeight="1">
      <c r="A149" s="614" t="s">
        <v>30</v>
      </c>
      <c r="B149" s="610">
        <v>725.01300000000003</v>
      </c>
      <c r="C149" s="609">
        <v>63327152096.215401</v>
      </c>
      <c r="D149" s="613">
        <v>29299728257.617001</v>
      </c>
      <c r="E149" s="613">
        <v>92626880353.832397</v>
      </c>
      <c r="F149" s="613">
        <v>5399735555.1759996</v>
      </c>
      <c r="G149" s="612">
        <v>946985897.72759998</v>
      </c>
      <c r="H149" s="611">
        <v>900730110.15999997</v>
      </c>
      <c r="I149" s="611">
        <v>54599643892.178398</v>
      </c>
      <c r="J149" s="609">
        <v>21387176664.3382</v>
      </c>
      <c r="K149" s="610">
        <v>203729.34950000001</v>
      </c>
      <c r="L149" s="609">
        <v>24681128386.322498</v>
      </c>
    </row>
    <row r="150" spans="1:12" ht="15" customHeight="1">
      <c r="A150" s="614" t="s">
        <v>100</v>
      </c>
      <c r="B150" s="610">
        <v>575.0412</v>
      </c>
      <c r="C150" s="609">
        <v>38563393916.162102</v>
      </c>
      <c r="D150" s="613">
        <v>4012266550.7269001</v>
      </c>
      <c r="E150" s="613">
        <v>42575660466.889</v>
      </c>
      <c r="F150" s="613">
        <v>4792533914.8793001</v>
      </c>
      <c r="G150" s="612">
        <v>798551515</v>
      </c>
      <c r="H150" s="611">
        <v>615073407</v>
      </c>
      <c r="I150" s="611">
        <v>163885768267.01801</v>
      </c>
      <c r="J150" s="609">
        <v>7065135240.9275999</v>
      </c>
      <c r="K150" s="610">
        <v>64583.008800000003</v>
      </c>
      <c r="L150" s="609">
        <v>10638732029</v>
      </c>
    </row>
    <row r="151" spans="1:12" s="615" customFormat="1" ht="15" customHeight="1">
      <c r="A151" s="621" t="s">
        <v>21</v>
      </c>
      <c r="B151" s="617">
        <v>642.04349999999999</v>
      </c>
      <c r="C151" s="616">
        <v>219085721364.81</v>
      </c>
      <c r="D151" s="620">
        <v>327220199887.05402</v>
      </c>
      <c r="E151" s="620">
        <v>546305921251.86499</v>
      </c>
      <c r="F151" s="620">
        <v>131396009782.125</v>
      </c>
      <c r="G151" s="619">
        <v>5075332061.0455999</v>
      </c>
      <c r="H151" s="618">
        <v>5829344460.7575998</v>
      </c>
      <c r="I151" s="618">
        <v>925182838149.49805</v>
      </c>
      <c r="J151" s="616">
        <v>220246478072.09799</v>
      </c>
      <c r="K151" s="617">
        <v>91952.126099999994</v>
      </c>
      <c r="L151" s="616">
        <v>56714679278.715698</v>
      </c>
    </row>
    <row r="152" spans="1:12" ht="15" customHeight="1">
      <c r="A152" s="614" t="s">
        <v>44</v>
      </c>
      <c r="B152" s="610">
        <v>362.00209999999998</v>
      </c>
      <c r="C152" s="609">
        <v>18065575454.9403</v>
      </c>
      <c r="D152" s="613">
        <v>3269792093</v>
      </c>
      <c r="E152" s="613">
        <v>21335367547.9403</v>
      </c>
      <c r="F152" s="613">
        <v>872631047.75170004</v>
      </c>
      <c r="G152" s="612">
        <v>393436401.95630002</v>
      </c>
      <c r="H152" s="611">
        <v>380454733.73720002</v>
      </c>
      <c r="I152" s="611">
        <v>9199600857</v>
      </c>
      <c r="J152" s="609">
        <v>2802543490</v>
      </c>
      <c r="K152" s="610">
        <v>60161.006300000001</v>
      </c>
      <c r="L152" s="609">
        <v>5002009815.8841</v>
      </c>
    </row>
    <row r="153" spans="1:12" ht="15" customHeight="1">
      <c r="A153" s="614" t="s">
        <v>329</v>
      </c>
      <c r="B153" s="610">
        <v>169</v>
      </c>
      <c r="C153" s="609">
        <v>3906686066</v>
      </c>
      <c r="D153" s="613">
        <v>2652481565</v>
      </c>
      <c r="E153" s="613">
        <v>6559167631</v>
      </c>
      <c r="F153" s="613">
        <v>512702318</v>
      </c>
      <c r="G153" s="612">
        <v>111803394</v>
      </c>
      <c r="H153" s="611">
        <v>105221607</v>
      </c>
      <c r="I153" s="611">
        <v>772568942</v>
      </c>
      <c r="J153" s="609">
        <v>1314452290</v>
      </c>
      <c r="K153" s="610">
        <v>41306</v>
      </c>
      <c r="L153" s="609">
        <v>1559496358</v>
      </c>
    </row>
    <row r="154" spans="1:12" ht="15" customHeight="1">
      <c r="A154" s="614" t="s">
        <v>659</v>
      </c>
      <c r="B154" s="610">
        <v>1256.0746999999999</v>
      </c>
      <c r="C154" s="609">
        <v>518559642620.72101</v>
      </c>
      <c r="D154" s="613">
        <v>188540731805.59698</v>
      </c>
      <c r="E154" s="613">
        <v>707100374426.31799</v>
      </c>
      <c r="F154" s="613">
        <v>38309296066.406898</v>
      </c>
      <c r="G154" s="612">
        <v>12792722953.0469</v>
      </c>
      <c r="H154" s="611">
        <v>15698131874.790701</v>
      </c>
      <c r="I154" s="611">
        <v>2067845715964.4199</v>
      </c>
      <c r="J154" s="609">
        <v>585860914309.62</v>
      </c>
      <c r="K154" s="610">
        <v>1333727.3918999999</v>
      </c>
      <c r="L154" s="609">
        <v>211550749709.45599</v>
      </c>
    </row>
    <row r="155" spans="1:12" ht="15" customHeight="1">
      <c r="A155" s="614" t="s">
        <v>658</v>
      </c>
      <c r="B155" s="610">
        <v>47.002099999999999</v>
      </c>
      <c r="C155" s="609">
        <v>319501754.20670003</v>
      </c>
      <c r="D155" s="613">
        <v>12860463</v>
      </c>
      <c r="E155" s="613">
        <v>332362217.20670003</v>
      </c>
      <c r="F155" s="613">
        <v>22481715.793299999</v>
      </c>
      <c r="G155" s="612">
        <v>1118236</v>
      </c>
      <c r="H155" s="611">
        <v>3271212</v>
      </c>
      <c r="I155" s="611">
        <v>653744135</v>
      </c>
      <c r="J155" s="609">
        <v>322474263</v>
      </c>
      <c r="K155" s="610">
        <v>4658</v>
      </c>
      <c r="L155" s="609">
        <v>171209690</v>
      </c>
    </row>
    <row r="156" spans="1:12" s="602" customFormat="1" ht="15" customHeight="1">
      <c r="A156" s="608" t="s">
        <v>657</v>
      </c>
      <c r="B156" s="604">
        <v>33</v>
      </c>
      <c r="C156" s="603">
        <v>246421547875</v>
      </c>
      <c r="D156" s="607">
        <v>269773263435</v>
      </c>
      <c r="E156" s="607">
        <v>516194811310</v>
      </c>
      <c r="F156" s="607">
        <v>192984305101</v>
      </c>
      <c r="G156" s="606">
        <v>2940019591</v>
      </c>
      <c r="H156" s="605">
        <v>2877018019</v>
      </c>
      <c r="I156" s="605">
        <v>825272942427</v>
      </c>
      <c r="J156" s="603">
        <v>588739716380</v>
      </c>
      <c r="K156" s="604">
        <v>250155</v>
      </c>
      <c r="L156" s="603">
        <v>265535313444</v>
      </c>
    </row>
    <row r="157" spans="1:12" ht="10">
      <c r="A157" s="825" t="s">
        <v>656</v>
      </c>
      <c r="B157" s="826"/>
      <c r="C157" s="826"/>
      <c r="D157" s="826"/>
      <c r="E157" s="826"/>
      <c r="F157" s="826"/>
      <c r="G157" s="826"/>
      <c r="H157" s="826"/>
      <c r="I157" s="826"/>
      <c r="J157" s="826"/>
      <c r="K157" s="826"/>
      <c r="L157" s="826"/>
    </row>
    <row r="158" spans="1:12" ht="11.25" customHeight="1">
      <c r="A158" s="827" t="s">
        <v>655</v>
      </c>
      <c r="B158" s="818"/>
      <c r="C158" s="818"/>
      <c r="D158" s="818"/>
      <c r="E158" s="818"/>
      <c r="F158" s="818"/>
      <c r="G158" s="818"/>
      <c r="H158" s="818"/>
      <c r="I158" s="818"/>
      <c r="J158" s="818"/>
      <c r="K158" s="818"/>
      <c r="L158" s="818"/>
    </row>
    <row r="159" spans="1:12" ht="11.25" customHeight="1">
      <c r="A159" s="817" t="s">
        <v>654</v>
      </c>
      <c r="B159" s="818"/>
      <c r="C159" s="818"/>
      <c r="D159" s="818"/>
      <c r="E159" s="818"/>
      <c r="F159" s="818"/>
      <c r="G159" s="818"/>
      <c r="H159" s="818"/>
      <c r="I159" s="818"/>
      <c r="J159" s="818"/>
      <c r="K159" s="818"/>
      <c r="L159" s="818"/>
    </row>
    <row r="160" spans="1:12" ht="10">
      <c r="A160" s="817" t="s">
        <v>653</v>
      </c>
      <c r="B160" s="818"/>
      <c r="C160" s="818"/>
      <c r="D160" s="818"/>
      <c r="E160" s="818"/>
      <c r="F160" s="818"/>
      <c r="G160" s="818"/>
      <c r="H160" s="818"/>
      <c r="I160" s="818"/>
      <c r="J160" s="818"/>
      <c r="K160" s="818"/>
      <c r="L160" s="818"/>
    </row>
    <row r="161" spans="1:253">
      <c r="A161" s="817" t="s">
        <v>652</v>
      </c>
      <c r="B161" s="818"/>
      <c r="C161" s="818"/>
      <c r="D161" s="818"/>
      <c r="E161" s="818"/>
      <c r="F161" s="818"/>
      <c r="G161" s="818"/>
      <c r="H161" s="818"/>
      <c r="I161" s="818"/>
      <c r="J161" s="818"/>
      <c r="K161" s="818"/>
      <c r="L161" s="818"/>
      <c r="AC161" s="599"/>
      <c r="AD161" s="599"/>
      <c r="AE161" s="594"/>
      <c r="AF161" s="594"/>
      <c r="AG161" s="594"/>
      <c r="AH161" s="594"/>
      <c r="AI161" s="594"/>
      <c r="AJ161" s="594"/>
      <c r="AK161" s="594"/>
      <c r="AL161" s="594"/>
      <c r="AM161" s="594"/>
      <c r="AN161" s="594"/>
      <c r="AO161" s="594"/>
      <c r="AP161" s="594"/>
      <c r="AQ161" s="594"/>
      <c r="AR161" s="594"/>
      <c r="AS161" s="594"/>
      <c r="AT161" s="594"/>
      <c r="AU161" s="594"/>
      <c r="AV161" s="594"/>
      <c r="AW161" s="594"/>
      <c r="AX161" s="594"/>
      <c r="AY161" s="594"/>
      <c r="AZ161" s="594"/>
      <c r="BA161" s="594"/>
      <c r="BB161" s="594"/>
      <c r="BC161" s="594"/>
      <c r="BD161" s="594"/>
      <c r="BE161" s="594"/>
      <c r="BF161" s="594"/>
      <c r="BG161" s="594"/>
      <c r="BH161" s="594"/>
      <c r="BI161" s="594"/>
      <c r="BJ161" s="594"/>
      <c r="BK161" s="594"/>
      <c r="BL161" s="594"/>
      <c r="BM161" s="594"/>
      <c r="BN161" s="594"/>
      <c r="BO161" s="594"/>
      <c r="BP161" s="594"/>
      <c r="BQ161" s="594"/>
      <c r="BR161" s="594"/>
      <c r="BS161" s="594"/>
      <c r="BT161" s="594"/>
      <c r="BU161" s="594"/>
      <c r="BV161" s="594"/>
      <c r="BW161" s="594"/>
      <c r="BX161" s="594"/>
      <c r="BY161" s="594"/>
      <c r="BZ161" s="594"/>
      <c r="CA161" s="594"/>
      <c r="CB161" s="594"/>
      <c r="CC161" s="594"/>
      <c r="CD161" s="594"/>
      <c r="CE161" s="594"/>
      <c r="CF161" s="594"/>
      <c r="CG161" s="594"/>
      <c r="CH161" s="594"/>
      <c r="CI161" s="594"/>
      <c r="CJ161" s="594"/>
      <c r="CK161" s="594"/>
      <c r="CL161" s="594"/>
      <c r="CM161" s="594"/>
      <c r="CN161" s="594"/>
      <c r="CO161" s="594"/>
      <c r="CP161" s="594"/>
      <c r="CQ161" s="594"/>
      <c r="CR161" s="594"/>
      <c r="CS161" s="594"/>
      <c r="CT161" s="594"/>
      <c r="CU161" s="594"/>
      <c r="CV161" s="594"/>
      <c r="CW161" s="594"/>
      <c r="CX161" s="594"/>
      <c r="CY161" s="594"/>
      <c r="CZ161" s="594"/>
      <c r="DA161" s="594"/>
      <c r="DB161" s="594"/>
      <c r="DC161" s="594"/>
      <c r="DD161" s="594"/>
      <c r="DE161" s="594"/>
      <c r="DF161" s="594"/>
      <c r="DG161" s="594"/>
      <c r="DH161" s="594"/>
      <c r="DI161" s="594"/>
      <c r="DJ161" s="594"/>
      <c r="DK161" s="594"/>
      <c r="DL161" s="594"/>
      <c r="DM161" s="594"/>
      <c r="DN161" s="594"/>
      <c r="DO161" s="594"/>
      <c r="DP161" s="594"/>
      <c r="DQ161" s="594"/>
      <c r="DR161" s="594"/>
      <c r="DS161" s="594"/>
      <c r="DT161" s="594"/>
      <c r="DU161" s="594"/>
      <c r="DV161" s="594"/>
      <c r="DW161" s="594"/>
      <c r="DX161" s="594"/>
      <c r="DY161" s="594"/>
      <c r="DZ161" s="594"/>
      <c r="EA161" s="594"/>
      <c r="EB161" s="594"/>
      <c r="EC161" s="594"/>
      <c r="ED161" s="594"/>
      <c r="EE161" s="594"/>
      <c r="EF161" s="594"/>
      <c r="EG161" s="594"/>
      <c r="EH161" s="594"/>
      <c r="EI161" s="594"/>
      <c r="EJ161" s="594"/>
      <c r="EK161" s="594"/>
      <c r="EL161" s="594"/>
      <c r="EM161" s="594"/>
      <c r="EN161" s="594"/>
      <c r="EO161" s="594"/>
      <c r="EP161" s="594"/>
      <c r="EQ161" s="594"/>
      <c r="ER161" s="594"/>
      <c r="ES161" s="594"/>
      <c r="ET161" s="594"/>
      <c r="EU161" s="594"/>
      <c r="EV161" s="594"/>
      <c r="EW161" s="594"/>
      <c r="EX161" s="594"/>
      <c r="EY161" s="594"/>
      <c r="EZ161" s="594"/>
      <c r="FA161" s="594"/>
      <c r="FB161" s="594"/>
      <c r="FC161" s="594"/>
      <c r="FD161" s="594"/>
      <c r="FE161" s="594"/>
      <c r="FF161" s="594"/>
      <c r="FG161" s="594"/>
      <c r="FH161" s="594"/>
      <c r="FI161" s="594"/>
      <c r="FJ161" s="594"/>
      <c r="FK161" s="594"/>
      <c r="FL161" s="594"/>
      <c r="FM161" s="594"/>
      <c r="FN161" s="594"/>
      <c r="FO161" s="594"/>
      <c r="FP161" s="594"/>
      <c r="FQ161" s="594"/>
      <c r="FR161" s="594"/>
      <c r="FS161" s="594"/>
      <c r="FT161" s="594"/>
      <c r="FU161" s="594"/>
      <c r="FV161" s="594"/>
      <c r="FW161" s="594"/>
      <c r="FX161" s="594"/>
      <c r="FY161" s="594"/>
      <c r="FZ161" s="594"/>
      <c r="GA161" s="594"/>
      <c r="GB161" s="594"/>
      <c r="GC161" s="594"/>
      <c r="GD161" s="594"/>
      <c r="GE161" s="594"/>
      <c r="GF161" s="594"/>
      <c r="GG161" s="594"/>
      <c r="GH161" s="594"/>
      <c r="GI161" s="594"/>
      <c r="GJ161" s="594"/>
      <c r="GK161" s="594"/>
      <c r="GL161" s="594"/>
      <c r="GM161" s="594"/>
      <c r="GN161" s="594"/>
      <c r="GO161" s="594"/>
      <c r="GP161" s="594"/>
      <c r="GQ161" s="594"/>
      <c r="GR161" s="594"/>
      <c r="GS161" s="594"/>
      <c r="GT161" s="594"/>
      <c r="GU161" s="594"/>
      <c r="GV161" s="594"/>
      <c r="GW161" s="594"/>
      <c r="GX161" s="594"/>
      <c r="GY161" s="594"/>
      <c r="GZ161" s="594"/>
      <c r="HA161" s="594"/>
      <c r="HB161" s="594"/>
      <c r="HC161" s="594"/>
      <c r="HD161" s="594"/>
      <c r="HE161" s="594"/>
      <c r="HF161" s="594"/>
      <c r="HG161" s="594"/>
      <c r="HH161" s="594"/>
      <c r="HI161" s="594"/>
      <c r="HJ161" s="594"/>
      <c r="HK161" s="594"/>
      <c r="HL161" s="594"/>
      <c r="HM161" s="594"/>
      <c r="HN161" s="594"/>
      <c r="HO161" s="594"/>
      <c r="HP161" s="594"/>
      <c r="HQ161" s="594"/>
      <c r="HR161" s="594"/>
      <c r="HS161" s="594"/>
      <c r="HT161" s="594"/>
      <c r="HU161" s="594"/>
      <c r="HV161" s="594"/>
      <c r="HW161" s="594"/>
      <c r="HX161" s="594"/>
      <c r="HY161" s="594"/>
      <c r="HZ161" s="594"/>
      <c r="IA161" s="594"/>
      <c r="IB161" s="594"/>
      <c r="IC161" s="594"/>
      <c r="ID161" s="594"/>
      <c r="IE161" s="594"/>
      <c r="IF161" s="594"/>
      <c r="IG161" s="594"/>
      <c r="IH161" s="594"/>
      <c r="II161" s="594"/>
      <c r="IJ161" s="594"/>
      <c r="IK161" s="594"/>
      <c r="IL161" s="594"/>
      <c r="IM161" s="594"/>
      <c r="IN161" s="594"/>
      <c r="IO161" s="594"/>
      <c r="IP161" s="594"/>
      <c r="IQ161" s="594"/>
      <c r="IR161" s="594"/>
      <c r="IS161" s="594"/>
    </row>
    <row r="162" spans="1:253">
      <c r="I162" s="601" t="s">
        <v>651</v>
      </c>
      <c r="J162" s="601" t="s">
        <v>650</v>
      </c>
      <c r="K162" s="601" t="s">
        <v>649</v>
      </c>
    </row>
    <row r="163" spans="1:253" ht="29">
      <c r="A163" s="595" t="s">
        <v>648</v>
      </c>
      <c r="C163" s="600">
        <f t="shared" ref="C163:H163" si="0">C38+C39+C40+C41+C44+C46+C50+C64+C65+C104+C130+C136+C140+C151</f>
        <v>1021951485900.4846</v>
      </c>
      <c r="D163" s="600">
        <f t="shared" si="0"/>
        <v>1526640072697.9082</v>
      </c>
      <c r="E163" s="600">
        <f t="shared" si="0"/>
        <v>2548591558598.395</v>
      </c>
      <c r="F163" s="600">
        <f t="shared" si="0"/>
        <v>348312807399.98718</v>
      </c>
      <c r="G163" s="600">
        <f t="shared" si="0"/>
        <v>26742164105.926102</v>
      </c>
      <c r="H163" s="600">
        <f t="shared" si="0"/>
        <v>24984693122.742096</v>
      </c>
      <c r="I163" s="597">
        <f>G163/F163</f>
        <v>7.6776287112568245E-2</v>
      </c>
      <c r="J163" s="597">
        <f>H163/F163</f>
        <v>7.1730618547284047E-2</v>
      </c>
      <c r="K163" s="597">
        <f>F163/F$166</f>
        <v>0.55805077654062141</v>
      </c>
    </row>
    <row r="164" spans="1:253">
      <c r="A164" s="595" t="s">
        <v>18</v>
      </c>
      <c r="C164" s="599">
        <f t="shared" ref="C164:H164" si="1">C63</f>
        <v>20110984105.197498</v>
      </c>
      <c r="D164" s="599">
        <f t="shared" si="1"/>
        <v>87196247599</v>
      </c>
      <c r="E164" s="599">
        <f t="shared" si="1"/>
        <v>107307231704.19701</v>
      </c>
      <c r="F164" s="599">
        <f t="shared" si="1"/>
        <v>34293776065.7304</v>
      </c>
      <c r="G164" s="599">
        <f t="shared" si="1"/>
        <v>437855053.1821</v>
      </c>
      <c r="H164" s="599">
        <f t="shared" si="1"/>
        <v>506991318.7281</v>
      </c>
      <c r="I164" s="597">
        <f>G164/F164</f>
        <v>1.2767770231626559E-2</v>
      </c>
      <c r="J164" s="597">
        <f>H164/F164</f>
        <v>1.4783770610630829E-2</v>
      </c>
      <c r="K164" s="597">
        <f>F164/F$166</f>
        <v>5.4943912360977766E-2</v>
      </c>
    </row>
    <row r="165" spans="1:253">
      <c r="A165" s="595" t="s">
        <v>647</v>
      </c>
      <c r="C165" s="599">
        <f t="shared" ref="C165:H165" si="2">C22+C60+C84+C94+C95+C118+C125+C127+C131+C133+C138+C139</f>
        <v>160108600786.96741</v>
      </c>
      <c r="D165" s="599">
        <f t="shared" si="2"/>
        <v>89866566251.488907</v>
      </c>
      <c r="E165" s="599">
        <f t="shared" si="2"/>
        <v>249975167038.45639</v>
      </c>
      <c r="F165" s="599">
        <f t="shared" si="2"/>
        <v>-7719965222.7112999</v>
      </c>
      <c r="G165" s="599">
        <f t="shared" si="2"/>
        <v>2964503568.9787998</v>
      </c>
      <c r="H165" s="599">
        <f t="shared" si="2"/>
        <v>2604016719.0495</v>
      </c>
      <c r="I165" s="597"/>
      <c r="J165" s="597"/>
      <c r="K165" s="597"/>
    </row>
    <row r="166" spans="1:253">
      <c r="A166" s="595" t="s">
        <v>646</v>
      </c>
      <c r="C166" s="599">
        <f t="shared" ref="C166:H166" si="3">C9+C36+C71+C111</f>
        <v>4273563811543.4287</v>
      </c>
      <c r="D166" s="599">
        <f t="shared" si="3"/>
        <v>3012125304309.8823</v>
      </c>
      <c r="E166" s="599">
        <f t="shared" si="3"/>
        <v>7285689115853.3174</v>
      </c>
      <c r="F166" s="599">
        <f t="shared" si="3"/>
        <v>624159703816.18665</v>
      </c>
      <c r="G166" s="599">
        <f t="shared" si="3"/>
        <v>116067364262.78461</v>
      </c>
      <c r="H166" s="599">
        <f t="shared" si="3"/>
        <v>111492807397.57089</v>
      </c>
      <c r="I166" s="597">
        <f>G166/F166</f>
        <v>0.18595779822557423</v>
      </c>
      <c r="J166" s="597">
        <f>H166/F166</f>
        <v>0.17862865339734463</v>
      </c>
      <c r="K166" s="597">
        <f>F166/F$166</f>
        <v>1</v>
      </c>
    </row>
    <row r="167" spans="1:253">
      <c r="A167" s="595" t="s">
        <v>645</v>
      </c>
      <c r="C167" s="598">
        <f t="shared" ref="C167:H167" si="4">C165++C164+C163</f>
        <v>1202171070792.6494</v>
      </c>
      <c r="D167" s="598">
        <f t="shared" si="4"/>
        <v>1703702886548.397</v>
      </c>
      <c r="E167" s="598">
        <f t="shared" si="4"/>
        <v>2905873957341.0483</v>
      </c>
      <c r="F167" s="598">
        <f t="shared" si="4"/>
        <v>374886618243.00629</v>
      </c>
      <c r="G167" s="598">
        <f t="shared" si="4"/>
        <v>30144522728.087002</v>
      </c>
      <c r="H167" s="598">
        <f t="shared" si="4"/>
        <v>28095701160.519695</v>
      </c>
      <c r="I167" s="597">
        <f>G167/F167</f>
        <v>8.0409705924864294E-2</v>
      </c>
      <c r="J167" s="597">
        <f>H167/F167</f>
        <v>7.4944529341155905E-2</v>
      </c>
      <c r="K167" s="597">
        <f>F167/F$166</f>
        <v>0.60062611532097465</v>
      </c>
    </row>
    <row r="168" spans="1:253">
      <c r="A168" s="595" t="s">
        <v>644</v>
      </c>
      <c r="C168" s="598">
        <f t="shared" ref="C168:H168" si="5">C166-C167</f>
        <v>3071392740750.7793</v>
      </c>
      <c r="D168" s="598">
        <f t="shared" si="5"/>
        <v>1308422417761.4854</v>
      </c>
      <c r="E168" s="598">
        <f t="shared" si="5"/>
        <v>4379815158512.269</v>
      </c>
      <c r="F168" s="598">
        <f t="shared" si="5"/>
        <v>249273085573.18036</v>
      </c>
      <c r="G168" s="598">
        <f t="shared" si="5"/>
        <v>85922841534.697601</v>
      </c>
      <c r="H168" s="598">
        <f t="shared" si="5"/>
        <v>83397106237.051193</v>
      </c>
      <c r="I168" s="597">
        <f>G168/F168</f>
        <v>0.34469361719146691</v>
      </c>
      <c r="J168" s="597">
        <f>H168/F168</f>
        <v>0.33456121444193332</v>
      </c>
      <c r="K168" s="597">
        <f>F168/F$166</f>
        <v>0.39937388467902535</v>
      </c>
    </row>
    <row r="170" spans="1:253">
      <c r="C170" s="596">
        <f>C167/(C163+C164)</f>
        <v>1.1536458757468679</v>
      </c>
      <c r="D170" s="596">
        <f>D167/(D163+D164)</f>
        <v>1.0556850562360347</v>
      </c>
      <c r="E170" s="596">
        <f>E167/(E163+E164)</f>
        <v>1.0941207428352255</v>
      </c>
    </row>
  </sheetData>
  <mergeCells count="17">
    <mergeCell ref="A1:L1"/>
    <mergeCell ref="C3:E3"/>
    <mergeCell ref="A3:A4"/>
    <mergeCell ref="B3:B4"/>
    <mergeCell ref="F3:F4"/>
    <mergeCell ref="A161:L161"/>
    <mergeCell ref="A2:L2"/>
    <mergeCell ref="G3:G4"/>
    <mergeCell ref="H3:H4"/>
    <mergeCell ref="I3:I4"/>
    <mergeCell ref="J3:J4"/>
    <mergeCell ref="K3:K4"/>
    <mergeCell ref="A160:L160"/>
    <mergeCell ref="A157:L157"/>
    <mergeCell ref="A159:L159"/>
    <mergeCell ref="A158:L158"/>
    <mergeCell ref="L3:L4"/>
  </mergeCells>
  <conditionalFormatting sqref="B162:C162 G162:I162 J162:L168 B163:B166 I163:I168 B167:H167 B168 B169:C169 G169:L65536 B170 B171:C65536">
    <cfRule type="cellIs" dxfId="0" priority="1" stopIfTrue="1" operator="lessThan">
      <formula>0</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D101"/>
  <sheetViews>
    <sheetView tabSelected="1" zoomScale="70" zoomScaleNormal="70" workbookViewId="0">
      <pane xSplit="2" ySplit="7" topLeftCell="C8" activePane="bottomRight" state="frozen"/>
      <selection activeCell="B5" sqref="B5"/>
      <selection pane="topRight" activeCell="B5" sqref="B5"/>
      <selection pane="bottomLeft" activeCell="B5" sqref="B5"/>
      <selection pane="bottomRight" activeCell="Y90" sqref="Y90"/>
    </sheetView>
  </sheetViews>
  <sheetFormatPr defaultColWidth="10.81640625" defaultRowHeight="15.5"/>
  <cols>
    <col min="1" max="1" width="7.6328125" style="1" customWidth="1"/>
    <col min="2" max="2" width="32.1796875" style="23" bestFit="1" customWidth="1"/>
    <col min="3" max="3" width="10.81640625" style="23" customWidth="1"/>
    <col min="4" max="4" width="11.81640625" style="24" customWidth="1"/>
    <col min="5" max="6" width="10.81640625" style="23" customWidth="1"/>
    <col min="7" max="7" width="10.81640625" style="24" customWidth="1"/>
    <col min="8" max="14" width="10.81640625" style="23" customWidth="1"/>
    <col min="15" max="15" width="10.81640625" style="57" customWidth="1"/>
    <col min="16" max="17" width="10.81640625" style="23" customWidth="1"/>
    <col min="18" max="18" width="10.81640625" style="24" customWidth="1"/>
    <col min="19" max="20" width="10.81640625" style="23" customWidth="1"/>
    <col min="21" max="21" width="10.81640625" style="23"/>
    <col min="22" max="22" width="11.1796875" style="23" bestFit="1" customWidth="1"/>
    <col min="23" max="30" width="10.81640625" style="23" customWidth="1"/>
    <col min="31" max="16384" width="10.81640625" style="23"/>
  </cols>
  <sheetData>
    <row r="1" spans="1:30">
      <c r="P1" s="728"/>
    </row>
    <row r="2" spans="1:30" ht="16" thickBot="1"/>
    <row r="3" spans="1:30" ht="32.25" customHeight="1">
      <c r="B3" s="845" t="s">
        <v>911</v>
      </c>
      <c r="C3" s="846"/>
      <c r="D3" s="846"/>
      <c r="E3" s="846"/>
      <c r="F3" s="846"/>
      <c r="G3" s="846"/>
      <c r="H3" s="846"/>
      <c r="I3" s="846"/>
      <c r="J3" s="846"/>
      <c r="K3" s="846"/>
      <c r="L3" s="846"/>
      <c r="M3" s="846"/>
      <c r="N3" s="846"/>
      <c r="O3" s="846"/>
      <c r="P3" s="846"/>
      <c r="Q3" s="846"/>
      <c r="R3" s="846"/>
      <c r="S3" s="846"/>
      <c r="T3" s="846"/>
      <c r="U3" s="846"/>
      <c r="V3" s="846"/>
      <c r="W3" s="847"/>
      <c r="X3" s="33"/>
      <c r="Y3" s="33"/>
    </row>
    <row r="4" spans="1:30" ht="12.5" customHeight="1">
      <c r="B4" s="65"/>
      <c r="C4" s="33"/>
      <c r="D4" s="33"/>
      <c r="E4" s="33"/>
      <c r="F4" s="33"/>
      <c r="G4" s="33"/>
      <c r="H4" s="33"/>
      <c r="I4" s="33"/>
      <c r="J4" s="33"/>
      <c r="K4" s="33"/>
      <c r="L4" s="33"/>
      <c r="M4" s="33"/>
      <c r="O4" s="67"/>
      <c r="P4" s="66"/>
      <c r="Q4" s="66"/>
      <c r="W4" s="60"/>
    </row>
    <row r="5" spans="1:30" ht="12" customHeight="1">
      <c r="B5" s="80"/>
      <c r="C5" s="58" t="s">
        <v>49</v>
      </c>
      <c r="D5" s="58" t="s">
        <v>50</v>
      </c>
      <c r="E5" s="58" t="s">
        <v>51</v>
      </c>
      <c r="F5" s="58" t="s">
        <v>52</v>
      </c>
      <c r="G5" s="58" t="s">
        <v>53</v>
      </c>
      <c r="H5" s="58" t="s">
        <v>54</v>
      </c>
      <c r="I5" s="58" t="s">
        <v>55</v>
      </c>
      <c r="J5" s="58" t="s">
        <v>56</v>
      </c>
      <c r="K5" s="58" t="s">
        <v>57</v>
      </c>
      <c r="L5" s="58" t="s">
        <v>58</v>
      </c>
      <c r="M5" s="58" t="s">
        <v>59</v>
      </c>
      <c r="N5" s="58" t="s">
        <v>60</v>
      </c>
      <c r="O5" s="58" t="s">
        <v>61</v>
      </c>
      <c r="P5" s="58" t="s">
        <v>62</v>
      </c>
      <c r="Q5" s="58" t="s">
        <v>63</v>
      </c>
      <c r="R5" s="58" t="s">
        <v>102</v>
      </c>
      <c r="S5" s="58" t="s">
        <v>103</v>
      </c>
      <c r="T5" s="58" t="s">
        <v>104</v>
      </c>
      <c r="U5" s="58" t="s">
        <v>105</v>
      </c>
      <c r="V5" s="322" t="s">
        <v>106</v>
      </c>
      <c r="W5" s="81" t="s">
        <v>107</v>
      </c>
      <c r="X5" s="58"/>
      <c r="Y5" s="58"/>
    </row>
    <row r="6" spans="1:30" ht="45" customHeight="1">
      <c r="B6" s="68"/>
      <c r="C6" s="850" t="s">
        <v>109</v>
      </c>
      <c r="D6" s="852" t="s">
        <v>908</v>
      </c>
      <c r="E6" s="853"/>
      <c r="F6" s="854"/>
      <c r="G6" s="863" t="s">
        <v>903</v>
      </c>
      <c r="H6" s="852"/>
      <c r="I6" s="852"/>
      <c r="J6" s="859" t="s">
        <v>893</v>
      </c>
      <c r="K6" s="840" t="s">
        <v>890</v>
      </c>
      <c r="L6" s="855" t="s">
        <v>963</v>
      </c>
      <c r="M6" s="861" t="s">
        <v>905</v>
      </c>
      <c r="N6" s="857" t="s">
        <v>964</v>
      </c>
      <c r="O6" s="857" t="s">
        <v>965</v>
      </c>
      <c r="P6" s="838" t="s">
        <v>967</v>
      </c>
      <c r="Q6" s="857" t="s">
        <v>966</v>
      </c>
      <c r="R6" s="843" t="s">
        <v>901</v>
      </c>
      <c r="S6" s="848" t="s">
        <v>906</v>
      </c>
      <c r="T6" s="848"/>
      <c r="U6" s="848"/>
      <c r="V6" s="849"/>
      <c r="W6" s="850" t="s">
        <v>909</v>
      </c>
      <c r="X6" s="842" t="s">
        <v>910</v>
      </c>
    </row>
    <row r="7" spans="1:30" ht="87" customHeight="1">
      <c r="A7" s="4"/>
      <c r="B7" s="68"/>
      <c r="C7" s="851"/>
      <c r="D7" s="717" t="s">
        <v>895</v>
      </c>
      <c r="E7" s="689" t="s">
        <v>110</v>
      </c>
      <c r="F7" s="690" t="s">
        <v>111</v>
      </c>
      <c r="G7" s="700" t="s">
        <v>902</v>
      </c>
      <c r="H7" s="689" t="s">
        <v>900</v>
      </c>
      <c r="I7" s="704" t="s">
        <v>904</v>
      </c>
      <c r="J7" s="860"/>
      <c r="K7" s="841"/>
      <c r="L7" s="856"/>
      <c r="M7" s="862"/>
      <c r="N7" s="858"/>
      <c r="O7" s="858"/>
      <c r="P7" s="839"/>
      <c r="Q7" s="858"/>
      <c r="R7" s="844"/>
      <c r="S7" s="703" t="s">
        <v>895</v>
      </c>
      <c r="T7" s="79" t="s">
        <v>110</v>
      </c>
      <c r="U7" s="720" t="s">
        <v>111</v>
      </c>
      <c r="V7" s="106" t="s">
        <v>907</v>
      </c>
      <c r="W7" s="851"/>
      <c r="X7" s="842"/>
    </row>
    <row r="8" spans="1:30" ht="40" customHeight="1">
      <c r="A8" s="4"/>
      <c r="B8" s="469" t="s">
        <v>76</v>
      </c>
      <c r="C8" s="82">
        <f>SUM(C9:C43)</f>
        <v>53456.516094780003</v>
      </c>
      <c r="D8" s="75">
        <f>SUM(D9:D43)</f>
        <v>18467.827049027503</v>
      </c>
      <c r="E8" s="62">
        <f>SUM(E9:E43)</f>
        <v>15787.140063743102</v>
      </c>
      <c r="F8" s="75">
        <f>+D8-E8</f>
        <v>2680.6869852844011</v>
      </c>
      <c r="G8" s="142">
        <f t="shared" ref="G8:G43" si="0">H8+I8</f>
        <v>6793.5327519228695</v>
      </c>
      <c r="H8" s="143">
        <f t="shared" ref="H8:Q8" si="1">SUM(H9:H43)</f>
        <v>6756.8621469275004</v>
      </c>
      <c r="I8" s="75">
        <f t="shared" si="1"/>
        <v>36.670604995369104</v>
      </c>
      <c r="J8" s="84">
        <f>SUM(J9:J43)</f>
        <v>1227.9500519914</v>
      </c>
      <c r="K8" s="88">
        <f>J8/G8</f>
        <v>0.18075279781993189</v>
      </c>
      <c r="L8" s="709">
        <f>SUM(L9:L43)</f>
        <v>5499.775228633187</v>
      </c>
      <c r="M8" s="705">
        <f t="shared" si="1"/>
        <v>1293.7575232896822</v>
      </c>
      <c r="N8" s="470">
        <f t="shared" si="1"/>
        <v>952.33916708999993</v>
      </c>
      <c r="O8" s="62">
        <f t="shared" si="1"/>
        <v>-17.476490712538407</v>
      </c>
      <c r="P8" s="62">
        <f t="shared" si="1"/>
        <v>145.26586786022563</v>
      </c>
      <c r="Q8" s="62">
        <f t="shared" si="1"/>
        <v>213.62897905199495</v>
      </c>
      <c r="R8" s="89">
        <f>SUM(R9:R43)</f>
        <v>116.24083485749998</v>
      </c>
      <c r="S8" s="87">
        <f t="shared" ref="S8:S39" si="2">+G8/D8</f>
        <v>0.36785772001696376</v>
      </c>
      <c r="T8" s="87">
        <f t="shared" ref="T8:T51" si="3">L8/E8</f>
        <v>0.34837058557958983</v>
      </c>
      <c r="U8" s="85">
        <f t="shared" ref="U8:U39" si="4">IFERROR(M8/F8,"")</f>
        <v>0.48262163034764916</v>
      </c>
      <c r="V8" s="83"/>
      <c r="W8" s="701">
        <f>W11+W23+W29+W31+W40</f>
        <v>450.50918418217293</v>
      </c>
      <c r="X8" s="721"/>
    </row>
    <row r="9" spans="1:30" ht="14.25" customHeight="1">
      <c r="A9" s="1" t="s">
        <v>717</v>
      </c>
      <c r="B9" s="68" t="s">
        <v>27</v>
      </c>
      <c r="C9" s="719">
        <f>+[4]GDPgrowth!H4</f>
        <v>1391.95251037</v>
      </c>
      <c r="D9" s="70">
        <f>IFERROR(+VLOOKUP($B9,[4]OECDimp!$A$2:$M$44,8,0)/1000,35%*C9)</f>
        <v>586.96574999999996</v>
      </c>
      <c r="E9" s="71">
        <f t="shared" ref="E9:E43" si="5">+D9-F9</f>
        <v>302.43528166176065</v>
      </c>
      <c r="F9" s="64">
        <f>IFERROR(VLOOKUP(B9,'[4]Eurostat personel cost'!$A$14:$D$43,4,0)*D9,MAX(M9/V9,0))</f>
        <v>284.5304683382393</v>
      </c>
      <c r="G9" s="38">
        <f t="shared" si="0"/>
        <v>259.53879688000001</v>
      </c>
      <c r="H9" s="71">
        <f>IFERROR(VLOOKUP($B9,[4]OECDimp!$A$2:$M$44,2,0)/1000,0.15*C9)</f>
        <v>259.53879688000001</v>
      </c>
      <c r="I9" s="63">
        <f>P9/(1-5%)-R9</f>
        <v>0</v>
      </c>
      <c r="J9" s="713">
        <f>+IFERROR(VLOOKUP($A9,[4]globaltaxrev!A:B,2,0),18%*H9)</f>
        <v>65.748720000000006</v>
      </c>
      <c r="K9" s="74">
        <f>J9/G9</f>
        <v>0.2533290621301581</v>
      </c>
      <c r="L9" s="709">
        <f t="shared" ref="L9:L43" si="6">+G9-M9</f>
        <v>206.20970734345076</v>
      </c>
      <c r="M9" s="706">
        <f>N9+O9+P9+Q9</f>
        <v>53.329089536549247</v>
      </c>
      <c r="N9" s="72">
        <f>IFERROR(VLOOKUP(A9,[4]ROU_E_2018!A:B,2,0)/1000,TableB10!C10/1000-IFERROR(VLOOKUP('Table U1'!A9,'[4]fdiinterest_net (2)'!A:D,3,0)/1000000000,0))</f>
        <v>39.8192813</v>
      </c>
      <c r="O9" s="64">
        <f>+IFERROR(VLOOKUP(B9,'[4]SPE FDI income'!A:H,7,0)-VLOOKUP(B9,'[4]SPE FDI income'!A:H,8,0),0)/1000</f>
        <v>0</v>
      </c>
      <c r="P9" s="64"/>
      <c r="Q9" s="64">
        <f t="shared" ref="Q9:Q43" si="7">MAX(N9,0)*(J9/H9)/(1-J9/H9)+MAX(P9,0)*5%/(1-5%)</f>
        <v>13.509808236549247</v>
      </c>
      <c r="R9" s="698"/>
      <c r="S9" s="73">
        <f t="shared" si="2"/>
        <v>0.44217025760020928</v>
      </c>
      <c r="T9" s="87">
        <f t="shared" si="3"/>
        <v>0.68183085720161707</v>
      </c>
      <c r="U9" s="85">
        <f t="shared" si="4"/>
        <v>0.18742839685328039</v>
      </c>
      <c r="V9" s="74">
        <f>+IFERROR(VLOOKUP(B9,'[4]Table II.F 1'!A:I,9,0),DataF3!AK$49)</f>
        <v>0.18742839685328039</v>
      </c>
      <c r="W9" s="723">
        <f t="shared" ref="W9:W43" si="8">IF(X9=1,MAX((U9-T9)*F9,0),0)</f>
        <v>0</v>
      </c>
      <c r="X9" s="722">
        <v>0</v>
      </c>
      <c r="AC9" s="26"/>
      <c r="AD9" s="26"/>
    </row>
    <row r="10" spans="1:30" ht="14.25" customHeight="1">
      <c r="A10" s="1" t="s">
        <v>718</v>
      </c>
      <c r="B10" s="68" t="s">
        <v>91</v>
      </c>
      <c r="C10" s="719">
        <f>+[4]GDPgrowth!H5</f>
        <v>445.01187270000003</v>
      </c>
      <c r="D10" s="70">
        <f>IFERROR(+VLOOKUP($B10,[4]OECDimp!$A$2:$M$44,8,0)/1000,35%*C10)</f>
        <v>149.77431250000001</v>
      </c>
      <c r="E10" s="71">
        <f t="shared" si="5"/>
        <v>106.97695496764052</v>
      </c>
      <c r="F10" s="64">
        <f>IFERROR(VLOOKUP(B10,'[4]Eurostat personel cost'!$A$14:$D$43,4,0)*D10,MAX(M10/V10,0))</f>
        <v>42.797357532359491</v>
      </c>
      <c r="G10" s="38">
        <f t="shared" si="0"/>
        <v>54.133328130000002</v>
      </c>
      <c r="H10" s="71">
        <f>IFERROR(VLOOKUP($B10,[4]OECDimp!$A$2:$M$44,2,0)/1000,0.15*C10)</f>
        <v>54.133328130000002</v>
      </c>
      <c r="I10" s="63">
        <f t="shared" ref="I10:I51" si="9">P10/(1-5%)-R10</f>
        <v>0</v>
      </c>
      <c r="J10" s="713">
        <f>+IFERROR(VLOOKUP($A10,[4]globaltaxrev!A:B,2,0),18%*H10)</f>
        <v>12.085129999999999</v>
      </c>
      <c r="K10" s="74">
        <f t="shared" ref="K10:K43" si="10">J10/G10</f>
        <v>0.22324749682816147</v>
      </c>
      <c r="L10" s="709">
        <f t="shared" si="6"/>
        <v>34.140428794650262</v>
      </c>
      <c r="M10" s="706">
        <f t="shared" ref="M10:M43" si="11">N10+O10+P10+Q10</f>
        <v>19.992899335349737</v>
      </c>
      <c r="N10" s="72">
        <f>IFERROR(VLOOKUP(A10,[4]ROU_E_2018!A:B,2,0)/1000,TableB10!C11/1000-IFERROR(VLOOKUP('Table U1'!A10,'[4]fdiinterest_net (2)'!A:D,3,0)/1000000000,0))</f>
        <v>15.699093250000001</v>
      </c>
      <c r="O10" s="64">
        <f>+IFERROR(VLOOKUP(B10,'[4]SPE FDI income'!A:H,7,0)-VLOOKUP(B10,'[4]SPE FDI income'!A:H,8,0),0)/1000</f>
        <v>-0.21829172730325339</v>
      </c>
      <c r="P10" s="64"/>
      <c r="Q10" s="64">
        <f t="shared" si="7"/>
        <v>4.5120978126529883</v>
      </c>
      <c r="R10" s="698"/>
      <c r="S10" s="73">
        <f t="shared" si="2"/>
        <v>0.3614326597559912</v>
      </c>
      <c r="T10" s="87">
        <f t="shared" si="3"/>
        <v>0.31913816209273677</v>
      </c>
      <c r="U10" s="85">
        <f t="shared" si="4"/>
        <v>0.4671526582040238</v>
      </c>
      <c r="V10" s="74">
        <f>+IFERROR(VLOOKUP(B10,'[4]Table II.F 1'!A:I,9,0),DataF3!AK$49)</f>
        <v>0.37492373398413664</v>
      </c>
      <c r="W10" s="723">
        <f t="shared" si="8"/>
        <v>0</v>
      </c>
      <c r="X10" s="722">
        <v>0</v>
      </c>
      <c r="AC10" s="26"/>
    </row>
    <row r="11" spans="1:30" ht="14.25" customHeight="1">
      <c r="A11" s="1" t="s">
        <v>719</v>
      </c>
      <c r="B11" s="68" t="s">
        <v>25</v>
      </c>
      <c r="C11" s="719">
        <f>+[4]GDPgrowth!H6</f>
        <v>535.37625815000001</v>
      </c>
      <c r="D11" s="70">
        <f>IFERROR(+VLOOKUP($B11,[4]OECDimp!$A$2:$M$44,8,0)/1000,35%*C11)</f>
        <v>190.55140625000001</v>
      </c>
      <c r="E11" s="71">
        <f t="shared" si="5"/>
        <v>141.21681845049488</v>
      </c>
      <c r="F11" s="64">
        <f>IFERROR(VLOOKUP(B11,'[4]Eurostat personel cost'!$A$14:$D$43,4,0)*D11,MAX(M11/V11,0))</f>
        <v>49.334587799505137</v>
      </c>
      <c r="G11" s="38">
        <f t="shared" si="0"/>
        <v>82.18030469</v>
      </c>
      <c r="H11" s="71">
        <f>IFERROR(VLOOKUP($B11,[4]OECDimp!$A$2:$M$44,2,0)/1000,0.15*C11)</f>
        <v>82.18030469</v>
      </c>
      <c r="I11" s="63">
        <f t="shared" si="9"/>
        <v>0</v>
      </c>
      <c r="J11" s="713">
        <f>+IFERROR(VLOOKUP($A11,[4]globaltaxrev!A:B,2,0),18%*H11)</f>
        <v>19.858049999999999</v>
      </c>
      <c r="K11" s="74">
        <f t="shared" si="10"/>
        <v>0.24164001429428136</v>
      </c>
      <c r="L11" s="709">
        <f t="shared" si="6"/>
        <v>30.201021878398002</v>
      </c>
      <c r="M11" s="706">
        <f t="shared" si="11"/>
        <v>51.979282811601998</v>
      </c>
      <c r="N11" s="72">
        <f>IFERROR(VLOOKUP(A11,[4]ROU_E_2018!A:B,2,0)/1000,TableB10!C12/1000-IFERROR(VLOOKUP('Table U1'!A11,'[4]fdiinterest_net (2)'!A:D,3,0)/1000000000,0))</f>
        <v>39.419008169999998</v>
      </c>
      <c r="O11" s="64">
        <f>+IFERROR(VLOOKUP(B11,'[4]SPE FDI income'!A:H,7,0)-VLOOKUP(B11,'[4]SPE FDI income'!A:H,8,0),0)/1000</f>
        <v>0</v>
      </c>
      <c r="P11" s="64"/>
      <c r="Q11" s="64">
        <f t="shared" si="7"/>
        <v>12.560274641602001</v>
      </c>
      <c r="R11" s="698"/>
      <c r="S11" s="73">
        <f t="shared" si="2"/>
        <v>0.43127629602576073</v>
      </c>
      <c r="T11" s="87">
        <f t="shared" si="3"/>
        <v>0.21386278355354185</v>
      </c>
      <c r="U11" s="85">
        <f t="shared" si="4"/>
        <v>1.0536073195309719</v>
      </c>
      <c r="V11" s="74">
        <f>+IFERROR(VLOOKUP(B11,'[4]Table II.F 1'!A:I,9,0),DataF3!AK$49)</f>
        <v>0.63722850475677617</v>
      </c>
      <c r="W11" s="723">
        <f t="shared" si="8"/>
        <v>41.42845053933322</v>
      </c>
      <c r="X11" s="722">
        <v>1</v>
      </c>
      <c r="AC11" s="26"/>
    </row>
    <row r="12" spans="1:30">
      <c r="A12" s="1" t="s">
        <v>720</v>
      </c>
      <c r="B12" s="68" t="s">
        <v>43</v>
      </c>
      <c r="C12" s="719">
        <f>+[4]GDPgrowth!H7</f>
        <v>1742.01504548</v>
      </c>
      <c r="D12" s="70">
        <f>IFERROR(+VLOOKUP($B12,[4]OECDimp!$A$2:$M$44,8,0)/1000,35%*C12)</f>
        <v>644.50331249999999</v>
      </c>
      <c r="E12" s="71">
        <f t="shared" si="5"/>
        <v>533.29539909208336</v>
      </c>
      <c r="F12" s="64">
        <f>IFERROR(VLOOKUP(B12,'[4]Eurostat personel cost'!$A$14:$D$43,4,0)*D12,MAX(M12/V12,0))</f>
        <v>111.20791340791664</v>
      </c>
      <c r="G12" s="38">
        <f t="shared" si="0"/>
        <v>184.63618750000001</v>
      </c>
      <c r="H12" s="71">
        <f>IFERROR(VLOOKUP($B12,[4]OECDimp!$A$2:$M$44,2,0)/1000,0.15*C12)</f>
        <v>184.63618750000001</v>
      </c>
      <c r="I12" s="63">
        <f t="shared" si="9"/>
        <v>0</v>
      </c>
      <c r="J12" s="713">
        <f>+IFERROR(VLOOKUP($A12,[4]globaltaxrev!A:B,2,0),18%*H12)</f>
        <v>72.475239999999999</v>
      </c>
      <c r="K12" s="74">
        <f t="shared" si="10"/>
        <v>0.39252998548835394</v>
      </c>
      <c r="L12" s="709">
        <f t="shared" si="6"/>
        <v>120.95851659290635</v>
      </c>
      <c r="M12" s="706">
        <f t="shared" si="11"/>
        <v>63.677670907093656</v>
      </c>
      <c r="N12" s="72">
        <f>IFERROR(VLOOKUP(A12,[4]ROU_E_2018!A:B,2,0)/1000,TableB10!C13/1000-IFERROR(VLOOKUP('Table U1'!A12,'[4]fdiinterest_net (2)'!A:D,3,0)/1000000000,0))</f>
        <v>38.682275670000003</v>
      </c>
      <c r="O12" s="64">
        <f>+IFERROR(VLOOKUP(B12,'[4]SPE FDI income'!A:H,7,0)-VLOOKUP(B12,'[4]SPE FDI income'!A:H,8,0),0)/1000</f>
        <v>0</v>
      </c>
      <c r="P12" s="64"/>
      <c r="Q12" s="64">
        <f t="shared" si="7"/>
        <v>24.99539523709365</v>
      </c>
      <c r="R12" s="698"/>
      <c r="S12" s="73">
        <f t="shared" si="2"/>
        <v>0.28647825995463755</v>
      </c>
      <c r="T12" s="87">
        <f t="shared" si="3"/>
        <v>0.22681335109741049</v>
      </c>
      <c r="U12" s="85">
        <f t="shared" si="4"/>
        <v>0.57260017705323285</v>
      </c>
      <c r="V12" s="74">
        <f>+IFERROR(VLOOKUP(B12,'[4]Table II.F 1'!A:I,9,0),DataF3!AK$49)</f>
        <v>0.57260017705323285</v>
      </c>
      <c r="W12" s="723">
        <f t="shared" si="8"/>
        <v>0</v>
      </c>
      <c r="X12" s="722">
        <v>0</v>
      </c>
      <c r="AC12" s="26"/>
    </row>
    <row r="13" spans="1:30">
      <c r="A13" s="1" t="s">
        <v>721</v>
      </c>
      <c r="B13" s="68" t="s">
        <v>112</v>
      </c>
      <c r="C13" s="719">
        <f>+[4]GDPgrowth!H8</f>
        <v>278.58473309999999</v>
      </c>
      <c r="D13" s="70">
        <f>IFERROR(+VLOOKUP($B13,[4]OECDimp!$A$2:$M$44,8,0)/1000,35%*C13)</f>
        <v>79.311148440000011</v>
      </c>
      <c r="E13" s="71">
        <f t="shared" si="5"/>
        <v>66.311857340504986</v>
      </c>
      <c r="F13" s="64">
        <f>IFERROR(VLOOKUP(B13,'[4]Eurostat personel cost'!$A$14:$D$43,4,0)*D13,MAX(M13/V13,0))</f>
        <v>12.999291099495029</v>
      </c>
      <c r="G13" s="38">
        <f t="shared" si="0"/>
        <v>67.274117189999998</v>
      </c>
      <c r="H13" s="71">
        <f>IFERROR(VLOOKUP($B13,[4]OECDimp!$A$2:$M$44,2,0)/1000,0.15*C13)</f>
        <v>67.274117189999998</v>
      </c>
      <c r="I13" s="63">
        <f t="shared" si="9"/>
        <v>0</v>
      </c>
      <c r="J13" s="713">
        <f>+IFERROR(VLOOKUP($A13,[4]globaltaxrev!A:B,2,0),18%*H13)</f>
        <v>4.2252999999999998</v>
      </c>
      <c r="K13" s="74">
        <f t="shared" si="10"/>
        <v>6.2807215857870399E-2</v>
      </c>
      <c r="L13" s="709">
        <f t="shared" si="6"/>
        <v>52.586117128172674</v>
      </c>
      <c r="M13" s="706">
        <f t="shared" si="11"/>
        <v>14.688000061827321</v>
      </c>
      <c r="N13" s="72">
        <f>IFERROR(VLOOKUP(A13,[4]ROU_E_2018!A:B,2,0)/1000,TableB10!C14/1000-IFERROR(VLOOKUP('Table U1'!A13,'[4]fdiinterest_net (2)'!A:D,3,0)/1000000000,0))</f>
        <v>13.799804550000001</v>
      </c>
      <c r="O13" s="64">
        <f>+IFERROR(VLOOKUP(B13,'[4]SPE FDI income'!A:H,7,0)-VLOOKUP(B13,'[4]SPE FDI income'!A:H,8,0),0)/1000</f>
        <v>-3.6616669651053903E-2</v>
      </c>
      <c r="P13" s="64"/>
      <c r="Q13" s="64">
        <f t="shared" si="7"/>
        <v>0.9248121814783723</v>
      </c>
      <c r="R13" s="698"/>
      <c r="S13" s="73">
        <f t="shared" si="2"/>
        <v>0.84823027422044972</v>
      </c>
      <c r="T13" s="87">
        <f t="shared" si="3"/>
        <v>0.79301227920895112</v>
      </c>
      <c r="U13" s="85">
        <f t="shared" si="4"/>
        <v>1.1299077733860343</v>
      </c>
      <c r="V13" s="74">
        <f>+IFERROR(VLOOKUP(B13,'[4]Table II.F 1'!A:I,9,0),DataF3!AK$49)</f>
        <v>1.1299077733860343</v>
      </c>
      <c r="W13" s="723">
        <f t="shared" si="8"/>
        <v>0</v>
      </c>
      <c r="X13" s="722">
        <v>0</v>
      </c>
      <c r="AC13" s="26"/>
    </row>
    <row r="14" spans="1:30">
      <c r="A14" s="1" t="s">
        <v>722</v>
      </c>
      <c r="B14" s="68" t="s">
        <v>92</v>
      </c>
      <c r="C14" s="719">
        <f>+[4]GDPgrowth!H9</f>
        <v>252.49803224999999</v>
      </c>
      <c r="D14" s="70">
        <f>IFERROR(+VLOOKUP($B14,[4]OECDimp!$A$2:$M$44,8,0)/1000,35%*C14)</f>
        <v>82.473500000000001</v>
      </c>
      <c r="E14" s="71">
        <f t="shared" si="5"/>
        <v>11.300467168621012</v>
      </c>
      <c r="F14" s="64">
        <f>IFERROR(VLOOKUP(B14,'[4]Eurostat personel cost'!$A$14:$D$43,4,0)*D14,MAX(M14/V14,0))</f>
        <v>71.17303283137899</v>
      </c>
      <c r="G14" s="38">
        <f t="shared" si="0"/>
        <v>35.933675779999994</v>
      </c>
      <c r="H14" s="71">
        <f>IFERROR(VLOOKUP($B14,[4]OECDimp!$A$2:$M$44,2,0)/1000,0.15*C14)</f>
        <v>35.933675779999994</v>
      </c>
      <c r="I14" s="63">
        <f t="shared" si="9"/>
        <v>0</v>
      </c>
      <c r="J14" s="713">
        <f>+IFERROR(VLOOKUP($A14,[4]globaltaxrev!A:B,2,0),18%*H14)</f>
        <v>8.8572399999999991</v>
      </c>
      <c r="K14" s="74">
        <f t="shared" si="10"/>
        <v>0.2464885600412127</v>
      </c>
      <c r="L14" s="709">
        <f t="shared" si="6"/>
        <v>9.964686283211126</v>
      </c>
      <c r="M14" s="706">
        <f t="shared" si="11"/>
        <v>25.968989496788868</v>
      </c>
      <c r="N14" s="72">
        <f>IFERROR(VLOOKUP(A14,[4]ROU_E_2018!A:B,2,0)/1000,TableB10!C15/1000-IFERROR(VLOOKUP('Table U1'!A14,'[4]fdiinterest_net (2)'!A:D,3,0)/1000000000,0))</f>
        <v>19.567930670000003</v>
      </c>
      <c r="O14" s="64">
        <f>+IFERROR(VLOOKUP(B14,'[4]SPE FDI income'!A:H,7,0)-VLOOKUP(B14,'[4]SPE FDI income'!A:H,8,0),0)/1000</f>
        <v>0</v>
      </c>
      <c r="P14" s="64"/>
      <c r="Q14" s="64">
        <f t="shared" si="7"/>
        <v>6.4010588267888648</v>
      </c>
      <c r="R14" s="698"/>
      <c r="S14" s="73">
        <f t="shared" si="2"/>
        <v>0.43569965843573988</v>
      </c>
      <c r="T14" s="87">
        <f t="shared" si="3"/>
        <v>0.88179418908281382</v>
      </c>
      <c r="U14" s="85">
        <f t="shared" si="4"/>
        <v>0.36487119437939108</v>
      </c>
      <c r="V14" s="74">
        <f>+IFERROR(VLOOKUP(B14,'[4]Table II.F 1'!A:I,9,0),DataF3!AK$49)</f>
        <v>0.36487119437939108</v>
      </c>
      <c r="W14" s="723">
        <f t="shared" si="8"/>
        <v>0</v>
      </c>
      <c r="X14" s="722">
        <v>0</v>
      </c>
      <c r="AC14" s="26"/>
    </row>
    <row r="15" spans="1:30">
      <c r="A15" s="1" t="s">
        <v>723</v>
      </c>
      <c r="B15" s="68" t="s">
        <v>41</v>
      </c>
      <c r="C15" s="719">
        <f>+[4]GDPgrowth!H10</f>
        <v>347.56134921</v>
      </c>
      <c r="D15" s="70">
        <f>IFERROR(+VLOOKUP($B15,[4]OECDimp!$A$2:$M$44,8,0)/1000,35%*C15)</f>
        <v>117.39009375000001</v>
      </c>
      <c r="E15" s="71">
        <f t="shared" si="5"/>
        <v>87.00779238110286</v>
      </c>
      <c r="F15" s="64">
        <f>IFERROR(VLOOKUP(B15,'[4]Eurostat personel cost'!$A$14:$D$43,4,0)*D15,MAX(M15/V15,0))</f>
        <v>30.382301368897139</v>
      </c>
      <c r="G15" s="38">
        <f t="shared" si="0"/>
        <v>51.200800779999994</v>
      </c>
      <c r="H15" s="71">
        <f>IFERROR(VLOOKUP($B15,[4]OECDimp!$A$2:$M$44,2,0)/1000,0.15*C15)</f>
        <v>51.200800779999994</v>
      </c>
      <c r="I15" s="63">
        <f t="shared" si="9"/>
        <v>0</v>
      </c>
      <c r="J15" s="713">
        <f>+IFERROR(VLOOKUP($A15,[4]globaltaxrev!A:B,2,0),18%*H15)</f>
        <v>10.9041</v>
      </c>
      <c r="K15" s="74">
        <f t="shared" si="10"/>
        <v>0.21296737226538356</v>
      </c>
      <c r="L15" s="709">
        <f t="shared" si="6"/>
        <v>42.022197075676814</v>
      </c>
      <c r="M15" s="706">
        <f t="shared" si="11"/>
        <v>9.1786037043231836</v>
      </c>
      <c r="N15" s="72">
        <f>IFERROR(VLOOKUP(A15,[4]ROU_E_2018!A:B,2,0)/1000,TableB10!C16/1000-IFERROR(VLOOKUP('Table U1'!A15,'[4]fdiinterest_net (2)'!A:D,3,0)/1000000000,0))</f>
        <v>7.2417981200000003</v>
      </c>
      <c r="O15" s="64">
        <f>+IFERROR(VLOOKUP(B15,'[4]SPE FDI income'!A:H,7,0)-VLOOKUP(B15,'[4]SPE FDI income'!A:H,8,0),0)/1000</f>
        <v>-2.2791339291069E-2</v>
      </c>
      <c r="P15" s="64"/>
      <c r="Q15" s="64">
        <f t="shared" si="7"/>
        <v>1.9595969236142516</v>
      </c>
      <c r="R15" s="698"/>
      <c r="S15" s="73">
        <f t="shared" si="2"/>
        <v>0.43615946750191598</v>
      </c>
      <c r="T15" s="87">
        <f t="shared" si="3"/>
        <v>0.48297050098243355</v>
      </c>
      <c r="U15" s="85">
        <f t="shared" si="4"/>
        <v>0.3021036356949402</v>
      </c>
      <c r="V15" s="74">
        <f>+IFERROR(VLOOKUP(B15,'[4]Table II.F 1'!A:I,9,0),DataF3!AK$49)</f>
        <v>0.30187652977971174</v>
      </c>
      <c r="W15" s="723">
        <f t="shared" si="8"/>
        <v>0</v>
      </c>
      <c r="X15" s="722">
        <v>0</v>
      </c>
      <c r="AC15" s="26"/>
    </row>
    <row r="16" spans="1:30">
      <c r="A16" s="1" t="s">
        <v>724</v>
      </c>
      <c r="B16" s="68" t="s">
        <v>93</v>
      </c>
      <c r="C16" s="719">
        <f>+[4]GDPgrowth!H11</f>
        <v>31.04559175</v>
      </c>
      <c r="D16" s="70">
        <f>IFERROR(+VLOOKUP($B16,[4]OECDimp!$A$2:$M$44,8,0)/1000,35%*C16)</f>
        <v>11.46219043</v>
      </c>
      <c r="E16" s="71">
        <f t="shared" si="5"/>
        <v>6.7754750153537211</v>
      </c>
      <c r="F16" s="64">
        <f>IFERROR(VLOOKUP(B16,'[4]Eurostat personel cost'!$A$14:$D$43,4,0)*D16,MAX(M16/V16,0))</f>
        <v>4.6867154146462786</v>
      </c>
      <c r="G16" s="38">
        <f t="shared" si="0"/>
        <v>5.7749228500000003</v>
      </c>
      <c r="H16" s="71">
        <f>IFERROR(VLOOKUP($B16,[4]OECDimp!$A$2:$M$44,2,0)/1000,0.15*C16)</f>
        <v>5.7749228500000003</v>
      </c>
      <c r="I16" s="63">
        <f t="shared" si="9"/>
        <v>0</v>
      </c>
      <c r="J16" s="713">
        <f>+IFERROR(VLOOKUP($A16,[4]globaltaxrev!A:B,2,0),18%*H16)</f>
        <v>0.56993000000000005</v>
      </c>
      <c r="K16" s="74">
        <f t="shared" si="10"/>
        <v>9.8690495925846014E-2</v>
      </c>
      <c r="L16" s="709">
        <f t="shared" si="6"/>
        <v>3.638373339210013</v>
      </c>
      <c r="M16" s="706">
        <f t="shared" si="11"/>
        <v>2.1365495107899872</v>
      </c>
      <c r="N16" s="72">
        <f>IFERROR(VLOOKUP(A16,[4]ROU_E_2018!A:B,2,0)/1000,TableB10!C17/1000-IFERROR(VLOOKUP('Table U1'!A16,'[4]fdiinterest_net (2)'!A:D,3,0)/1000000000,0))</f>
        <v>1.9256923799999999</v>
      </c>
      <c r="O16" s="64">
        <f>+IFERROR(VLOOKUP(B16,'[4]SPE FDI income'!A:H,7,0)-VLOOKUP(B16,'[4]SPE FDI income'!A:H,8,0),0)/1000</f>
        <v>0</v>
      </c>
      <c r="P16" s="64"/>
      <c r="Q16" s="64">
        <f t="shared" si="7"/>
        <v>0.21085713078998755</v>
      </c>
      <c r="R16" s="698"/>
      <c r="S16" s="73">
        <f t="shared" si="2"/>
        <v>0.50382367011503226</v>
      </c>
      <c r="T16" s="87">
        <f t="shared" si="3"/>
        <v>0.53699162508387877</v>
      </c>
      <c r="U16" s="85">
        <f t="shared" si="4"/>
        <v>0.45587353226379745</v>
      </c>
      <c r="V16" s="74">
        <f>+IFERROR(VLOOKUP(B16,'[4]Table II.F 1'!A:I,9,0),DataF3!AK$49)</f>
        <v>0.49083158642587121</v>
      </c>
      <c r="W16" s="723">
        <f t="shared" si="8"/>
        <v>0</v>
      </c>
      <c r="X16" s="722">
        <v>0</v>
      </c>
      <c r="AC16" s="26"/>
    </row>
    <row r="17" spans="1:29">
      <c r="A17" s="1" t="s">
        <v>725</v>
      </c>
      <c r="B17" s="68" t="s">
        <v>94</v>
      </c>
      <c r="C17" s="719">
        <f>+[4]GDPgrowth!H12</f>
        <v>268.50820013000003</v>
      </c>
      <c r="D17" s="70">
        <f>IFERROR(+VLOOKUP($B17,[4]OECDimp!$A$2:$M$44,8,0)/1000,35%*C17)</f>
        <v>85.809984379999989</v>
      </c>
      <c r="E17" s="71">
        <f t="shared" si="5"/>
        <v>66.558557574994353</v>
      </c>
      <c r="F17" s="64">
        <f>IFERROR(VLOOKUP(B17,'[4]Eurostat personel cost'!$A$14:$D$43,4,0)*D17,MAX(M17/V17,0))</f>
        <v>19.251426805005643</v>
      </c>
      <c r="G17" s="38">
        <f t="shared" si="0"/>
        <v>36.337035159999999</v>
      </c>
      <c r="H17" s="71">
        <f>IFERROR(VLOOKUP($B17,[4]OECDimp!$A$2:$M$44,2,0)/1000,0.15*C17)</f>
        <v>36.337035159999999</v>
      </c>
      <c r="I17" s="63">
        <f t="shared" si="9"/>
        <v>0</v>
      </c>
      <c r="J17" s="713">
        <f>+IFERROR(VLOOKUP($A17,[4]globaltaxrev!A:B,2,0),18%*H17)</f>
        <v>6.7940899999999997</v>
      </c>
      <c r="K17" s="74">
        <f t="shared" si="10"/>
        <v>0.18697425285481106</v>
      </c>
      <c r="L17" s="709">
        <f t="shared" si="6"/>
        <v>26.459581823371931</v>
      </c>
      <c r="M17" s="706">
        <f t="shared" si="11"/>
        <v>9.8774533366280686</v>
      </c>
      <c r="N17" s="72">
        <f>IFERROR(VLOOKUP(A17,[4]ROU_E_2018!A:B,2,0)/1000,TableB10!C18/1000-IFERROR(VLOOKUP('Table U1'!A17,'[4]fdiinterest_net (2)'!A:D,3,0)/1000000000,0))</f>
        <v>8.01970223</v>
      </c>
      <c r="O17" s="64">
        <f>+IFERROR(VLOOKUP(B17,'[4]SPE FDI income'!A:H,7,0)-VLOOKUP(B17,'[4]SPE FDI income'!A:H,8,0),0)/1000</f>
        <v>1.3433337064816E-2</v>
      </c>
      <c r="P17" s="64"/>
      <c r="Q17" s="64">
        <f t="shared" si="7"/>
        <v>1.8443177695632529</v>
      </c>
      <c r="R17" s="698"/>
      <c r="S17" s="73">
        <f t="shared" si="2"/>
        <v>0.4234592911599363</v>
      </c>
      <c r="T17" s="87">
        <f t="shared" si="3"/>
        <v>0.3975383900644</v>
      </c>
      <c r="U17" s="85">
        <f t="shared" si="4"/>
        <v>0.51307642995374203</v>
      </c>
      <c r="V17" s="74">
        <f>+IFERROR(VLOOKUP(B17,'[4]Table II.F 1'!A:I,9,0),DataF3!AK$49)</f>
        <v>0.41649196366177499</v>
      </c>
      <c r="W17" s="723">
        <f t="shared" si="8"/>
        <v>0</v>
      </c>
      <c r="X17" s="722">
        <v>0</v>
      </c>
      <c r="AC17" s="26"/>
    </row>
    <row r="18" spans="1:29">
      <c r="A18" s="1" t="s">
        <v>726</v>
      </c>
      <c r="B18" s="68" t="s">
        <v>32</v>
      </c>
      <c r="C18" s="719">
        <f>+[4]GDPgrowth!H13</f>
        <v>2728.8702467100002</v>
      </c>
      <c r="D18" s="70">
        <f>IFERROR(+VLOOKUP($B18,[4]OECDimp!$A$2:$M$44,8,0)/1000,35%*C18)</f>
        <v>974.19275000000005</v>
      </c>
      <c r="E18" s="71">
        <f t="shared" si="5"/>
        <v>804.55793390295491</v>
      </c>
      <c r="F18" s="64">
        <f>IFERROR(VLOOKUP(B18,'[4]Eurostat personel cost'!$A$14:$D$43,4,0)*D18,MAX(M18/V18,0))</f>
        <v>169.6348160970451</v>
      </c>
      <c r="G18" s="38">
        <f t="shared" si="0"/>
        <v>220.2555625</v>
      </c>
      <c r="H18" s="71">
        <f>IFERROR(VLOOKUP($B18,[4]OECDimp!$A$2:$M$44,2,0)/1000,0.15*C18)</f>
        <v>220.2555625</v>
      </c>
      <c r="I18" s="63">
        <f t="shared" si="9"/>
        <v>0</v>
      </c>
      <c r="J18" s="713">
        <f>+IFERROR(VLOOKUP($A18,[4]globaltaxrev!A:B,2,0),18%*H18)</f>
        <v>60.736750000000001</v>
      </c>
      <c r="K18" s="74">
        <f t="shared" si="10"/>
        <v>0.27575580525917481</v>
      </c>
      <c r="L18" s="709">
        <f t="shared" si="6"/>
        <v>179.34093866845649</v>
      </c>
      <c r="M18" s="706">
        <f t="shared" si="11"/>
        <v>40.914623831543508</v>
      </c>
      <c r="N18" s="72">
        <f>IFERROR(VLOOKUP(A18,[4]ROU_E_2018!A:B,2,0)/1000,TableB10!C19/1000-IFERROR(VLOOKUP('Table U1'!A18,'[4]fdiinterest_net (2)'!A:D,3,0)/1000000000,0))</f>
        <v>29.632178790000001</v>
      </c>
      <c r="O18" s="64">
        <f>+IFERROR(VLOOKUP(B18,'[4]SPE FDI income'!A:H,7,0)-VLOOKUP(B18,'[4]SPE FDI income'!A:H,8,0),0)/1000</f>
        <v>0</v>
      </c>
      <c r="P18" s="64"/>
      <c r="Q18" s="64">
        <f t="shared" si="7"/>
        <v>11.282445041543504</v>
      </c>
      <c r="R18" s="698"/>
      <c r="S18" s="73">
        <f t="shared" si="2"/>
        <v>0.22609033222634842</v>
      </c>
      <c r="T18" s="87">
        <f t="shared" si="3"/>
        <v>0.22290618377033919</v>
      </c>
      <c r="U18" s="85">
        <f t="shared" si="4"/>
        <v>0.24119237296273524</v>
      </c>
      <c r="V18" s="74">
        <f>+IFERROR(VLOOKUP(B18,'[4]Table II.F 1'!A:I,9,0),DataF3!AK$49)</f>
        <v>0.26932070787262913</v>
      </c>
      <c r="W18" s="723">
        <f t="shared" si="8"/>
        <v>0</v>
      </c>
      <c r="X18" s="722">
        <v>0</v>
      </c>
      <c r="AC18" s="26"/>
    </row>
    <row r="19" spans="1:29">
      <c r="A19" s="1" t="s">
        <v>727</v>
      </c>
      <c r="B19" s="68" t="s">
        <v>34</v>
      </c>
      <c r="C19" s="719">
        <f>+[4]GDPgrowth!H14</f>
        <v>3888.32678863</v>
      </c>
      <c r="D19" s="70">
        <f>IFERROR(+VLOOKUP($B19,[4]OECDimp!$A$2:$M$44,8,0)/1000,35%*C19)</f>
        <v>1509.81</v>
      </c>
      <c r="E19" s="71">
        <f t="shared" si="5"/>
        <v>1283.0759056033335</v>
      </c>
      <c r="F19" s="64">
        <f>IFERROR(VLOOKUP(B19,'[4]Eurostat personel cost'!$A$14:$D$43,4,0)*D19,MAX(M19/V19,0))</f>
        <v>226.73409439666639</v>
      </c>
      <c r="G19" s="38">
        <f t="shared" si="0"/>
        <v>518.68740624999998</v>
      </c>
      <c r="H19" s="71">
        <f>IFERROR(VLOOKUP($B19,[4]OECDimp!$A$2:$M$44,2,0)/1000,0.15*C19)</f>
        <v>518.68740624999998</v>
      </c>
      <c r="I19" s="63">
        <f t="shared" si="9"/>
        <v>0</v>
      </c>
      <c r="J19" s="713">
        <f>+IFERROR(VLOOKUP($A19,[4]globaltaxrev!A:B,2,0),18%*H19)</f>
        <v>77.736310000000003</v>
      </c>
      <c r="K19" s="74">
        <f t="shared" si="10"/>
        <v>0.14987121156848024</v>
      </c>
      <c r="L19" s="709">
        <f t="shared" si="6"/>
        <v>482.10236596759415</v>
      </c>
      <c r="M19" s="706">
        <f t="shared" si="11"/>
        <v>36.585040282405814</v>
      </c>
      <c r="N19" s="72">
        <f>IFERROR(VLOOKUP(A19,[4]ROU_E_2018!A:B,2,0)/1000,TableB10!C20/1000-IFERROR(VLOOKUP('Table U1'!A19,'[4]fdiinterest_net (2)'!A:D,3,0)/1000000000,0))</f>
        <v>31.101995970000001</v>
      </c>
      <c r="O19" s="64">
        <f>+IFERROR(VLOOKUP(B19,'[4]SPE FDI income'!A:H,7,0)-VLOOKUP(B19,'[4]SPE FDI income'!A:H,8,0),0)/1000</f>
        <v>0</v>
      </c>
      <c r="P19" s="64"/>
      <c r="Q19" s="64">
        <f t="shared" si="7"/>
        <v>5.4830443124058137</v>
      </c>
      <c r="R19" s="698"/>
      <c r="S19" s="73">
        <f t="shared" si="2"/>
        <v>0.34354482103708411</v>
      </c>
      <c r="T19" s="87">
        <f t="shared" si="3"/>
        <v>0.37573955201106979</v>
      </c>
      <c r="U19" s="85">
        <f t="shared" si="4"/>
        <v>0.16135658988454149</v>
      </c>
      <c r="V19" s="74">
        <f>+IFERROR(VLOOKUP(B19,'[4]Table II.F 1'!A:I,9,0),DataF3!AK$49)</f>
        <v>0.16135658988454149</v>
      </c>
      <c r="W19" s="723">
        <f t="shared" si="8"/>
        <v>0</v>
      </c>
      <c r="X19" s="722">
        <v>0</v>
      </c>
      <c r="AC19" s="26"/>
    </row>
    <row r="20" spans="1:29">
      <c r="A20" s="1" t="s">
        <v>728</v>
      </c>
      <c r="B20" s="68" t="s">
        <v>40</v>
      </c>
      <c r="C20" s="719">
        <f>+[4]GDPgrowth!H15</f>
        <v>205.14415283</v>
      </c>
      <c r="D20" s="70">
        <f>IFERROR(+VLOOKUP($B20,[4]OECDimp!$A$2:$M$44,8,0)/1000,35%*C20)</f>
        <v>38.145160159999996</v>
      </c>
      <c r="E20" s="71">
        <f t="shared" si="5"/>
        <v>30.912973405169851</v>
      </c>
      <c r="F20" s="64">
        <f>IFERROR(VLOOKUP(B20,'[4]Eurostat personel cost'!$A$14:$D$43,4,0)*D20,MAX(M20/V20,0))</f>
        <v>7.2321867548301464</v>
      </c>
      <c r="G20" s="38">
        <f t="shared" si="0"/>
        <v>18.8516543</v>
      </c>
      <c r="H20" s="71">
        <f>IFERROR(VLOOKUP($B20,[4]OECDimp!$A$2:$M$44,2,0)/1000,0.15*C20)</f>
        <v>18.8516543</v>
      </c>
      <c r="I20" s="63">
        <f t="shared" si="9"/>
        <v>0</v>
      </c>
      <c r="J20" s="713">
        <f>+IFERROR(VLOOKUP($A20,[4]globaltaxrev!A:B,2,0),18%*H20)</f>
        <v>4.5573899999999998</v>
      </c>
      <c r="K20" s="74">
        <f t="shared" si="10"/>
        <v>0.24175013648536933</v>
      </c>
      <c r="L20" s="709">
        <f t="shared" si="6"/>
        <v>16.456558992521639</v>
      </c>
      <c r="M20" s="706">
        <f t="shared" si="11"/>
        <v>2.3950953074783614</v>
      </c>
      <c r="N20" s="72">
        <f>IFERROR(VLOOKUP(A20,[4]ROU_E_2018!A:B,2,0)/1000,TableB10!C21/1000-IFERROR(VLOOKUP('Table U1'!A20,'[4]fdiinterest_net (2)'!A:D,3,0)/1000000000,0))</f>
        <v>1.8160806899999999</v>
      </c>
      <c r="O20" s="64">
        <f>+IFERROR(VLOOKUP(B20,'[4]SPE FDI income'!A:H,7,0)-VLOOKUP(B20,'[4]SPE FDI income'!A:H,8,0),0)/1000</f>
        <v>0</v>
      </c>
      <c r="P20" s="64"/>
      <c r="Q20" s="64">
        <f t="shared" si="7"/>
        <v>0.57901461747836147</v>
      </c>
      <c r="R20" s="698"/>
      <c r="S20" s="73">
        <f t="shared" si="2"/>
        <v>0.4942082880482524</v>
      </c>
      <c r="T20" s="87">
        <f t="shared" si="3"/>
        <v>0.5323512163268469</v>
      </c>
      <c r="U20" s="85">
        <f t="shared" si="4"/>
        <v>0.33117166199818526</v>
      </c>
      <c r="V20" s="74">
        <f>+IFERROR(VLOOKUP(B20,'[4]Table II.F 1'!A:I,9,0),DataF3!AK$49)</f>
        <v>0.27207637231503579</v>
      </c>
      <c r="W20" s="723">
        <f t="shared" si="8"/>
        <v>0</v>
      </c>
      <c r="X20" s="722">
        <v>0</v>
      </c>
      <c r="AC20" s="26"/>
    </row>
    <row r="21" spans="1:29">
      <c r="A21" s="1" t="s">
        <v>729</v>
      </c>
      <c r="B21" s="68" t="s">
        <v>95</v>
      </c>
      <c r="C21" s="719">
        <f>+[4]GDPgrowth!H16</f>
        <v>163.52649142999999</v>
      </c>
      <c r="D21" s="70">
        <f>IFERROR(+VLOOKUP($B21,[4]OECDimp!$A$2:$M$44,8,0)/1000,35%*C21)</f>
        <v>46.861992189999995</v>
      </c>
      <c r="E21" s="71">
        <f t="shared" si="5"/>
        <v>25.708594563632865</v>
      </c>
      <c r="F21" s="64">
        <f>IFERROR(VLOOKUP(B21,'[4]Eurostat personel cost'!$A$14:$D$43,4,0)*D21,MAX(M21/V21,0))</f>
        <v>21.153397626367131</v>
      </c>
      <c r="G21" s="38">
        <f t="shared" si="0"/>
        <v>26.26563281</v>
      </c>
      <c r="H21" s="71">
        <f>IFERROR(VLOOKUP($B21,[4]OECDimp!$A$2:$M$44,2,0)/1000,0.15*C21)</f>
        <v>26.26563281</v>
      </c>
      <c r="I21" s="63">
        <f t="shared" si="9"/>
        <v>0</v>
      </c>
      <c r="J21" s="713">
        <f>+IFERROR(VLOOKUP($A21,[4]globaltaxrev!A:B,2,0),18%*H21)</f>
        <v>2.1118399999999999</v>
      </c>
      <c r="K21" s="74">
        <f t="shared" si="10"/>
        <v>8.0403164670602129E-2</v>
      </c>
      <c r="L21" s="709">
        <f t="shared" si="6"/>
        <v>17.363158504902742</v>
      </c>
      <c r="M21" s="706">
        <f t="shared" si="11"/>
        <v>8.9024743050972592</v>
      </c>
      <c r="N21" s="72">
        <f>IFERROR(VLOOKUP(A21,[4]ROU_E_2018!A:B,2,0)/1000,TableB10!C22/1000-IFERROR(VLOOKUP('Table U1'!A21,'[4]fdiinterest_net (2)'!A:D,3,0)/1000000000,0))</f>
        <v>9.2257094199999994</v>
      </c>
      <c r="O21" s="64">
        <f>+IFERROR(VLOOKUP(B21,'[4]SPE FDI income'!A:H,7,0)-VLOOKUP(B21,'[4]SPE FDI income'!A:H,8,0),0)/1000</f>
        <v>-1.1298671140588501</v>
      </c>
      <c r="P21" s="64"/>
      <c r="Q21" s="64">
        <f t="shared" si="7"/>
        <v>0.80663199915611095</v>
      </c>
      <c r="R21" s="698"/>
      <c r="S21" s="73">
        <f t="shared" si="2"/>
        <v>0.56048903562415964</v>
      </c>
      <c r="T21" s="87">
        <f t="shared" si="3"/>
        <v>0.67538341942132074</v>
      </c>
      <c r="U21" s="85">
        <f t="shared" si="4"/>
        <v>0.42085316327626582</v>
      </c>
      <c r="V21" s="74">
        <f>+IFERROR(VLOOKUP(B21,'[4]Table II.F 1'!A:I,9,0),DataF3!AK$49)</f>
        <v>0.60261194029850751</v>
      </c>
      <c r="W21" s="723">
        <f t="shared" si="8"/>
        <v>0</v>
      </c>
      <c r="X21" s="722">
        <v>0</v>
      </c>
      <c r="AC21" s="26"/>
    </row>
    <row r="22" spans="1:29">
      <c r="A22" s="1" t="s">
        <v>730</v>
      </c>
      <c r="B22" s="68" t="s">
        <v>113</v>
      </c>
      <c r="C22" s="719">
        <f>+[4]GDPgrowth!H17</f>
        <v>24.857740450000001</v>
      </c>
      <c r="D22" s="70">
        <f>IFERROR(+VLOOKUP($B22,[4]OECDimp!$A$2:$M$44,8,0)/1000,35%*C22)</f>
        <v>8.7002091574999998</v>
      </c>
      <c r="E22" s="71">
        <f t="shared" si="5"/>
        <v>8.7002091574999998</v>
      </c>
      <c r="F22" s="64">
        <f>IFERROR(VLOOKUP(B22,'[4]Eurostat personel cost'!$A$14:$D$43,4,0)*D22,MAX(M22/V22,0))</f>
        <v>0</v>
      </c>
      <c r="G22" s="38">
        <f t="shared" si="0"/>
        <v>3.7286610675</v>
      </c>
      <c r="H22" s="71">
        <f>IFERROR(VLOOKUP($B22,[4]OECDimp!$A$2:$M$44,2,0)/1000,0.15*C22)</f>
        <v>3.7286610675</v>
      </c>
      <c r="I22" s="63">
        <f t="shared" si="9"/>
        <v>0</v>
      </c>
      <c r="J22" s="713">
        <f>+IFERROR(VLOOKUP($A22,[4]globaltaxrev!A:B,2,0),18%*H22)</f>
        <v>0.51439999999999997</v>
      </c>
      <c r="K22" s="74">
        <f t="shared" si="10"/>
        <v>0.13795836915391613</v>
      </c>
      <c r="L22" s="709">
        <f t="shared" si="6"/>
        <v>4.184177977936371</v>
      </c>
      <c r="M22" s="706">
        <f t="shared" si="11"/>
        <v>-0.45551691043637088</v>
      </c>
      <c r="N22" s="727">
        <f>IFERROR(VLOOKUP(A22,[4]ROU_E_2018!A:B,2,0)/1000,TableB10!C23/1000-IFERROR(VLOOKUP('Table U1'!A22,'[4]fdiinterest_net (2)'!A:D,3,0)/1000000000,0))</f>
        <v>-0.45631601999999999</v>
      </c>
      <c r="O22" s="64">
        <f>+IFERROR(VLOOKUP(B22,'[4]SPE FDI income'!A:H,7,0)-VLOOKUP(B22,'[4]SPE FDI income'!A:H,8,0),0)/1000</f>
        <v>7.9910956362909998E-4</v>
      </c>
      <c r="P22" s="64"/>
      <c r="Q22" s="64">
        <f t="shared" si="7"/>
        <v>0</v>
      </c>
      <c r="R22" s="698"/>
      <c r="S22" s="73">
        <f t="shared" si="2"/>
        <v>0.4285714285714286</v>
      </c>
      <c r="T22" s="87">
        <f t="shared" si="3"/>
        <v>0.48092843541921149</v>
      </c>
      <c r="U22" s="85" t="str">
        <f t="shared" si="4"/>
        <v/>
      </c>
      <c r="V22" s="74">
        <f>+IFERROR(VLOOKUP(B22,'[4]Table II.F 1'!A:I,9,0),DataF3!AK$49)</f>
        <v>0.49083158642587121</v>
      </c>
      <c r="W22" s="723">
        <f t="shared" si="8"/>
        <v>0</v>
      </c>
      <c r="X22" s="722">
        <v>0</v>
      </c>
      <c r="AC22" s="26"/>
    </row>
    <row r="23" spans="1:29">
      <c r="A23" s="1" t="s">
        <v>731</v>
      </c>
      <c r="B23" s="68" t="s">
        <v>20</v>
      </c>
      <c r="C23" s="719">
        <f>+[4]GDPgrowth!H18</f>
        <v>399.12206349999997</v>
      </c>
      <c r="D23" s="70">
        <f>IFERROR(+VLOOKUP($B23,[4]OECDimp!$A$2:$M$44,8,0)/1000,35%*C23)</f>
        <v>80.879273440000006</v>
      </c>
      <c r="E23" s="71">
        <f t="shared" si="5"/>
        <v>50.937745140488175</v>
      </c>
      <c r="F23" s="64">
        <f>IFERROR(VLOOKUP(B23,'[4]Eurostat personel cost'!$A$14:$D$43,4,0)*D23,MAX(M23/V23,0))</f>
        <v>29.941528299511827</v>
      </c>
      <c r="G23" s="38">
        <f t="shared" si="0"/>
        <v>188.00084953476758</v>
      </c>
      <c r="H23" s="71">
        <f>IFERROR(VLOOKUP($B23,[4]OECDimp!$A$2:$M$44,2,0)/1000,0.15*C23)</f>
        <v>172.62531250000001</v>
      </c>
      <c r="I23" s="63">
        <f t="shared" si="9"/>
        <v>15.375537034767575</v>
      </c>
      <c r="J23" s="713">
        <f>+IFERROR(VLOOKUP($A23,[4]globaltaxrev!A:B,2,0),18%*H23)</f>
        <v>12.195489999999999</v>
      </c>
      <c r="K23" s="74">
        <f t="shared" si="10"/>
        <v>6.4869334527898767E-2</v>
      </c>
      <c r="L23" s="709">
        <f t="shared" si="6"/>
        <v>28.043391086345338</v>
      </c>
      <c r="M23" s="706">
        <f t="shared" si="11"/>
        <v>159.95745844842224</v>
      </c>
      <c r="N23" s="72">
        <f>IFERROR(VLOOKUP(A23,[4]ROU_E_2018!A:B,2,0)/1000,TableB10!C24/1000-IFERROR(VLOOKUP('Table U1'!A23,'[4]fdiinterest_net (2)'!A:D,3,0)/1000000000,0))</f>
        <v>90.327997310000001</v>
      </c>
      <c r="O23" s="64">
        <f>+IFERROR(VLOOKUP(B23,'[4]SPE FDI income'!A:H,7,0)-VLOOKUP(B23,'[4]SPE FDI income'!A:H,8,0),0)/1000</f>
        <v>0</v>
      </c>
      <c r="P23" s="64">
        <f>TableB10!G24/1000</f>
        <v>59.62479643165419</v>
      </c>
      <c r="Q23" s="64">
        <f t="shared" si="7"/>
        <v>10.004664706768043</v>
      </c>
      <c r="R23" s="698">
        <f>+[4]OECDimp!N20*75%/1000</f>
        <v>47.387406577499995</v>
      </c>
      <c r="S23" s="73">
        <f t="shared" si="2"/>
        <v>2.3244626409043514</v>
      </c>
      <c r="T23" s="87">
        <f t="shared" si="3"/>
        <v>0.55054245155533743</v>
      </c>
      <c r="U23" s="85">
        <f t="shared" si="4"/>
        <v>5.3423277812786267</v>
      </c>
      <c r="V23" s="74">
        <f>+IFERROR(VLOOKUP(B23,'[4]Table II.F 1'!A:I,9,0),DataF3!AK$49)</f>
        <v>7.0052298608182202</v>
      </c>
      <c r="W23" s="723">
        <f t="shared" si="8"/>
        <v>143.47337605509549</v>
      </c>
      <c r="X23" s="722">
        <v>1</v>
      </c>
      <c r="AB23" s="50"/>
      <c r="AC23" s="26"/>
    </row>
    <row r="24" spans="1:29">
      <c r="A24" s="1" t="s">
        <v>732</v>
      </c>
      <c r="B24" s="68" t="s">
        <v>114</v>
      </c>
      <c r="C24" s="719">
        <f>+[4]GDPgrowth!H19</f>
        <v>397.93459694999996</v>
      </c>
      <c r="D24" s="70">
        <f>IFERROR(+VLOOKUP($B24,[4]OECDimp!$A$2:$M$44,8,0)/1000,35%*C24)</f>
        <v>126.654625</v>
      </c>
      <c r="E24" s="71">
        <f t="shared" si="5"/>
        <v>112.75513909002333</v>
      </c>
      <c r="F24" s="64">
        <f>IFERROR(VLOOKUP(B24,'[4]Eurostat personel cost'!$A$14:$D$43,4,0)*D24,MAX(M24/V24,0))</f>
        <v>13.899485909976667</v>
      </c>
      <c r="G24" s="38">
        <f t="shared" si="0"/>
        <v>74.033171879999998</v>
      </c>
      <c r="H24" s="71">
        <f>IFERROR(VLOOKUP($B24,[4]OECDimp!$A$2:$M$44,2,0)/1000,0.15*C24)</f>
        <v>74.033171879999998</v>
      </c>
      <c r="I24" s="63">
        <f t="shared" si="9"/>
        <v>0</v>
      </c>
      <c r="J24" s="713">
        <f>+IFERROR(VLOOKUP($A24,[4]globaltaxrev!A:B,2,0),18%*H24)</f>
        <v>12.14495</v>
      </c>
      <c r="K24" s="74">
        <f t="shared" si="10"/>
        <v>0.16404740863576248</v>
      </c>
      <c r="L24" s="709">
        <f t="shared" si="6"/>
        <v>66.658590996245195</v>
      </c>
      <c r="M24" s="706">
        <f t="shared" si="11"/>
        <v>7.3745808837548079</v>
      </c>
      <c r="N24" s="72">
        <f>IFERROR(VLOOKUP(A24,[4]ROU_E_2018!A:B,2,0)/1000,TableB10!C25/1000-IFERROR(VLOOKUP('Table U1'!A24,'[4]fdiinterest_net (2)'!A:D,3,0)/1000000000,0))</f>
        <v>6.1648000000000005</v>
      </c>
      <c r="O24" s="64">
        <f>+IFERROR(VLOOKUP(B24,'[4]SPE FDI income'!A:H,7,0)-VLOOKUP(B24,'[4]SPE FDI income'!A:H,8,0),0)/1000</f>
        <v>0</v>
      </c>
      <c r="P24" s="64"/>
      <c r="Q24" s="64">
        <f t="shared" si="7"/>
        <v>1.2097808837548074</v>
      </c>
      <c r="R24" s="698"/>
      <c r="S24" s="73">
        <f t="shared" si="2"/>
        <v>0.58452797819266367</v>
      </c>
      <c r="T24" s="87">
        <f t="shared" si="3"/>
        <v>0.59118006978843951</v>
      </c>
      <c r="U24" s="85">
        <f t="shared" si="4"/>
        <v>0.53056501021102787</v>
      </c>
      <c r="V24" s="74">
        <f>+IFERROR(VLOOKUP(B24,'[4]Table II.F 1'!A:I,9,0),DataF3!AK$49)</f>
        <v>0.53056501021102787</v>
      </c>
      <c r="W24" s="723">
        <f t="shared" si="8"/>
        <v>0</v>
      </c>
      <c r="X24" s="722">
        <v>0</v>
      </c>
      <c r="AC24" s="26"/>
    </row>
    <row r="25" spans="1:29">
      <c r="A25" s="1" t="s">
        <v>733</v>
      </c>
      <c r="B25" s="68" t="s">
        <v>33</v>
      </c>
      <c r="C25" s="719">
        <f>+[4]GDPgrowth!H20</f>
        <v>2011.2857425500001</v>
      </c>
      <c r="D25" s="70">
        <f>IFERROR(+VLOOKUP($B25,[4]OECDimp!$A$2:$M$44,8,0)/1000,35%*C25)</f>
        <v>562.72687499999995</v>
      </c>
      <c r="E25" s="71">
        <f t="shared" si="5"/>
        <v>460.79897362904808</v>
      </c>
      <c r="F25" s="64">
        <f>IFERROR(VLOOKUP(B25,'[4]Eurostat personel cost'!$A$14:$D$43,4,0)*D25,MAX(M25/V25,0))</f>
        <v>101.9279013709519</v>
      </c>
      <c r="G25" s="38">
        <f t="shared" si="0"/>
        <v>280.77043750000001</v>
      </c>
      <c r="H25" s="71">
        <f>IFERROR(VLOOKUP($B25,[4]OECDimp!$A$2:$M$44,2,0)/1000,0.15*C25)</f>
        <v>280.77043750000001</v>
      </c>
      <c r="I25" s="63">
        <f t="shared" si="9"/>
        <v>0</v>
      </c>
      <c r="J25" s="713">
        <f>+IFERROR(VLOOKUP($A25,[4]globaltaxrev!A:B,2,0),18%*H25)</f>
        <v>39.477260000000001</v>
      </c>
      <c r="K25" s="74">
        <f t="shared" si="10"/>
        <v>0.14060333542059605</v>
      </c>
      <c r="L25" s="709">
        <f t="shared" si="6"/>
        <v>261.09894229088866</v>
      </c>
      <c r="M25" s="706">
        <f t="shared" si="11"/>
        <v>19.671495209111331</v>
      </c>
      <c r="N25" s="72">
        <f>IFERROR(VLOOKUP(A25,[4]ROU_E_2018!A:B,2,0)/1000,TableB10!C26/1000-IFERROR(VLOOKUP('Table U1'!A25,'[4]fdiinterest_net (2)'!A:D,3,0)/1000000000,0))</f>
        <v>16.905617370000002</v>
      </c>
      <c r="O25" s="64">
        <f>+IFERROR(VLOOKUP(B25,'[4]SPE FDI income'!A:H,7,0)-VLOOKUP(B25,'[4]SPE FDI income'!A:H,8,0),0)/1000</f>
        <v>0</v>
      </c>
      <c r="P25" s="64"/>
      <c r="Q25" s="64">
        <f t="shared" si="7"/>
        <v>2.7658778391113286</v>
      </c>
      <c r="R25" s="698"/>
      <c r="S25" s="73">
        <f t="shared" si="2"/>
        <v>0.4989462028093114</v>
      </c>
      <c r="T25" s="87">
        <f t="shared" si="3"/>
        <v>0.56662223058916417</v>
      </c>
      <c r="U25" s="85">
        <f t="shared" si="4"/>
        <v>0.19299421399367148</v>
      </c>
      <c r="V25" s="74">
        <f>+IFERROR(VLOOKUP(B25,'[4]Table II.F 1'!A:I,9,0),DataF3!AK$49)</f>
        <v>0.4363469761759316</v>
      </c>
      <c r="W25" s="723">
        <f t="shared" si="8"/>
        <v>0</v>
      </c>
      <c r="X25" s="722">
        <v>0</v>
      </c>
      <c r="AC25" s="26"/>
    </row>
    <row r="26" spans="1:29">
      <c r="A26" s="1" t="s">
        <v>734</v>
      </c>
      <c r="B26" s="68" t="s">
        <v>31</v>
      </c>
      <c r="C26" s="719">
        <f>+[4]GDPgrowth!H21</f>
        <v>5123.3181515100005</v>
      </c>
      <c r="D26" s="70">
        <f>IFERROR(+VLOOKUP($B26,[4]OECDimp!$A$2:$M$44,8,0)/1000,35%*C26)</f>
        <v>2208.1547500000001</v>
      </c>
      <c r="E26" s="71">
        <f t="shared" si="5"/>
        <v>2159.4725449410289</v>
      </c>
      <c r="F26" s="64">
        <f>IFERROR(VLOOKUP(B26,'[4]Eurostat personel cost'!$A$14:$D$43,4,0)*D26,MAX(M26/V26,0))</f>
        <v>48.682205058971142</v>
      </c>
      <c r="G26" s="38">
        <f t="shared" si="0"/>
        <v>614.32806249999999</v>
      </c>
      <c r="H26" s="71">
        <f>IFERROR(VLOOKUP($B26,[4]OECDimp!$A$2:$M$44,2,0)/1000,0.15*C26)</f>
        <v>614.32806249999999</v>
      </c>
      <c r="I26" s="63">
        <f t="shared" si="9"/>
        <v>0</v>
      </c>
      <c r="J26" s="713">
        <f>+IFERROR(VLOOKUP($A26,[4]globaltaxrev!A:B,2,0),18%*H26)</f>
        <v>193.06609</v>
      </c>
      <c r="K26" s="74">
        <f t="shared" si="10"/>
        <v>0.31427196930304646</v>
      </c>
      <c r="L26" s="709">
        <f t="shared" si="6"/>
        <v>569.22488165355685</v>
      </c>
      <c r="M26" s="706">
        <f t="shared" si="11"/>
        <v>45.103180846443124</v>
      </c>
      <c r="N26" s="72">
        <f>IFERROR(VLOOKUP(A26,[4]ROU_E_2018!A:B,2,0)/1000,TableB10!C27/1000-IFERROR(VLOOKUP('Table U1'!A26,'[4]fdiinterest_net (2)'!A:D,3,0)/1000000000,0))</f>
        <v>30.92851538</v>
      </c>
      <c r="O26" s="64">
        <f>+IFERROR(VLOOKUP(B26,'[4]SPE FDI income'!A:H,7,0)-VLOOKUP(B26,'[4]SPE FDI income'!A:H,8,0),0)/1000</f>
        <v>0</v>
      </c>
      <c r="P26" s="64"/>
      <c r="Q26" s="64">
        <f t="shared" si="7"/>
        <v>14.174665466443127</v>
      </c>
      <c r="R26" s="698"/>
      <c r="S26" s="73">
        <f t="shared" si="2"/>
        <v>0.27820879062031317</v>
      </c>
      <c r="T26" s="87">
        <f t="shared" si="3"/>
        <v>0.26359440548900392</v>
      </c>
      <c r="U26" s="85">
        <f t="shared" si="4"/>
        <v>0.92648187960687955</v>
      </c>
      <c r="V26" s="74">
        <f>+IFERROR(VLOOKUP(B26,'[4]Table II.F 1'!A:I,9,0),DataF3!AK$49)</f>
        <v>0.92648187960687955</v>
      </c>
      <c r="W26" s="723">
        <f t="shared" si="8"/>
        <v>0</v>
      </c>
      <c r="X26" s="722">
        <v>0</v>
      </c>
      <c r="AC26" s="26"/>
    </row>
    <row r="27" spans="1:29">
      <c r="A27" s="1" t="s">
        <v>115</v>
      </c>
      <c r="B27" s="68" t="s">
        <v>48</v>
      </c>
      <c r="C27" s="719">
        <f>+[4]GDPgrowth!H22</f>
        <v>1651.42293245</v>
      </c>
      <c r="D27" s="70">
        <f>IFERROR(+VLOOKUP($B27,[4]OECDimp!$A$2:$M$44,8,0)/1000,35%*C27)</f>
        <v>548.60374999999999</v>
      </c>
      <c r="E27" s="71">
        <f t="shared" si="5"/>
        <v>540.1240891938138</v>
      </c>
      <c r="F27" s="64">
        <f>IFERROR(VLOOKUP(B27,'[4]Eurostat personel cost'!$A$14:$D$43,4,0)*D27,MAX(M27/V27,0))</f>
        <v>8.4796608061862067</v>
      </c>
      <c r="G27" s="38">
        <f t="shared" si="0"/>
        <v>294.73221875000002</v>
      </c>
      <c r="H27" s="71">
        <f>IFERROR(VLOOKUP($B27,[4]OECDimp!$A$2:$M$44,2,0)/1000,0.15*C27)</f>
        <v>294.73221875000002</v>
      </c>
      <c r="I27" s="63">
        <f t="shared" si="9"/>
        <v>0</v>
      </c>
      <c r="J27" s="732">
        <f>18%*H27</f>
        <v>53.051799375000002</v>
      </c>
      <c r="K27" s="74">
        <f t="shared" si="10"/>
        <v>0.18</v>
      </c>
      <c r="L27" s="709">
        <f t="shared" si="6"/>
        <v>290.57013338414635</v>
      </c>
      <c r="M27" s="706">
        <f t="shared" si="11"/>
        <v>4.1620853658536578</v>
      </c>
      <c r="N27" s="72">
        <f>IFERROR(VLOOKUP(A27,[4]ROU_E_2018!A:B,2,0)/1000,TableB10!C28/1000-IFERROR(VLOOKUP('Table U1'!A27,'[4]fdiinterest_net (2)'!A:D,3,0)/1000000000,0))</f>
        <v>3.4129099999999997</v>
      </c>
      <c r="O27" s="64">
        <f>+IFERROR(VLOOKUP(B27,'[4]SPE FDI income'!A:H,7,0)-VLOOKUP(B27,'[4]SPE FDI income'!A:H,8,0),0)/1000</f>
        <v>0</v>
      </c>
      <c r="P27" s="64"/>
      <c r="Q27" s="64">
        <f t="shared" si="7"/>
        <v>0.74917536585365829</v>
      </c>
      <c r="R27" s="698"/>
      <c r="S27" s="73">
        <f t="shared" si="2"/>
        <v>0.53724061993743211</v>
      </c>
      <c r="T27" s="87">
        <f t="shared" si="3"/>
        <v>0.53796921706982126</v>
      </c>
      <c r="U27" s="85">
        <f t="shared" si="4"/>
        <v>0.49083158642587121</v>
      </c>
      <c r="V27" s="74">
        <f>+IFERROR(VLOOKUP(B27,'[4]Table II.F 1'!A:I,9,0),DataF3!AK$49)</f>
        <v>0.49083158642587121</v>
      </c>
      <c r="W27" s="723">
        <f t="shared" si="8"/>
        <v>0</v>
      </c>
      <c r="X27" s="722">
        <v>0</v>
      </c>
      <c r="AC27" s="26"/>
    </row>
    <row r="28" spans="1:29">
      <c r="A28" s="1" t="s">
        <v>735</v>
      </c>
      <c r="B28" s="68" t="s">
        <v>96</v>
      </c>
      <c r="C28" s="719">
        <f>+[4]GDPgrowth!H23</f>
        <v>34.308783830000003</v>
      </c>
      <c r="D28" s="70">
        <f>IFERROR(+VLOOKUP($B28,[4]OECDimp!$A$2:$M$44,8,0)/1000,35%*C28)</f>
        <v>12.77250293</v>
      </c>
      <c r="E28" s="71">
        <f t="shared" si="5"/>
        <v>8.6887939084642412</v>
      </c>
      <c r="F28" s="64">
        <f>IFERROR(VLOOKUP(B28,'[4]Eurostat personel cost'!$A$14:$D$43,4,0)*D28,MAX(M28/V28,0))</f>
        <v>4.0837090215357597</v>
      </c>
      <c r="G28" s="38">
        <f t="shared" si="0"/>
        <v>4.3954589799999999</v>
      </c>
      <c r="H28" s="71">
        <f>IFERROR(VLOOKUP($B28,[4]OECDimp!$A$2:$M$44,2,0)/1000,0.15*C28)</f>
        <v>4.3954589799999999</v>
      </c>
      <c r="I28" s="63">
        <f t="shared" si="9"/>
        <v>0</v>
      </c>
      <c r="J28" s="732">
        <f>18%*H28</f>
        <v>0.79118261639999998</v>
      </c>
      <c r="K28" s="74">
        <f t="shared" si="10"/>
        <v>0.18</v>
      </c>
      <c r="L28" s="709">
        <f t="shared" si="6"/>
        <v>2.4569083092682926</v>
      </c>
      <c r="M28" s="706">
        <f t="shared" si="11"/>
        <v>1.9385506707317073</v>
      </c>
      <c r="N28" s="72">
        <f>IFERROR(VLOOKUP(A28,[4]ROU_E_2018!A:B,2,0)/1000,TableB10!C29/1000-IFERROR(VLOOKUP('Table U1'!A28,'[4]fdiinterest_net (2)'!A:D,3,0)/1000000000,0))</f>
        <v>1.5896115500000001</v>
      </c>
      <c r="O28" s="64">
        <f>+IFERROR(VLOOKUP(B28,'[4]SPE FDI income'!A:H,7,0)-VLOOKUP(B28,'[4]SPE FDI income'!A:H,8,0),0)/1000</f>
        <v>0</v>
      </c>
      <c r="P28" s="64"/>
      <c r="Q28" s="64">
        <f t="shared" si="7"/>
        <v>0.34893912073170724</v>
      </c>
      <c r="R28" s="698"/>
      <c r="S28" s="73">
        <f t="shared" si="2"/>
        <v>0.34413450551465247</v>
      </c>
      <c r="T28" s="87">
        <f t="shared" si="3"/>
        <v>0.28276747442183897</v>
      </c>
      <c r="U28" s="85">
        <f t="shared" si="4"/>
        <v>0.47470342781736119</v>
      </c>
      <c r="V28" s="74">
        <f>+IFERROR(VLOOKUP(B28,'[4]Table II.F 1'!A:I,9,0),DataF3!AK$49)</f>
        <v>0.49083158642587121</v>
      </c>
      <c r="W28" s="723">
        <f t="shared" si="8"/>
        <v>0</v>
      </c>
      <c r="X28" s="722">
        <v>0</v>
      </c>
      <c r="AC28" s="26"/>
    </row>
    <row r="29" spans="1:29">
      <c r="A29" s="1" t="s">
        <v>736</v>
      </c>
      <c r="B29" s="68" t="s">
        <v>19</v>
      </c>
      <c r="C29" s="719">
        <f>+[4]GDPgrowth!H24</f>
        <v>70.195715500000006</v>
      </c>
      <c r="D29" s="70">
        <f>IFERROR(+VLOOKUP($B29,[4]OECDimp!$A$2:$M$44,8,0)/1000,35%*C29)</f>
        <v>26.105369140000001</v>
      </c>
      <c r="E29" s="71">
        <f t="shared" si="5"/>
        <v>15.027851348248952</v>
      </c>
      <c r="F29" s="64">
        <f>IFERROR(VLOOKUP(B29,'[4]Eurostat personel cost'!$A$14:$D$43,4,0)*D29,MAX(M29/V29,0))</f>
        <v>11.077517791751049</v>
      </c>
      <c r="G29" s="38">
        <f t="shared" si="0"/>
        <v>61.482687397996244</v>
      </c>
      <c r="H29" s="71">
        <f>IFERROR(VLOOKUP($B29,[4]OECDimp!$A$2:$M$44,2,0)/1000,0.15*C29)</f>
        <v>56.067332029999996</v>
      </c>
      <c r="I29" s="63">
        <f t="shared" si="9"/>
        <v>5.4153553679962485</v>
      </c>
      <c r="J29" s="713">
        <f>+IFERROR(VLOOKUP($A29,[4]globaltaxrev!A:B,2,0),18%*H29)</f>
        <v>4.2104900000000001</v>
      </c>
      <c r="K29" s="74">
        <f t="shared" si="10"/>
        <v>6.8482530256756838E-2</v>
      </c>
      <c r="L29" s="709">
        <f t="shared" si="6"/>
        <v>3.4488705028780089</v>
      </c>
      <c r="M29" s="706">
        <f t="shared" si="11"/>
        <v>58.033816895118235</v>
      </c>
      <c r="N29" s="72">
        <f>IFERROR(VLOOKUP(A29,[4]ROU_E_2018!A:B,2,0)/1000,TableB10!C30/1000-IFERROR(VLOOKUP('Table U1'!A29,'[4]fdiinterest_net (2)'!A:D,3,0)/1000000000,0))</f>
        <v>11.513489310000001</v>
      </c>
      <c r="O29" s="64">
        <f>+IFERROR(1.5*VLOOKUP(B29,'[4]SPE FDI income'!A:H,7,0)-VLOOKUP(B29,'[4]SPE FDI income'!A:H,8,0),0)/1000</f>
        <v>-4.468263741184499</v>
      </c>
      <c r="P29" s="64">
        <f>TableB10!G30/1000</f>
        <v>47.551071428571426</v>
      </c>
      <c r="Q29" s="64">
        <f t="shared" si="7"/>
        <v>3.4375198977313093</v>
      </c>
      <c r="R29" s="698">
        <f>+[4]OECDimp!N27*35%/1000</f>
        <v>44.638404030499991</v>
      </c>
      <c r="S29" s="73">
        <f t="shared" si="2"/>
        <v>2.3551740283108766</v>
      </c>
      <c r="T29" s="87">
        <f t="shared" si="3"/>
        <v>0.22949857720544142</v>
      </c>
      <c r="U29" s="85">
        <f t="shared" si="4"/>
        <v>5.2388827520849048</v>
      </c>
      <c r="V29" s="74">
        <f>+IFERROR(VLOOKUP(B29,'[4]Table II.F 1'!A:I,9,0),DataF3!AK$49)</f>
        <v>-1.3227091633466135</v>
      </c>
      <c r="W29" s="723">
        <f t="shared" si="8"/>
        <v>55.49154232294341</v>
      </c>
      <c r="X29" s="722">
        <v>1</v>
      </c>
      <c r="AC29" s="26"/>
    </row>
    <row r="30" spans="1:29">
      <c r="A30" s="1" t="s">
        <v>737</v>
      </c>
      <c r="B30" s="68" t="s">
        <v>38</v>
      </c>
      <c r="C30" s="719">
        <f>+[4]GDPgrowth!H25</f>
        <v>1269.40427677</v>
      </c>
      <c r="D30" s="70">
        <f>IFERROR(+VLOOKUP($B30,[4]OECDimp!$A$2:$M$44,8,0)/1000,35%*C30)</f>
        <v>162.13789063000002</v>
      </c>
      <c r="E30" s="71">
        <f t="shared" si="5"/>
        <v>131.64990640895226</v>
      </c>
      <c r="F30" s="64">
        <f>IFERROR(VLOOKUP(B30,'[4]Eurostat personel cost'!$A$14:$D$43,4,0)*D30,MAX(M30/V30,0))</f>
        <v>30.487984221047743</v>
      </c>
      <c r="G30" s="38">
        <f t="shared" si="0"/>
        <v>317.60262499999999</v>
      </c>
      <c r="H30" s="71">
        <f>IFERROR(VLOOKUP($B30,[4]OECDimp!$A$2:$M$44,2,0)/1000,0.15*C30)</f>
        <v>317.60262499999999</v>
      </c>
      <c r="I30" s="63">
        <f t="shared" si="9"/>
        <v>0</v>
      </c>
      <c r="J30" s="713">
        <f>+IFERROR(VLOOKUP($A30,[4]globaltaxrev!A:B,2,0),18%*H30)</f>
        <v>41.718220000000002</v>
      </c>
      <c r="K30" s="74">
        <f t="shared" si="10"/>
        <v>0.13135351132566994</v>
      </c>
      <c r="L30" s="709">
        <f t="shared" si="6"/>
        <v>288.71748423543863</v>
      </c>
      <c r="M30" s="706">
        <f t="shared" si="11"/>
        <v>28.885140764561385</v>
      </c>
      <c r="N30" s="72">
        <f>IFERROR(VLOOKUP(A30,[4]ROU_E_2018!A:B,2,0)/1000,TableB10!C31/1000-IFERROR(VLOOKUP('Table U1'!A30,'[4]fdiinterest_net (2)'!A:D,3,0)/1000000000,0))</f>
        <v>25.090976099999999</v>
      </c>
      <c r="O30" s="64">
        <f>+IFERROR(VLOOKUP(B30,'[4]SPE FDI income'!A:H,7,0)-VLOOKUP(B30,'[4]SPE FDI income'!A:H,8,0),0)/1000</f>
        <v>0</v>
      </c>
      <c r="P30" s="64"/>
      <c r="Q30" s="64">
        <f t="shared" si="7"/>
        <v>3.794164664561384</v>
      </c>
      <c r="R30" s="698"/>
      <c r="S30" s="73">
        <f t="shared" si="2"/>
        <v>1.9588427095352545</v>
      </c>
      <c r="T30" s="87">
        <f t="shared" si="3"/>
        <v>2.1930701822041381</v>
      </c>
      <c r="U30" s="85">
        <f t="shared" si="4"/>
        <v>0.94742704388505239</v>
      </c>
      <c r="V30" s="74">
        <f>+IFERROR(VLOOKUP(B30,'[4]Table II.F 1'!A:I,9,0),DataF3!AK$49)</f>
        <v>0.94742704388505239</v>
      </c>
      <c r="W30" s="723">
        <f t="shared" si="8"/>
        <v>0</v>
      </c>
      <c r="X30" s="722">
        <v>0</v>
      </c>
      <c r="AC30" s="26"/>
    </row>
    <row r="31" spans="1:29">
      <c r="A31" s="1" t="s">
        <v>738</v>
      </c>
      <c r="B31" s="68" t="s">
        <v>23</v>
      </c>
      <c r="C31" s="719">
        <f>+[4]GDPgrowth!H26</f>
        <v>910.19434756999999</v>
      </c>
      <c r="D31" s="70">
        <f>IFERROR(+VLOOKUP($B31,[4]OECDimp!$A$2:$M$44,8,0)/1000,35%*C31)</f>
        <v>339.03518750000001</v>
      </c>
      <c r="E31" s="71">
        <f t="shared" si="5"/>
        <v>242.58203201042801</v>
      </c>
      <c r="F31" s="64">
        <f>IFERROR(VLOOKUP(B31,'[4]Eurostat personel cost'!$A$14:$D$43,4,0)*D31,MAX(M31/V31,0))</f>
        <v>96.453155489571984</v>
      </c>
      <c r="G31" s="38">
        <f t="shared" si="0"/>
        <v>182.04449384260528</v>
      </c>
      <c r="H31" s="71">
        <f>IFERROR(VLOOKUP($B31,[4]OECDimp!$A$2:$M$44,2,0)/1000,0.15*C31)</f>
        <v>166.16478125</v>
      </c>
      <c r="I31" s="63">
        <f t="shared" si="9"/>
        <v>15.87971259260528</v>
      </c>
      <c r="J31" s="713">
        <f>+IFERROR(VLOOKUP($A31,[4]globaltaxrev!A:B,2,0),18%*H31)</f>
        <v>33.623420000000003</v>
      </c>
      <c r="K31" s="74">
        <f t="shared" si="10"/>
        <v>0.18469891228388724</v>
      </c>
      <c r="L31" s="709">
        <f t="shared" si="6"/>
        <v>57.241956548675233</v>
      </c>
      <c r="M31" s="706">
        <f t="shared" si="11"/>
        <v>124.80253729393004</v>
      </c>
      <c r="N31" s="72">
        <f>IFERROR(VLOOKUP(A31,[4]ROU_E_2018!A:B,2,0)/1000,TableB10!C32/1000-IFERROR(VLOOKUP('Table U1'!A31,'[4]fdiinterest_net (2)'!A:D,3,0)/1000000000,0))</f>
        <v>77.830472020000002</v>
      </c>
      <c r="O31" s="64">
        <f>+IFERROR(VLOOKUP(B31,'[4]SPE FDI income'!A:H,7,0)-VLOOKUP(B31,'[4]SPE FDI income'!A:H,8,0),0)/1000</f>
        <v>-12.866898010747001</v>
      </c>
      <c r="P31" s="64">
        <f>TableB10!G32/1000</f>
        <v>38.090000000000011</v>
      </c>
      <c r="Q31" s="64">
        <f t="shared" si="7"/>
        <v>21.748963284677043</v>
      </c>
      <c r="R31" s="698">
        <f>+[4]OECDimp!N29*35%/1000</f>
        <v>24.215024249499997</v>
      </c>
      <c r="S31" s="73">
        <f t="shared" si="2"/>
        <v>0.53694867245189781</v>
      </c>
      <c r="T31" s="87">
        <f t="shared" si="3"/>
        <v>0.23596948246444957</v>
      </c>
      <c r="U31" s="85">
        <f t="shared" si="4"/>
        <v>1.2939186557501796</v>
      </c>
      <c r="V31" s="74">
        <f>+IFERROR(VLOOKUP(B31,'[4]Table II.F 1'!A:I,9,0),DataF3!AK$49)</f>
        <v>1.686507540197743</v>
      </c>
      <c r="W31" s="723">
        <f t="shared" si="8"/>
        <v>102.04253611099266</v>
      </c>
      <c r="X31" s="722">
        <v>1</v>
      </c>
      <c r="AC31" s="26"/>
    </row>
    <row r="32" spans="1:29">
      <c r="A32" s="1" t="s">
        <v>739</v>
      </c>
      <c r="B32" s="68" t="s">
        <v>116</v>
      </c>
      <c r="C32" s="719">
        <f>+[4]GDPgrowth!H27</f>
        <v>213.43457136000001</v>
      </c>
      <c r="D32" s="70">
        <f>IFERROR(+VLOOKUP($B32,[4]OECDimp!$A$2:$M$44,8,0)/1000,35%*C32)</f>
        <v>68.736882809999997</v>
      </c>
      <c r="E32" s="71">
        <f t="shared" si="5"/>
        <v>56.583149365549055</v>
      </c>
      <c r="F32" s="64">
        <f>IFERROR(VLOOKUP(B32,'[4]Eurostat personel cost'!$A$14:$D$43,4,0)*D32,MAX(M32/V32,0))</f>
        <v>12.153733444450941</v>
      </c>
      <c r="G32" s="38">
        <f t="shared" si="0"/>
        <v>36.535996089999998</v>
      </c>
      <c r="H32" s="71">
        <f>IFERROR(VLOOKUP($B32,[4]OECDimp!$A$2:$M$44,2,0)/1000,0.15*C32)</f>
        <v>36.535996089999998</v>
      </c>
      <c r="I32" s="63">
        <f t="shared" si="9"/>
        <v>0</v>
      </c>
      <c r="J32" s="713">
        <f>+IFERROR(VLOOKUP($A32,[4]globaltaxrev!A:B,2,0),18%*H32)</f>
        <v>8.2780299999999993</v>
      </c>
      <c r="K32" s="74">
        <f t="shared" si="10"/>
        <v>0.22657189856295498</v>
      </c>
      <c r="L32" s="709">
        <f t="shared" si="6"/>
        <v>29.587481367022292</v>
      </c>
      <c r="M32" s="706">
        <f t="shared" si="11"/>
        <v>6.9485147229777038</v>
      </c>
      <c r="N32" s="72">
        <f>IFERROR(VLOOKUP(A32,[4]ROU_E_2018!A:B,2,0)/1000,TableB10!C33/1000-IFERROR(VLOOKUP('Table U1'!A32,'[4]fdiinterest_net (2)'!A:D,3,0)/1000000000,0))</f>
        <v>5.3741765500000005</v>
      </c>
      <c r="O32" s="64">
        <f>+IFERROR(VLOOKUP(B32,'[4]SPE FDI income'!A:H,7,0)-VLOOKUP(B32,'[4]SPE FDI income'!A:H,8,0),0)/1000</f>
        <v>0</v>
      </c>
      <c r="P32" s="64"/>
      <c r="Q32" s="64">
        <f t="shared" si="7"/>
        <v>1.5743381729777037</v>
      </c>
      <c r="R32" s="698"/>
      <c r="S32" s="73">
        <f t="shared" si="2"/>
        <v>0.53153408470662655</v>
      </c>
      <c r="T32" s="87">
        <f t="shared" si="3"/>
        <v>0.52290269627580654</v>
      </c>
      <c r="U32" s="85">
        <f t="shared" si="4"/>
        <v>0.57171853856562926</v>
      </c>
      <c r="V32" s="74">
        <f>+IFERROR(VLOOKUP(B32,'[4]Table II.F 1'!A:I,9,0),DataF3!AK$49)</f>
        <v>0.57171853856562926</v>
      </c>
      <c r="W32" s="723">
        <f t="shared" si="8"/>
        <v>0</v>
      </c>
      <c r="X32" s="722">
        <v>0</v>
      </c>
      <c r="AC32" s="26"/>
    </row>
    <row r="33" spans="1:29">
      <c r="A33" s="1" t="s">
        <v>740</v>
      </c>
      <c r="B33" s="68" t="s">
        <v>117</v>
      </c>
      <c r="C33" s="719">
        <f>+[4]GDPgrowth!H28</f>
        <v>404.94136364000002</v>
      </c>
      <c r="D33" s="70">
        <f>IFERROR(+VLOOKUP($B33,[4]OECDimp!$A$2:$M$44,8,0)/1000,35%*C33)</f>
        <v>127.10386719</v>
      </c>
      <c r="E33" s="71">
        <f t="shared" si="5"/>
        <v>92.688996070669305</v>
      </c>
      <c r="F33" s="64">
        <f>IFERROR(VLOOKUP(B33,'[4]Eurostat personel cost'!$A$14:$D$43,4,0)*D33,MAX(M33/V33,0))</f>
        <v>34.414871119330698</v>
      </c>
      <c r="G33" s="38">
        <f t="shared" si="0"/>
        <v>78.26272655999999</v>
      </c>
      <c r="H33" s="71">
        <f>IFERROR(VLOOKUP($B33,[4]OECDimp!$A$2:$M$44,2,0)/1000,0.15*C33)</f>
        <v>78.26272655999999</v>
      </c>
      <c r="I33" s="63">
        <f t="shared" si="9"/>
        <v>0</v>
      </c>
      <c r="J33" s="713">
        <f>+IFERROR(VLOOKUP($A33,[4]globaltaxrev!A:B,2,0),18%*H33)</f>
        <v>23.824539999999999</v>
      </c>
      <c r="K33" s="74">
        <f t="shared" si="10"/>
        <v>0.30441745447923996</v>
      </c>
      <c r="L33" s="709">
        <f t="shared" si="6"/>
        <v>61.055126876230965</v>
      </c>
      <c r="M33" s="706">
        <f t="shared" si="11"/>
        <v>17.207599683769025</v>
      </c>
      <c r="N33" s="72">
        <f>IFERROR(VLOOKUP(A33,[4]ROU_E_2018!A:B,2,0)/1000,TableB10!C34/1000-IFERROR(VLOOKUP('Table U1'!A33,'[4]fdiinterest_net (2)'!A:D,3,0)/1000000000,0))</f>
        <v>11.97531425</v>
      </c>
      <c r="O33" s="64">
        <f>+IFERROR(VLOOKUP(B33,'[4]SPE FDI income'!A:H,7,0)-VLOOKUP(B33,'[4]SPE FDI income'!A:H,8,0),0)/1000</f>
        <v>-8.6377378219259955E-3</v>
      </c>
      <c r="P33" s="64"/>
      <c r="Q33" s="64">
        <f t="shared" si="7"/>
        <v>5.2409231715909508</v>
      </c>
      <c r="R33" s="698"/>
      <c r="S33" s="73">
        <f t="shared" si="2"/>
        <v>0.61573835863711135</v>
      </c>
      <c r="T33" s="87">
        <f t="shared" si="3"/>
        <v>0.65870954983351437</v>
      </c>
      <c r="U33" s="85">
        <f t="shared" si="4"/>
        <v>0.50000476898789215</v>
      </c>
      <c r="V33" s="74">
        <f>+IFERROR(VLOOKUP(B33,'[4]Table II.F 1'!A:I,9,0),DataF3!AK$49)</f>
        <v>1.2606882168925964</v>
      </c>
      <c r="W33" s="723">
        <f t="shared" si="8"/>
        <v>0</v>
      </c>
      <c r="X33" s="722">
        <v>0</v>
      </c>
      <c r="AC33" s="26"/>
    </row>
    <row r="34" spans="1:29">
      <c r="A34" s="1" t="s">
        <v>741</v>
      </c>
      <c r="B34" s="68" t="s">
        <v>97</v>
      </c>
      <c r="C34" s="719">
        <f>+[4]GDPgrowth!H29</f>
        <v>597.28056466999999</v>
      </c>
      <c r="D34" s="70">
        <f>IFERROR(+VLOOKUP($B34,[4]OECDimp!$A$2:$M$44,8,0)/1000,35%*C34)</f>
        <v>153.44215625000001</v>
      </c>
      <c r="E34" s="71">
        <f t="shared" si="5"/>
        <v>93.237530475068894</v>
      </c>
      <c r="F34" s="64">
        <f>IFERROR(VLOOKUP(B34,'[4]Eurostat personel cost'!$A$14:$D$43,4,0)*D34,MAX(M34/V34,0))</f>
        <v>60.204625774931124</v>
      </c>
      <c r="G34" s="38">
        <f t="shared" si="0"/>
        <v>99.780570310000002</v>
      </c>
      <c r="H34" s="71">
        <f>IFERROR(VLOOKUP($B34,[4]OECDimp!$A$2:$M$44,2,0)/1000,0.15*C34)</f>
        <v>99.780570310000002</v>
      </c>
      <c r="I34" s="63">
        <f t="shared" si="9"/>
        <v>0</v>
      </c>
      <c r="J34" s="713">
        <f>+IFERROR(VLOOKUP($A34,[4]globaltaxrev!A:B,2,0),18%*H34)</f>
        <v>13.18097</v>
      </c>
      <c r="K34" s="74">
        <f t="shared" si="10"/>
        <v>0.13209956566743539</v>
      </c>
      <c r="L34" s="709">
        <f t="shared" si="6"/>
        <v>75.393136748825398</v>
      </c>
      <c r="M34" s="706">
        <f t="shared" si="11"/>
        <v>24.387433561174603</v>
      </c>
      <c r="N34" s="72">
        <f>IFERROR(VLOOKUP(A34,[4]ROU_E_2018!A:B,2,0)/1000,TableB10!C35/1000-IFERROR(VLOOKUP('Table U1'!A34,'[4]fdiinterest_net (2)'!A:D,3,0)/1000000000,0))</f>
        <v>21.16586418</v>
      </c>
      <c r="O34" s="64">
        <f>+IFERROR(VLOOKUP(B34,'[4]SPE FDI income'!A:H,7,0)-VLOOKUP(B34,'[4]SPE FDI income'!A:H,8,0),0)/1000</f>
        <v>0</v>
      </c>
      <c r="P34" s="64"/>
      <c r="Q34" s="64">
        <f t="shared" si="7"/>
        <v>3.2215693811746018</v>
      </c>
      <c r="R34" s="698"/>
      <c r="S34" s="73">
        <f t="shared" si="2"/>
        <v>0.65028133564174928</v>
      </c>
      <c r="T34" s="87">
        <f t="shared" si="3"/>
        <v>0.8086136169059629</v>
      </c>
      <c r="U34" s="85">
        <f t="shared" si="4"/>
        <v>0.40507574372016769</v>
      </c>
      <c r="V34" s="74">
        <f>+IFERROR(VLOOKUP(B34,'[4]Table II.F 1'!A:I,9,0),DataF3!AK$49)</f>
        <v>0.45435576421491913</v>
      </c>
      <c r="W34" s="723">
        <f t="shared" si="8"/>
        <v>0</v>
      </c>
      <c r="X34" s="722">
        <v>0</v>
      </c>
      <c r="AC34" s="26"/>
    </row>
    <row r="35" spans="1:29">
      <c r="A35" s="1" t="s">
        <v>742</v>
      </c>
      <c r="B35" s="68" t="s">
        <v>42</v>
      </c>
      <c r="C35" s="719">
        <f>+[4]GDPgrowth!H30</f>
        <v>239.98692264000002</v>
      </c>
      <c r="D35" s="70">
        <f>IFERROR(+VLOOKUP($B35,[4]OECDimp!$A$2:$M$44,8,0)/1000,35%*C35)</f>
        <v>75.611874999999998</v>
      </c>
      <c r="E35" s="71">
        <f t="shared" si="5"/>
        <v>56.648553228299733</v>
      </c>
      <c r="F35" s="64">
        <f>IFERROR(VLOOKUP(B35,'[4]Eurostat personel cost'!$A$14:$D$43,4,0)*D35,MAX(M35/V35,0))</f>
        <v>18.963321771700262</v>
      </c>
      <c r="G35" s="38">
        <f t="shared" si="0"/>
        <v>31.016179690000001</v>
      </c>
      <c r="H35" s="71">
        <f>IFERROR(VLOOKUP($B35,[4]OECDimp!$A$2:$M$44,2,0)/1000,0.15*C35)</f>
        <v>31.016179690000001</v>
      </c>
      <c r="I35" s="63">
        <f t="shared" si="9"/>
        <v>0</v>
      </c>
      <c r="J35" s="713">
        <f>+IFERROR(VLOOKUP($A35,[4]globaltaxrev!A:B,2,0),18%*H35)</f>
        <v>7.4580700000000002</v>
      </c>
      <c r="K35" s="74">
        <f t="shared" si="10"/>
        <v>0.24045740237971905</v>
      </c>
      <c r="L35" s="709">
        <f t="shared" si="6"/>
        <v>22.665826080637586</v>
      </c>
      <c r="M35" s="706">
        <f t="shared" si="11"/>
        <v>8.3503536093624149</v>
      </c>
      <c r="N35" s="72">
        <f>IFERROR(VLOOKUP(A35,[4]ROU_E_2018!A:B,2,0)/1000,TableB10!C36/1000-IFERROR(VLOOKUP('Table U1'!A35,'[4]fdiinterest_net (2)'!A:D,3,0)/1000000000,0))</f>
        <v>6.3237434199999996</v>
      </c>
      <c r="O35" s="64">
        <f>+IFERROR(VLOOKUP(B35,'[4]SPE FDI income'!A:H,7,0)-VLOOKUP(B35,'[4]SPE FDI income'!A:H,8,0),0)/1000</f>
        <v>2.4627784618828998E-2</v>
      </c>
      <c r="P35" s="64"/>
      <c r="Q35" s="64">
        <f t="shared" si="7"/>
        <v>2.0019824047435866</v>
      </c>
      <c r="R35" s="698"/>
      <c r="S35" s="73">
        <f t="shared" si="2"/>
        <v>0.41020249385430529</v>
      </c>
      <c r="T35" s="87">
        <f t="shared" si="3"/>
        <v>0.40011306183393391</v>
      </c>
      <c r="U35" s="85">
        <f t="shared" si="4"/>
        <v>0.44034234665700756</v>
      </c>
      <c r="V35" s="74">
        <f>+IFERROR(VLOOKUP(B35,'[4]Table II.F 1'!A:I,9,0),DataF3!AK$49)</f>
        <v>0.47272727272727272</v>
      </c>
      <c r="W35" s="723">
        <f t="shared" si="8"/>
        <v>0</v>
      </c>
      <c r="X35" s="722">
        <v>0</v>
      </c>
      <c r="AC35" s="26"/>
    </row>
    <row r="36" spans="1:29">
      <c r="A36" s="1" t="s">
        <v>118</v>
      </c>
      <c r="B36" s="68" t="s">
        <v>119</v>
      </c>
      <c r="C36" s="719">
        <f>+[4]GDPgrowth!H31</f>
        <v>105.28437563999999</v>
      </c>
      <c r="D36" s="70">
        <f>IFERROR(+VLOOKUP($B36,[4]OECDimp!$A$2:$M$44,8,0)/1000,35%*C36)</f>
        <v>28.925318360000002</v>
      </c>
      <c r="E36" s="71">
        <f t="shared" si="5"/>
        <v>16.464738144735378</v>
      </c>
      <c r="F36" s="64">
        <f>IFERROR(VLOOKUP(B36,'[4]Eurostat personel cost'!$A$14:$D$43,4,0)*D36,MAX(M36/V36,0))</f>
        <v>12.460580215264624</v>
      </c>
      <c r="G36" s="38">
        <f t="shared" si="0"/>
        <v>15.407387699999999</v>
      </c>
      <c r="H36" s="71">
        <f>IFERROR(VLOOKUP($B36,[4]OECDimp!$A$2:$M$44,2,0)/1000,0.15*C36)</f>
        <v>15.407387699999999</v>
      </c>
      <c r="I36" s="63">
        <f t="shared" si="9"/>
        <v>0</v>
      </c>
      <c r="J36" s="713">
        <f>+IFERROR(VLOOKUP($A36,[4]globaltaxrev!A:B,2,0),18%*H36)</f>
        <v>3.1883599999999999</v>
      </c>
      <c r="K36" s="74">
        <f t="shared" si="10"/>
        <v>0.20693709161352511</v>
      </c>
      <c r="L36" s="709">
        <f t="shared" si="6"/>
        <v>9.2913413451548408</v>
      </c>
      <c r="M36" s="706">
        <f t="shared" si="11"/>
        <v>6.1160463548451593</v>
      </c>
      <c r="N36" s="72">
        <f>IFERROR(VLOOKUP(A36,[4]ROU_E_2018!A:B,2,0)/1000,TableB10!C37/1000-IFERROR(VLOOKUP('Table U1'!A36,'[4]fdiinterest_net (2)'!A:D,3,0)/1000000000,0))</f>
        <v>4.8504095100000004</v>
      </c>
      <c r="O36" s="64">
        <f>+IFERROR(VLOOKUP(B36,'[4]SPE FDI income'!A:H,7,0)-VLOOKUP(B36,'[4]SPE FDI income'!A:H,8,0),0)/1000</f>
        <v>0</v>
      </c>
      <c r="P36" s="64"/>
      <c r="Q36" s="64">
        <f t="shared" si="7"/>
        <v>1.2656368448451589</v>
      </c>
      <c r="R36" s="698"/>
      <c r="S36" s="73">
        <f t="shared" si="2"/>
        <v>0.53266095495448151</v>
      </c>
      <c r="T36" s="87">
        <f t="shared" si="3"/>
        <v>0.56431758971677048</v>
      </c>
      <c r="U36" s="85">
        <f t="shared" si="4"/>
        <v>0.49083158642587121</v>
      </c>
      <c r="V36" s="74">
        <f>+IFERROR(VLOOKUP(B36,'[4]Table II.F 1'!A:I,9,0),DataF3!AK$49)</f>
        <v>0.49083158642587121</v>
      </c>
      <c r="W36" s="723">
        <f t="shared" si="8"/>
        <v>0</v>
      </c>
      <c r="X36" s="722">
        <v>0</v>
      </c>
      <c r="AC36" s="26"/>
    </row>
    <row r="37" spans="1:29">
      <c r="A37" s="1" t="s">
        <v>743</v>
      </c>
      <c r="B37" s="68" t="s">
        <v>99</v>
      </c>
      <c r="C37" s="719">
        <f>+[4]GDPgrowth!H32</f>
        <v>54.178877610000001</v>
      </c>
      <c r="D37" s="70">
        <f>IFERROR(+VLOOKUP($B37,[4]OECDimp!$A$2:$M$44,8,0)/1000,35%*C37)</f>
        <v>19.802166020000001</v>
      </c>
      <c r="E37" s="71">
        <f t="shared" si="5"/>
        <v>13.951042463049708</v>
      </c>
      <c r="F37" s="64">
        <f>IFERROR(VLOOKUP(B37,'[4]Eurostat personel cost'!$A$14:$D$43,4,0)*D37,MAX(M37/V37,0))</f>
        <v>5.8511235569502933</v>
      </c>
      <c r="G37" s="38">
        <f t="shared" si="0"/>
        <v>5.1024096700000001</v>
      </c>
      <c r="H37" s="71">
        <f>IFERROR(VLOOKUP($B37,[4]OECDimp!$A$2:$M$44,2,0)/1000,0.15*C37)</f>
        <v>5.1024096700000001</v>
      </c>
      <c r="I37" s="63">
        <f t="shared" si="9"/>
        <v>0</v>
      </c>
      <c r="J37" s="713">
        <f>+IFERROR(VLOOKUP($A37,[4]globaltaxrev!A:B,2,0),18%*H37)</f>
        <v>1.0674600000000001</v>
      </c>
      <c r="K37" s="74">
        <f t="shared" si="10"/>
        <v>0.209207035310436</v>
      </c>
      <c r="L37" s="709">
        <f t="shared" si="6"/>
        <v>3.1220563412184612</v>
      </c>
      <c r="M37" s="706">
        <f t="shared" si="11"/>
        <v>1.9803533287815389</v>
      </c>
      <c r="N37" s="72">
        <f>IFERROR(VLOOKUP(A37,[4]ROU_E_2018!A:B,2,0)/1000,TableB10!C38/1000-IFERROR(VLOOKUP('Table U1'!A37,'[4]fdiinterest_net (2)'!A:D,3,0)/1000000000,0))</f>
        <v>1.56604948</v>
      </c>
      <c r="O37" s="64">
        <f>+IFERROR(VLOOKUP(B37,'[4]SPE FDI income'!A:H,7,0)-VLOOKUP(B37,'[4]SPE FDI income'!A:H,8,0),0)/1000</f>
        <v>0</v>
      </c>
      <c r="P37" s="64"/>
      <c r="Q37" s="64">
        <f t="shared" si="7"/>
        <v>0.41430384878153892</v>
      </c>
      <c r="R37" s="698"/>
      <c r="S37" s="73">
        <f t="shared" si="2"/>
        <v>0.25766927036399018</v>
      </c>
      <c r="T37" s="87">
        <f t="shared" si="3"/>
        <v>0.22378659870668743</v>
      </c>
      <c r="U37" s="85">
        <f t="shared" si="4"/>
        <v>0.33845693216120243</v>
      </c>
      <c r="V37" s="74">
        <f>+IFERROR(VLOOKUP(B37,'[4]Table II.F 1'!A:I,9,0),DataF3!AK$49)</f>
        <v>0.49083158642587121</v>
      </c>
      <c r="W37" s="723">
        <f t="shared" si="8"/>
        <v>0</v>
      </c>
      <c r="X37" s="722">
        <v>0</v>
      </c>
      <c r="AC37" s="26"/>
    </row>
    <row r="38" spans="1:29">
      <c r="A38" s="1" t="s">
        <v>744</v>
      </c>
      <c r="B38" s="68" t="s">
        <v>30</v>
      </c>
      <c r="C38" s="719">
        <f>+[4]GDPgrowth!H33</f>
        <v>1393.04609314</v>
      </c>
      <c r="D38" s="70">
        <f>IFERROR(+VLOOKUP($B38,[4]OECDimp!$A$2:$M$44,8,0)/1000,35%*C38)</f>
        <v>443.21800000000002</v>
      </c>
      <c r="E38" s="71">
        <f t="shared" si="5"/>
        <v>346.12251190554048</v>
      </c>
      <c r="F38" s="64">
        <f>IFERROR(VLOOKUP(B38,'[4]Eurostat personel cost'!$A$14:$D$43,4,0)*D38,MAX(M38/V38,0))</f>
        <v>97.09548809445954</v>
      </c>
      <c r="G38" s="38">
        <f t="shared" si="0"/>
        <v>196.68835938000001</v>
      </c>
      <c r="H38" s="71">
        <f>IFERROR(VLOOKUP($B38,[4]OECDimp!$A$2:$M$44,2,0)/1000,0.15*C38)</f>
        <v>196.68835938000001</v>
      </c>
      <c r="I38" s="63">
        <f t="shared" si="9"/>
        <v>0</v>
      </c>
      <c r="J38" s="713">
        <f>+IFERROR(VLOOKUP($A38,[4]globaltaxrev!A:B,2,0),18%*H38)</f>
        <v>28.790649999999999</v>
      </c>
      <c r="K38" s="74">
        <f t="shared" si="10"/>
        <v>0.14637698992840112</v>
      </c>
      <c r="L38" s="709">
        <f t="shared" si="6"/>
        <v>163.27797251070325</v>
      </c>
      <c r="M38" s="706">
        <f t="shared" si="11"/>
        <v>33.410386869296751</v>
      </c>
      <c r="N38" s="72">
        <f>IFERROR(VLOOKUP(A38,[4]ROU_E_2018!A:B,2,0)/1000,TableB10!C39/1000-IFERROR(VLOOKUP('Table U1'!A38,'[4]fdiinterest_net (2)'!A:D,3,0)/1000000000,0))</f>
        <v>28.505541249999997</v>
      </c>
      <c r="O38" s="64">
        <f>+IFERROR(VLOOKUP(B38,'[4]SPE FDI income'!A:H,7,0)-VLOOKUP(B38,'[4]SPE FDI income'!A:H,8,0),0)/1000</f>
        <v>1.6791671331019602E-2</v>
      </c>
      <c r="P38" s="64"/>
      <c r="Q38" s="64">
        <f t="shared" si="7"/>
        <v>4.8880539479657328</v>
      </c>
      <c r="R38" s="698"/>
      <c r="S38" s="73">
        <f t="shared" si="2"/>
        <v>0.44377340130590365</v>
      </c>
      <c r="T38" s="87">
        <f t="shared" si="3"/>
        <v>0.47173462255255755</v>
      </c>
      <c r="U38" s="85">
        <f t="shared" si="4"/>
        <v>0.3440982431314768</v>
      </c>
      <c r="V38" s="74">
        <f>+IFERROR(VLOOKUP(B38,'[4]Table II.F 1'!A:I,9,0),DataF3!AK$49)</f>
        <v>0.43420249411354322</v>
      </c>
      <c r="W38" s="723">
        <f t="shared" si="8"/>
        <v>0</v>
      </c>
      <c r="X38" s="722">
        <v>0</v>
      </c>
      <c r="AC38" s="26"/>
    </row>
    <row r="39" spans="1:29">
      <c r="A39" s="1" t="s">
        <v>745</v>
      </c>
      <c r="B39" s="68" t="s">
        <v>100</v>
      </c>
      <c r="C39" s="719">
        <f>+[4]GDPgrowth!H34</f>
        <v>533.87952919000008</v>
      </c>
      <c r="D39" s="70">
        <f>IFERROR(+VLOOKUP($B39,[4]OECDimp!$A$2:$M$44,8,0)/1000,35%*C39)</f>
        <v>178.997625</v>
      </c>
      <c r="E39" s="71">
        <f t="shared" si="5"/>
        <v>129.62802777425725</v>
      </c>
      <c r="F39" s="64">
        <f>IFERROR(VLOOKUP(B39,'[4]Eurostat personel cost'!$A$14:$D$43,4,0)*D39,MAX(M39/V39,0))</f>
        <v>49.369597225742751</v>
      </c>
      <c r="G39" s="38">
        <f t="shared" si="0"/>
        <v>68.312031250000004</v>
      </c>
      <c r="H39" s="71">
        <f>IFERROR(VLOOKUP($B39,[4]OECDimp!$A$2:$M$44,2,0)/1000,0.15*C39)</f>
        <v>68.312031250000004</v>
      </c>
      <c r="I39" s="63">
        <f t="shared" si="9"/>
        <v>0</v>
      </c>
      <c r="J39" s="713">
        <f>+IFERROR(VLOOKUP($A39,[4]globaltaxrev!A:B,2,0),18%*H39)</f>
        <v>16.066210000000002</v>
      </c>
      <c r="K39" s="74">
        <f t="shared" si="10"/>
        <v>0.23518858546604848</v>
      </c>
      <c r="L39" s="709">
        <f t="shared" si="6"/>
        <v>39.584906363418348</v>
      </c>
      <c r="M39" s="706">
        <f t="shared" si="11"/>
        <v>28.727124886581656</v>
      </c>
      <c r="N39" s="72">
        <f>IFERROR(VLOOKUP(A39,[4]ROU_E_2018!A:B,2,0)/1000,TableB10!C40/1000-IFERROR(VLOOKUP('Table U1'!A39,'[4]fdiinterest_net (2)'!A:D,3,0)/1000000000,0))</f>
        <v>21.970833019999997</v>
      </c>
      <c r="O39" s="64">
        <f>+IFERROR(VLOOKUP(B39,'[4]SPE FDI income'!A:H,7,0)-VLOOKUP(B39,'[4]SPE FDI income'!A:H,8,0),0)/1000</f>
        <v>0</v>
      </c>
      <c r="P39" s="64"/>
      <c r="Q39" s="64">
        <f t="shared" si="7"/>
        <v>6.756291866581658</v>
      </c>
      <c r="R39" s="698"/>
      <c r="S39" s="73">
        <f t="shared" si="2"/>
        <v>0.38163652311029267</v>
      </c>
      <c r="T39" s="87">
        <f t="shared" si="3"/>
        <v>0.30537305120736774</v>
      </c>
      <c r="U39" s="85">
        <f t="shared" si="4"/>
        <v>0.58187885866734379</v>
      </c>
      <c r="V39" s="74">
        <f>+IFERROR(VLOOKUP(B39,'[4]Table II.F 1'!A:I,9,0),DataF3!AK$49)</f>
        <v>0.45418894830659534</v>
      </c>
      <c r="W39" s="723">
        <f t="shared" si="8"/>
        <v>0</v>
      </c>
      <c r="X39" s="722">
        <v>0</v>
      </c>
      <c r="AA39" s="53"/>
      <c r="AC39" s="26"/>
    </row>
    <row r="40" spans="1:29">
      <c r="A40" s="1" t="s">
        <v>746</v>
      </c>
      <c r="B40" s="68" t="s">
        <v>21</v>
      </c>
      <c r="C40" s="719">
        <f>+[4]GDPgrowth!H35</f>
        <v>731.76739805</v>
      </c>
      <c r="D40" s="70">
        <f>IFERROR(+VLOOKUP($B40,[4]OECDimp!$A$2:$M$44,8,0)/1000,35%*C40)</f>
        <v>346.24878124999998</v>
      </c>
      <c r="E40" s="71">
        <f t="shared" si="5"/>
        <v>310.98232719580812</v>
      </c>
      <c r="F40" s="64">
        <f>IFERROR(VLOOKUP(B40,'[4]Eurostat personel cost'!$A$14:$D$43,4,0)*D40,MAX(M40/V40,0))</f>
        <v>35.266454054191854</v>
      </c>
      <c r="G40" s="38">
        <f t="shared" si="0"/>
        <v>100.34332812999999</v>
      </c>
      <c r="H40" s="71">
        <f>IFERROR(VLOOKUP($B40,[4]OECDimp!$A$2:$M$44,2,0)/1000,0.15*C40)</f>
        <v>100.34332812999999</v>
      </c>
      <c r="I40" s="63">
        <f t="shared" si="9"/>
        <v>0</v>
      </c>
      <c r="J40" s="713">
        <f>+IFERROR(VLOOKUP($A40,[4]globaltaxrev!A:B,2,0),18%*H40)</f>
        <v>22.828510000000001</v>
      </c>
      <c r="K40" s="74">
        <f t="shared" si="10"/>
        <v>0.22750401472058493</v>
      </c>
      <c r="L40" s="709">
        <f t="shared" si="6"/>
        <v>-6.9426328370462329</v>
      </c>
      <c r="M40" s="706">
        <f t="shared" si="11"/>
        <v>107.28596096704622</v>
      </c>
      <c r="N40" s="72">
        <f>IFERROR(VLOOKUP(A40,[4]ROU_E_2018!A:B,2,0)/1000,TableB10!C41/1000-IFERROR(VLOOKUP('Table U1'!A40,'[4]fdiinterest_net (2)'!A:D,3,0)/1000000000,0))</f>
        <v>101.84735038000001</v>
      </c>
      <c r="O40" s="64">
        <f>+IFERROR(VLOOKUP(B40,'[4]SPE FDI income'!A:H,7,0)-VLOOKUP(B40,'[4]SPE FDI income'!A:H,8,0),0)/1000</f>
        <v>7.8223724940951006E-2</v>
      </c>
      <c r="P40" s="64"/>
      <c r="Q40" s="769">
        <f t="shared" ref="Q40" si="12">(MAX(N40,0)+MAX(0,P40))*5%/(1-5%)</f>
        <v>5.3603868621052637</v>
      </c>
      <c r="R40" s="698"/>
      <c r="S40" s="73">
        <f t="shared" ref="S40:S71" si="13">+G40/D40</f>
        <v>0.28980124570474569</v>
      </c>
      <c r="T40" s="733">
        <f t="shared" si="3"/>
        <v>-2.2324846880044238E-2</v>
      </c>
      <c r="U40" s="85">
        <f t="shared" ref="U40:U71" si="14">IFERROR(M40/F40,"")</f>
        <v>3.0421533393231508</v>
      </c>
      <c r="V40" s="74">
        <f>+IFERROR(VLOOKUP(B40,'[4]Table II.F 1'!A:I,9,0),DataF3!AK$49)</f>
        <v>3.0421533393231508</v>
      </c>
      <c r="W40" s="723">
        <f t="shared" si="8"/>
        <v>108.07327915380816</v>
      </c>
      <c r="X40" s="722">
        <v>1</v>
      </c>
      <c r="AC40" s="26"/>
    </row>
    <row r="41" spans="1:29">
      <c r="A41" s="1" t="s">
        <v>747</v>
      </c>
      <c r="B41" s="68" t="s">
        <v>44</v>
      </c>
      <c r="C41" s="719">
        <f>+[4]GDPgrowth!H36</f>
        <v>761.00442561</v>
      </c>
      <c r="D41" s="70">
        <f>IFERROR(+VLOOKUP($B41,[4]OECDimp!$A$2:$M$44,8,0)/1000,35%*C41)</f>
        <v>173.24946875000001</v>
      </c>
      <c r="E41" s="71">
        <f t="shared" si="5"/>
        <v>169.43144546384769</v>
      </c>
      <c r="F41" s="64">
        <f>IFERROR(VLOOKUP(B41,'[4]Eurostat personel cost'!$A$14:$D$43,4,0)*D41,MAX(M41/V41,0))</f>
        <v>3.8180232861523193</v>
      </c>
      <c r="G41" s="38">
        <f t="shared" si="0"/>
        <v>166.56882811999998</v>
      </c>
      <c r="H41" s="71">
        <f>IFERROR(VLOOKUP($B41,[4]OECDimp!$A$2:$M$44,2,0)/1000,0.15*C41)</f>
        <v>166.56882811999998</v>
      </c>
      <c r="I41" s="63">
        <f t="shared" si="9"/>
        <v>0</v>
      </c>
      <c r="J41" s="713">
        <f>+IFERROR(VLOOKUP($A41,[4]globaltaxrev!A:B,2,0),18%*H41)</f>
        <v>13.893509999999999</v>
      </c>
      <c r="K41" s="74">
        <f t="shared" si="10"/>
        <v>8.3410024293325752E-2</v>
      </c>
      <c r="L41" s="709">
        <f t="shared" si="6"/>
        <v>163.49266530485883</v>
      </c>
      <c r="M41" s="706">
        <f t="shared" si="11"/>
        <v>3.0761628151411484</v>
      </c>
      <c r="N41" s="72">
        <f>IFERROR(VLOOKUP(A41,[4]ROU_E_2018!A:B,2,0)/1000,TableB10!C42/1000-IFERROR(VLOOKUP('Table U1'!A41,'[4]fdiinterest_net (2)'!A:D,3,0)/1000000000,0))</f>
        <v>2.8195799999999998</v>
      </c>
      <c r="O41" s="64">
        <f>+IFERROR(VLOOKUP(B41,'[4]SPE FDI income'!A:H,7,0)-VLOOKUP(B41,'[4]SPE FDI income'!A:H,8,0),0)/1000</f>
        <v>0</v>
      </c>
      <c r="P41" s="64"/>
      <c r="Q41" s="64">
        <f t="shared" si="7"/>
        <v>0.2565828151411485</v>
      </c>
      <c r="R41" s="698"/>
      <c r="S41" s="73">
        <f t="shared" si="13"/>
        <v>0.96143918548090768</v>
      </c>
      <c r="T41" s="87">
        <f t="shared" si="3"/>
        <v>0.96494877239150956</v>
      </c>
      <c r="U41" s="85">
        <f t="shared" si="14"/>
        <v>0.80569514237855944</v>
      </c>
      <c r="V41" s="74">
        <f>+IFERROR(VLOOKUP(B41,'[4]Table II.F 1'!A:I,9,0),DataF3!AK$49)</f>
        <v>0.80569514237855944</v>
      </c>
      <c r="W41" s="723">
        <f t="shared" si="8"/>
        <v>0</v>
      </c>
      <c r="X41" s="722">
        <v>0</v>
      </c>
      <c r="AC41" s="26"/>
    </row>
    <row r="42" spans="1:29">
      <c r="A42" s="1" t="s">
        <v>748</v>
      </c>
      <c r="B42" s="68" t="s">
        <v>28</v>
      </c>
      <c r="C42" s="719">
        <f>+[4]GDPgrowth!H37</f>
        <v>2878.67391241</v>
      </c>
      <c r="D42" s="70">
        <f>IFERROR(+VLOOKUP($B42,[4]OECDimp!$A$2:$M$44,8,0)/1000,35%*C42)</f>
        <v>1074.266875</v>
      </c>
      <c r="E42" s="71">
        <f t="shared" si="5"/>
        <v>792.05444570063355</v>
      </c>
      <c r="F42" s="64">
        <f>IFERROR(VLOOKUP(B42,'[4]Eurostat personel cost'!$A$14:$D$43,4,0)*D42,MAX(M42/V42,0))</f>
        <v>282.21242929936642</v>
      </c>
      <c r="G42" s="38">
        <f t="shared" si="0"/>
        <v>384.46734375</v>
      </c>
      <c r="H42" s="71">
        <f>IFERROR(VLOOKUP($B42,[4]OECDimp!$A$2:$M$44,2,0)/1000,0.15*C42)</f>
        <v>384.46734375</v>
      </c>
      <c r="I42" s="63">
        <f t="shared" si="9"/>
        <v>0</v>
      </c>
      <c r="J42" s="713">
        <f>+IFERROR(VLOOKUP($A42,[4]globaltaxrev!A:B,2,0),18%*H42)</f>
        <v>65.100920000000002</v>
      </c>
      <c r="K42" s="74">
        <f t="shared" si="10"/>
        <v>0.16932756723892756</v>
      </c>
      <c r="L42" s="709">
        <f t="shared" si="6"/>
        <v>322.31807914951077</v>
      </c>
      <c r="M42" s="706">
        <f t="shared" si="11"/>
        <v>62.149264600489246</v>
      </c>
      <c r="N42" s="72">
        <f>IFERROR(VLOOKUP(A42,[4]ROU_E_2018!A:B,2,0)/1000,TableB10!C43/1000-IFERROR(VLOOKUP('Table U1'!A42,'[4]fdiinterest_net (2)'!A:D,3,0)/1000000000,0))</f>
        <v>51.625680819999999</v>
      </c>
      <c r="O42" s="64">
        <f>+IFERROR(VLOOKUP(B42,'[4]SPE FDI income'!A:H,7,0)-VLOOKUP(B42,'[4]SPE FDI income'!A:H,8,0),0)/1000</f>
        <v>0</v>
      </c>
      <c r="P42" s="64"/>
      <c r="Q42" s="64">
        <f t="shared" si="7"/>
        <v>10.523583780489243</v>
      </c>
      <c r="R42" s="698"/>
      <c r="S42" s="73">
        <f t="shared" si="13"/>
        <v>0.35788811206712484</v>
      </c>
      <c r="T42" s="87">
        <f t="shared" si="3"/>
        <v>0.40693929678583579</v>
      </c>
      <c r="U42" s="85">
        <f t="shared" si="14"/>
        <v>0.22022157122839656</v>
      </c>
      <c r="V42" s="74">
        <f>+IFERROR(VLOOKUP(B42,'[4]Table II.F 1'!A:I,9,0),DataF3!AK$49)</f>
        <v>0.21898322383109015</v>
      </c>
      <c r="W42" s="723">
        <f t="shared" si="8"/>
        <v>0</v>
      </c>
      <c r="X42" s="722">
        <v>0</v>
      </c>
      <c r="AC42" s="26"/>
    </row>
    <row r="43" spans="1:29">
      <c r="A43" s="1" t="s">
        <v>749</v>
      </c>
      <c r="B43" s="68" t="s">
        <v>11</v>
      </c>
      <c r="C43" s="719">
        <f>+[4]GDPgrowth!H38</f>
        <v>21372.572436999999</v>
      </c>
      <c r="D43" s="70">
        <f>IFERROR(+VLOOKUP($B43,[4]OECDimp!$A$2:$M$44,8,0)/1000,35%*C43)</f>
        <v>7185.2020000000002</v>
      </c>
      <c r="E43" s="71">
        <f t="shared" si="5"/>
        <v>6512.4760000000006</v>
      </c>
      <c r="F43" s="64">
        <f>+'[4]US FATS'!H5/1000</f>
        <v>672.726</v>
      </c>
      <c r="G43" s="38">
        <f t="shared" si="0"/>
        <v>2028.8595</v>
      </c>
      <c r="H43" s="71">
        <f>IFERROR(VLOOKUP($B43,[4]OECDimp!$A$2:$M$44,2,0)/1000,0.15*C43)</f>
        <v>2028.8595</v>
      </c>
      <c r="I43" s="63">
        <f t="shared" si="9"/>
        <v>0</v>
      </c>
      <c r="J43" s="713">
        <f>+IFERROR(VLOOKUP($A43,[4]globaltaxrev!A:B,2,0),18%*H43)</f>
        <v>286.81943000000001</v>
      </c>
      <c r="K43" s="74">
        <f t="shared" si="10"/>
        <v>0.14136978435421477</v>
      </c>
      <c r="L43" s="709">
        <f t="shared" si="6"/>
        <v>1823.8402800047504</v>
      </c>
      <c r="M43" s="706">
        <f t="shared" si="11"/>
        <v>205.01921999524959</v>
      </c>
      <c r="N43" s="72">
        <f>IFERROR(VLOOKUP(A43,[4]ROU_E_2018!A:B,2,0)/1000,TableB10!C44/1000-IFERROR(VLOOKUP('Table U1'!A43,'[4]fdiinterest_net (2)'!A:D,3,0)/1000000000,0))</f>
        <v>175.05600000000001</v>
      </c>
      <c r="O43" s="64">
        <f>+IFERROR(VLOOKUP(B43,'[4]SPE FDI income'!A:H,7,0)-VLOOKUP(B43,'[4]SPE FDI income'!A:H,8,0),0)/1000</f>
        <v>1.141</v>
      </c>
      <c r="P43" s="64"/>
      <c r="Q43" s="64">
        <f t="shared" si="7"/>
        <v>28.822219995249593</v>
      </c>
      <c r="R43" s="698"/>
      <c r="S43" s="73">
        <f t="shared" si="13"/>
        <v>0.28236638301887684</v>
      </c>
      <c r="T43" s="87">
        <f t="shared" si="3"/>
        <v>0.28005328234679872</v>
      </c>
      <c r="U43" s="85">
        <f t="shared" si="14"/>
        <v>0.30475887656378614</v>
      </c>
      <c r="V43" s="74"/>
      <c r="W43" s="723">
        <f t="shared" si="8"/>
        <v>0</v>
      </c>
      <c r="X43" s="722">
        <v>0</v>
      </c>
      <c r="AC43" s="26"/>
    </row>
    <row r="44" spans="1:29" s="24" customFormat="1" ht="40" customHeight="1">
      <c r="A44" s="52"/>
      <c r="B44" s="55" t="s">
        <v>894</v>
      </c>
      <c r="C44" s="76">
        <f>+SUM(C45:C51)</f>
        <v>21453.353573870001</v>
      </c>
      <c r="D44" s="70">
        <f t="shared" ref="D44:G44" si="15">+SUM(D45:D51)</f>
        <v>6265.530047616001</v>
      </c>
      <c r="E44" s="70">
        <f t="shared" si="15"/>
        <v>5591.550883438762</v>
      </c>
      <c r="F44" s="62">
        <f>+SUM(F45:F51)</f>
        <v>673.9791641772382</v>
      </c>
      <c r="G44" s="38">
        <f t="shared" si="15"/>
        <v>4355.5397843439996</v>
      </c>
      <c r="H44" s="70">
        <f t="shared" ref="H44:R44" si="16">+SUM(H45:H51)</f>
        <v>4355.5397843439996</v>
      </c>
      <c r="I44" s="75">
        <f t="shared" si="16"/>
        <v>0</v>
      </c>
      <c r="J44" s="84">
        <f>+SUM(J45:J51)</f>
        <v>781.81883984420006</v>
      </c>
      <c r="K44" s="88">
        <f>J44/G44</f>
        <v>0.17949987339214538</v>
      </c>
      <c r="L44" s="709">
        <f>+SUM(L45:L51)</f>
        <v>3957.1421596730215</v>
      </c>
      <c r="M44" s="706">
        <f t="shared" si="16"/>
        <v>398.39762467097847</v>
      </c>
      <c r="N44" s="86">
        <f t="shared" si="16"/>
        <v>326.64492944585959</v>
      </c>
      <c r="O44" s="62">
        <f t="shared" si="16"/>
        <v>0</v>
      </c>
      <c r="P44" s="62">
        <f t="shared" si="16"/>
        <v>0</v>
      </c>
      <c r="Q44" s="62">
        <f>N44*K44/(1-K44)+(P44+O44)*0.05/(1-0.05)</f>
        <v>71.459737272826359</v>
      </c>
      <c r="R44" s="89">
        <f t="shared" si="16"/>
        <v>0</v>
      </c>
      <c r="S44" s="87">
        <f t="shared" si="13"/>
        <v>0.69515902904356164</v>
      </c>
      <c r="T44" s="87">
        <f t="shared" si="3"/>
        <v>0.70770028605004998</v>
      </c>
      <c r="U44" s="85">
        <f t="shared" si="14"/>
        <v>0.59111267209176033</v>
      </c>
      <c r="V44" s="88">
        <f>('[4]Table II.F 1'!$D$42+'[4]Table II.F 1'!$D$43+'[4]Table II.F 1'!$D$51+'[4]Table II.F 1'!$D$67+'[4]Table II.F 1'!$D$78+'[4]Table II.F 1'!$D$80+'[4]Table II.F 1'!$D$30)/('[4]Table II.F 1'!$C$42+'[4]Table II.F 1'!$C$43+'[4]Table II.F 1'!$C$51+'[4]Table II.F 1'!$C$67+'[4]Table II.F 1'!$C$78+'[4]Table II.F 1'!$C$80+'[4]Table II.F 1'!$C$30)</f>
        <v>0.5728439565241138</v>
      </c>
      <c r="W44" s="724">
        <f>+SUM(W45:W51)</f>
        <v>0</v>
      </c>
      <c r="X44" s="722"/>
    </row>
    <row r="45" spans="1:29">
      <c r="A45" s="1" t="s">
        <v>750</v>
      </c>
      <c r="B45" s="68" t="s">
        <v>37</v>
      </c>
      <c r="C45" s="719">
        <f>+[4]GDPgrowth!H40</f>
        <v>1873.2881589800002</v>
      </c>
      <c r="D45" s="70">
        <f>IFERROR(+VLOOKUP($B45,[4]OECDimp!$A$2:$M$44,8,0)/1000,30%*C45)</f>
        <v>511.96625</v>
      </c>
      <c r="E45" s="71">
        <f t="shared" ref="E45:E51" si="17">+D45-F45</f>
        <v>333.45811809300938</v>
      </c>
      <c r="F45" s="64">
        <f>IFERROR(VLOOKUP(B45,'[4]Eurostat personel cost'!$A$14:$D$43,4,0)*D45,MAX(M45/V45,0))</f>
        <v>178.50813190699066</v>
      </c>
      <c r="G45" s="38">
        <f t="shared" ref="G45:G51" si="18">H45+I45</f>
        <v>351.06943749999999</v>
      </c>
      <c r="H45" s="71">
        <f>IFERROR(VLOOKUP($B45,[4]OECDimp!$A$2:$M$44,2,0)/1000,0.2*C45)</f>
        <v>351.06943749999999</v>
      </c>
      <c r="I45" s="63">
        <f t="shared" si="9"/>
        <v>0</v>
      </c>
      <c r="J45" s="713">
        <f>+IFERROR(VLOOKUP($A45,[4]globaltaxrev!A:B,2,0),18%*H45)</f>
        <v>52.606450000000002</v>
      </c>
      <c r="K45" s="74">
        <f>J45/G45</f>
        <v>0.14984628219025761</v>
      </c>
      <c r="L45" s="709">
        <f t="shared" ref="L45:L51" si="19">+G45-M45</f>
        <v>299.46935732506705</v>
      </c>
      <c r="M45" s="706">
        <f t="shared" ref="M45:M88" si="20">N45+O45+P45+Q45</f>
        <v>51.60008017493292</v>
      </c>
      <c r="N45" s="72">
        <f>IFERROR(VLOOKUP(A45,[4]ROU_E_2018!A:B,2,0)/1000,TableB10!C46/1000-IFERROR(VLOOKUP('Table U1'!A45,'[4]fdiinterest_net (2)'!A:D,3,0)/1000000000,0))</f>
        <v>43.868000000000002</v>
      </c>
      <c r="O45" s="64">
        <f>+IFERROR(VLOOKUP(B45,'[4]SPE FDI income'!A:H,7,0)-VLOOKUP(B45,'[4]SPE FDI income'!A:H,8,0),0)/1000</f>
        <v>0</v>
      </c>
      <c r="P45" s="64"/>
      <c r="Q45" s="64">
        <f t="shared" ref="Q45:Q51" si="21">MAX(N45,0)*(J45/H45)/(1-J45/H45)+MAX(P45,0)*5%/(1-5%)</f>
        <v>7.732080174932916</v>
      </c>
      <c r="R45" s="698"/>
      <c r="S45" s="73">
        <f t="shared" si="13"/>
        <v>0.68572769689408231</v>
      </c>
      <c r="T45" s="87">
        <f t="shared" si="3"/>
        <v>0.89807187492594787</v>
      </c>
      <c r="U45" s="85">
        <f t="shared" si="14"/>
        <v>0.28906291060072531</v>
      </c>
      <c r="V45" s="74">
        <f>+IFERROR(VLOOKUP(B45,'[4]Table II.F 1'!A:I,9,0),DataF3!AK$49)</f>
        <v>0.28906291060072531</v>
      </c>
      <c r="W45" s="723">
        <f t="shared" ref="W45:W51" si="22">IF(X45=1,MAX((U45-T45)*F45,0),0)</f>
        <v>0</v>
      </c>
      <c r="X45" s="722">
        <v>0</v>
      </c>
    </row>
    <row r="46" spans="1:29">
      <c r="A46" s="1" t="s">
        <v>120</v>
      </c>
      <c r="B46" s="68" t="s">
        <v>47</v>
      </c>
      <c r="C46" s="719">
        <f>+[4]GDPgrowth!H41</f>
        <v>14279.93750061</v>
      </c>
      <c r="D46" s="70">
        <f>IFERROR(+VLOOKUP($B46,[4]OECDimp!$A$2:$M$44,8,0)/1000,30%*C46)</f>
        <v>4161.1932500000003</v>
      </c>
      <c r="E46" s="71">
        <f t="shared" si="17"/>
        <v>3927.5166905406209</v>
      </c>
      <c r="F46" s="64">
        <f>IFERROR(VLOOKUP(B46,'[4]Eurostat personel cost'!$A$14:$D$43,4,0)*D46,MAX(M46/V46,0))</f>
        <v>233.67655945937932</v>
      </c>
      <c r="G46" s="38">
        <f t="shared" si="18"/>
        <v>2923.3314999999998</v>
      </c>
      <c r="H46" s="71">
        <f>IFERROR(VLOOKUP($B46,[4]OECDimp!$A$2:$M$44,2,0)/1000,0.2*C46)</f>
        <v>2923.3314999999998</v>
      </c>
      <c r="I46" s="63">
        <f t="shared" si="9"/>
        <v>0</v>
      </c>
      <c r="J46" s="713">
        <f>+IFERROR(VLOOKUP($A46,[4]globaltaxrev!A:B,2,0),18%*H46)</f>
        <v>537.69146999999998</v>
      </c>
      <c r="K46" s="74">
        <f t="shared" ref="K46:K53" si="23">J46/G46</f>
        <v>0.18393106289861413</v>
      </c>
      <c r="L46" s="709">
        <f t="shared" si="19"/>
        <v>2709.9032270857515</v>
      </c>
      <c r="M46" s="706">
        <f t="shared" si="20"/>
        <v>213.42827291424817</v>
      </c>
      <c r="N46" s="72">
        <f>IFERROR(VLOOKUP(A46,[4]ROU_E_2018!A:B,2,0)/1000,TableB10!C47/1000-IFERROR(VLOOKUP('Table U1'!A46,'[4]fdiinterest_net (2)'!A:D,3,0)/1000000000,0))</f>
        <v>174.172183824515</v>
      </c>
      <c r="O46" s="64">
        <f>+IFERROR(VLOOKUP(B46,'[4]SPE FDI income'!A:H,7,0)-VLOOKUP(B46,'[4]SPE FDI income'!A:H,8,0),0)/1000</f>
        <v>0</v>
      </c>
      <c r="P46" s="64"/>
      <c r="Q46" s="64">
        <f t="shared" si="21"/>
        <v>39.256089089733166</v>
      </c>
      <c r="R46" s="699"/>
      <c r="S46" s="73">
        <f t="shared" si="13"/>
        <v>0.70252240748492023</v>
      </c>
      <c r="T46" s="87">
        <f t="shared" si="3"/>
        <v>0.68997879337152723</v>
      </c>
      <c r="U46" s="85">
        <f t="shared" si="14"/>
        <v>0.91334908990453978</v>
      </c>
      <c r="V46" s="74">
        <f>+IFERROR(VLOOKUP(B46,'[4]Table II.F 1'!A:I,9,0),DataF3!AK$49)</f>
        <v>0.91334908990453978</v>
      </c>
      <c r="W46" s="723">
        <f t="shared" si="22"/>
        <v>0</v>
      </c>
      <c r="X46" s="722">
        <v>0</v>
      </c>
    </row>
    <row r="47" spans="1:29">
      <c r="A47" s="1" t="s">
        <v>751</v>
      </c>
      <c r="B47" s="68" t="s">
        <v>121</v>
      </c>
      <c r="C47" s="719">
        <f>+[4]GDPgrowth!H42</f>
        <v>323.10954332</v>
      </c>
      <c r="D47" s="70">
        <f>IFERROR(+VLOOKUP($B47,[4]OECDimp!$A$2:$M$44,8,0)/1000,30%*C47)</f>
        <v>68.378398439999998</v>
      </c>
      <c r="E47" s="71">
        <f t="shared" si="17"/>
        <v>45.442823247734566</v>
      </c>
      <c r="F47" s="64">
        <f>IFERROR(VLOOKUP(B47,'[4]Eurostat personel cost'!$A$14:$D$43,4,0)*D47,MAX(M47/V47,0))</f>
        <v>22.935575192265436</v>
      </c>
      <c r="G47" s="38">
        <f t="shared" si="18"/>
        <v>61.907554689999998</v>
      </c>
      <c r="H47" s="71">
        <f>IFERROR(VLOOKUP($B47,[4]OECDimp!$A$2:$M$44,2,0)/1000,0.2*C47)</f>
        <v>61.907554689999998</v>
      </c>
      <c r="I47" s="63">
        <f t="shared" si="9"/>
        <v>0</v>
      </c>
      <c r="J47" s="713">
        <f>+IFERROR(VLOOKUP($A47,[4]globaltaxrev!A:B,2,0),18%*H47)</f>
        <v>11.143359844199999</v>
      </c>
      <c r="K47" s="74">
        <f t="shared" si="23"/>
        <v>0.18</v>
      </c>
      <c r="L47" s="709">
        <f t="shared" si="19"/>
        <v>50.14843761682927</v>
      </c>
      <c r="M47" s="706">
        <f t="shared" si="20"/>
        <v>11.759117073170732</v>
      </c>
      <c r="N47" s="72">
        <f>IFERROR(VLOOKUP(A47,[4]ROU_E_2018!A:B,2,0)/1000,TableB10!C48/1000-IFERROR(VLOOKUP('Table U1'!A47,'[4]fdiinterest_net (2)'!A:D,3,0)/1000000000,0))</f>
        <v>9.6424760000000003</v>
      </c>
      <c r="O47" s="64">
        <f>+IFERROR(VLOOKUP(B47,'[4]SPE FDI income'!A:H,7,0)-VLOOKUP(B47,'[4]SPE FDI income'!A:H,8,0),0)/1000</f>
        <v>0</v>
      </c>
      <c r="P47" s="64"/>
      <c r="Q47" s="64">
        <f t="shared" si="21"/>
        <v>2.1166410731707317</v>
      </c>
      <c r="R47" s="699"/>
      <c r="S47" s="73">
        <f t="shared" si="13"/>
        <v>0.90536713497789845</v>
      </c>
      <c r="T47" s="87">
        <f t="shared" si="3"/>
        <v>1.1035502205362933</v>
      </c>
      <c r="U47" s="85">
        <f t="shared" si="14"/>
        <v>0.51270207852193994</v>
      </c>
      <c r="V47" s="74">
        <f>+IFERROR(VLOOKUP(B47,'[4]Table II.F 1'!A:I,9,0),DataF3!AK$49)</f>
        <v>0.51270207852193994</v>
      </c>
      <c r="W47" s="723">
        <f t="shared" si="22"/>
        <v>0</v>
      </c>
      <c r="X47" s="722">
        <v>0</v>
      </c>
    </row>
    <row r="48" spans="1:29">
      <c r="A48" s="1" t="s">
        <v>752</v>
      </c>
      <c r="B48" s="68" t="s">
        <v>122</v>
      </c>
      <c r="C48" s="719">
        <f>+[4]GDPgrowth!H43</f>
        <v>64.417670080000008</v>
      </c>
      <c r="D48" s="70">
        <f>IFERROR(+VLOOKUP($B48,[4]OECDimp!$A$2:$M$44,8,0)/1000,30%*C48)</f>
        <v>16.952833980000001</v>
      </c>
      <c r="E48" s="71">
        <f t="shared" si="17"/>
        <v>10.238706321356794</v>
      </c>
      <c r="F48" s="64">
        <f>IFERROR(VLOOKUP(B48,'[4]Eurostat personel cost'!$A$14:$D$43,4,0)*D48,MAX(M48/V48,0))</f>
        <v>6.714127658643207</v>
      </c>
      <c r="G48" s="38">
        <f t="shared" si="18"/>
        <v>14.493277340000001</v>
      </c>
      <c r="H48" s="71">
        <f>IFERROR(VLOOKUP($B48,[4]OECDimp!$A$2:$M$44,2,0)/1000,0.2*C48)</f>
        <v>14.493277340000001</v>
      </c>
      <c r="I48" s="63">
        <f t="shared" si="9"/>
        <v>0</v>
      </c>
      <c r="J48" s="713">
        <f>+IFERROR(VLOOKUP($A48,[4]globaltaxrev!A:B,2,0),18%*H48)</f>
        <v>1.8016300000000001</v>
      </c>
      <c r="K48" s="74">
        <f t="shared" si="23"/>
        <v>0.12430797794972714</v>
      </c>
      <c r="L48" s="709">
        <f t="shared" si="19"/>
        <v>11.092512088048174</v>
      </c>
      <c r="M48" s="706">
        <f t="shared" si="20"/>
        <v>3.4007652519518254</v>
      </c>
      <c r="N48" s="72">
        <f>IFERROR(VLOOKUP(A48,[4]ROU_E_2018!A:B,2,0)/1000,TableB10!C49/1000-IFERROR(VLOOKUP('Table U1'!A48,'[4]fdiinterest_net (2)'!A:D,3,0)/1000000000,0))</f>
        <v>2.9780229999999999</v>
      </c>
      <c r="O48" s="64">
        <f>+IFERROR(VLOOKUP(B48,'[4]SPE FDI income'!A:H,7,0)-VLOOKUP(B48,'[4]SPE FDI income'!A:H,8,0),0)/1000</f>
        <v>0</v>
      </c>
      <c r="P48" s="64"/>
      <c r="Q48" s="64">
        <f t="shared" si="21"/>
        <v>0.4227422519518258</v>
      </c>
      <c r="R48" s="699"/>
      <c r="S48" s="73">
        <f t="shared" si="13"/>
        <v>0.85491767082119441</v>
      </c>
      <c r="T48" s="87">
        <f t="shared" si="3"/>
        <v>1.0833900045468086</v>
      </c>
      <c r="U48" s="85">
        <f t="shared" si="14"/>
        <v>0.50650887573964498</v>
      </c>
      <c r="V48" s="74">
        <f>+IFERROR(VLOOKUP(B48,'[4]Table II.F 1'!A:I,9,0),DataF3!AK$49)</f>
        <v>0.50650887573964498</v>
      </c>
      <c r="W48" s="723">
        <f t="shared" si="22"/>
        <v>0</v>
      </c>
      <c r="X48" s="722">
        <v>0</v>
      </c>
    </row>
    <row r="49" spans="1:28">
      <c r="A49" s="1" t="s">
        <v>753</v>
      </c>
      <c r="B49" s="68" t="s">
        <v>45</v>
      </c>
      <c r="C49" s="719">
        <f>+[4]GDPgrowth!H44</f>
        <v>2831.5522225199998</v>
      </c>
      <c r="D49" s="70">
        <f>IFERROR(+VLOOKUP($B49,[4]OECDimp!$A$2:$M$44,8,0)/1000,30%*C49)</f>
        <v>849.46566675599991</v>
      </c>
      <c r="E49" s="71">
        <f t="shared" si="17"/>
        <v>759.22237696395246</v>
      </c>
      <c r="F49" s="64">
        <f>IFERROR(VLOOKUP(B49,'[4]Eurostat personel cost'!$A$14:$D$43,4,0)*D49,MAX(M49/V49,0))</f>
        <v>90.243289792047506</v>
      </c>
      <c r="G49" s="38">
        <f t="shared" si="18"/>
        <v>566.31044450399997</v>
      </c>
      <c r="H49" s="71">
        <f>IFERROR(VLOOKUP($B49,[4]OECDimp!$A$2:$M$44,2,0)/1000,0.2*C49)</f>
        <v>566.31044450399997</v>
      </c>
      <c r="I49" s="63">
        <f t="shared" si="9"/>
        <v>0</v>
      </c>
      <c r="J49" s="713">
        <f>+IFERROR(VLOOKUP($A49,[4]globaltaxrev!A:B,2,0),18%*H49)</f>
        <v>90.875349999999997</v>
      </c>
      <c r="K49" s="74">
        <f t="shared" si="23"/>
        <v>0.16046913999545373</v>
      </c>
      <c r="L49" s="709">
        <f t="shared" si="19"/>
        <v>539.7918760010815</v>
      </c>
      <c r="M49" s="706">
        <f t="shared" si="20"/>
        <v>26.518568502918477</v>
      </c>
      <c r="N49" s="72">
        <f>IFERROR(VLOOKUP(A49,[4]ROU_E_2018!A:B,2,0)/1000,TableB10!C50/1000-IFERROR(VLOOKUP('Table U1'!A49,'[4]fdiinterest_net (2)'!A:D,3,0)/1000000000,0))</f>
        <v>22.263156621344621</v>
      </c>
      <c r="O49" s="64">
        <f>+IFERROR(VLOOKUP(B49,'[4]SPE FDI income'!A:H,7,0)-VLOOKUP(B49,'[4]SPE FDI income'!A:H,8,0),0)/1000</f>
        <v>0</v>
      </c>
      <c r="P49" s="64"/>
      <c r="Q49" s="64">
        <f t="shared" si="21"/>
        <v>4.2554118815738544</v>
      </c>
      <c r="R49" s="699"/>
      <c r="S49" s="73">
        <f t="shared" si="13"/>
        <v>0.66666666666666674</v>
      </c>
      <c r="T49" s="87">
        <f t="shared" si="3"/>
        <v>0.71097993470588994</v>
      </c>
      <c r="U49" s="85">
        <f t="shared" si="14"/>
        <v>0.29385640266469282</v>
      </c>
      <c r="V49" s="74">
        <f>+IFERROR(VLOOKUP(B49,'[4]Table II.F 1'!A:I,9,0),DataF3!AK$49)</f>
        <v>0.29385640266469282</v>
      </c>
      <c r="W49" s="723">
        <f t="shared" si="22"/>
        <v>0</v>
      </c>
      <c r="X49" s="722">
        <v>0</v>
      </c>
    </row>
    <row r="50" spans="1:28">
      <c r="A50" s="1" t="s">
        <v>123</v>
      </c>
      <c r="B50" s="68" t="s">
        <v>46</v>
      </c>
      <c r="C50" s="719">
        <f>+[4]GDPgrowth!H45</f>
        <v>1693.11390426</v>
      </c>
      <c r="D50" s="70">
        <f>IFERROR(+VLOOKUP($B50,[4]OECDimp!$A$2:$M$44,8,0)/1000,30%*C50)</f>
        <v>553.69043750000003</v>
      </c>
      <c r="E50" s="71">
        <f t="shared" si="17"/>
        <v>433.37096758993243</v>
      </c>
      <c r="F50" s="64">
        <f>IFERROR(VLOOKUP(B50,'[4]Eurostat personel cost'!$A$14:$D$43,4,0)*D50,MAX(M50/V50,0))</f>
        <v>120.31946991006758</v>
      </c>
      <c r="G50" s="38">
        <f t="shared" si="18"/>
        <v>373.17500000000001</v>
      </c>
      <c r="H50" s="71">
        <f>IFERROR(VLOOKUP($B50,[4]OECDimp!$A$2:$M$44,2,0)/1000,0.2*C50)</f>
        <v>373.17500000000001</v>
      </c>
      <c r="I50" s="63">
        <f t="shared" si="9"/>
        <v>0</v>
      </c>
      <c r="J50" s="713">
        <f>+IFERROR(VLOOKUP($A50,[4]globaltaxrev!A:B,2,0),18%*H50)</f>
        <v>70.846710000000002</v>
      </c>
      <c r="K50" s="74">
        <f t="shared" si="23"/>
        <v>0.18984848931466469</v>
      </c>
      <c r="L50" s="709">
        <f t="shared" si="19"/>
        <v>289.70132981848974</v>
      </c>
      <c r="M50" s="706">
        <f t="shared" si="20"/>
        <v>83.4736701815103</v>
      </c>
      <c r="N50" s="72">
        <f>IFERROR(VLOOKUP(A50,[4]ROU_E_2018!A:B,2,0)/1000,TableB10!C51/1000-IFERROR(VLOOKUP('Table U1'!A50,'[4]fdiinterest_net (2)'!A:D,3,0)/1000000000,0))</f>
        <v>67.626319999999993</v>
      </c>
      <c r="O50" s="64">
        <f>+IFERROR(VLOOKUP(B50,'[4]SPE FDI income'!A:H,7,0)-VLOOKUP(B50,'[4]SPE FDI income'!A:H,8,0),0)/1000</f>
        <v>0</v>
      </c>
      <c r="P50" s="64"/>
      <c r="Q50" s="64">
        <f t="shared" si="21"/>
        <v>15.847350181510301</v>
      </c>
      <c r="R50" s="699"/>
      <c r="S50" s="73">
        <f t="shared" si="13"/>
        <v>0.67397768631321175</v>
      </c>
      <c r="T50" s="87">
        <f t="shared" si="3"/>
        <v>0.66848347370747996</v>
      </c>
      <c r="U50" s="85">
        <f t="shared" si="14"/>
        <v>0.69376693766937669</v>
      </c>
      <c r="V50" s="74">
        <f>+IFERROR(VLOOKUP(B50,'[4]Table II.F 1'!A:I,9,0),DataF3!AK$49)</f>
        <v>0.69376693766937669</v>
      </c>
      <c r="W50" s="723">
        <f t="shared" si="22"/>
        <v>0</v>
      </c>
      <c r="X50" s="722">
        <v>0</v>
      </c>
    </row>
    <row r="51" spans="1:28">
      <c r="A51" s="1" t="s">
        <v>754</v>
      </c>
      <c r="B51" s="68" t="s">
        <v>39</v>
      </c>
      <c r="C51" s="719">
        <f>+[4]GDPgrowth!H46</f>
        <v>387.93457410000002</v>
      </c>
      <c r="D51" s="70">
        <f>IFERROR(+VLOOKUP($B51,[4]OECDimp!$A$2:$M$44,8,0)/1000,30%*C51)</f>
        <v>103.88321094</v>
      </c>
      <c r="E51" s="71">
        <f t="shared" si="17"/>
        <v>82.301200682155468</v>
      </c>
      <c r="F51" s="64">
        <f>IFERROR(VLOOKUP(B51,'[4]Eurostat personel cost'!$A$14:$D$43,4,0)*D51,MAX(M51/V51,0))</f>
        <v>21.582010257844527</v>
      </c>
      <c r="G51" s="38">
        <f t="shared" si="18"/>
        <v>65.252570309999996</v>
      </c>
      <c r="H51" s="71">
        <f>IFERROR(VLOOKUP($B51,[4]OECDimp!$A$2:$M$44,2,0)/1000,0.2*C51)</f>
        <v>65.252570309999996</v>
      </c>
      <c r="I51" s="63">
        <f t="shared" si="9"/>
        <v>0</v>
      </c>
      <c r="J51" s="713">
        <f>+IFERROR(VLOOKUP($A51,[4]globaltaxrev!A:B,2,0),18%*H51)</f>
        <v>16.853870000000001</v>
      </c>
      <c r="K51" s="74">
        <f t="shared" si="23"/>
        <v>0.25828668387974801</v>
      </c>
      <c r="L51" s="709">
        <f t="shared" si="19"/>
        <v>57.035419737754005</v>
      </c>
      <c r="M51" s="706">
        <f t="shared" si="20"/>
        <v>8.2171505722459912</v>
      </c>
      <c r="N51" s="72">
        <f>IFERROR(VLOOKUP(A51,[4]ROU_E_2018!A:B,2,0)/1000,TableB10!C52/1000-IFERROR(VLOOKUP('Table U1'!A51,'[4]fdiinterest_net (2)'!A:D,3,0)/1000000000,0))</f>
        <v>6.0947700000000005</v>
      </c>
      <c r="O51" s="64">
        <f>+IFERROR(VLOOKUP(B51,'[4]SPE FDI income'!A:H,7,0)-VLOOKUP(B51,'[4]SPE FDI income'!A:H,8,0),0)/1000</f>
        <v>0</v>
      </c>
      <c r="P51" s="64"/>
      <c r="Q51" s="64">
        <f t="shared" si="21"/>
        <v>2.1223805722459907</v>
      </c>
      <c r="R51" s="699"/>
      <c r="S51" s="73">
        <f t="shared" si="13"/>
        <v>0.62813393732783285</v>
      </c>
      <c r="T51" s="87">
        <f t="shared" si="3"/>
        <v>0.69300835546765494</v>
      </c>
      <c r="U51" s="85">
        <f t="shared" si="14"/>
        <v>0.38074074074074077</v>
      </c>
      <c r="V51" s="74">
        <f>+IFERROR(VLOOKUP(B51,'[4]Table II.F 1'!A:I,9,0),DataF3!AK$49)</f>
        <v>0.38074074074074077</v>
      </c>
      <c r="W51" s="723">
        <f t="shared" si="22"/>
        <v>0</v>
      </c>
      <c r="X51" s="722">
        <v>0</v>
      </c>
    </row>
    <row r="52" spans="1:28" s="78" customFormat="1" ht="40" customHeight="1">
      <c r="A52" s="77"/>
      <c r="B52" s="55" t="s">
        <v>124</v>
      </c>
      <c r="C52" s="76">
        <f t="shared" ref="C52:I52" si="24">SUM(C53:C88)</f>
        <v>1195.2797658200002</v>
      </c>
      <c r="D52" s="62">
        <f t="shared" si="24"/>
        <v>351.08382558349996</v>
      </c>
      <c r="E52" s="62">
        <f t="shared" si="24"/>
        <v>252.28287306058792</v>
      </c>
      <c r="F52" s="89">
        <f t="shared" si="24"/>
        <v>98.800952522912013</v>
      </c>
      <c r="G52" s="84">
        <f t="shared" si="24"/>
        <v>569.32219191671777</v>
      </c>
      <c r="H52" s="62">
        <f t="shared" si="24"/>
        <v>0</v>
      </c>
      <c r="I52" s="62">
        <f t="shared" si="24"/>
        <v>0</v>
      </c>
      <c r="J52" s="84">
        <f>SUM(J53:J88)</f>
        <v>28.466109595835881</v>
      </c>
      <c r="K52" s="88">
        <v>0.05</v>
      </c>
      <c r="L52" s="709">
        <f t="shared" ref="L52:Q52" si="25">SUM(L53:L88)</f>
        <v>119.52797658200001</v>
      </c>
      <c r="M52" s="706">
        <f t="shared" si="25"/>
        <v>449.79421533471765</v>
      </c>
      <c r="N52" s="62">
        <f t="shared" si="25"/>
        <v>195.70177487299998</v>
      </c>
      <c r="O52" s="62">
        <f t="shared" si="25"/>
        <v>0</v>
      </c>
      <c r="P52" s="62">
        <f t="shared" si="25"/>
        <v>231.74172993883599</v>
      </c>
      <c r="Q52" s="62">
        <f t="shared" si="25"/>
        <v>22.350710522881752</v>
      </c>
      <c r="R52" s="89">
        <f>+R82</f>
        <v>0</v>
      </c>
      <c r="S52" s="87">
        <f t="shared" si="13"/>
        <v>1.6216132741817613</v>
      </c>
      <c r="T52" s="733">
        <f>(L8+L44+L89)/(E8+E44+E89)</f>
        <v>0.47342973416788087</v>
      </c>
      <c r="U52" s="85">
        <f t="shared" si="14"/>
        <v>4.5525291391336538</v>
      </c>
      <c r="V52" s="88">
        <f>('[4]Table II.F 1'!$D$57+'[4]Table II.F 1'!$D$79+'[4]Table II.F 1'!$D$86)/('[4]Table II.F 1'!$C$57+'[4]Table II.F 1'!$C$79+'[4]Table II.F 1'!$C$86)</f>
        <v>2.6709242843071839</v>
      </c>
      <c r="W52" s="724">
        <f>SUM(W53:W88)</f>
        <v>407.39113229017516</v>
      </c>
      <c r="X52" s="722"/>
    </row>
    <row r="53" spans="1:28" ht="15.75" customHeight="1">
      <c r="A53" s="1" t="s">
        <v>125</v>
      </c>
      <c r="B53" s="68" t="str">
        <f>+[4]TableA1!A54</f>
        <v>Andorra</v>
      </c>
      <c r="C53" s="719">
        <f>+[4]GDPgrowth!H48</f>
        <v>3.1551493500000003</v>
      </c>
      <c r="D53" s="70">
        <f>IFERROR(+VLOOKUP($B53,[4]OECDimp!$A$2:$M$44,8,0)/1000,30%*C53)</f>
        <v>0.94654480500000004</v>
      </c>
      <c r="E53" s="71">
        <f t="shared" ref="E53:E87" si="26">L53/T53</f>
        <v>0.66644511788969441</v>
      </c>
      <c r="F53" s="64">
        <f>D53-E53</f>
        <v>0.28009968711030564</v>
      </c>
      <c r="G53" s="38">
        <f>L53+M53</f>
        <v>0.82209439874219403</v>
      </c>
      <c r="H53" s="71"/>
      <c r="I53" s="63"/>
      <c r="J53" s="713">
        <f>K$52*G53</f>
        <v>4.1104719937109707E-2</v>
      </c>
      <c r="K53" s="74">
        <f t="shared" si="23"/>
        <v>5.000000000000001E-2</v>
      </c>
      <c r="L53" s="709">
        <f t="shared" ref="L53:L88" si="27">C53*0.1</f>
        <v>0.31551493500000005</v>
      </c>
      <c r="M53" s="706">
        <f t="shared" si="20"/>
        <v>0.50657946374219398</v>
      </c>
      <c r="N53" s="72">
        <f>0.15*C53</f>
        <v>0.47327240250000002</v>
      </c>
      <c r="O53" s="64">
        <v>0</v>
      </c>
      <c r="P53" s="64">
        <f>(TableB10!G54-TableB10!P54+TableB10!J54+TableB10!K54)/1000</f>
        <v>7.9780880550842891E-3</v>
      </c>
      <c r="Q53" s="64">
        <f>(MAX(N53,0)+MAX(0,P53))*5%/(1-5%)</f>
        <v>2.5328973187109704E-2</v>
      </c>
      <c r="R53" s="699"/>
      <c r="S53" s="73">
        <f t="shared" si="13"/>
        <v>0.8685213783854574</v>
      </c>
      <c r="T53" s="87">
        <f>T$52</f>
        <v>0.47342973416788087</v>
      </c>
      <c r="U53" s="85">
        <f t="shared" si="14"/>
        <v>1.8085684742043238</v>
      </c>
      <c r="V53" s="74">
        <f>+IFERROR(VLOOKUP(B53,'[4]Table II.F 1'!A:I,9,0),DataF3!AJ$49)</f>
        <v>3.9609018051082314</v>
      </c>
      <c r="W53" s="723">
        <f t="shared" ref="W53:W88" si="28">IF(X53=1,MAX((U53-T53)*F53,0),0)</f>
        <v>0.37397194333305539</v>
      </c>
      <c r="X53" s="722">
        <v>1</v>
      </c>
    </row>
    <row r="54" spans="1:28" ht="15.75" customHeight="1">
      <c r="A54" s="1" t="s">
        <v>755</v>
      </c>
      <c r="B54" s="68" t="str">
        <f>+[4]TableA1!A55</f>
        <v>Anguilla</v>
      </c>
      <c r="C54" s="719">
        <f>+[4]GDPgrowth!H49</f>
        <v>0.291932109</v>
      </c>
      <c r="D54" s="70">
        <f>IFERROR(+VLOOKUP($B54,[4]OECDimp!$A$2:$M$44,8,0)/1000,30%*C54)</f>
        <v>8.7579632699999993E-2</v>
      </c>
      <c r="E54" s="71">
        <f t="shared" si="26"/>
        <v>6.1663239110469399E-2</v>
      </c>
      <c r="F54" s="64">
        <f t="shared" ref="F54:F87" si="29">D54-E54</f>
        <v>2.5916393589530594E-2</v>
      </c>
      <c r="G54" s="38">
        <f t="shared" ref="G54:G87" si="30">L54+M54</f>
        <v>7.3509754426315785E-2</v>
      </c>
      <c r="H54" s="71"/>
      <c r="I54" s="63"/>
      <c r="J54" s="713">
        <f t="shared" ref="J54:J88" si="31">K$52*G54</f>
        <v>3.6754877213157895E-3</v>
      </c>
      <c r="K54" s="74">
        <f t="shared" ref="K54:K88" si="32">J54/G54</f>
        <v>0.05</v>
      </c>
      <c r="L54" s="709">
        <f t="shared" si="27"/>
        <v>2.9193210900000002E-2</v>
      </c>
      <c r="M54" s="706">
        <f t="shared" si="20"/>
        <v>4.4316543526315783E-2</v>
      </c>
      <c r="N54" s="72">
        <f t="shared" ref="N54:N87" si="33">0.15*C54</f>
        <v>4.3789816349999997E-2</v>
      </c>
      <c r="O54" s="64">
        <v>0</v>
      </c>
      <c r="P54" s="64">
        <f>(TableB10!G55-TableB10!P55+TableB10!J55+TableB10!K55)/1000</f>
        <v>-1.7780000000000001E-3</v>
      </c>
      <c r="Q54" s="64">
        <f t="shared" ref="Q54:Q87" si="34">(MAX(N54,0)+MAX(0,P54))*5%/(1-5%)</f>
        <v>2.3047271763157896E-3</v>
      </c>
      <c r="R54" s="699"/>
      <c r="S54" s="73">
        <f t="shared" si="13"/>
        <v>0.83934759898023403</v>
      </c>
      <c r="T54" s="87">
        <f t="shared" ref="T54:T87" si="35">T$52</f>
        <v>0.47342973416788087</v>
      </c>
      <c r="U54" s="85">
        <f t="shared" si="14"/>
        <v>1.7099811118865809</v>
      </c>
      <c r="V54" s="74">
        <f>+IFERROR(VLOOKUP("Other Western Hemisphere",'[4]Table II.F 1'!A:I,9,0),DataF3!AJ$49)</f>
        <v>8.5050258082042927</v>
      </c>
      <c r="W54" s="723">
        <f t="shared" si="28"/>
        <v>3.204695219863414E-2</v>
      </c>
      <c r="X54" s="722">
        <v>1</v>
      </c>
    </row>
    <row r="55" spans="1:28" ht="15.75" customHeight="1">
      <c r="A55" s="1" t="s">
        <v>756</v>
      </c>
      <c r="B55" s="68" t="str">
        <f>+[4]TableA1!A56</f>
        <v>Antigua and Barbuda</v>
      </c>
      <c r="C55" s="719">
        <f>+[4]GDPgrowth!H50</f>
        <v>1.6875333299999999</v>
      </c>
      <c r="D55" s="70">
        <f>IFERROR(+VLOOKUP($B55,[4]OECDimp!$A$2:$M$44,8,0)/1000,30%*C55)</f>
        <v>0.50625999899999996</v>
      </c>
      <c r="E55" s="71">
        <f t="shared" si="26"/>
        <v>0.35644853041731239</v>
      </c>
      <c r="F55" s="64">
        <f t="shared" si="29"/>
        <v>0.14981146858268757</v>
      </c>
      <c r="G55" s="38">
        <f t="shared" si="30"/>
        <v>0.43520596405263157</v>
      </c>
      <c r="H55" s="71"/>
      <c r="I55" s="63"/>
      <c r="J55" s="713">
        <f t="shared" si="31"/>
        <v>2.1760298202631579E-2</v>
      </c>
      <c r="K55" s="74">
        <f t="shared" si="32"/>
        <v>0.05</v>
      </c>
      <c r="L55" s="709">
        <f t="shared" si="27"/>
        <v>0.16875333300000001</v>
      </c>
      <c r="M55" s="706">
        <f t="shared" si="20"/>
        <v>0.26645263105263156</v>
      </c>
      <c r="N55" s="72">
        <f t="shared" si="33"/>
        <v>0.25312999949999998</v>
      </c>
      <c r="O55" s="64">
        <v>0</v>
      </c>
      <c r="P55" s="64">
        <f>(TableB10!G56-TableB10!P56+TableB10!J56+TableB10!K56)/1000</f>
        <v>0</v>
      </c>
      <c r="Q55" s="64">
        <f t="shared" si="34"/>
        <v>1.3322631552631579E-2</v>
      </c>
      <c r="R55" s="699"/>
      <c r="S55" s="73">
        <f t="shared" si="13"/>
        <v>0.85964912280701755</v>
      </c>
      <c r="T55" s="87">
        <f t="shared" si="35"/>
        <v>0.47342973416788087</v>
      </c>
      <c r="U55" s="85">
        <f t="shared" si="14"/>
        <v>1.7785863363695991</v>
      </c>
      <c r="V55" s="74">
        <f>+IFERROR(VLOOKUP("Other Western Hemisphere",'[4]Table II.F 1'!A:I,9,0),DataF3!AJ$49)</f>
        <v>8.5050258082042927</v>
      </c>
      <c r="W55" s="723">
        <f t="shared" si="28"/>
        <v>0.19552742730622996</v>
      </c>
      <c r="X55" s="722">
        <v>1</v>
      </c>
    </row>
    <row r="56" spans="1:28" ht="15.75" customHeight="1">
      <c r="A56" s="1" t="s">
        <v>757</v>
      </c>
      <c r="B56" s="68" t="str">
        <f>+[4]TableA1!A57</f>
        <v>Aruba</v>
      </c>
      <c r="C56" s="719">
        <f>+[4]GDPgrowth!H51</f>
        <v>3.3100558700000002</v>
      </c>
      <c r="D56" s="70">
        <f>IFERROR(+VLOOKUP($B56,[4]OECDimp!$A$2:$M$44,8,0)/1000,30%*C56)</f>
        <v>0.99301676100000003</v>
      </c>
      <c r="E56" s="71">
        <f t="shared" si="26"/>
        <v>0.69916518357637336</v>
      </c>
      <c r="F56" s="64">
        <f t="shared" si="29"/>
        <v>0.29385157742362666</v>
      </c>
      <c r="G56" s="38">
        <f t="shared" si="30"/>
        <v>0.70350291516699781</v>
      </c>
      <c r="H56" s="71"/>
      <c r="I56" s="63"/>
      <c r="J56" s="713">
        <f t="shared" si="31"/>
        <v>3.5175145758349895E-2</v>
      </c>
      <c r="K56" s="74">
        <f t="shared" si="32"/>
        <v>0.05</v>
      </c>
      <c r="L56" s="709">
        <f t="shared" si="27"/>
        <v>0.33100558700000005</v>
      </c>
      <c r="M56" s="706">
        <f t="shared" si="20"/>
        <v>0.37249732816699771</v>
      </c>
      <c r="N56" s="72">
        <f t="shared" si="33"/>
        <v>0.49650838050000001</v>
      </c>
      <c r="O56" s="64">
        <v>0</v>
      </c>
      <c r="P56" s="64">
        <f>(TableB10!G57-TableB10!P57+TableB10!J57+TableB10!K57)/1000</f>
        <v>-0.15014307235931809</v>
      </c>
      <c r="Q56" s="64">
        <f t="shared" si="34"/>
        <v>2.6132020026315796E-2</v>
      </c>
      <c r="R56" s="699"/>
      <c r="S56" s="73">
        <f t="shared" si="13"/>
        <v>0.70845019217857674</v>
      </c>
      <c r="T56" s="87">
        <f t="shared" si="35"/>
        <v>0.47342973416788087</v>
      </c>
      <c r="U56" s="85">
        <f t="shared" si="14"/>
        <v>1.2676376673996634</v>
      </c>
      <c r="V56" s="74">
        <f>+IFERROR(VLOOKUP("Other Western Hemisphere",'[4]Table II.F 1'!A:I,9,0),DataF3!AJ$49)</f>
        <v>8.5050258082042927</v>
      </c>
      <c r="W56" s="723">
        <f t="shared" si="28"/>
        <v>0.23337925398251769</v>
      </c>
      <c r="X56" s="722">
        <v>1</v>
      </c>
    </row>
    <row r="57" spans="1:28" ht="15.75" customHeight="1">
      <c r="A57" s="1" t="s">
        <v>758</v>
      </c>
      <c r="B57" s="68" t="str">
        <f>+[4]TableA1!A58</f>
        <v>Bahamas, The</v>
      </c>
      <c r="C57" s="719">
        <f>+[4]GDPgrowth!H52</f>
        <v>13.1928</v>
      </c>
      <c r="D57" s="70">
        <f>IFERROR(+VLOOKUP($B57,[4]OECDimp!$A$2:$M$44,8,0)/1000,30%*C57)</f>
        <v>3.95784</v>
      </c>
      <c r="E57" s="71">
        <f t="shared" si="26"/>
        <v>2.7866437293357156</v>
      </c>
      <c r="F57" s="64">
        <f t="shared" si="29"/>
        <v>1.1711962706642844</v>
      </c>
      <c r="G57" s="38">
        <f t="shared" si="30"/>
        <v>5.9407211964506788</v>
      </c>
      <c r="H57" s="71"/>
      <c r="I57" s="63"/>
      <c r="J57" s="713">
        <f t="shared" si="31"/>
        <v>0.29703605982253395</v>
      </c>
      <c r="K57" s="74">
        <f t="shared" si="32"/>
        <v>0.05</v>
      </c>
      <c r="L57" s="709">
        <f t="shared" si="27"/>
        <v>1.31928</v>
      </c>
      <c r="M57" s="706">
        <f t="shared" si="20"/>
        <v>4.6214411964506787</v>
      </c>
      <c r="N57" s="72">
        <f t="shared" si="33"/>
        <v>1.97892</v>
      </c>
      <c r="O57" s="64">
        <v>0</v>
      </c>
      <c r="P57" s="64">
        <f>(TableB10!G58-TableB10!P58+TableB10!J58+TableB10!K58)/1000</f>
        <v>2.4114491366281445</v>
      </c>
      <c r="Q57" s="64">
        <f t="shared" si="34"/>
        <v>0.23107205982253395</v>
      </c>
      <c r="R57" s="699"/>
      <c r="S57" s="73">
        <f t="shared" si="13"/>
        <v>1.5010008480511285</v>
      </c>
      <c r="T57" s="87">
        <f t="shared" si="35"/>
        <v>0.47342973416788087</v>
      </c>
      <c r="U57" s="85">
        <f t="shared" si="14"/>
        <v>3.9459152254894634</v>
      </c>
      <c r="V57" s="74">
        <f>+IFERROR(VLOOKUP("Other Western Hemisphere",'[4]Table II.F 1'!A:I,9,0),DataF3!AJ$49)</f>
        <v>8.5050258082042927</v>
      </c>
      <c r="W57" s="763">
        <f t="shared" si="28"/>
        <v>4.0669620573716729</v>
      </c>
      <c r="X57" s="722">
        <v>1</v>
      </c>
    </row>
    <row r="58" spans="1:28" ht="15.75" customHeight="1">
      <c r="A58" s="1" t="s">
        <v>770</v>
      </c>
      <c r="B58" s="68" t="str">
        <f>+[4]TableA1!A59</f>
        <v>Bahrain</v>
      </c>
      <c r="C58" s="719">
        <f>+[4]GDPgrowth!H53</f>
        <v>32.102630741999995</v>
      </c>
      <c r="D58" s="70">
        <f>IFERROR(+VLOOKUP($B58,[4]OECDimp!$A$2:$M$44,8,0)/1000,30%*C58)</f>
        <v>9.6307892225999989</v>
      </c>
      <c r="E58" s="71">
        <f t="shared" si="26"/>
        <v>6.780864915133578</v>
      </c>
      <c r="F58" s="64">
        <f t="shared" si="29"/>
        <v>2.8499243074664209</v>
      </c>
      <c r="G58" s="38">
        <f t="shared" si="30"/>
        <v>8.9992869008508425</v>
      </c>
      <c r="H58" s="71"/>
      <c r="I58" s="63"/>
      <c r="J58" s="713">
        <f t="shared" si="31"/>
        <v>0.44996434504254212</v>
      </c>
      <c r="K58" s="74">
        <f t="shared" si="32"/>
        <v>0.05</v>
      </c>
      <c r="L58" s="709">
        <f t="shared" si="27"/>
        <v>3.2102630741999998</v>
      </c>
      <c r="M58" s="706">
        <f t="shared" si="20"/>
        <v>5.7890238266508431</v>
      </c>
      <c r="N58" s="72">
        <f t="shared" si="33"/>
        <v>4.8153946112999995</v>
      </c>
      <c r="O58" s="64">
        <v>0</v>
      </c>
      <c r="P58" s="64">
        <f>(TableB10!G59-TableB10!P59+TableB10!J59+TableB10!K59)/1000</f>
        <v>0.68417802401830108</v>
      </c>
      <c r="Q58" s="64">
        <f t="shared" si="34"/>
        <v>0.28945119133254216</v>
      </c>
      <c r="R58" s="699"/>
      <c r="S58" s="73">
        <f t="shared" si="13"/>
        <v>0.93442880877641388</v>
      </c>
      <c r="T58" s="87">
        <f t="shared" si="35"/>
        <v>0.47342973416788087</v>
      </c>
      <c r="U58" s="85">
        <f t="shared" si="14"/>
        <v>2.0312903790056369</v>
      </c>
      <c r="V58" s="74">
        <f>+IFERROR(VLOOKUP(B58,'[4]Table II.F 1'!A:I,9,0),DataF3!AJ$49)</f>
        <v>3.9609018051082314</v>
      </c>
      <c r="W58" s="763">
        <f t="shared" si="28"/>
        <v>4.4397849193684342</v>
      </c>
      <c r="X58" s="722">
        <v>1</v>
      </c>
    </row>
    <row r="59" spans="1:28" ht="15.75" customHeight="1">
      <c r="A59" s="1" t="s">
        <v>759</v>
      </c>
      <c r="B59" s="68" t="str">
        <f>+[4]TableA1!A60</f>
        <v>Barbados</v>
      </c>
      <c r="C59" s="719">
        <f>+[4]GDPgrowth!H54</f>
        <v>5.3041643199999999</v>
      </c>
      <c r="D59" s="70">
        <f>IFERROR(+VLOOKUP($B59,[4]OECDimp!$A$2:$M$44,8,0)/1000,30%*C59)</f>
        <v>1.591249296</v>
      </c>
      <c r="E59" s="71">
        <f t="shared" si="26"/>
        <v>1.1203699170528045</v>
      </c>
      <c r="F59" s="64">
        <f t="shared" si="29"/>
        <v>0.47087937894719545</v>
      </c>
      <c r="G59" s="38">
        <f t="shared" si="30"/>
        <v>4.5146187366431381</v>
      </c>
      <c r="H59" s="71"/>
      <c r="I59" s="63"/>
      <c r="J59" s="713">
        <f t="shared" si="31"/>
        <v>0.22573093683215692</v>
      </c>
      <c r="K59" s="74">
        <f t="shared" si="32"/>
        <v>0.05</v>
      </c>
      <c r="L59" s="709">
        <f t="shared" si="27"/>
        <v>0.53041643199999999</v>
      </c>
      <c r="M59" s="706">
        <f t="shared" si="20"/>
        <v>3.9842023046431381</v>
      </c>
      <c r="N59" s="72">
        <f t="shared" si="33"/>
        <v>0.79562464799999999</v>
      </c>
      <c r="O59" s="64">
        <v>0</v>
      </c>
      <c r="P59" s="64">
        <f>(TableB10!G60-TableB10!P60+TableB10!J60+TableB10!K60)/1000</f>
        <v>2.989367541410981</v>
      </c>
      <c r="Q59" s="64">
        <f t="shared" si="34"/>
        <v>0.1992101152321569</v>
      </c>
      <c r="R59" s="699"/>
      <c r="S59" s="73">
        <f t="shared" si="13"/>
        <v>2.8371536427332615</v>
      </c>
      <c r="T59" s="87">
        <f t="shared" si="35"/>
        <v>0.47342973416788087</v>
      </c>
      <c r="U59" s="85">
        <f t="shared" si="14"/>
        <v>8.4611951229444848</v>
      </c>
      <c r="V59" s="74">
        <f>+IFERROR(VLOOKUP(B59,'[4]Table II.F 1'!A:I,9,0),DataF3!AJ$49)</f>
        <v>237.16129032258064</v>
      </c>
      <c r="W59" s="763">
        <f t="shared" si="28"/>
        <v>3.7612740054430307</v>
      </c>
      <c r="X59" s="722">
        <v>1</v>
      </c>
    </row>
    <row r="60" spans="1:28" ht="15.75" customHeight="1">
      <c r="A60" s="1" t="s">
        <v>760</v>
      </c>
      <c r="B60" s="68" t="str">
        <f>+[4]TableA1!A61</f>
        <v>Belize</v>
      </c>
      <c r="C60" s="719">
        <f>+[4]GDPgrowth!H55</f>
        <v>1.94525024</v>
      </c>
      <c r="D60" s="70">
        <f>IFERROR(+VLOOKUP($B60,[4]OECDimp!$A$2:$M$44,8,0)/1000,30%*C60)</f>
        <v>0.58357507200000003</v>
      </c>
      <c r="E60" s="71">
        <f t="shared" si="26"/>
        <v>0.41088467825516922</v>
      </c>
      <c r="F60" s="64">
        <f t="shared" si="29"/>
        <v>0.17269039374483081</v>
      </c>
      <c r="G60" s="38">
        <f t="shared" si="30"/>
        <v>0.51844810001450081</v>
      </c>
      <c r="H60" s="71"/>
      <c r="I60" s="63"/>
      <c r="J60" s="713">
        <f t="shared" si="31"/>
        <v>2.5922405000725041E-2</v>
      </c>
      <c r="K60" s="74">
        <f t="shared" si="32"/>
        <v>0.05</v>
      </c>
      <c r="L60" s="709">
        <f t="shared" si="27"/>
        <v>0.19452502400000002</v>
      </c>
      <c r="M60" s="706">
        <f t="shared" si="20"/>
        <v>0.32392307601450082</v>
      </c>
      <c r="N60" s="72">
        <f t="shared" si="33"/>
        <v>0.29178753600000001</v>
      </c>
      <c r="O60" s="64">
        <v>0</v>
      </c>
      <c r="P60" s="64">
        <f>(TableB10!G61-TableB10!P61+TableB10!J61+TableB10!K61)/1000</f>
        <v>1.5939386213775785E-2</v>
      </c>
      <c r="Q60" s="64">
        <f t="shared" si="34"/>
        <v>1.6196153800725043E-2</v>
      </c>
      <c r="R60" s="699"/>
      <c r="S60" s="73">
        <f t="shared" si="13"/>
        <v>0.88840001036661964</v>
      </c>
      <c r="T60" s="87">
        <f t="shared" si="35"/>
        <v>0.47342973416788087</v>
      </c>
      <c r="U60" s="85">
        <f t="shared" si="14"/>
        <v>1.8757446143364123</v>
      </c>
      <c r="V60" s="74">
        <f>+IFERROR(VLOOKUP(B60,'[4]Table II.F 1'!A:I,9,0),DataF3!AJ$49)</f>
        <v>3.9609018051082314</v>
      </c>
      <c r="W60" s="763">
        <f t="shared" si="28"/>
        <v>0.24216630881053894</v>
      </c>
      <c r="X60" s="722">
        <v>1</v>
      </c>
    </row>
    <row r="61" spans="1:28" s="44" customFormat="1" ht="15.75" customHeight="1">
      <c r="A61" s="1" t="s">
        <v>761</v>
      </c>
      <c r="B61" s="68" t="str">
        <f>+[4]TableA1!A62</f>
        <v>Bermuda</v>
      </c>
      <c r="C61" s="719">
        <f>+[4]GDPgrowth!H56</f>
        <v>7.4234650000000002</v>
      </c>
      <c r="D61" s="70">
        <f>IFERROR(+VLOOKUP($B61,[4]OECDimp!$A$2:$M$44,8,0)/1000,30%*C61)</f>
        <v>2.2270395000000001</v>
      </c>
      <c r="E61" s="71">
        <f t="shared" si="26"/>
        <v>1.5680183275872566</v>
      </c>
      <c r="F61" s="64">
        <f t="shared" si="29"/>
        <v>0.65902117241274349</v>
      </c>
      <c r="G61" s="38">
        <f t="shared" si="30"/>
        <v>50.893819059745766</v>
      </c>
      <c r="H61" s="71"/>
      <c r="I61" s="63"/>
      <c r="J61" s="713">
        <f t="shared" si="31"/>
        <v>2.5446909529872883</v>
      </c>
      <c r="K61" s="74">
        <f t="shared" si="32"/>
        <v>0.05</v>
      </c>
      <c r="L61" s="709">
        <f t="shared" si="27"/>
        <v>0.74234650000000002</v>
      </c>
      <c r="M61" s="706">
        <f t="shared" si="20"/>
        <v>50.15147255974577</v>
      </c>
      <c r="N61" s="72">
        <f t="shared" si="33"/>
        <v>1.11351975</v>
      </c>
      <c r="O61" s="64">
        <v>0</v>
      </c>
      <c r="P61" s="64">
        <f>(TableB10!G62-TableB10!P62+TableB10!J62+TableB10!K62)/1000</f>
        <v>46.530379181758477</v>
      </c>
      <c r="Q61" s="64">
        <f t="shared" si="34"/>
        <v>2.5075736279872887</v>
      </c>
      <c r="R61" s="699"/>
      <c r="S61" s="73">
        <f t="shared" si="13"/>
        <v>22.852679110426987</v>
      </c>
      <c r="T61" s="87">
        <f t="shared" si="35"/>
        <v>0.47342973416788087</v>
      </c>
      <c r="U61" s="85">
        <f t="shared" si="14"/>
        <v>76.099941335930268</v>
      </c>
      <c r="V61" s="74">
        <f>+IFERROR(VLOOKUP(B61,'[4]Table II.F 1'!A:I,9,0),DataF3!AJ$49)</f>
        <v>7.7198723064644854</v>
      </c>
      <c r="W61" s="723">
        <f t="shared" si="28"/>
        <v>49.839472341279397</v>
      </c>
      <c r="X61" s="722">
        <v>1</v>
      </c>
      <c r="AA61" s="23"/>
      <c r="AB61" s="23"/>
    </row>
    <row r="62" spans="1:28" ht="15.75" customHeight="1">
      <c r="A62" s="1" t="s">
        <v>126</v>
      </c>
      <c r="B62" s="68" t="str">
        <f>+[4]TableA1!A63</f>
        <v>Bonaire</v>
      </c>
      <c r="C62" s="719">
        <f>+[4]GDPgrowth!H57</f>
        <v>0.41564614</v>
      </c>
      <c r="D62" s="70">
        <f>IFERROR(+VLOOKUP($B62,[4]OECDimp!$A$2:$M$44,8,0)/1000,30%*C62)</f>
        <v>0.124693842</v>
      </c>
      <c r="E62" s="71">
        <f t="shared" si="26"/>
        <v>8.7794684195439551E-2</v>
      </c>
      <c r="F62" s="64">
        <f t="shared" si="29"/>
        <v>3.6899157804560448E-2</v>
      </c>
      <c r="G62" s="38">
        <f t="shared" si="30"/>
        <v>0.10533195189473685</v>
      </c>
      <c r="H62" s="71"/>
      <c r="I62" s="63"/>
      <c r="J62" s="713">
        <f t="shared" si="31"/>
        <v>5.2665975947368427E-3</v>
      </c>
      <c r="K62" s="74">
        <f t="shared" si="32"/>
        <v>0.05</v>
      </c>
      <c r="L62" s="709">
        <f t="shared" si="27"/>
        <v>4.1564614E-2</v>
      </c>
      <c r="M62" s="706">
        <f t="shared" si="20"/>
        <v>6.3767337894736847E-2</v>
      </c>
      <c r="N62" s="72">
        <f t="shared" si="33"/>
        <v>6.2346921E-2</v>
      </c>
      <c r="O62" s="64">
        <v>0</v>
      </c>
      <c r="P62" s="64">
        <f>(TableB10!G63-TableB10!P63+TableB10!J63+TableB10!K63)/1000</f>
        <v>-1.861E-3</v>
      </c>
      <c r="Q62" s="64">
        <f t="shared" si="34"/>
        <v>3.2814168947368424E-3</v>
      </c>
      <c r="R62" s="699"/>
      <c r="S62" s="73">
        <f t="shared" si="13"/>
        <v>0.84472456863376499</v>
      </c>
      <c r="T62" s="87">
        <f t="shared" si="35"/>
        <v>0.47342973416788087</v>
      </c>
      <c r="U62" s="85">
        <f t="shared" si="14"/>
        <v>1.7281515809245842</v>
      </c>
      <c r="V62" s="74">
        <f>+IFERROR(VLOOKUP("Other Western Hemisphere",'[4]Table II.F 1'!A:I,9,0),DataF3!AJ$49)</f>
        <v>8.5050258082042927</v>
      </c>
      <c r="W62" s="763">
        <f t="shared" si="28"/>
        <v>4.6298179424305114E-2</v>
      </c>
      <c r="X62" s="722">
        <v>1</v>
      </c>
    </row>
    <row r="63" spans="1:28" ht="15.75" customHeight="1">
      <c r="A63" s="1" t="s">
        <v>981</v>
      </c>
      <c r="B63" s="68" t="str">
        <f>+[4]TableA1!A64</f>
        <v>British Virgin Islands</v>
      </c>
      <c r="C63" s="719">
        <f>+[4]GDPgrowth!H58</f>
        <v>0.92824200000000001</v>
      </c>
      <c r="D63" s="70">
        <f>IFERROR(+VLOOKUP($B63,[4]OECDimp!$A$2:$M$44,8,0)/1000,30%*C63)</f>
        <v>0.27847260000000001</v>
      </c>
      <c r="E63" s="71">
        <f t="shared" si="26"/>
        <v>0.19606753294266899</v>
      </c>
      <c r="F63" s="64">
        <f t="shared" si="29"/>
        <v>8.2405067057331027E-2</v>
      </c>
      <c r="G63" s="38">
        <f t="shared" si="30"/>
        <v>59.084304484027889</v>
      </c>
      <c r="H63" s="71"/>
      <c r="I63" s="63"/>
      <c r="J63" s="713">
        <f t="shared" si="31"/>
        <v>2.9542152242013948</v>
      </c>
      <c r="K63" s="74">
        <f t="shared" si="32"/>
        <v>0.05</v>
      </c>
      <c r="L63" s="709">
        <f t="shared" si="27"/>
        <v>9.2824200000000009E-2</v>
      </c>
      <c r="M63" s="706">
        <f t="shared" si="20"/>
        <v>58.991480284027887</v>
      </c>
      <c r="N63" s="72">
        <f t="shared" si="33"/>
        <v>0.13923630000000001</v>
      </c>
      <c r="O63" s="64">
        <v>0</v>
      </c>
      <c r="P63" s="64">
        <f>(TableB10!G64-TableB10!P64+TableB10!J64+TableB10!K64)/1000</f>
        <v>55.902669969826491</v>
      </c>
      <c r="Q63" s="64">
        <f t="shared" si="34"/>
        <v>2.9495740142013949</v>
      </c>
      <c r="R63" s="699"/>
      <c r="S63" s="73">
        <f t="shared" si="13"/>
        <v>212.1727756484045</v>
      </c>
      <c r="T63" s="87">
        <f t="shared" si="35"/>
        <v>0.47342973416788087</v>
      </c>
      <c r="U63" s="85">
        <f t="shared" si="14"/>
        <v>715.87200145090844</v>
      </c>
      <c r="V63" s="74">
        <f>+IFERROR(VLOOKUP("United Kingdom Islands, Caribbean",'[4]Table II.F 1'!A:I,9,0),DataF3!AJ$49)</f>
        <v>11.287336244541486</v>
      </c>
      <c r="W63" s="763">
        <f t="shared" si="28"/>
        <v>58.952467275036845</v>
      </c>
      <c r="X63" s="722">
        <v>1</v>
      </c>
    </row>
    <row r="64" spans="1:28" ht="15.75" customHeight="1">
      <c r="A64" s="1" t="s">
        <v>127</v>
      </c>
      <c r="B64" s="68" t="str">
        <f>+[4]TableA1!A65</f>
        <v>Cayman Islands</v>
      </c>
      <c r="C64" s="719">
        <f>+[4]GDPgrowth!H59</f>
        <v>5.9435891000000005</v>
      </c>
      <c r="D64" s="70">
        <f>IFERROR(+VLOOKUP($B64,[4]OECDimp!$A$2:$M$44,8,0)/1000,30%*C64)</f>
        <v>1.7830767300000001</v>
      </c>
      <c r="E64" s="71">
        <f t="shared" si="26"/>
        <v>1.255432152027099</v>
      </c>
      <c r="F64" s="64">
        <f t="shared" si="29"/>
        <v>0.5276445779729011</v>
      </c>
      <c r="G64" s="38">
        <f t="shared" si="30"/>
        <v>42.165588043562352</v>
      </c>
      <c r="H64" s="71"/>
      <c r="I64" s="63"/>
      <c r="J64" s="713">
        <f t="shared" si="31"/>
        <v>2.1082794021781175</v>
      </c>
      <c r="K64" s="74">
        <f t="shared" si="32"/>
        <v>4.9999999999999996E-2</v>
      </c>
      <c r="L64" s="709">
        <f t="shared" si="27"/>
        <v>0.59435891000000007</v>
      </c>
      <c r="M64" s="706">
        <f t="shared" si="20"/>
        <v>41.571229133562355</v>
      </c>
      <c r="N64" s="72">
        <f t="shared" si="33"/>
        <v>0.89153836500000005</v>
      </c>
      <c r="O64" s="64">
        <v>0</v>
      </c>
      <c r="P64" s="64">
        <f>(TableB10!G65-TableB10!P65+TableB10!J65+TableB10!K65)/1000</f>
        <v>38.601129311884236</v>
      </c>
      <c r="Q64" s="64">
        <f t="shared" si="34"/>
        <v>2.0785614566781181</v>
      </c>
      <c r="R64" s="699"/>
      <c r="S64" s="73">
        <f t="shared" si="13"/>
        <v>23.647657632525075</v>
      </c>
      <c r="T64" s="87">
        <f t="shared" si="35"/>
        <v>0.47342973416788087</v>
      </c>
      <c r="U64" s="85">
        <f t="shared" si="14"/>
        <v>78.786423416441096</v>
      </c>
      <c r="V64" s="74">
        <f>+IFERROR(VLOOKUP("United Kingdom Islands, Caribbean",'[4]Table II.F 1'!A:I,9,0),DataF3!AJ$49)</f>
        <v>11.287336244541486</v>
      </c>
      <c r="W64" s="763">
        <f t="shared" si="28"/>
        <v>41.321426501277521</v>
      </c>
      <c r="X64" s="722">
        <v>1</v>
      </c>
    </row>
    <row r="65" spans="1:28" ht="15.75" customHeight="1">
      <c r="A65" s="1" t="s">
        <v>128</v>
      </c>
      <c r="B65" s="68" t="str">
        <f>+[4]TableA1!A66</f>
        <v>Curacao</v>
      </c>
      <c r="C65" s="719">
        <f>+[4]GDPgrowth!H60</f>
        <v>2.9951854899999999</v>
      </c>
      <c r="D65" s="70">
        <f>IFERROR(+VLOOKUP($B65,[4]OECDimp!$A$2:$M$44,8,0)/1000,30%*C65)</f>
        <v>0.8985556469999999</v>
      </c>
      <c r="E65" s="71">
        <f t="shared" si="26"/>
        <v>0.63265681765097803</v>
      </c>
      <c r="F65" s="64">
        <f t="shared" si="29"/>
        <v>0.26589882934902187</v>
      </c>
      <c r="G65" s="38">
        <f t="shared" si="30"/>
        <v>4.0142669646022267</v>
      </c>
      <c r="H65" s="71"/>
      <c r="I65" s="63"/>
      <c r="J65" s="713">
        <f t="shared" si="31"/>
        <v>0.20071334823011133</v>
      </c>
      <c r="K65" s="74">
        <f t="shared" si="32"/>
        <v>0.05</v>
      </c>
      <c r="L65" s="709">
        <f t="shared" si="27"/>
        <v>0.29951854900000002</v>
      </c>
      <c r="M65" s="706">
        <f t="shared" si="20"/>
        <v>3.714748415602227</v>
      </c>
      <c r="N65" s="72">
        <f t="shared" si="33"/>
        <v>0.44927782349999995</v>
      </c>
      <c r="O65" s="64">
        <v>0</v>
      </c>
      <c r="P65" s="64">
        <f>(TableB10!G66-TableB10!P66+TableB10!J66+TableB10!K66)/1000</f>
        <v>3.0797331713221157</v>
      </c>
      <c r="Q65" s="64">
        <f t="shared" si="34"/>
        <v>0.18573742078011138</v>
      </c>
      <c r="R65" s="699"/>
      <c r="S65" s="73">
        <f t="shared" si="13"/>
        <v>4.4674661808699616</v>
      </c>
      <c r="T65" s="87">
        <f t="shared" si="35"/>
        <v>0.47342973416788087</v>
      </c>
      <c r="U65" s="85">
        <f t="shared" si="14"/>
        <v>13.970533171194242</v>
      </c>
      <c r="V65" s="74">
        <f>+IFERROR(VLOOKUP("Other Western Hemisphere",'[4]Table II.F 1'!A:I,9,0),DataF3!AJ$49)</f>
        <v>8.5050258082042927</v>
      </c>
      <c r="W65" s="763">
        <f t="shared" si="28"/>
        <v>3.5888640035079691</v>
      </c>
      <c r="X65" s="722">
        <v>1</v>
      </c>
    </row>
    <row r="66" spans="1:28" ht="15.75" customHeight="1">
      <c r="A66" s="1" t="s">
        <v>762</v>
      </c>
      <c r="B66" s="68" t="str">
        <f>+[4]TableA1!A67</f>
        <v>Cyprus</v>
      </c>
      <c r="C66" s="719">
        <f>+[4]GDPgrowth!H61</f>
        <v>25.75835777</v>
      </c>
      <c r="D66" s="70">
        <f>IFERROR(+VLOOKUP($B66,[4]OECDimp!$A$2:$M$44,8,0)/1000,30%*C66)</f>
        <v>7.727507331</v>
      </c>
      <c r="E66" s="71">
        <f t="shared" si="26"/>
        <v>5.4407984777876122</v>
      </c>
      <c r="F66" s="64">
        <f t="shared" si="29"/>
        <v>2.2867088532123878</v>
      </c>
      <c r="G66" s="38">
        <f t="shared" si="30"/>
        <v>9.3661618238026936</v>
      </c>
      <c r="H66" s="71"/>
      <c r="I66" s="63"/>
      <c r="J66" s="713">
        <f t="shared" si="31"/>
        <v>0.46830809119013472</v>
      </c>
      <c r="K66" s="74">
        <f t="shared" si="32"/>
        <v>0.05</v>
      </c>
      <c r="L66" s="709">
        <f t="shared" si="27"/>
        <v>2.575835777</v>
      </c>
      <c r="M66" s="706">
        <f t="shared" si="20"/>
        <v>6.7903260468026936</v>
      </c>
      <c r="N66" s="72">
        <f t="shared" si="33"/>
        <v>3.8637536655</v>
      </c>
      <c r="O66" s="64">
        <v>0</v>
      </c>
      <c r="P66" s="64">
        <f>(TableB10!G67-TableB10!P67+TableB10!J67+TableB10!K67)/1000</f>
        <v>2.5870560789625587</v>
      </c>
      <c r="Q66" s="64">
        <f t="shared" si="34"/>
        <v>0.33951630234013469</v>
      </c>
      <c r="R66" s="699"/>
      <c r="S66" s="73">
        <f t="shared" si="13"/>
        <v>1.2120547315728833</v>
      </c>
      <c r="T66" s="87">
        <f t="shared" si="35"/>
        <v>0.47342973416788087</v>
      </c>
      <c r="U66" s="85">
        <f t="shared" si="14"/>
        <v>2.9694755575304597</v>
      </c>
      <c r="V66" s="74">
        <f>+IFERROR(VLOOKUP(B66,'[4]Table II.F 1'!A:I,9,0),DataF3!AJ$49)</f>
        <v>3.9609018051082314</v>
      </c>
      <c r="W66" s="723">
        <f t="shared" si="28"/>
        <v>5.7077300823070125</v>
      </c>
      <c r="X66" s="722">
        <v>1</v>
      </c>
    </row>
    <row r="67" spans="1:28" ht="15.75" customHeight="1">
      <c r="A67" s="1" t="s">
        <v>129</v>
      </c>
      <c r="B67" s="68" t="str">
        <f>+[4]TableA1!A68</f>
        <v>Jersey</v>
      </c>
      <c r="C67" s="719">
        <f>+[4]GDPgrowth!H62</f>
        <v>6.3601801045999995</v>
      </c>
      <c r="D67" s="70">
        <f>IFERROR(+VLOOKUP($B67,[4]OECDimp!$A$2:$M$44,8,0)/1000,30%*C67)</f>
        <v>1.9080540313799998</v>
      </c>
      <c r="E67" s="71">
        <f t="shared" si="26"/>
        <v>1.3434264148572983</v>
      </c>
      <c r="F67" s="64">
        <f t="shared" si="29"/>
        <v>0.56462761652270155</v>
      </c>
      <c r="G67" s="38">
        <f t="shared" si="30"/>
        <v>5.4971811280328611</v>
      </c>
      <c r="H67" s="747"/>
      <c r="I67" s="63"/>
      <c r="J67" s="713">
        <f t="shared" si="31"/>
        <v>0.27485905640164304</v>
      </c>
      <c r="K67" s="74">
        <f t="shared" si="32"/>
        <v>4.9999999999999996E-2</v>
      </c>
      <c r="L67" s="709">
        <f t="shared" si="27"/>
        <v>0.63601801045999995</v>
      </c>
      <c r="M67" s="706">
        <f t="shared" si="20"/>
        <v>4.8611631175728611</v>
      </c>
      <c r="N67" s="72">
        <f t="shared" si="33"/>
        <v>0.95402701568999992</v>
      </c>
      <c r="O67" s="64">
        <v>0</v>
      </c>
      <c r="P67" s="64">
        <f>(TableB10!G68-TableB10!P68+TableB10!J68+TableB10!K68)/1000</f>
        <v>3.6640779460042179</v>
      </c>
      <c r="Q67" s="64">
        <f t="shared" si="34"/>
        <v>0.24305815587864307</v>
      </c>
      <c r="R67" s="699"/>
      <c r="S67" s="73">
        <f t="shared" si="13"/>
        <v>2.8810405982355887</v>
      </c>
      <c r="T67" s="87">
        <f t="shared" si="35"/>
        <v>0.47342973416788087</v>
      </c>
      <c r="U67" s="85">
        <f t="shared" si="14"/>
        <v>8.6095029278069539</v>
      </c>
      <c r="V67" s="74">
        <f>+IFERROR(VLOOKUP(B67,'[4]Table II.F 1'!A:I,9,0),DataF3!AJ$49)</f>
        <v>3.9609018051082314</v>
      </c>
      <c r="W67" s="723">
        <f t="shared" si="28"/>
        <v>4.5938516151786741</v>
      </c>
      <c r="X67" s="722">
        <v>1</v>
      </c>
    </row>
    <row r="68" spans="1:28" ht="15.75" customHeight="1">
      <c r="A68" s="1" t="s">
        <v>763</v>
      </c>
      <c r="B68" s="68" t="str">
        <f>+[4]TableA1!A69</f>
        <v>Grenada</v>
      </c>
      <c r="C68" s="719">
        <f>+[4]GDPgrowth!H63</f>
        <v>1.2134851900000001</v>
      </c>
      <c r="D68" s="70">
        <f>IFERROR(+VLOOKUP($B68,[4]OECDimp!$A$2:$M$44,8,0)/1000,30%*C68)</f>
        <v>0.36404555700000002</v>
      </c>
      <c r="E68" s="71">
        <f t="shared" si="26"/>
        <v>0.25631790790092018</v>
      </c>
      <c r="F68" s="64">
        <f t="shared" si="29"/>
        <v>0.10772764909907984</v>
      </c>
      <c r="G68" s="38">
        <f t="shared" si="30"/>
        <v>0.31827831135416373</v>
      </c>
      <c r="H68" s="747"/>
      <c r="I68" s="63"/>
      <c r="J68" s="713">
        <f t="shared" si="31"/>
        <v>1.5913915567708187E-2</v>
      </c>
      <c r="K68" s="74">
        <f t="shared" si="32"/>
        <v>0.05</v>
      </c>
      <c r="L68" s="709">
        <f t="shared" si="27"/>
        <v>0.12134851900000002</v>
      </c>
      <c r="M68" s="706">
        <f t="shared" si="20"/>
        <v>0.19692979235416372</v>
      </c>
      <c r="N68" s="72">
        <f t="shared" si="33"/>
        <v>0.18202277850000001</v>
      </c>
      <c r="O68" s="64">
        <v>0</v>
      </c>
      <c r="P68" s="64">
        <f>(TableB10!G69-TableB10!P69+TableB10!J69+TableB10!K69)/1000</f>
        <v>5.060524236455523E-3</v>
      </c>
      <c r="Q68" s="64">
        <f t="shared" si="34"/>
        <v>9.8464896177081884E-3</v>
      </c>
      <c r="R68" s="699"/>
      <c r="S68" s="73">
        <f t="shared" si="13"/>
        <v>0.87428154315907147</v>
      </c>
      <c r="T68" s="87">
        <f t="shared" si="35"/>
        <v>0.47342973416788087</v>
      </c>
      <c r="U68" s="85">
        <f t="shared" si="14"/>
        <v>1.8280338798913398</v>
      </c>
      <c r="V68" s="74">
        <f>+IFERROR(VLOOKUP("Other Western Hemisphere",'[4]Table II.F 1'!A:I,9,0),DataF3!AJ$49)</f>
        <v>8.5050258082042927</v>
      </c>
      <c r="W68" s="723">
        <f t="shared" si="28"/>
        <v>0.14592832007865561</v>
      </c>
      <c r="X68" s="722">
        <v>1</v>
      </c>
    </row>
    <row r="69" spans="1:28" ht="15.75" customHeight="1">
      <c r="A69" s="1" t="s">
        <v>130</v>
      </c>
      <c r="B69" s="68" t="str">
        <f>+[4]TableA1!A70</f>
        <v>Guernsey</v>
      </c>
      <c r="C69" s="719">
        <f>+[4]GDPgrowth!H64</f>
        <v>4.4021154883999998</v>
      </c>
      <c r="D69" s="70">
        <f>IFERROR(+VLOOKUP($B69,[4]OECDimp!$A$2:$M$44,8,0)/1000,30%*C69)</f>
        <v>1.3206346465199998</v>
      </c>
      <c r="E69" s="71">
        <f t="shared" si="26"/>
        <v>0.92983502528360107</v>
      </c>
      <c r="F69" s="64">
        <f t="shared" si="29"/>
        <v>0.39079962123639878</v>
      </c>
      <c r="G69" s="38">
        <f t="shared" si="30"/>
        <v>0.4526774910787329</v>
      </c>
      <c r="H69" s="747"/>
      <c r="I69" s="63"/>
      <c r="J69" s="713">
        <f t="shared" si="31"/>
        <v>2.2633874553936645E-2</v>
      </c>
      <c r="K69" s="74">
        <f t="shared" si="32"/>
        <v>0.05</v>
      </c>
      <c r="L69" s="709">
        <f t="shared" si="27"/>
        <v>0.44021154884000002</v>
      </c>
      <c r="M69" s="706">
        <f t="shared" si="20"/>
        <v>1.2465942238732895E-2</v>
      </c>
      <c r="N69" s="72">
        <f t="shared" si="33"/>
        <v>0.66031732325999992</v>
      </c>
      <c r="O69" s="64">
        <v>0</v>
      </c>
      <c r="P69" s="64">
        <f>(TableB10!G70-TableB10!P70+TableB10!J70+TableB10!K70)/1000</f>
        <v>-0.68260492435074072</v>
      </c>
      <c r="Q69" s="64">
        <f t="shared" si="34"/>
        <v>3.4753543329473689E-2</v>
      </c>
      <c r="R69" s="699"/>
      <c r="S69" s="73">
        <f t="shared" si="13"/>
        <v>0.34277269059355814</v>
      </c>
      <c r="T69" s="87">
        <f t="shared" si="35"/>
        <v>0.47342973416788087</v>
      </c>
      <c r="U69" s="85">
        <f t="shared" si="14"/>
        <v>3.1898552509579112E-2</v>
      </c>
      <c r="V69" s="74">
        <f>+IFERROR(VLOOKUP(B69,'[4]Table II.F 1'!A:I,9,0),DataF3!AJ$49)</f>
        <v>3.9609018051082314</v>
      </c>
      <c r="W69" s="723">
        <f t="shared" si="28"/>
        <v>0</v>
      </c>
      <c r="X69" s="722">
        <v>1</v>
      </c>
    </row>
    <row r="70" spans="1:28" ht="15.75" customHeight="1">
      <c r="A70" s="1" t="s">
        <v>131</v>
      </c>
      <c r="B70" s="68" t="str">
        <f>+[4]TableA1!A71</f>
        <v>Gibraltar</v>
      </c>
      <c r="C70" s="719">
        <f>+[4]GDPgrowth!H65</f>
        <v>2.5887637999999993</v>
      </c>
      <c r="D70" s="70">
        <f>IFERROR(+VLOOKUP($B70,[4]OECDimp!$A$2:$M$44,8,0)/1000,30%*C70)</f>
        <v>0.77662913999999972</v>
      </c>
      <c r="E70" s="71">
        <f t="shared" si="26"/>
        <v>0.54681056409566564</v>
      </c>
      <c r="F70" s="64">
        <f t="shared" si="29"/>
        <v>0.22981857590433408</v>
      </c>
      <c r="G70" s="38">
        <f t="shared" si="30"/>
        <v>-3.6732178549386711</v>
      </c>
      <c r="H70" s="747"/>
      <c r="I70" s="63"/>
      <c r="J70" s="713">
        <f t="shared" si="31"/>
        <v>-0.18366089274693356</v>
      </c>
      <c r="K70" s="74">
        <f t="shared" si="32"/>
        <v>0.05</v>
      </c>
      <c r="L70" s="709">
        <f t="shared" si="27"/>
        <v>0.25887637999999996</v>
      </c>
      <c r="M70" s="706">
        <f t="shared" si="20"/>
        <v>-3.9320942349386709</v>
      </c>
      <c r="N70" s="72">
        <f t="shared" si="33"/>
        <v>0.38831456999999986</v>
      </c>
      <c r="O70" s="64">
        <v>0</v>
      </c>
      <c r="P70" s="64">
        <f>(TableB10!G71-TableB10!P71+TableB10!J71+TableB10!K71)/1000</f>
        <v>-4.3408464138860392</v>
      </c>
      <c r="Q70" s="64">
        <f t="shared" si="34"/>
        <v>2.0437608947368416E-2</v>
      </c>
      <c r="R70" s="699"/>
      <c r="S70" s="73">
        <f t="shared" si="13"/>
        <v>-4.729693576703383</v>
      </c>
      <c r="T70" s="87">
        <f t="shared" si="35"/>
        <v>0.47342973416788087</v>
      </c>
      <c r="U70" s="85">
        <f t="shared" si="14"/>
        <v>-17.109557917439506</v>
      </c>
      <c r="V70" s="74">
        <f>+IFERROR(VLOOKUP(B70,'[4]Table II.F 1'!A:I,9,0),DataF3!AJ$49)</f>
        <v>3.9609018051082314</v>
      </c>
      <c r="W70" s="723">
        <f t="shared" si="28"/>
        <v>0</v>
      </c>
      <c r="X70" s="722">
        <v>1</v>
      </c>
    </row>
    <row r="71" spans="1:28" s="44" customFormat="1" ht="15.75" customHeight="1">
      <c r="A71" s="1" t="s">
        <v>771</v>
      </c>
      <c r="B71" s="68" t="str">
        <f>+[4]TableA1!A72</f>
        <v>Hong Kong</v>
      </c>
      <c r="C71" s="719">
        <f>+[4]GDPgrowth!H66</f>
        <v>363.05248917999995</v>
      </c>
      <c r="D71" s="70">
        <f>IFERROR(+VLOOKUP($B71,[4]OECDimp!$A$2:$M$44,8,0)/1000,30%*C71)</f>
        <v>108.91574675399998</v>
      </c>
      <c r="E71" s="71">
        <f t="shared" si="26"/>
        <v>76.685612030286947</v>
      </c>
      <c r="F71" s="64">
        <f t="shared" si="29"/>
        <v>32.230134723713036</v>
      </c>
      <c r="G71" s="38">
        <f t="shared" ref="G71" si="36">L71+M71</f>
        <v>136.67823759728012</v>
      </c>
      <c r="H71" s="747"/>
      <c r="I71" s="63"/>
      <c r="J71" s="713">
        <f t="shared" si="31"/>
        <v>6.8339118798640062</v>
      </c>
      <c r="K71" s="74">
        <f t="shared" si="32"/>
        <v>0.05</v>
      </c>
      <c r="L71" s="709">
        <f t="shared" si="27"/>
        <v>36.305248917999997</v>
      </c>
      <c r="M71" s="706">
        <f t="shared" ref="M71" si="37">N71+O71+P71+Q71</f>
        <v>100.37298867928011</v>
      </c>
      <c r="N71" s="72">
        <f t="shared" si="33"/>
        <v>54.457873376999991</v>
      </c>
      <c r="O71" s="64">
        <v>0</v>
      </c>
      <c r="P71" s="64">
        <f>(TableB10!G72-TableB10!P72+TableB10!J72+TableB10!K72)/1000</f>
        <v>40.89646586831612</v>
      </c>
      <c r="Q71" s="64">
        <f t="shared" ref="Q71" si="38">(MAX(N71,0)+MAX(0,P71))*5%/(1-5%)</f>
        <v>5.018649433964006</v>
      </c>
      <c r="R71" s="699"/>
      <c r="S71" s="73">
        <f t="shared" si="13"/>
        <v>1.2548987788330115</v>
      </c>
      <c r="T71" s="87">
        <f t="shared" si="35"/>
        <v>0.47342973416788087</v>
      </c>
      <c r="U71" s="85">
        <f t="shared" si="14"/>
        <v>3.1142590479285701</v>
      </c>
      <c r="V71" s="74">
        <f>+IFERROR(VLOOKUP(B71,'[4]Table II.F 1'!A:I,9,0),DataF3!AJ$49)</f>
        <v>0.69535519125683065</v>
      </c>
      <c r="W71" s="763">
        <f t="shared" si="28"/>
        <v>85.114284564837646</v>
      </c>
      <c r="X71" s="722">
        <v>1</v>
      </c>
      <c r="AA71" s="23"/>
      <c r="AB71" s="23"/>
    </row>
    <row r="72" spans="1:28" ht="15.75" customHeight="1">
      <c r="A72" s="1" t="s">
        <v>132</v>
      </c>
      <c r="B72" s="68" t="str">
        <f>+[4]TableA1!A73</f>
        <v>Isle of man</v>
      </c>
      <c r="C72" s="719">
        <f>+[4]GDPgrowth!H67</f>
        <v>7.3153880499999993</v>
      </c>
      <c r="D72" s="70">
        <f>IFERROR(+VLOOKUP($B72,[4]OECDimp!$A$2:$M$44,8,0)/1000,30%*C72)</f>
        <v>2.1946164149999996</v>
      </c>
      <c r="E72" s="71">
        <f t="shared" si="26"/>
        <v>1.5451898184759816</v>
      </c>
      <c r="F72" s="64">
        <f t="shared" si="29"/>
        <v>0.64942659652401802</v>
      </c>
      <c r="G72" s="38">
        <f t="shared" si="30"/>
        <v>1.7325370242282516</v>
      </c>
      <c r="H72" s="747"/>
      <c r="I72" s="63"/>
      <c r="J72" s="713">
        <f t="shared" si="31"/>
        <v>8.6626851211412587E-2</v>
      </c>
      <c r="K72" s="74">
        <f t="shared" si="32"/>
        <v>0.05</v>
      </c>
      <c r="L72" s="709">
        <f t="shared" si="27"/>
        <v>0.73153880500000001</v>
      </c>
      <c r="M72" s="706">
        <f t="shared" si="20"/>
        <v>1.0009982192282516</v>
      </c>
      <c r="N72" s="72">
        <f t="shared" si="33"/>
        <v>1.0973082074999998</v>
      </c>
      <c r="O72" s="64">
        <v>0</v>
      </c>
      <c r="P72" s="64">
        <f>(TableB10!G73-TableB10!P73+TableB10!J73+TableB10!K73)/1000</f>
        <v>-0.15406305182437979</v>
      </c>
      <c r="Q72" s="64">
        <f t="shared" si="34"/>
        <v>5.7753063552631573E-2</v>
      </c>
      <c r="R72" s="699"/>
      <c r="S72" s="73">
        <f t="shared" ref="S72:S90" si="39">+G72/D72</f>
        <v>0.78944867649149153</v>
      </c>
      <c r="T72" s="87">
        <f t="shared" si="35"/>
        <v>0.47342973416788087</v>
      </c>
      <c r="U72" s="85">
        <f t="shared" ref="U72:U89" si="40">IFERROR(M72/F72,"")</f>
        <v>1.5413569825842992</v>
      </c>
      <c r="V72" s="74">
        <f>+IFERROR(VLOOKUP(B72,'[4]Table II.F 1'!A:I,9,0),DataF3!AJ$49)</f>
        <v>3.9609018051082314</v>
      </c>
      <c r="W72" s="723">
        <f t="shared" si="28"/>
        <v>0.69354035827433413</v>
      </c>
      <c r="X72" s="722">
        <v>1</v>
      </c>
    </row>
    <row r="73" spans="1:28" ht="15.75" customHeight="1">
      <c r="A73" s="1" t="s">
        <v>764</v>
      </c>
      <c r="B73" s="68" t="str">
        <f>+[4]TableA1!A74</f>
        <v>Lebanon</v>
      </c>
      <c r="C73" s="719">
        <f>+[4]GDPgrowth!H68</f>
        <v>51.605959130000002</v>
      </c>
      <c r="D73" s="70">
        <f>IFERROR(+VLOOKUP($B73,[4]OECDimp!$A$2:$M$44,8,0)/1000,30%*C73)</f>
        <v>15.481787739</v>
      </c>
      <c r="E73" s="71">
        <f t="shared" si="26"/>
        <v>10.900447396001587</v>
      </c>
      <c r="F73" s="64">
        <f t="shared" si="29"/>
        <v>4.5813403429984128</v>
      </c>
      <c r="G73" s="38">
        <f t="shared" si="30"/>
        <v>13.462082059445368</v>
      </c>
      <c r="H73" s="747"/>
      <c r="I73" s="63"/>
      <c r="J73" s="713">
        <f t="shared" si="31"/>
        <v>0.67310410297226841</v>
      </c>
      <c r="K73" s="74">
        <f t="shared" si="32"/>
        <v>0.05</v>
      </c>
      <c r="L73" s="709">
        <f t="shared" si="27"/>
        <v>5.1605959130000008</v>
      </c>
      <c r="M73" s="706">
        <f t="shared" si="20"/>
        <v>8.3014861464453666</v>
      </c>
      <c r="N73" s="72">
        <f t="shared" si="33"/>
        <v>7.7408938694999998</v>
      </c>
      <c r="O73" s="64">
        <v>0</v>
      </c>
      <c r="P73" s="64">
        <f>(TableB10!G74-TableB10!P74+TableB10!J74+TableB10!K74)/1000</f>
        <v>0.14551796962309904</v>
      </c>
      <c r="Q73" s="64">
        <f t="shared" si="34"/>
        <v>0.41507430732226841</v>
      </c>
      <c r="R73" s="699"/>
      <c r="S73" s="73">
        <f t="shared" si="39"/>
        <v>0.86954312295169811</v>
      </c>
      <c r="T73" s="87">
        <f t="shared" si="35"/>
        <v>0.47342973416788087</v>
      </c>
      <c r="U73" s="85">
        <f t="shared" si="40"/>
        <v>1.8120212699613971</v>
      </c>
      <c r="V73" s="74">
        <f>+IFERROR(VLOOKUP(B73,'[4]Table II.F 1'!A:I,9,0),DataF3!AJ$49)</f>
        <v>3.9609018051082314</v>
      </c>
      <c r="W73" s="763">
        <f t="shared" si="28"/>
        <v>6.1325434057270405</v>
      </c>
      <c r="X73" s="722">
        <v>1</v>
      </c>
    </row>
    <row r="74" spans="1:28" ht="15.5" customHeight="1">
      <c r="A74" s="1" t="s">
        <v>133</v>
      </c>
      <c r="B74" s="68" t="str">
        <f>+[4]TableA1!A75</f>
        <v>Liechtenstein</v>
      </c>
      <c r="C74" s="719">
        <f>+[4]GDPgrowth!H69</f>
        <v>6.4272489400000001</v>
      </c>
      <c r="D74" s="70">
        <f>IFERROR(+VLOOKUP($B74,[4]OECDimp!$A$2:$M$44,8,0)/1000,30%*C74)</f>
        <v>1.9281746819999999</v>
      </c>
      <c r="E74" s="71">
        <f t="shared" si="26"/>
        <v>1.3575930019048745</v>
      </c>
      <c r="F74" s="64">
        <f t="shared" si="29"/>
        <v>0.57058168009512533</v>
      </c>
      <c r="G74" s="38">
        <f t="shared" si="30"/>
        <v>0.74589229070266505</v>
      </c>
      <c r="H74" s="747"/>
      <c r="I74" s="63"/>
      <c r="J74" s="713">
        <f t="shared" si="31"/>
        <v>3.7294614535133254E-2</v>
      </c>
      <c r="K74" s="74">
        <f t="shared" si="32"/>
        <v>0.05</v>
      </c>
      <c r="L74" s="709">
        <f t="shared" si="27"/>
        <v>0.6427248940000001</v>
      </c>
      <c r="M74" s="706">
        <f t="shared" si="20"/>
        <v>0.10316739670266489</v>
      </c>
      <c r="N74" s="72">
        <f t="shared" si="33"/>
        <v>0.96408734099999993</v>
      </c>
      <c r="O74" s="64">
        <v>0</v>
      </c>
      <c r="P74" s="64">
        <f>(TableB10!G75-TableB10!P75+TableB10!J75+TableB10!K75)/1000</f>
        <v>-0.91166138329733504</v>
      </c>
      <c r="Q74" s="64">
        <f t="shared" si="34"/>
        <v>5.0741439000000006E-2</v>
      </c>
      <c r="R74" s="699"/>
      <c r="S74" s="73">
        <f t="shared" si="39"/>
        <v>0.38683854614717167</v>
      </c>
      <c r="T74" s="87">
        <f t="shared" si="35"/>
        <v>0.47342973416788087</v>
      </c>
      <c r="U74" s="85">
        <f t="shared" si="40"/>
        <v>0.18081091682695666</v>
      </c>
      <c r="V74" s="74">
        <f>+IFERROR(VLOOKUP(B74,'[4]Table II.F 1'!A:I,9,0),DataF3!AJ$49)</f>
        <v>3.9609018051082314</v>
      </c>
      <c r="W74" s="723">
        <f t="shared" si="28"/>
        <v>0</v>
      </c>
      <c r="X74" s="722">
        <v>1</v>
      </c>
    </row>
    <row r="75" spans="1:28" ht="15.75" customHeight="1">
      <c r="A75" s="1" t="s">
        <v>772</v>
      </c>
      <c r="B75" s="68" t="str">
        <f>+[4]TableA1!A76</f>
        <v>Macau</v>
      </c>
      <c r="C75" s="719">
        <f>+[4]GDPgrowth!H70</f>
        <v>55.204758070000004</v>
      </c>
      <c r="D75" s="70">
        <f>IFERROR(+VLOOKUP($B75,[4]OECDimp!$A$2:$M$44,8,0)/1000,30%*C75)</f>
        <v>16.561427421000001</v>
      </c>
      <c r="E75" s="71">
        <f t="shared" si="26"/>
        <v>11.66060221524322</v>
      </c>
      <c r="F75" s="64">
        <f t="shared" si="29"/>
        <v>4.9008252057567816</v>
      </c>
      <c r="G75" s="38">
        <f t="shared" si="30"/>
        <v>15.075822417991517</v>
      </c>
      <c r="H75" s="747"/>
      <c r="I75" s="63"/>
      <c r="J75" s="713">
        <f t="shared" si="31"/>
        <v>0.75379112089957589</v>
      </c>
      <c r="K75" s="74">
        <f t="shared" si="32"/>
        <v>0.05</v>
      </c>
      <c r="L75" s="709">
        <f t="shared" si="27"/>
        <v>5.5204758070000004</v>
      </c>
      <c r="M75" s="706">
        <f t="shared" si="20"/>
        <v>9.5553466109915171</v>
      </c>
      <c r="N75" s="72">
        <f t="shared" si="33"/>
        <v>8.2807137105000006</v>
      </c>
      <c r="O75" s="64">
        <v>0</v>
      </c>
      <c r="P75" s="64">
        <f>(TableB10!G76-TableB10!P76+TableB10!J76+TableB10!K76)/1000</f>
        <v>0.79686556994194191</v>
      </c>
      <c r="Q75" s="64">
        <f t="shared" si="34"/>
        <v>0.47776733054957593</v>
      </c>
      <c r="R75" s="699"/>
      <c r="S75" s="73">
        <f t="shared" si="39"/>
        <v>0.91029728505619467</v>
      </c>
      <c r="T75" s="87">
        <f t="shared" si="35"/>
        <v>0.47342973416788087</v>
      </c>
      <c r="U75" s="85">
        <f t="shared" si="40"/>
        <v>1.9497423821129707</v>
      </c>
      <c r="V75" s="74">
        <f>+IFERROR(VLOOKUP(B75,'[4]Table II.F 1'!A:I,9,0),DataF3!AJ$49)</f>
        <v>3.9609018051082314</v>
      </c>
      <c r="W75" s="723">
        <f t="shared" si="28"/>
        <v>7.2351502366268345</v>
      </c>
      <c r="X75" s="722">
        <v>1</v>
      </c>
    </row>
    <row r="76" spans="1:28" ht="15.75" customHeight="1">
      <c r="A76" s="1" t="s">
        <v>765</v>
      </c>
      <c r="B76" s="68" t="s">
        <v>87</v>
      </c>
      <c r="C76" s="719">
        <f>+[4]GDPgrowth!H71</f>
        <v>15.71950092</v>
      </c>
      <c r="D76" s="70">
        <f>IFERROR(+VLOOKUP($B76,[4]OECDimp!$A$2:$M$44,8,0)/1000,30%*C76)</f>
        <v>4.7158502759999994</v>
      </c>
      <c r="E76" s="71">
        <f t="shared" si="26"/>
        <v>3.3203450872449376</v>
      </c>
      <c r="F76" s="64">
        <f t="shared" si="29"/>
        <v>1.3955051887550618</v>
      </c>
      <c r="G76" s="38">
        <f t="shared" si="30"/>
        <v>6.4202161448477826</v>
      </c>
      <c r="H76" s="747"/>
      <c r="I76" s="63"/>
      <c r="J76" s="713">
        <f t="shared" si="31"/>
        <v>0.32101080724238917</v>
      </c>
      <c r="K76" s="74">
        <f t="shared" si="32"/>
        <v>5.000000000000001E-2</v>
      </c>
      <c r="L76" s="709">
        <f t="shared" si="27"/>
        <v>1.571950092</v>
      </c>
      <c r="M76" s="706">
        <f t="shared" si="20"/>
        <v>4.8482660528477828</v>
      </c>
      <c r="N76" s="72">
        <f t="shared" si="33"/>
        <v>2.3579251379999997</v>
      </c>
      <c r="O76" s="64">
        <v>0</v>
      </c>
      <c r="P76" s="64">
        <f>(TableB10!G77-TableB10!P77+TableB10!J77+TableB10!K77)/1000</f>
        <v>2.2479276122053933</v>
      </c>
      <c r="Q76" s="64">
        <f t="shared" si="34"/>
        <v>0.24241330264238914</v>
      </c>
      <c r="R76" s="699"/>
      <c r="S76" s="73">
        <f t="shared" si="39"/>
        <v>1.3614122096966641</v>
      </c>
      <c r="T76" s="87">
        <f t="shared" si="35"/>
        <v>0.47342973416788087</v>
      </c>
      <c r="U76" s="85">
        <f t="shared" si="40"/>
        <v>3.4742013801990579</v>
      </c>
      <c r="V76" s="74">
        <f>+IFERROR(VLOOKUP(B76,'[4]Table II.F 1'!A:I,9,0),DataF3!AJ$49)</f>
        <v>3.9609018051082314</v>
      </c>
      <c r="W76" s="723">
        <f t="shared" si="28"/>
        <v>4.1875924023055751</v>
      </c>
      <c r="X76" s="722">
        <v>1</v>
      </c>
    </row>
    <row r="77" spans="1:28" ht="15.75" customHeight="1">
      <c r="B77" s="68" t="s">
        <v>134</v>
      </c>
      <c r="C77" s="719">
        <f>+[4]GDPgrowth!H72</f>
        <v>0.23946219999999999</v>
      </c>
      <c r="D77" s="70">
        <f>IFERROR(+VLOOKUP($B77,[4]OECDimp!$A$2:$M$44,8,0)/1000,30%*C77)</f>
        <v>7.1838659999999999E-2</v>
      </c>
      <c r="E77" s="71">
        <f t="shared" si="26"/>
        <v>5.0580304260121813E-2</v>
      </c>
      <c r="F77" s="64">
        <f t="shared" si="29"/>
        <v>2.1258355739878186E-2</v>
      </c>
      <c r="G77" s="38">
        <f t="shared" si="30"/>
        <v>0.14339810842117967</v>
      </c>
      <c r="H77" s="71"/>
      <c r="I77" s="63"/>
      <c r="J77" s="713">
        <f t="shared" si="31"/>
        <v>7.1699054210589835E-3</v>
      </c>
      <c r="K77" s="74">
        <f t="shared" si="32"/>
        <v>0.05</v>
      </c>
      <c r="L77" s="709">
        <f t="shared" si="27"/>
        <v>2.3946220000000001E-2</v>
      </c>
      <c r="M77" s="706">
        <f t="shared" si="20"/>
        <v>0.11945188842117968</v>
      </c>
      <c r="N77" s="72">
        <f t="shared" si="33"/>
        <v>3.5919329999999999E-2</v>
      </c>
      <c r="O77" s="64">
        <v>0</v>
      </c>
      <c r="P77" s="64">
        <f>(TableB10!G78-TableB10!P78+TableB10!J78+TableB10!K78)/1000</f>
        <v>7.755996400012069E-2</v>
      </c>
      <c r="Q77" s="64">
        <f t="shared" si="34"/>
        <v>5.9725944210589849E-3</v>
      </c>
      <c r="R77" s="699"/>
      <c r="S77" s="73">
        <f t="shared" si="39"/>
        <v>1.996113352075048</v>
      </c>
      <c r="T77" s="87">
        <f t="shared" si="35"/>
        <v>0.47342973416788087</v>
      </c>
      <c r="U77" s="85">
        <f t="shared" si="40"/>
        <v>5.6190558612725594</v>
      </c>
      <c r="V77" s="74">
        <f>+IFERROR(VLOOKUP(B77,'[4]Table II.F 1'!A:I,9,0),DataF3!AJ$49)</f>
        <v>3.9609018051082314</v>
      </c>
      <c r="W77" s="723">
        <f t="shared" si="28"/>
        <v>0.10938755071440291</v>
      </c>
      <c r="X77" s="722">
        <v>1</v>
      </c>
    </row>
    <row r="78" spans="1:28" ht="15.75" customHeight="1">
      <c r="A78" s="1" t="s">
        <v>135</v>
      </c>
      <c r="B78" s="68" t="str">
        <f>+[4]TableA1!A79</f>
        <v>Monaco</v>
      </c>
      <c r="C78" s="719">
        <f>+[4]GDPgrowth!H73</f>
        <v>7.3837456599999998</v>
      </c>
      <c r="D78" s="70">
        <f>IFERROR(+VLOOKUP($B78,[4]OECDimp!$A$2:$M$44,8,0)/1000,30%*C78)</f>
        <v>2.2151236979999998</v>
      </c>
      <c r="E78" s="71">
        <f t="shared" si="26"/>
        <v>1.5596286264059795</v>
      </c>
      <c r="F78" s="64">
        <f t="shared" si="29"/>
        <v>0.65549507159402021</v>
      </c>
      <c r="G78" s="38">
        <f t="shared" si="30"/>
        <v>1.9042291438947367</v>
      </c>
      <c r="H78" s="71"/>
      <c r="I78" s="63"/>
      <c r="J78" s="713">
        <f t="shared" si="31"/>
        <v>9.5211457194736837E-2</v>
      </c>
      <c r="K78" s="74">
        <f t="shared" si="32"/>
        <v>0.05</v>
      </c>
      <c r="L78" s="709">
        <f t="shared" si="27"/>
        <v>0.73837456600000007</v>
      </c>
      <c r="M78" s="706">
        <f t="shared" si="20"/>
        <v>1.1658545778947367</v>
      </c>
      <c r="N78" s="72">
        <f t="shared" si="33"/>
        <v>1.1075618489999999</v>
      </c>
      <c r="O78" s="64">
        <v>0</v>
      </c>
      <c r="P78" s="64">
        <f>(TableB10!G79-TableB10!P79+TableB10!J79+TableB10!K79)/1000</f>
        <v>0</v>
      </c>
      <c r="Q78" s="64">
        <f t="shared" si="34"/>
        <v>5.8292728894736842E-2</v>
      </c>
      <c r="R78" s="699"/>
      <c r="S78" s="73">
        <f t="shared" si="39"/>
        <v>0.85964912280701755</v>
      </c>
      <c r="T78" s="87">
        <f t="shared" si="35"/>
        <v>0.47342973416788087</v>
      </c>
      <c r="U78" s="85">
        <f t="shared" si="40"/>
        <v>1.7785863363695995</v>
      </c>
      <c r="V78" s="74">
        <f>+IFERROR(VLOOKUP(B78,'[4]Table II.F 1'!A:I,9,0),DataF3!AJ$49)</f>
        <v>3.9609018051082314</v>
      </c>
      <c r="W78" s="723">
        <f t="shared" si="28"/>
        <v>0.85552372040162372</v>
      </c>
      <c r="X78" s="722">
        <v>1</v>
      </c>
    </row>
    <row r="79" spans="1:28" ht="15.75" customHeight="1">
      <c r="A79" s="1" t="s">
        <v>136</v>
      </c>
      <c r="B79" s="68" t="str">
        <f>+[4]TableA1!A80</f>
        <v>Sint Maarten</v>
      </c>
      <c r="C79" s="719">
        <f>+[4]GDPgrowth!H74</f>
        <v>0.81963768599999987</v>
      </c>
      <c r="D79" s="70">
        <f>IFERROR(+VLOOKUP($B79,[4]OECDimp!$A$2:$M$44,8,0)/1000,30%*C79)</f>
        <v>0.24589130579999996</v>
      </c>
      <c r="E79" s="71">
        <f t="shared" si="26"/>
        <v>0.17312763158837668</v>
      </c>
      <c r="F79" s="64">
        <f t="shared" si="29"/>
        <v>7.2763674211623275E-2</v>
      </c>
      <c r="G79" s="38">
        <f t="shared" si="30"/>
        <v>0.21138024533684208</v>
      </c>
      <c r="H79" s="71"/>
      <c r="I79" s="63"/>
      <c r="J79" s="713">
        <f t="shared" si="31"/>
        <v>1.0569012266842105E-2</v>
      </c>
      <c r="K79" s="74">
        <f t="shared" si="32"/>
        <v>0.05</v>
      </c>
      <c r="L79" s="709">
        <f t="shared" si="27"/>
        <v>8.1963768599999987E-2</v>
      </c>
      <c r="M79" s="706">
        <f t="shared" si="20"/>
        <v>0.12941647673684209</v>
      </c>
      <c r="N79" s="72">
        <f t="shared" si="33"/>
        <v>0.12294565289999998</v>
      </c>
      <c r="O79" s="64">
        <v>0</v>
      </c>
      <c r="P79" s="64">
        <f>(TableB10!G80-TableB10!P80+TableB10!J80+TableB10!K80)/1000</f>
        <v>0</v>
      </c>
      <c r="Q79" s="64">
        <f t="shared" si="34"/>
        <v>6.4708238368421048E-3</v>
      </c>
      <c r="R79" s="699"/>
      <c r="S79" s="73">
        <f t="shared" si="39"/>
        <v>0.85964912280701755</v>
      </c>
      <c r="T79" s="87">
        <f t="shared" si="35"/>
        <v>0.47342973416788087</v>
      </c>
      <c r="U79" s="85">
        <f t="shared" si="40"/>
        <v>1.7785863363695986</v>
      </c>
      <c r="V79" s="74">
        <f>+IFERROR(VLOOKUP("Other Western Hemisphere",'[4]Table II.F 1'!A:I,9,0),DataF3!AJ$49)</f>
        <v>8.5050258082042927</v>
      </c>
      <c r="W79" s="723">
        <f t="shared" si="28"/>
        <v>9.496798979775499E-2</v>
      </c>
      <c r="X79" s="722">
        <v>1</v>
      </c>
    </row>
    <row r="80" spans="1:28" ht="15.75" customHeight="1">
      <c r="A80" s="1" t="s">
        <v>766</v>
      </c>
      <c r="B80" s="68" t="str">
        <f>+[4]TableA1!A81</f>
        <v>Mauritius</v>
      </c>
      <c r="C80" s="719">
        <f>+[4]GDPgrowth!H75</f>
        <v>14.045808839999999</v>
      </c>
      <c r="D80" s="70">
        <f>IFERROR(+VLOOKUP($B80,[4]OECDimp!$A$2:$M$44,8,0)/1000,30%*C80)</f>
        <v>4.2137426519999996</v>
      </c>
      <c r="E80" s="71">
        <f t="shared" ref="E80:E83" si="41">L80/T80</f>
        <v>2.9668201691403011</v>
      </c>
      <c r="F80" s="64">
        <f t="shared" ref="F80:F83" si="42">D80-E80</f>
        <v>1.2469224828596985</v>
      </c>
      <c r="G80" s="38">
        <f t="shared" ref="G80:G83" si="43">L80+M80</f>
        <v>4.1559692548886584</v>
      </c>
      <c r="H80" s="71"/>
      <c r="I80" s="63"/>
      <c r="J80" s="713">
        <f t="shared" ref="J80:J83" si="44">K$52*G80</f>
        <v>0.20779846274443292</v>
      </c>
      <c r="K80" s="74">
        <f t="shared" ref="K80:K83" si="45">J80/G80</f>
        <v>0.05</v>
      </c>
      <c r="L80" s="709">
        <f t="shared" ref="L80:L83" si="46">C80*0.1</f>
        <v>1.404580884</v>
      </c>
      <c r="M80" s="706">
        <f t="shared" si="20"/>
        <v>2.751388370888658</v>
      </c>
      <c r="N80" s="72">
        <f t="shared" si="33"/>
        <v>2.1068713259999998</v>
      </c>
      <c r="O80" s="64">
        <v>0</v>
      </c>
      <c r="P80" s="64">
        <f>(TableB10!G81-TableB10!P81+TableB10!J81+TableB10!K81)/1000</f>
        <v>0.50694762634422508</v>
      </c>
      <c r="Q80" s="64">
        <f t="shared" si="34"/>
        <v>0.13756941854443291</v>
      </c>
      <c r="R80" s="699"/>
      <c r="S80" s="73">
        <f t="shared" si="39"/>
        <v>0.98628929151999356</v>
      </c>
      <c r="T80" s="87">
        <f t="shared" si="35"/>
        <v>0.47342973416788087</v>
      </c>
      <c r="U80" s="85">
        <f t="shared" si="40"/>
        <v>2.2065432364156345</v>
      </c>
      <c r="V80" s="74">
        <f>+IFERROR(VLOOKUP(B80,'[4]Table II.F 1'!A:I,9,0),DataF3!AJ$49)</f>
        <v>3.9609018051082314</v>
      </c>
      <c r="W80" s="763">
        <f t="shared" si="28"/>
        <v>2.161058191300437</v>
      </c>
      <c r="X80" s="722">
        <v>1</v>
      </c>
    </row>
    <row r="81" spans="1:28" ht="15.75" customHeight="1">
      <c r="A81" s="1" t="s">
        <v>767</v>
      </c>
      <c r="B81" s="68" t="str">
        <f>+[4]TableA1!A82</f>
        <v>Seychelles</v>
      </c>
      <c r="C81" s="719">
        <f>+[4]GDPgrowth!H76</f>
        <v>1.6842285300000002</v>
      </c>
      <c r="D81" s="70">
        <f>IFERROR(+VLOOKUP($B81,[4]OECDimp!$A$2:$M$44,8,0)/1000,30%*C81)</f>
        <v>0.50526855900000001</v>
      </c>
      <c r="E81" s="71">
        <f t="shared" si="41"/>
        <v>0.35575047540270538</v>
      </c>
      <c r="F81" s="64">
        <f t="shared" si="42"/>
        <v>0.14951808359729463</v>
      </c>
      <c r="G81" s="38">
        <f t="shared" si="43"/>
        <v>0.58831164937388181</v>
      </c>
      <c r="H81" s="71"/>
      <c r="I81" s="63"/>
      <c r="J81" s="713">
        <f t="shared" si="44"/>
        <v>2.9415582468694093E-2</v>
      </c>
      <c r="K81" s="74">
        <f t="shared" si="45"/>
        <v>0.05</v>
      </c>
      <c r="L81" s="709">
        <f t="shared" si="46"/>
        <v>0.16842285300000004</v>
      </c>
      <c r="M81" s="706">
        <f t="shared" si="20"/>
        <v>0.41988879637388177</v>
      </c>
      <c r="N81" s="72">
        <f t="shared" si="33"/>
        <v>0.2526342795</v>
      </c>
      <c r="O81" s="64">
        <v>0</v>
      </c>
      <c r="P81" s="64">
        <f>(TableB10!G82-TableB10!P82+TableB10!J82+TableB10!K82)/1000</f>
        <v>0.1462600770551877</v>
      </c>
      <c r="Q81" s="64">
        <f t="shared" si="34"/>
        <v>2.0994439818694092E-2</v>
      </c>
      <c r="R81" s="699"/>
      <c r="S81" s="73">
        <f t="shared" si="39"/>
        <v>1.1643543594682324</v>
      </c>
      <c r="T81" s="87">
        <f t="shared" si="35"/>
        <v>0.47342973416788087</v>
      </c>
      <c r="U81" s="85">
        <f t="shared" si="40"/>
        <v>2.8082810204068132</v>
      </c>
      <c r="V81" s="74">
        <f>+IFERROR(VLOOKUP(B81,'[4]Table II.F 1'!A:I,9,0),DataF3!AJ$49)</f>
        <v>3.9609018051082314</v>
      </c>
      <c r="W81" s="723">
        <f t="shared" si="28"/>
        <v>0.34910248980312353</v>
      </c>
      <c r="X81" s="722">
        <v>1</v>
      </c>
    </row>
    <row r="82" spans="1:28" s="44" customFormat="1" ht="15.75" customHeight="1">
      <c r="A82" s="1" t="s">
        <v>768</v>
      </c>
      <c r="B82" s="68" t="str">
        <f>+[4]TableA1!A83</f>
        <v>Singapore</v>
      </c>
      <c r="C82" s="719">
        <f>+[4]GDPgrowth!H77</f>
        <v>375.47273127</v>
      </c>
      <c r="D82" s="70">
        <f>IFERROR(+VLOOKUP($B82,[4]OECDimp!$A$2:$M$44,8,0)/1000,30%*C82)</f>
        <v>112.64181938099999</v>
      </c>
      <c r="E82" s="71">
        <f t="shared" si="41"/>
        <v>79.30907253426868</v>
      </c>
      <c r="F82" s="64">
        <f t="shared" si="42"/>
        <v>33.332746846731311</v>
      </c>
      <c r="G82" s="38">
        <f t="shared" si="43"/>
        <v>134.36816937742117</v>
      </c>
      <c r="H82" s="71"/>
      <c r="I82" s="63"/>
      <c r="J82" s="713">
        <f t="shared" si="44"/>
        <v>6.7184084688710586</v>
      </c>
      <c r="K82" s="764">
        <f t="shared" si="45"/>
        <v>0.05</v>
      </c>
      <c r="L82" s="709">
        <f t="shared" si="46"/>
        <v>37.547273127000004</v>
      </c>
      <c r="M82" s="706">
        <f>N82+O82+P82+Q82</f>
        <v>96.820896250421157</v>
      </c>
      <c r="N82" s="72">
        <f t="shared" si="33"/>
        <v>56.320909690499995</v>
      </c>
      <c r="O82" s="64">
        <v>0</v>
      </c>
      <c r="P82" s="64">
        <f>(TableB10!G83-TableB10!P83+TableB10!J83+TableB10!K83)/1000</f>
        <v>35.6589417474001</v>
      </c>
      <c r="Q82" s="64">
        <f t="shared" si="34"/>
        <v>4.8410448125210586</v>
      </c>
      <c r="R82" s="699"/>
      <c r="S82" s="765">
        <f t="shared" si="39"/>
        <v>1.1928799633725189</v>
      </c>
      <c r="T82" s="733">
        <f t="shared" si="35"/>
        <v>0.47342973416788087</v>
      </c>
      <c r="U82" s="766">
        <f t="shared" si="40"/>
        <v>2.9046779941544374</v>
      </c>
      <c r="V82" s="764">
        <f>+IFERROR(VLOOKUP(B82,'[4]Table II.F 1'!A:I,9,0),DataF3!AJ$49)</f>
        <v>2.7743159203980099</v>
      </c>
      <c r="W82" s="763">
        <f t="shared" si="28"/>
        <v>81.040182771687867</v>
      </c>
      <c r="X82" s="767">
        <v>1</v>
      </c>
      <c r="AA82" s="23"/>
      <c r="AB82" s="23"/>
    </row>
    <row r="83" spans="1:28" ht="15.75" customHeight="1">
      <c r="A83" s="1" t="s">
        <v>137</v>
      </c>
      <c r="B83" s="68" t="str">
        <f>+[4]TableA1!A84</f>
        <v>St. Kitts and Nevis</v>
      </c>
      <c r="C83" s="719">
        <f>+[4]GDPgrowth!H78</f>
        <v>1.1648778500000001</v>
      </c>
      <c r="D83" s="70">
        <f>IFERROR(+VLOOKUP($B83,[4]OECDimp!$A$2:$M$44,8,0)/1000,30%*C83)</f>
        <v>0.34946335500000003</v>
      </c>
      <c r="E83" s="71">
        <f t="shared" si="41"/>
        <v>0.24605084259175994</v>
      </c>
      <c r="F83" s="64">
        <f t="shared" si="42"/>
        <v>0.10341251240824009</v>
      </c>
      <c r="G83" s="38">
        <f t="shared" si="43"/>
        <v>0.34714673744921531</v>
      </c>
      <c r="H83" s="71"/>
      <c r="I83" s="63"/>
      <c r="J83" s="713">
        <f t="shared" si="44"/>
        <v>1.7357336872460768E-2</v>
      </c>
      <c r="K83" s="74">
        <f t="shared" si="45"/>
        <v>0.05</v>
      </c>
      <c r="L83" s="709">
        <f t="shared" si="46"/>
        <v>0.11648778500000001</v>
      </c>
      <c r="M83" s="706">
        <f t="shared" si="20"/>
        <v>0.23065895244921528</v>
      </c>
      <c r="N83" s="72">
        <f t="shared" si="33"/>
        <v>0.17473167750000002</v>
      </c>
      <c r="O83" s="64">
        <v>0</v>
      </c>
      <c r="P83" s="64">
        <f>(TableB10!G84-TableB10!P84+TableB10!J84+TableB10!K84)/1000</f>
        <v>4.4394327326754503E-2</v>
      </c>
      <c r="Q83" s="64">
        <f t="shared" si="34"/>
        <v>1.1532947622460765E-2</v>
      </c>
      <c r="R83" s="699"/>
      <c r="S83" s="73">
        <f t="shared" si="39"/>
        <v>0.99337092854618558</v>
      </c>
      <c r="T83" s="87">
        <f t="shared" si="35"/>
        <v>0.47342973416788087</v>
      </c>
      <c r="U83" s="85">
        <f t="shared" si="40"/>
        <v>2.230474311838071</v>
      </c>
      <c r="V83" s="74">
        <f>+IFERROR(VLOOKUP("Other Western Hemisphere",'[4]Table II.F 1'!A:I,9,0),DataF3!AJ$49)</f>
        <v>8.5050258082042927</v>
      </c>
      <c r="W83" s="723">
        <f t="shared" si="28"/>
        <v>0.18170039419014952</v>
      </c>
      <c r="X83" s="722">
        <v>1</v>
      </c>
    </row>
    <row r="84" spans="1:28" ht="15.75" customHeight="1">
      <c r="A84" s="1" t="s">
        <v>138</v>
      </c>
      <c r="B84" s="68" t="str">
        <f>+[4]TableA1!A85</f>
        <v>St. Lucia</v>
      </c>
      <c r="C84" s="719">
        <f>+[4]GDPgrowth!H79</f>
        <v>2.1187915500000001</v>
      </c>
      <c r="D84" s="70">
        <f>IFERROR(+VLOOKUP($B84,[4]OECDimp!$A$2:$M$44,8,0)/1000,30%*C84)</f>
        <v>0.63563746499999996</v>
      </c>
      <c r="E84" s="71">
        <f t="shared" si="26"/>
        <v>0.44754086976055135</v>
      </c>
      <c r="F84" s="64">
        <f t="shared" si="29"/>
        <v>0.18809659523944861</v>
      </c>
      <c r="G84" s="38">
        <f t="shared" si="30"/>
        <v>0.56367404741123539</v>
      </c>
      <c r="H84" s="71"/>
      <c r="I84" s="63"/>
      <c r="J84" s="713">
        <f t="shared" si="31"/>
        <v>2.818370237056177E-2</v>
      </c>
      <c r="K84" s="74">
        <f t="shared" si="32"/>
        <v>0.05</v>
      </c>
      <c r="L84" s="709">
        <f t="shared" si="27"/>
        <v>0.21187915500000001</v>
      </c>
      <c r="M84" s="706">
        <f t="shared" si="20"/>
        <v>0.3517948924112354</v>
      </c>
      <c r="N84" s="72">
        <f t="shared" si="33"/>
        <v>0.31781873249999998</v>
      </c>
      <c r="O84" s="64">
        <v>0</v>
      </c>
      <c r="P84" s="64">
        <f>(TableB10!G85-TableB10!P85+TableB10!J85+TableB10!K85)/1000</f>
        <v>1.638641529067366E-2</v>
      </c>
      <c r="Q84" s="64">
        <f t="shared" si="34"/>
        <v>1.7589744620561773E-2</v>
      </c>
      <c r="R84" s="699"/>
      <c r="S84" s="73">
        <f t="shared" si="39"/>
        <v>0.88678543737385807</v>
      </c>
      <c r="T84" s="87">
        <f t="shared" si="35"/>
        <v>0.47342973416788087</v>
      </c>
      <c r="U84" s="85">
        <f t="shared" si="40"/>
        <v>1.8702884651548182</v>
      </c>
      <c r="V84" s="74">
        <f>+IFERROR(VLOOKUP("Other Western Hemisphere",'[4]Table II.F 1'!A:I,9,0),DataF3!AJ$49)</f>
        <v>8.5050258082042927</v>
      </c>
      <c r="W84" s="723">
        <f t="shared" si="28"/>
        <v>0.2627443713291398</v>
      </c>
      <c r="X84" s="722">
        <v>1</v>
      </c>
    </row>
    <row r="85" spans="1:28" ht="15.75" customHeight="1">
      <c r="A85" s="1" t="s">
        <v>139</v>
      </c>
      <c r="B85" s="68" t="str">
        <f>+[4]TableA1!A86</f>
        <v>St. Vincent and the Grenadines</v>
      </c>
      <c r="C85" s="719">
        <f>+[4]GDPgrowth!H80</f>
        <v>0.91014970000000006</v>
      </c>
      <c r="D85" s="70">
        <f>IFERROR(+VLOOKUP($B85,[4]OECDimp!$A$2:$M$44,8,0)/1000,30%*C85)</f>
        <v>0.27304491000000003</v>
      </c>
      <c r="E85" s="71">
        <f t="shared" si="26"/>
        <v>0.19224599435008363</v>
      </c>
      <c r="F85" s="64">
        <f t="shared" si="29"/>
        <v>8.0798915649916397E-2</v>
      </c>
      <c r="G85" s="38">
        <f t="shared" si="30"/>
        <v>0.23368554016891468</v>
      </c>
      <c r="H85" s="71"/>
      <c r="I85" s="63"/>
      <c r="J85" s="713">
        <f t="shared" si="31"/>
        <v>1.1684277008445735E-2</v>
      </c>
      <c r="K85" s="74">
        <f t="shared" si="32"/>
        <v>0.05</v>
      </c>
      <c r="L85" s="709">
        <f t="shared" si="27"/>
        <v>9.1014970000000014E-2</v>
      </c>
      <c r="M85" s="706">
        <f t="shared" si="20"/>
        <v>0.14267057016891466</v>
      </c>
      <c r="N85" s="72">
        <f t="shared" si="33"/>
        <v>0.13652245500000001</v>
      </c>
      <c r="O85" s="64">
        <v>0</v>
      </c>
      <c r="P85" s="64">
        <f>(TableB10!G86-TableB10!P86+TableB10!J86+TableB10!K86)/1000</f>
        <v>-1.037277199506403E-3</v>
      </c>
      <c r="Q85" s="64">
        <f t="shared" si="34"/>
        <v>7.1853923684210537E-3</v>
      </c>
      <c r="R85" s="699"/>
      <c r="S85" s="73">
        <f t="shared" si="39"/>
        <v>0.85585019756975023</v>
      </c>
      <c r="T85" s="87">
        <f t="shared" si="35"/>
        <v>0.47342973416788087</v>
      </c>
      <c r="U85" s="85">
        <f t="shared" si="40"/>
        <v>1.7657485749818014</v>
      </c>
      <c r="V85" s="74">
        <f>+IFERROR(VLOOKUP("Other Western Hemisphere",'[4]Table II.F 1'!A:I,9,0),DataF3!AJ$49)</f>
        <v>8.5050258082042927</v>
      </c>
      <c r="W85" s="723">
        <f t="shared" si="28"/>
        <v>0.10441796101172171</v>
      </c>
      <c r="X85" s="722">
        <v>1</v>
      </c>
    </row>
    <row r="86" spans="1:28" ht="15.75" customHeight="1">
      <c r="A86" s="1" t="s">
        <v>140</v>
      </c>
      <c r="B86" s="68" t="str">
        <f>+[4]TableA1!A87</f>
        <v>Turks and Caicos</v>
      </c>
      <c r="C86" s="719">
        <f>+[4]GDPgrowth!H81</f>
        <v>1.1974149999999999</v>
      </c>
      <c r="D86" s="70">
        <f>IFERROR(+VLOOKUP($B86,[4]OECDimp!$A$2:$M$44,8,0)/1000,30%*C86)</f>
        <v>0.35922449999999995</v>
      </c>
      <c r="E86" s="71">
        <f t="shared" si="26"/>
        <v>0.25292348865764097</v>
      </c>
      <c r="F86" s="64">
        <f t="shared" si="29"/>
        <v>0.10630101134235898</v>
      </c>
      <c r="G86" s="38">
        <f t="shared" si="30"/>
        <v>0.36166993378866785</v>
      </c>
      <c r="H86" s="71"/>
      <c r="I86" s="63"/>
      <c r="J86" s="713">
        <f t="shared" si="31"/>
        <v>1.8083496689433393E-2</v>
      </c>
      <c r="K86" s="74">
        <f t="shared" si="32"/>
        <v>0.05</v>
      </c>
      <c r="L86" s="709">
        <f t="shared" si="27"/>
        <v>0.1197415</v>
      </c>
      <c r="M86" s="706">
        <f t="shared" si="20"/>
        <v>0.24192843378866788</v>
      </c>
      <c r="N86" s="72">
        <f t="shared" si="33"/>
        <v>0.17961224999999997</v>
      </c>
      <c r="O86" s="64">
        <v>0</v>
      </c>
      <c r="P86" s="64">
        <f>(TableB10!G87-TableB10!P87+TableB10!J87+TableB10!K87)/1000</f>
        <v>5.0219762099234504E-2</v>
      </c>
      <c r="Q86" s="64">
        <f t="shared" si="34"/>
        <v>1.2096421689433394E-2</v>
      </c>
      <c r="R86" s="699"/>
      <c r="S86" s="73">
        <f t="shared" si="39"/>
        <v>1.0068075362027586</v>
      </c>
      <c r="T86" s="87">
        <f t="shared" si="35"/>
        <v>0.47342973416788087</v>
      </c>
      <c r="U86" s="85">
        <f t="shared" si="40"/>
        <v>2.2758808287298384</v>
      </c>
      <c r="V86" s="74">
        <f>+IFERROR(VLOOKUP("United Kingdom Islands, Caribbean",'[4]Table II.F 1'!A:I,9,0),DataF3!AJ$49)</f>
        <v>11.287336244541486</v>
      </c>
      <c r="W86" s="723">
        <f t="shared" si="28"/>
        <v>0.19160237424707802</v>
      </c>
      <c r="X86" s="722">
        <v>1</v>
      </c>
    </row>
    <row r="87" spans="1:28" ht="15.75" customHeight="1">
      <c r="A87" s="1" t="s">
        <v>769</v>
      </c>
      <c r="B87" s="68" t="str">
        <f>+[4]TableA1!A88</f>
        <v>Panama</v>
      </c>
      <c r="C87" s="719">
        <f>+[4]GDPgrowth!H82</f>
        <v>66.984427199999999</v>
      </c>
      <c r="D87" s="70">
        <f>IFERROR(+VLOOKUP($B87,[4]OECDimp!$A$2:$M$44,8,0)/1000,30%*C87)</f>
        <v>20.095328159999998</v>
      </c>
      <c r="E87" s="71">
        <f t="shared" si="26"/>
        <v>14.14875796040452</v>
      </c>
      <c r="F87" s="64">
        <f t="shared" si="29"/>
        <v>5.9465701995954774</v>
      </c>
      <c r="G87" s="38">
        <f t="shared" si="30"/>
        <v>18.242530974557521</v>
      </c>
      <c r="H87" s="71"/>
      <c r="I87" s="63"/>
      <c r="J87" s="713">
        <f t="shared" si="31"/>
        <v>0.91212654872787613</v>
      </c>
      <c r="K87" s="74">
        <f t="shared" si="32"/>
        <v>0.05</v>
      </c>
      <c r="L87" s="709">
        <f t="shared" si="27"/>
        <v>6.6984427200000001</v>
      </c>
      <c r="M87" s="706">
        <f t="shared" si="20"/>
        <v>11.54408825455752</v>
      </c>
      <c r="N87" s="72">
        <f t="shared" si="33"/>
        <v>10.047664079999999</v>
      </c>
      <c r="O87" s="64">
        <v>0</v>
      </c>
      <c r="P87" s="64">
        <f>(TableB10!G88-TableB10!P88+TableB10!J88+TableB10!K88)/1000</f>
        <v>0.91921976182964416</v>
      </c>
      <c r="Q87" s="64">
        <f t="shared" si="34"/>
        <v>0.57720441272787604</v>
      </c>
      <c r="R87" s="699"/>
      <c r="S87" s="73">
        <f t="shared" si="39"/>
        <v>0.90779960542617599</v>
      </c>
      <c r="T87" s="87">
        <f t="shared" si="35"/>
        <v>0.47342973416788087</v>
      </c>
      <c r="U87" s="85">
        <f t="shared" si="40"/>
        <v>1.9413019382740695</v>
      </c>
      <c r="V87" s="74">
        <f>+IFERROR(VLOOKUP(B87,'[4]Table II.F 1'!A:I,9,0),DataF3!AJ$49)</f>
        <v>0.49005424954792043</v>
      </c>
      <c r="W87" s="763">
        <f t="shared" si="28"/>
        <v>8.7288051057523912</v>
      </c>
      <c r="X87" s="722">
        <v>1</v>
      </c>
    </row>
    <row r="88" spans="1:28" s="44" customFormat="1" ht="15.75" customHeight="1">
      <c r="A88" s="1" t="s">
        <v>141</v>
      </c>
      <c r="B88" s="69" t="s">
        <v>18</v>
      </c>
      <c r="C88" s="93">
        <f>+[4]GDPgrowth!H83</f>
        <v>104.91460000000001</v>
      </c>
      <c r="D88" s="90">
        <f>'Wright-Zucman'!S81</f>
        <v>23.974275837499999</v>
      </c>
      <c r="E88" s="71">
        <f>D88-F88</f>
        <v>21.970941399499999</v>
      </c>
      <c r="F88" s="64">
        <f>'Wright-Zucman'!W81</f>
        <v>2.003334438</v>
      </c>
      <c r="G88" s="144">
        <f t="shared" ref="G88" si="47">+M88+L88</f>
        <v>43.855460000000001</v>
      </c>
      <c r="H88" s="71"/>
      <c r="I88" s="63"/>
      <c r="J88" s="714">
        <f t="shared" si="31"/>
        <v>2.1927730000000003</v>
      </c>
      <c r="K88" s="702">
        <f t="shared" si="32"/>
        <v>0.05</v>
      </c>
      <c r="L88" s="709">
        <f t="shared" si="27"/>
        <v>10.491460000000002</v>
      </c>
      <c r="M88" s="706">
        <f t="shared" si="20"/>
        <v>33.363999999999997</v>
      </c>
      <c r="N88" s="63">
        <f>'Wright-Zucman'!P81-'Wright-Zucman'!Y81</f>
        <v>32.146999999999998</v>
      </c>
      <c r="O88" s="64">
        <v>0</v>
      </c>
      <c r="P88" s="64">
        <f>(TableB10!G89-TableB10!P89+TableB10!J89+TableB10!K89)/1000</f>
        <v>0</v>
      </c>
      <c r="Q88" s="64">
        <f>'Wright-Zucman'!Y81</f>
        <v>1.2170000000000001</v>
      </c>
      <c r="R88" s="699"/>
      <c r="S88" s="91">
        <f t="shared" si="39"/>
        <v>1.8292715199097827</v>
      </c>
      <c r="T88" s="87">
        <f>L88/E88</f>
        <v>0.47751526933837984</v>
      </c>
      <c r="U88" s="94">
        <f t="shared" si="40"/>
        <v>16.654233745069778</v>
      </c>
      <c r="V88" s="702">
        <f>'Wright-Zucman'!X81</f>
        <v>16.654233745069778</v>
      </c>
      <c r="W88" s="763">
        <f t="shared" si="28"/>
        <v>32.407377216263576</v>
      </c>
      <c r="X88" s="722">
        <v>1</v>
      </c>
      <c r="AA88" s="23"/>
      <c r="AB88" s="23"/>
    </row>
    <row r="89" spans="1:28" s="24" customFormat="1" ht="40" customHeight="1">
      <c r="A89" s="52"/>
      <c r="B89" s="92" t="s">
        <v>142</v>
      </c>
      <c r="C89" s="93">
        <f>+[4]GDPgrowth!$H$86</f>
        <v>11547.713781520026</v>
      </c>
      <c r="D89" s="145">
        <f>IFERROR(+VLOOKUP($B89,[4]OECDimp!$A$2:$M$44,8,0)/1000,30%*C89)</f>
        <v>3464.3141344560077</v>
      </c>
      <c r="E89" s="145">
        <f t="shared" ref="E89" si="48">+D89-F89</f>
        <v>3174.5258519031067</v>
      </c>
      <c r="F89" s="750">
        <f>IFERROR(VLOOKUP(B89,'[4]Eurostat personel cost'!$A$14:$D$43,4,0)*D89,MAX(M89/V89,0))</f>
        <v>289.78828255290097</v>
      </c>
      <c r="G89" s="144">
        <f>+I89+H89</f>
        <v>2309.5427563040053</v>
      </c>
      <c r="H89" s="145">
        <f>IFERROR(VLOOKUP($B89,[4]OECDimp!$A$2:$M$44,2,0)/1000,0.2*C89)</f>
        <v>2309.5427563040053</v>
      </c>
      <c r="I89" s="712">
        <f t="shared" ref="I89" si="49">P89-R89</f>
        <v>0</v>
      </c>
      <c r="J89" s="715">
        <f>+IFERROR(VLOOKUP($A89,[4]globaltaxrev!A:B,2,0),18%*H89)</f>
        <v>415.71769613472094</v>
      </c>
      <c r="K89" s="749">
        <f>J89/H89</f>
        <v>0.18</v>
      </c>
      <c r="L89" s="710">
        <f>+G89-M89</f>
        <v>2167.3055138509362</v>
      </c>
      <c r="M89" s="707">
        <f>N89+O89+P89+Q89</f>
        <v>142.237242453069</v>
      </c>
      <c r="N89" s="760">
        <f>IFERROR(VLOOKUP(A89,[4]ROU_E_2018!A:B,2,0)/1000,TableB10!C90/1000-IFERROR(VLOOKUP('Table U1'!A89,'[4]fdiinterest_net (2)'!A:D,3,0)/1000000000,0))</f>
        <v>116.63453881151659</v>
      </c>
      <c r="O89" s="761">
        <f>+IFERROR(VLOOKUP(B89,'[4]SPE FDI income'!A:H,7,0)-VLOOKUP(B89,'[4]SPE FDI income'!A:H,8,0),0)/1000</f>
        <v>0</v>
      </c>
      <c r="P89" s="761">
        <f>TableB10!G90/1000</f>
        <v>0</v>
      </c>
      <c r="Q89" s="761">
        <f>N89*K89/(1-K89)+P89*5%/(1-5%)</f>
        <v>25.60270364155242</v>
      </c>
      <c r="R89" s="762">
        <v>0</v>
      </c>
      <c r="S89" s="95">
        <f t="shared" si="39"/>
        <v>0.66666666666666674</v>
      </c>
      <c r="T89" s="731">
        <f>L89/E89</f>
        <v>0.68271786558350167</v>
      </c>
      <c r="U89" s="94">
        <f t="shared" si="40"/>
        <v>0.49083158642587121</v>
      </c>
      <c r="V89" s="88">
        <f>+IFERROR(VLOOKUP(B89,'[4]Table II.F 1'!A:I,9,0),DataF3!AK$49)</f>
        <v>0.49083158642587121</v>
      </c>
      <c r="W89" s="725">
        <f>W92+W104+W110+W112+W121</f>
        <v>0.37558241271239934</v>
      </c>
      <c r="X89" s="722">
        <v>0</v>
      </c>
    </row>
    <row r="90" spans="1:28" s="24" customFormat="1" ht="40" customHeight="1" thickBot="1">
      <c r="A90" s="52"/>
      <c r="B90" s="96" t="s">
        <v>8</v>
      </c>
      <c r="C90" s="97">
        <f>+C89+C52+C44+C8</f>
        <v>87652.86321599003</v>
      </c>
      <c r="D90" s="61">
        <f t="shared" ref="D90:R90" si="50">+D89+D52+D44+D8</f>
        <v>28548.75505668301</v>
      </c>
      <c r="E90" s="61">
        <f t="shared" si="50"/>
        <v>24805.499672145561</v>
      </c>
      <c r="F90" s="98">
        <f t="shared" si="50"/>
        <v>3743.2553845374523</v>
      </c>
      <c r="G90" s="61">
        <f t="shared" si="50"/>
        <v>14027.937484487593</v>
      </c>
      <c r="H90" s="61">
        <f t="shared" si="50"/>
        <v>13421.944687575506</v>
      </c>
      <c r="I90" s="61">
        <f t="shared" si="50"/>
        <v>36.670604995369104</v>
      </c>
      <c r="J90" s="716">
        <f>+J89+J52+J44+J8</f>
        <v>2453.9526975661565</v>
      </c>
      <c r="K90" s="718">
        <f>J90/G90</f>
        <v>0.17493325018590883</v>
      </c>
      <c r="L90" s="711">
        <f>+L89+L52+L44+L8</f>
        <v>11743.750878739145</v>
      </c>
      <c r="M90" s="708">
        <f>+M89+M52+M44+M8</f>
        <v>2284.1866057484476</v>
      </c>
      <c r="N90" s="61">
        <f t="shared" si="50"/>
        <v>1591.3204102203761</v>
      </c>
      <c r="O90" s="61">
        <f t="shared" si="50"/>
        <v>-17.476490712538407</v>
      </c>
      <c r="P90" s="61">
        <f t="shared" si="50"/>
        <v>377.00759779906161</v>
      </c>
      <c r="Q90" s="61">
        <f t="shared" si="50"/>
        <v>333.04213048925544</v>
      </c>
      <c r="R90" s="98">
        <f t="shared" si="50"/>
        <v>116.24083485749998</v>
      </c>
      <c r="S90" s="99">
        <f t="shared" si="39"/>
        <v>0.49136774814297118</v>
      </c>
      <c r="T90" s="735">
        <f>L90/E90</f>
        <v>0.47343335284337634</v>
      </c>
      <c r="U90" s="736">
        <f>+M90/F90</f>
        <v>0.61021393709440974</v>
      </c>
      <c r="V90" s="748">
        <f>'[4]Table II.F 1'!$I$7</f>
        <v>0.8021968876116895</v>
      </c>
      <c r="W90" s="726">
        <f>+W52+W8</f>
        <v>857.90031647234809</v>
      </c>
      <c r="X90" s="51">
        <f>SUM(X9:X89)</f>
        <v>41</v>
      </c>
      <c r="Y90" s="721"/>
    </row>
    <row r="91" spans="1:28">
      <c r="B91" s="100"/>
      <c r="C91" s="100"/>
      <c r="D91" s="101"/>
      <c r="E91" s="101"/>
      <c r="F91" s="101"/>
      <c r="G91" s="103"/>
      <c r="H91" s="57"/>
      <c r="I91" s="57"/>
      <c r="J91" s="57"/>
      <c r="K91" s="57"/>
      <c r="L91" s="57"/>
      <c r="M91" s="57"/>
      <c r="N91" s="102"/>
      <c r="P91" s="57"/>
      <c r="Q91" s="49"/>
      <c r="R91" s="103"/>
      <c r="S91" s="73"/>
      <c r="T91" s="73"/>
      <c r="U91" s="104"/>
      <c r="V91" s="57"/>
      <c r="W91" s="105"/>
      <c r="X91" s="105"/>
      <c r="Y91" s="105"/>
    </row>
    <row r="92" spans="1:28" s="24" customFormat="1">
      <c r="A92" s="1"/>
      <c r="B92" s="103"/>
      <c r="C92" s="103"/>
      <c r="D92" s="103"/>
      <c r="E92" s="57"/>
      <c r="F92" s="57"/>
      <c r="G92" s="103"/>
      <c r="H92" s="103"/>
      <c r="I92" s="103"/>
      <c r="J92" s="103"/>
      <c r="K92" s="103"/>
      <c r="L92" s="103"/>
      <c r="M92" s="57"/>
      <c r="N92" s="57"/>
      <c r="O92" s="57"/>
      <c r="P92" s="57"/>
      <c r="Q92" s="587"/>
      <c r="R92" s="103"/>
      <c r="S92" s="73"/>
      <c r="T92" s="73"/>
      <c r="U92" s="104"/>
      <c r="V92" s="103"/>
      <c r="W92" s="730">
        <f>W90/M90</f>
        <v>0.37558241271239934</v>
      </c>
      <c r="X92" s="104"/>
      <c r="Y92" s="104"/>
    </row>
    <row r="93" spans="1:28" s="24" customFormat="1">
      <c r="A93" s="1"/>
      <c r="B93" s="23"/>
      <c r="C93" s="23"/>
      <c r="E93" s="23"/>
      <c r="F93" s="23"/>
      <c r="H93" s="23"/>
      <c r="I93" s="23"/>
      <c r="J93" s="23"/>
      <c r="K93" s="23"/>
      <c r="L93" s="23"/>
      <c r="M93" s="23"/>
      <c r="N93" s="23"/>
      <c r="O93" s="57"/>
      <c r="P93" s="23"/>
      <c r="Q93" s="23"/>
      <c r="S93" s="23"/>
      <c r="T93" s="23"/>
    </row>
    <row r="94" spans="1:28" s="24" customFormat="1" ht="26.5">
      <c r="A94" s="1"/>
      <c r="B94" s="30"/>
      <c r="C94" s="30"/>
      <c r="D94" s="35"/>
      <c r="E94" s="35"/>
      <c r="F94" s="35"/>
      <c r="H94" s="23"/>
      <c r="I94" s="23"/>
      <c r="J94" s="23"/>
      <c r="K94" s="23"/>
      <c r="L94" s="23"/>
      <c r="M94" s="23"/>
      <c r="N94" s="23"/>
      <c r="O94" s="57"/>
      <c r="P94" s="23"/>
      <c r="Q94" s="23"/>
      <c r="S94" s="23"/>
      <c r="T94" s="23"/>
      <c r="W94" s="729"/>
      <c r="X94" s="295"/>
      <c r="Y94" s="295"/>
    </row>
    <row r="95" spans="1:28" s="24" customFormat="1">
      <c r="A95" s="1"/>
      <c r="B95" s="23"/>
      <c r="C95" s="23"/>
      <c r="E95" s="26"/>
      <c r="F95" s="23"/>
      <c r="G95" s="56"/>
      <c r="H95" s="37"/>
      <c r="I95" s="37"/>
      <c r="J95" s="37"/>
      <c r="K95" s="37"/>
      <c r="L95" s="37"/>
      <c r="M95" s="37"/>
      <c r="N95" s="37"/>
      <c r="O95" s="59"/>
      <c r="P95" s="37"/>
      <c r="Q95" s="37"/>
      <c r="R95" s="56"/>
      <c r="S95" s="37"/>
      <c r="T95" s="37"/>
    </row>
    <row r="96" spans="1:28">
      <c r="H96" s="26"/>
    </row>
    <row r="97" spans="1:20" s="24" customFormat="1" ht="30" customHeight="1">
      <c r="A97" s="1"/>
      <c r="B97" s="34"/>
      <c r="C97" s="34"/>
      <c r="E97" s="23"/>
      <c r="F97" s="23"/>
      <c r="H97" s="23"/>
      <c r="I97" s="23"/>
      <c r="J97" s="23"/>
      <c r="K97" s="23"/>
      <c r="L97" s="23"/>
      <c r="M97" s="23"/>
      <c r="N97" s="23"/>
      <c r="O97" s="57"/>
      <c r="P97" s="23"/>
      <c r="Q97" s="23"/>
      <c r="S97" s="23"/>
      <c r="T97" s="23"/>
    </row>
    <row r="101" spans="1:20" ht="15" customHeight="1"/>
  </sheetData>
  <mergeCells count="16">
    <mergeCell ref="P6:P7"/>
    <mergeCell ref="K6:K7"/>
    <mergeCell ref="X6:X7"/>
    <mergeCell ref="R6:R7"/>
    <mergeCell ref="B3:W3"/>
    <mergeCell ref="S6:V6"/>
    <mergeCell ref="W6:W7"/>
    <mergeCell ref="C6:C7"/>
    <mergeCell ref="D6:F6"/>
    <mergeCell ref="L6:L7"/>
    <mergeCell ref="Q6:Q7"/>
    <mergeCell ref="J6:J7"/>
    <mergeCell ref="M6:M7"/>
    <mergeCell ref="N6:N7"/>
    <mergeCell ref="O6:O7"/>
    <mergeCell ref="G6:I6"/>
  </mergeCells>
  <pageMargins left="0.7" right="0.7" top="0.75" bottom="0.75" header="0.3" footer="0.3"/>
  <pageSetup scale="42" fitToHeight="0" orientation="portrait" horizontalDpi="4294967292"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9" tint="0.39997558519241921"/>
    <pageSetUpPr fitToPage="1"/>
  </sheetPr>
  <dimension ref="A1:P234"/>
  <sheetViews>
    <sheetView zoomScaleNormal="100" workbookViewId="0">
      <pane xSplit="2" ySplit="8" topLeftCell="C62" activePane="bottomRight" state="frozen"/>
      <selection activeCell="K9" sqref="K9"/>
      <selection pane="topRight" activeCell="K9" sqref="K9"/>
      <selection pane="bottomLeft" activeCell="K9" sqref="K9"/>
      <selection pane="bottomRight" activeCell="K71" sqref="K71"/>
    </sheetView>
  </sheetViews>
  <sheetFormatPr defaultColWidth="7.6328125" defaultRowHeight="12.5"/>
  <cols>
    <col min="1" max="1" width="7.6328125" style="1" customWidth="1"/>
    <col min="2" max="2" width="26.1796875" style="1" customWidth="1"/>
    <col min="3" max="16" width="11.81640625" style="1" customWidth="1"/>
    <col min="17" max="16384" width="7.6328125" style="1"/>
  </cols>
  <sheetData>
    <row r="1" spans="1:16" ht="12" customHeight="1" thickBot="1"/>
    <row r="2" spans="1:16" ht="33" customHeight="1">
      <c r="B2" s="872" t="s">
        <v>643</v>
      </c>
      <c r="C2" s="873"/>
      <c r="D2" s="873"/>
      <c r="E2" s="873"/>
      <c r="F2" s="873"/>
      <c r="G2" s="873"/>
      <c r="H2" s="873"/>
      <c r="I2" s="873"/>
      <c r="J2" s="873"/>
      <c r="K2" s="873"/>
      <c r="L2" s="873"/>
      <c r="M2" s="873"/>
      <c r="N2" s="873"/>
      <c r="O2" s="873"/>
      <c r="P2" s="874"/>
    </row>
    <row r="3" spans="1:16" ht="18">
      <c r="B3" s="107"/>
      <c r="C3" s="2"/>
      <c r="D3" s="2"/>
      <c r="E3" s="2"/>
      <c r="F3" s="2"/>
      <c r="G3" s="2"/>
      <c r="H3" s="2"/>
      <c r="I3" s="2"/>
      <c r="J3" s="2"/>
      <c r="K3" s="2"/>
      <c r="L3" s="2"/>
      <c r="M3" s="2"/>
      <c r="N3" s="2"/>
      <c r="O3" s="2"/>
      <c r="P3" s="108"/>
    </row>
    <row r="4" spans="1:16" ht="18">
      <c r="B4" s="107"/>
      <c r="C4" s="109" t="s">
        <v>49</v>
      </c>
      <c r="D4" s="109" t="s">
        <v>50</v>
      </c>
      <c r="E4" s="109" t="s">
        <v>51</v>
      </c>
      <c r="F4" s="688" t="s">
        <v>52</v>
      </c>
      <c r="G4" s="109" t="s">
        <v>53</v>
      </c>
      <c r="H4" s="109" t="s">
        <v>54</v>
      </c>
      <c r="I4" s="3" t="s">
        <v>55</v>
      </c>
      <c r="J4" s="109" t="s">
        <v>56</v>
      </c>
      <c r="K4" s="109" t="s">
        <v>57</v>
      </c>
      <c r="L4" s="109" t="s">
        <v>58</v>
      </c>
      <c r="M4" s="109" t="s">
        <v>59</v>
      </c>
      <c r="N4" s="109" t="s">
        <v>60</v>
      </c>
      <c r="O4" s="109" t="s">
        <v>61</v>
      </c>
      <c r="P4" s="110" t="s">
        <v>62</v>
      </c>
    </row>
    <row r="5" spans="1:16" ht="21.75" customHeight="1" thickBot="1">
      <c r="B5" s="107"/>
      <c r="C5" s="875" t="s">
        <v>158</v>
      </c>
      <c r="D5" s="876"/>
      <c r="E5" s="876"/>
      <c r="F5" s="876"/>
      <c r="G5" s="876"/>
      <c r="H5" s="876"/>
      <c r="I5" s="876"/>
      <c r="J5" s="876"/>
      <c r="K5" s="876"/>
      <c r="L5" s="876"/>
      <c r="M5" s="876"/>
      <c r="N5" s="876"/>
      <c r="O5" s="876"/>
      <c r="P5" s="877"/>
    </row>
    <row r="6" spans="1:16" ht="32.25" customHeight="1">
      <c r="B6" s="111"/>
      <c r="C6" s="878" t="s">
        <v>159</v>
      </c>
      <c r="D6" s="879"/>
      <c r="E6" s="879"/>
      <c r="F6" s="879"/>
      <c r="G6" s="880" t="s">
        <v>160</v>
      </c>
      <c r="H6" s="881"/>
      <c r="I6" s="881"/>
      <c r="J6" s="881"/>
      <c r="K6" s="881"/>
      <c r="L6" s="878" t="s">
        <v>161</v>
      </c>
      <c r="M6" s="879"/>
      <c r="N6" s="879"/>
      <c r="O6" s="879"/>
      <c r="P6" s="112" t="s">
        <v>162</v>
      </c>
    </row>
    <row r="7" spans="1:16" ht="78" customHeight="1">
      <c r="B7" s="111"/>
      <c r="C7" s="868" t="s">
        <v>168</v>
      </c>
      <c r="D7" s="866" t="s">
        <v>163</v>
      </c>
      <c r="E7" s="866" t="s">
        <v>164</v>
      </c>
      <c r="F7" s="866" t="s">
        <v>165</v>
      </c>
      <c r="G7" s="870" t="s">
        <v>960</v>
      </c>
      <c r="H7" s="471" t="s">
        <v>166</v>
      </c>
      <c r="I7" s="471" t="s">
        <v>167</v>
      </c>
      <c r="J7" s="866" t="s">
        <v>961</v>
      </c>
      <c r="K7" s="866" t="s">
        <v>962</v>
      </c>
      <c r="L7" s="868" t="s">
        <v>168</v>
      </c>
      <c r="M7" s="866" t="s">
        <v>163</v>
      </c>
      <c r="N7" s="866" t="s">
        <v>164</v>
      </c>
      <c r="O7" s="866" t="s">
        <v>169</v>
      </c>
      <c r="P7" s="864" t="s">
        <v>170</v>
      </c>
    </row>
    <row r="8" spans="1:16" s="4" customFormat="1" ht="66" customHeight="1">
      <c r="B8" s="113"/>
      <c r="C8" s="869"/>
      <c r="D8" s="867"/>
      <c r="E8" s="867"/>
      <c r="F8" s="867"/>
      <c r="G8" s="871"/>
      <c r="H8" s="435"/>
      <c r="I8" s="435"/>
      <c r="J8" s="867"/>
      <c r="K8" s="867"/>
      <c r="L8" s="869"/>
      <c r="M8" s="867"/>
      <c r="N8" s="867"/>
      <c r="O8" s="867"/>
      <c r="P8" s="865"/>
    </row>
    <row r="9" spans="1:16" s="4" customFormat="1" ht="40" customHeight="1">
      <c r="B9" s="114" t="s">
        <v>76</v>
      </c>
      <c r="C9" s="472">
        <f t="shared" ref="C9:P9" si="0">SUM(C10:C44)</f>
        <v>1265098.8788572494</v>
      </c>
      <c r="D9" s="473">
        <f t="shared" si="0"/>
        <v>1285082.8360000001</v>
      </c>
      <c r="E9" s="473">
        <f t="shared" si="0"/>
        <v>1146557.1469999999</v>
      </c>
      <c r="F9" s="473">
        <f t="shared" si="0"/>
        <v>75867.790104278509</v>
      </c>
      <c r="G9" s="115">
        <f t="shared" si="0"/>
        <v>145265.86786022561</v>
      </c>
      <c r="H9" s="473">
        <f t="shared" si="0"/>
        <v>115602.05833641608</v>
      </c>
      <c r="I9" s="473">
        <f t="shared" si="0"/>
        <v>29663.809523809527</v>
      </c>
      <c r="J9" s="473">
        <f t="shared" si="0"/>
        <v>0</v>
      </c>
      <c r="K9" s="473">
        <f t="shared" si="0"/>
        <v>0</v>
      </c>
      <c r="L9" s="472">
        <f t="shared" si="0"/>
        <v>1876521.5303044263</v>
      </c>
      <c r="M9" s="473">
        <f t="shared" si="0"/>
        <v>1869877.057</v>
      </c>
      <c r="N9" s="473">
        <f t="shared" si="0"/>
        <v>928105.35899999994</v>
      </c>
      <c r="O9" s="473">
        <f t="shared" si="0"/>
        <v>948416.17130442651</v>
      </c>
      <c r="P9" s="116">
        <f t="shared" si="0"/>
        <v>127379.20000000001</v>
      </c>
    </row>
    <row r="10" spans="1:16" ht="14.25" customHeight="1">
      <c r="A10" s="1" t="s">
        <v>717</v>
      </c>
      <c r="B10" s="117" t="s">
        <v>27</v>
      </c>
      <c r="C10" s="5">
        <f>IFERROR(IF(VLOOKUP($B10,'[4]OECD.Stat export'!$A:$S,14,0)="..",VLOOKUP($B10,'[4]OECD.Stat export'!$A:$S,18,0), VLOOKUP($B10,'[4]OECD.Stat export'!$A:$S,14,0)),D10)</f>
        <v>42673.941752970997</v>
      </c>
      <c r="D10" s="6">
        <f>+IFERROR(IFERROR(VLOOKUP($A10,[4]IMF_fdi_credit_debitinc!$A:$C,3,0),VLOOKUP($B10,[4]IMF_fdi_credit_debitinc!$A:$C,3,0)),0)/1000000</f>
        <v>0</v>
      </c>
      <c r="E10" s="6">
        <f>+VLOOKUP(A10,[4]OECD_COUNTERDO_INCOME!A:B,2,0)</f>
        <v>26730.261999999999</v>
      </c>
      <c r="F10" s="6">
        <f>+D10-E10</f>
        <v>-26730.261999999999</v>
      </c>
      <c r="G10" s="7"/>
      <c r="H10" s="6"/>
      <c r="I10" s="6"/>
      <c r="J10" s="6"/>
      <c r="K10" s="6"/>
      <c r="L10" s="5">
        <f>IFERROR(IF(VLOOKUP($B10,'[4]OECD.Stat export'!$A:$S,15,0)="..",VLOOKUP($B10,'[4]OECD.Stat export'!$A:$S,19,0), VLOOKUP($B10,'[4]OECD.Stat export'!$A:$S,15,0)),M10)</f>
        <v>16989.643428095002</v>
      </c>
      <c r="M10" s="6">
        <f>+IFERROR(IFERROR(VLOOKUP($A10,[4]IMF_fdi_credit_debitinc!$A:$C,2,0),VLOOKUP($B10,[4]IMF_fdi_credit_debitinc!$A:$C,2,0)),0)/1000000</f>
        <v>0</v>
      </c>
      <c r="N10" s="6">
        <f>+IFERROR(VLOOKUP(A10,[4]OECD_COUNTERDI_INCOME!A:B,2,0),0)</f>
        <v>6982.01</v>
      </c>
      <c r="O10" s="6">
        <f t="shared" ref="O10:O44" si="1">+L10-N10</f>
        <v>10007.633428095001</v>
      </c>
      <c r="P10" s="118">
        <f>+-IFERROR(IF(VLOOKUP(TableB10!$A10,[4]totaldisc_DO_less_DI!$A:$B,2,0)&lt;0,VLOOKUP(TableB10!$A10,[4]totaldisc_DO_less_DI!$A:$B,2,0),0),0)</f>
        <v>0</v>
      </c>
    </row>
    <row r="11" spans="1:16" ht="14.25" customHeight="1">
      <c r="A11" s="1" t="s">
        <v>718</v>
      </c>
      <c r="B11" s="117" t="s">
        <v>91</v>
      </c>
      <c r="C11" s="5">
        <f>IFERROR(IF(VLOOKUP($B11,'[4]OECD.Stat export'!$A:$S,14,0)="..",VLOOKUP($B11,'[4]OECD.Stat export'!$A:$S,18,0), VLOOKUP($B11,'[4]OECD.Stat export'!$A:$S,14,0)),D11)</f>
        <v>15731.557147654999</v>
      </c>
      <c r="D11" s="6">
        <f>+IFERROR(IFERROR(VLOOKUP($A11,[4]IMF_fdi_credit_debitinc!$A:$C,3,0),VLOOKUP($B11,[4]IMF_fdi_credit_debitinc!$A:$C,3,0)),0)/1000000</f>
        <v>14885.1</v>
      </c>
      <c r="E11" s="6">
        <f>+VLOOKUP(A11,[4]OECD_COUNTERDO_INCOME!A:B,2,0)</f>
        <v>12845.888999999999</v>
      </c>
      <c r="F11" s="6">
        <f t="shared" ref="F11:F44" si="2">+C11-E11</f>
        <v>2885.6681476550002</v>
      </c>
      <c r="G11" s="7"/>
      <c r="H11" s="6"/>
      <c r="I11" s="6"/>
      <c r="J11" s="6"/>
      <c r="K11" s="6"/>
      <c r="L11" s="5">
        <f>IFERROR(IF(VLOOKUP($B11,'[4]OECD.Stat export'!$A:$S,15,0)="..",VLOOKUP($B11,'[4]OECD.Stat export'!$A:$S,19,0), VLOOKUP($B11,'[4]OECD.Stat export'!$A:$S,15,0)),M11)</f>
        <v>16333.818426061</v>
      </c>
      <c r="M11" s="6">
        <f>+IFERROR(IFERROR(VLOOKUP($A11,[4]IMF_fdi_credit_debitinc!$A:$C,2,0),VLOOKUP($B11,[4]IMF_fdi_credit_debitinc!$A:$C,2,0)),0)/1000000</f>
        <v>16511.099999999999</v>
      </c>
      <c r="N11" s="6">
        <f>+IFERROR(VLOOKUP(A11,[4]OECD_COUNTERDI_INCOME!A:B,2,0),0)</f>
        <v>12660.477000000001</v>
      </c>
      <c r="O11" s="6">
        <f t="shared" si="1"/>
        <v>3673.3414260609989</v>
      </c>
      <c r="P11" s="118">
        <f>+-IFERROR(IF(VLOOKUP(TableB10!$A11,[4]totaldisc_DO_less_DI!$A:$B,2,0)&lt;0,VLOOKUP(TableB10!$A11,[4]totaldisc_DO_less_DI!$A:$B,2,0),0),0)</f>
        <v>2799</v>
      </c>
    </row>
    <row r="12" spans="1:16" ht="14.25" customHeight="1">
      <c r="A12" s="1" t="s">
        <v>719</v>
      </c>
      <c r="B12" s="117" t="s">
        <v>25</v>
      </c>
      <c r="C12" s="5">
        <f>IFERROR(IF(VLOOKUP($B12,'[4]OECD.Stat export'!$A:$S,14,0)="..",VLOOKUP($B12,'[4]OECD.Stat export'!$A:$S,18,0), VLOOKUP($B12,'[4]OECD.Stat export'!$A:$S,14,0)),D12)</f>
        <v>38508.899585804997</v>
      </c>
      <c r="D12" s="6">
        <f>+IFERROR(IFERROR(VLOOKUP($A12,[4]IMF_fdi_credit_debitinc!$A:$C,3,0),VLOOKUP($B12,[4]IMF_fdi_credit_debitinc!$A:$C,3,0)),0)/1000000</f>
        <v>45521.2</v>
      </c>
      <c r="E12" s="6">
        <f>+VLOOKUP(A12,[4]OECD_COUNTERDO_INCOME!A:B,2,0)</f>
        <v>44281.338000000003</v>
      </c>
      <c r="F12" s="6">
        <f t="shared" si="2"/>
        <v>-5772.4384141950068</v>
      </c>
      <c r="G12" s="7"/>
      <c r="H12" s="6"/>
      <c r="I12" s="6"/>
      <c r="J12" s="6"/>
      <c r="K12" s="6"/>
      <c r="L12" s="5">
        <f>IFERROR(IF(VLOOKUP($B12,'[4]OECD.Stat export'!$A:$S,15,0)="..",VLOOKUP($B12,'[4]OECD.Stat export'!$A:$S,19,0), VLOOKUP($B12,'[4]OECD.Stat export'!$A:$S,15,0)),M12)</f>
        <v>36325.982312772998</v>
      </c>
      <c r="M12" s="6">
        <f>+IFERROR(IFERROR(VLOOKUP($A12,[4]IMF_fdi_credit_debitinc!$A:$C,2,0),VLOOKUP($B12,[4]IMF_fdi_credit_debitinc!$A:$C,2,0)),0)/1000000</f>
        <v>39649.300000000003</v>
      </c>
      <c r="N12" s="6">
        <f>+IFERROR(VLOOKUP(A12,[4]OECD_COUNTERDI_INCOME!A:B,2,0),0)</f>
        <v>22768.156999999999</v>
      </c>
      <c r="O12" s="6">
        <f t="shared" si="1"/>
        <v>13557.825312772999</v>
      </c>
      <c r="P12" s="118">
        <f>+-IFERROR(IF(VLOOKUP(TableB10!$A12,[4]totaldisc_DO_less_DI!$A:$B,2,0)&lt;0,VLOOKUP(TableB10!$A12,[4]totaldisc_DO_less_DI!$A:$B,2,0),0),0)</f>
        <v>0</v>
      </c>
    </row>
    <row r="13" spans="1:16" ht="14.25" customHeight="1">
      <c r="A13" s="1" t="s">
        <v>720</v>
      </c>
      <c r="B13" s="117" t="s">
        <v>43</v>
      </c>
      <c r="C13" s="5">
        <f>IFERROR(IF(VLOOKUP($B13,'[4]OECD.Stat export'!$A:$S,14,0)="..",VLOOKUP($B13,'[4]OECD.Stat export'!$A:$S,18,0), VLOOKUP($B13,'[4]OECD.Stat export'!$A:$S,14,0)),D13)</f>
        <v>41289.329170459998</v>
      </c>
      <c r="D13" s="6">
        <f>+IFERROR(IFERROR(VLOOKUP($A13,[4]IMF_fdi_credit_debitinc!$A:$C,3,0),VLOOKUP($B13,[4]IMF_fdi_credit_debitinc!$A:$C,3,0)),0)/1000000</f>
        <v>41551.800000000003</v>
      </c>
      <c r="E13" s="6">
        <f>+VLOOKUP(A13,[4]OECD_COUNTERDO_INCOME!A:B,2,0)</f>
        <v>36081.497000000003</v>
      </c>
      <c r="F13" s="6">
        <f t="shared" si="2"/>
        <v>5207.8321704599948</v>
      </c>
      <c r="G13" s="7"/>
      <c r="H13" s="6"/>
      <c r="I13" s="6"/>
      <c r="J13" s="6"/>
      <c r="K13" s="6"/>
      <c r="L13" s="5">
        <f>IFERROR(IF(VLOOKUP($B13,'[4]OECD.Stat export'!$A:$S,15,0)="..",VLOOKUP($B13,'[4]OECD.Stat export'!$A:$S,19,0), VLOOKUP($B13,'[4]OECD.Stat export'!$A:$S,15,0)),M13)</f>
        <v>63515.081075207003</v>
      </c>
      <c r="M13" s="6">
        <f>+IFERROR(IFERROR(VLOOKUP($A13,[4]IMF_fdi_credit_debitinc!$A:$C,2,0),VLOOKUP($B13,[4]IMF_fdi_credit_debitinc!$A:$C,2,0)),0)/1000000</f>
        <v>64026.3</v>
      </c>
      <c r="N13" s="6">
        <f>+IFERROR(VLOOKUP(A13,[4]OECD_COUNTERDI_INCOME!A:B,2,0),0)</f>
        <v>37640.504999999997</v>
      </c>
      <c r="O13" s="6">
        <f t="shared" si="1"/>
        <v>25874.576075207005</v>
      </c>
      <c r="P13" s="118">
        <f>+-IFERROR(IF(VLOOKUP(TableB10!$A13,[4]totaldisc_DO_less_DI!$A:$B,2,0)&lt;0,VLOOKUP(TableB10!$A13,[4]totaldisc_DO_less_DI!$A:$B,2,0),0),0)</f>
        <v>3497.3</v>
      </c>
    </row>
    <row r="14" spans="1:16" ht="14.25" customHeight="1">
      <c r="A14" s="1" t="s">
        <v>721</v>
      </c>
      <c r="B14" s="117" t="s">
        <v>112</v>
      </c>
      <c r="C14" s="5">
        <f>IFERROR(IF(VLOOKUP($B14,'[4]OECD.Stat export'!$A:$S,14,0)="..",VLOOKUP($B14,'[4]OECD.Stat export'!$A:$S,18,0), VLOOKUP($B14,'[4]OECD.Stat export'!$A:$S,14,0)),D14)</f>
        <v>16025.409673077</v>
      </c>
      <c r="D14" s="6">
        <f>+IFERROR(IFERROR(VLOOKUP($A14,[4]IMF_fdi_credit_debitinc!$A:$C,3,0),VLOOKUP($B14,[4]IMF_fdi_credit_debitinc!$A:$C,3,0)),0)/1000000</f>
        <v>0</v>
      </c>
      <c r="E14" s="6">
        <f>+VLOOKUP(A14,[4]OECD_COUNTERDO_INCOME!A:B,2,0)</f>
        <v>5533.8</v>
      </c>
      <c r="F14" s="6">
        <f t="shared" si="2"/>
        <v>10491.609673077</v>
      </c>
      <c r="G14" s="7"/>
      <c r="H14" s="6"/>
      <c r="I14" s="6"/>
      <c r="J14" s="6"/>
      <c r="K14" s="6"/>
      <c r="L14" s="5">
        <f>IFERROR(IF(VLOOKUP($B14,'[4]OECD.Stat export'!$A:$S,15,0)="..",VLOOKUP($B14,'[4]OECD.Stat export'!$A:$S,19,0), VLOOKUP($B14,'[4]OECD.Stat export'!$A:$S,15,0)),M14)</f>
        <v>5709.3762826963002</v>
      </c>
      <c r="M14" s="6">
        <f>+IFERROR(IFERROR(VLOOKUP($A14,[4]IMF_fdi_credit_debitinc!$A:$C,2,0),VLOOKUP($B14,[4]IMF_fdi_credit_debitinc!$A:$C,2,0)),0)/1000000</f>
        <v>0</v>
      </c>
      <c r="N14" s="6">
        <f>+IFERROR(VLOOKUP(A14,[4]OECD_COUNTERDI_INCOME!A:B,2,0),0)</f>
        <v>229.89400000000001</v>
      </c>
      <c r="O14" s="6">
        <f t="shared" si="1"/>
        <v>5479.4822826963</v>
      </c>
      <c r="P14" s="118">
        <f>+-IFERROR(IF(VLOOKUP(TableB10!$A14,[4]totaldisc_DO_less_DI!$A:$B,2,0)&lt;0,VLOOKUP(TableB10!$A14,[4]totaldisc_DO_less_DI!$A:$B,2,0),0),0)</f>
        <v>0</v>
      </c>
    </row>
    <row r="15" spans="1:16" ht="14.25" customHeight="1">
      <c r="A15" s="1" t="s">
        <v>722</v>
      </c>
      <c r="B15" s="117" t="s">
        <v>92</v>
      </c>
      <c r="C15" s="5">
        <f>IFERROR(IF(VLOOKUP($B15,'[4]OECD.Stat export'!$A:$S,14,0)="..",VLOOKUP($B15,'[4]OECD.Stat export'!$A:$S,18,0), VLOOKUP($B15,'[4]OECD.Stat export'!$A:$S,14,0)),D15)</f>
        <v>20342.617057184001</v>
      </c>
      <c r="D15" s="6">
        <f>+IFERROR(IFERROR(VLOOKUP($A15,[4]IMF_fdi_credit_debitinc!$A:$C,3,0),VLOOKUP($B15,[4]IMF_fdi_credit_debitinc!$A:$C,3,0)),0)/1000000</f>
        <v>20970</v>
      </c>
      <c r="E15" s="6">
        <f>+VLOOKUP(A15,[4]OECD_COUNTERDO_INCOME!A:B,2,0)</f>
        <v>11113.319</v>
      </c>
      <c r="F15" s="6">
        <f t="shared" si="2"/>
        <v>9229.2980571840017</v>
      </c>
      <c r="G15" s="7"/>
      <c r="H15" s="6"/>
      <c r="I15" s="6"/>
      <c r="J15" s="6"/>
      <c r="K15" s="6"/>
      <c r="L15" s="5">
        <f>IFERROR(IF(VLOOKUP($B15,'[4]OECD.Stat export'!$A:$S,15,0)="..",VLOOKUP($B15,'[4]OECD.Stat export'!$A:$S,19,0), VLOOKUP($B15,'[4]OECD.Stat export'!$A:$S,15,0)),M15)</f>
        <v>5619.4311219260999</v>
      </c>
      <c r="M15" s="6">
        <f>+IFERROR(IFERROR(VLOOKUP($A15,[4]IMF_fdi_credit_debitinc!$A:$C,2,0),VLOOKUP($B15,[4]IMF_fdi_credit_debitinc!$A:$C,2,0)),0)/1000000</f>
        <v>4851.1000000000004</v>
      </c>
      <c r="N15" s="6">
        <f>+IFERROR(VLOOKUP(A15,[4]OECD_COUNTERDI_INCOME!A:B,2,0),0)</f>
        <v>744.16300000000001</v>
      </c>
      <c r="O15" s="6">
        <f t="shared" si="1"/>
        <v>4875.2681219260994</v>
      </c>
      <c r="P15" s="118">
        <f>+-IFERROR(IF(VLOOKUP(TableB10!$A15,[4]totaldisc_DO_less_DI!$A:$B,2,0)&lt;0,VLOOKUP(TableB10!$A15,[4]totaldisc_DO_less_DI!$A:$B,2,0),0),0)</f>
        <v>0</v>
      </c>
    </row>
    <row r="16" spans="1:16" ht="14.25" customHeight="1">
      <c r="A16" s="1" t="s">
        <v>723</v>
      </c>
      <c r="B16" s="117" t="s">
        <v>41</v>
      </c>
      <c r="C16" s="5">
        <f>IFERROR(IF(VLOOKUP($B16,'[4]OECD.Stat export'!$A:$S,14,0)="..",VLOOKUP($B16,'[4]OECD.Stat export'!$A:$S,18,0), VLOOKUP($B16,'[4]OECD.Stat export'!$A:$S,14,0)),D16)</f>
        <v>7647.2440472620001</v>
      </c>
      <c r="D16" s="6">
        <f>+IFERROR(IFERROR(VLOOKUP($A16,[4]IMF_fdi_credit_debitinc!$A:$C,3,0),VLOOKUP($B16,[4]IMF_fdi_credit_debitinc!$A:$C,3,0)),0)/1000000</f>
        <v>6476.38</v>
      </c>
      <c r="E16" s="6">
        <f>+VLOOKUP(A16,[4]OECD_COUNTERDO_INCOME!A:B,2,0)</f>
        <v>6024.1639999999998</v>
      </c>
      <c r="F16" s="6">
        <f t="shared" si="2"/>
        <v>1623.0800472620003</v>
      </c>
      <c r="G16" s="7"/>
      <c r="H16" s="6"/>
      <c r="I16" s="6"/>
      <c r="J16" s="6"/>
      <c r="K16" s="6"/>
      <c r="L16" s="5">
        <f>IFERROR(IF(VLOOKUP($B16,'[4]OECD.Stat export'!$A:$S,15,0)="..",VLOOKUP($B16,'[4]OECD.Stat export'!$A:$S,19,0), VLOOKUP($B16,'[4]OECD.Stat export'!$A:$S,15,0)),M16)</f>
        <v>15689.138127512</v>
      </c>
      <c r="M16" s="6">
        <f>+IFERROR(IFERROR(VLOOKUP($A16,[4]IMF_fdi_credit_debitinc!$A:$C,2,0),VLOOKUP($B16,[4]IMF_fdi_credit_debitinc!$A:$C,2,0)),0)/1000000</f>
        <v>14011.5</v>
      </c>
      <c r="N16" s="6">
        <f>+IFERROR(VLOOKUP(A16,[4]OECD_COUNTERDI_INCOME!A:B,2,0),0)</f>
        <v>10676.37</v>
      </c>
      <c r="O16" s="6">
        <f t="shared" si="1"/>
        <v>5012.7681275119994</v>
      </c>
      <c r="P16" s="118">
        <f>+-IFERROR(IF(VLOOKUP(TableB10!$A16,[4]totaldisc_DO_less_DI!$A:$B,2,0)&lt;0,VLOOKUP(TableB10!$A16,[4]totaldisc_DO_less_DI!$A:$B,2,0),0),0)</f>
        <v>0</v>
      </c>
    </row>
    <row r="17" spans="1:16" ht="14.25" customHeight="1">
      <c r="A17" s="1" t="s">
        <v>724</v>
      </c>
      <c r="B17" s="117" t="s">
        <v>93</v>
      </c>
      <c r="C17" s="5">
        <f>IFERROR(IF(VLOOKUP($B17,'[4]OECD.Stat export'!$A:$S,14,0)="..",VLOOKUP($B17,'[4]OECD.Stat export'!$A:$S,18,0), VLOOKUP($B17,'[4]OECD.Stat export'!$A:$S,14,0)),D17)</f>
        <v>1994.8908541363</v>
      </c>
      <c r="D17" s="6">
        <f>+IFERROR(IFERROR(VLOOKUP($A17,[4]IMF_fdi_credit_debitinc!$A:$C,3,0),VLOOKUP($B17,[4]IMF_fdi_credit_debitinc!$A:$C,3,0)),0)/1000000</f>
        <v>1945.61</v>
      </c>
      <c r="E17" s="6">
        <f>+VLOOKUP(A17,[4]OECD_COUNTERDO_INCOME!A:B,2,0)</f>
        <v>1064.1210000000001</v>
      </c>
      <c r="F17" s="6">
        <f t="shared" si="2"/>
        <v>930.76985413629995</v>
      </c>
      <c r="G17" s="7"/>
      <c r="H17" s="6"/>
      <c r="I17" s="6"/>
      <c r="J17" s="6"/>
      <c r="K17" s="6"/>
      <c r="L17" s="5">
        <f>IFERROR(IF(VLOOKUP($B17,'[4]OECD.Stat export'!$A:$S,15,0)="..",VLOOKUP($B17,'[4]OECD.Stat export'!$A:$S,19,0), VLOOKUP($B17,'[4]OECD.Stat export'!$A:$S,15,0)),M17)</f>
        <v>713.16467032352</v>
      </c>
      <c r="M17" s="6">
        <f>+IFERROR(IFERROR(VLOOKUP($A17,[4]IMF_fdi_credit_debitinc!$A:$C,2,0),VLOOKUP($B17,[4]IMF_fdi_credit_debitinc!$A:$C,2,0)),0)/1000000</f>
        <v>712.14599999999996</v>
      </c>
      <c r="N17" s="6">
        <f>+IFERROR(VLOOKUP(A17,[4]OECD_COUNTERDI_INCOME!A:B,2,0),0)</f>
        <v>506.08800000000002</v>
      </c>
      <c r="O17" s="6">
        <f t="shared" si="1"/>
        <v>207.07667032351998</v>
      </c>
      <c r="P17" s="118">
        <f>+-IFERROR(IF(VLOOKUP(TableB10!$A17,[4]totaldisc_DO_less_DI!$A:$B,2,0)&lt;0,VLOOKUP(TableB10!$A17,[4]totaldisc_DO_less_DI!$A:$B,2,0),0),0)</f>
        <v>0</v>
      </c>
    </row>
    <row r="18" spans="1:16" ht="14.25" customHeight="1">
      <c r="A18" s="1" t="s">
        <v>725</v>
      </c>
      <c r="B18" s="117" t="s">
        <v>94</v>
      </c>
      <c r="C18" s="5">
        <f>IFERROR(IF(VLOOKUP($B18,'[4]OECD.Stat export'!$A:$S,14,0)="..",VLOOKUP($B18,'[4]OECD.Stat export'!$A:$S,18,0), VLOOKUP($B18,'[4]OECD.Stat export'!$A:$S,14,0)),D18)</f>
        <v>8323.0717564088009</v>
      </c>
      <c r="D18" s="6">
        <f>+IFERROR(IFERROR(VLOOKUP($A18,[4]IMF_fdi_credit_debitinc!$A:$C,3,0),VLOOKUP($B18,[4]IMF_fdi_credit_debitinc!$A:$C,3,0)),0)/1000000</f>
        <v>7544.08</v>
      </c>
      <c r="E18" s="6">
        <f>+VLOOKUP(A18,[4]OECD_COUNTERDO_INCOME!A:B,2,0)</f>
        <v>5988.2550000000001</v>
      </c>
      <c r="F18" s="6">
        <f t="shared" si="2"/>
        <v>2334.8167564088008</v>
      </c>
      <c r="G18" s="7"/>
      <c r="H18" s="6"/>
      <c r="I18" s="6"/>
      <c r="J18" s="6"/>
      <c r="K18" s="6"/>
      <c r="L18" s="5">
        <f>IFERROR(IF(VLOOKUP($B18,'[4]OECD.Stat export'!$A:$S,15,0)="..",VLOOKUP($B18,'[4]OECD.Stat export'!$A:$S,19,0), VLOOKUP($B18,'[4]OECD.Stat export'!$A:$S,15,0)),M18)</f>
        <v>13652.748236875001</v>
      </c>
      <c r="M18" s="6">
        <f>+IFERROR(IFERROR(VLOOKUP($A18,[4]IMF_fdi_credit_debitinc!$A:$C,2,0),VLOOKUP($B18,[4]IMF_fdi_credit_debitinc!$A:$C,2,0)),0)/1000000</f>
        <v>10609</v>
      </c>
      <c r="N18" s="6">
        <f>+IFERROR(VLOOKUP(A18,[4]OECD_COUNTERDI_INCOME!A:B,2,0),0)</f>
        <v>7491.7659999999996</v>
      </c>
      <c r="O18" s="6">
        <f t="shared" si="1"/>
        <v>6160.982236875001</v>
      </c>
      <c r="P18" s="118">
        <f>+-IFERROR(IF(VLOOKUP(TableB10!$A18,[4]totaldisc_DO_less_DI!$A:$B,2,0)&lt;0,VLOOKUP(TableB10!$A18,[4]totaldisc_DO_less_DI!$A:$B,2,0),0),0)</f>
        <v>0</v>
      </c>
    </row>
    <row r="19" spans="1:16" ht="14.25" customHeight="1">
      <c r="A19" s="1" t="s">
        <v>726</v>
      </c>
      <c r="B19" s="117" t="s">
        <v>32</v>
      </c>
      <c r="C19" s="5">
        <f>IFERROR(IF(VLOOKUP($B19,'[4]OECD.Stat export'!$A:$S,14,0)="..",VLOOKUP($B19,'[4]OECD.Stat export'!$A:$S,18,0), VLOOKUP($B19,'[4]OECD.Stat export'!$A:$S,14,0)),D19)</f>
        <v>31695.118710854</v>
      </c>
      <c r="D19" s="6">
        <f>+IFERROR(IFERROR(VLOOKUP($A19,[4]IMF_fdi_credit_debitinc!$A:$C,3,0),VLOOKUP($B19,[4]IMF_fdi_credit_debitinc!$A:$C,3,0)),0)/1000000</f>
        <v>36451.5</v>
      </c>
      <c r="E19" s="6">
        <f>+VLOOKUP(A19,[4]OECD_COUNTERDO_INCOME!A:B,2,0)</f>
        <v>28178.780999999999</v>
      </c>
      <c r="F19" s="6">
        <f t="shared" si="2"/>
        <v>3516.3377108540008</v>
      </c>
      <c r="G19" s="7"/>
      <c r="H19" s="6"/>
      <c r="I19" s="6"/>
      <c r="J19" s="6"/>
      <c r="K19" s="6"/>
      <c r="L19" s="5">
        <f>IFERROR(IF(VLOOKUP($B19,'[4]OECD.Stat export'!$A:$S,15,0)="..",VLOOKUP($B19,'[4]OECD.Stat export'!$A:$S,19,0), VLOOKUP($B19,'[4]OECD.Stat export'!$A:$S,15,0)),M19)</f>
        <v>106371.64450275</v>
      </c>
      <c r="M19" s="6">
        <f>+IFERROR(IFERROR(VLOOKUP($A19,[4]IMF_fdi_credit_debitinc!$A:$C,2,0),VLOOKUP($B19,[4]IMF_fdi_credit_debitinc!$A:$C,2,0)),0)/1000000</f>
        <v>89867.199999999997</v>
      </c>
      <c r="N19" s="6">
        <f>+IFERROR(VLOOKUP(A19,[4]OECD_COUNTERDI_INCOME!A:B,2,0),0)</f>
        <v>50385.101000000002</v>
      </c>
      <c r="O19" s="6">
        <f t="shared" si="1"/>
        <v>55986.543502749999</v>
      </c>
      <c r="P19" s="118">
        <f>+-IFERROR(IF(VLOOKUP(TableB10!$A19,[4]totaldisc_DO_less_DI!$A:$B,2,0)&lt;0,VLOOKUP(TableB10!$A19,[4]totaldisc_DO_less_DI!$A:$B,2,0),0),0)</f>
        <v>0</v>
      </c>
    </row>
    <row r="20" spans="1:16" ht="14.25" customHeight="1">
      <c r="A20" s="1" t="s">
        <v>727</v>
      </c>
      <c r="B20" s="117" t="s">
        <v>34</v>
      </c>
      <c r="C20" s="5">
        <f>IFERROR(IF(VLOOKUP($B20,'[4]OECD.Stat export'!$A:$S,14,0)="..",VLOOKUP($B20,'[4]OECD.Stat export'!$A:$S,18,0), VLOOKUP($B20,'[4]OECD.Stat export'!$A:$S,14,0)),D20)</f>
        <v>39365.222209783999</v>
      </c>
      <c r="D20" s="6">
        <f>+IFERROR(IFERROR(VLOOKUP($A20,[4]IMF_fdi_credit_debitinc!$A:$C,3,0),VLOOKUP($B20,[4]IMF_fdi_credit_debitinc!$A:$C,3,0)),0)/1000000</f>
        <v>61919.7</v>
      </c>
      <c r="E20" s="6">
        <f>+VLOOKUP(A20,[4]OECD_COUNTERDO_INCOME!A:B,2,0)</f>
        <v>42261.879000000001</v>
      </c>
      <c r="F20" s="6">
        <f t="shared" si="2"/>
        <v>-2896.6567902160023</v>
      </c>
      <c r="G20" s="7"/>
      <c r="H20" s="6"/>
      <c r="I20" s="6"/>
      <c r="J20" s="6"/>
      <c r="K20" s="6"/>
      <c r="L20" s="5">
        <f>IFERROR(IF(VLOOKUP($B20,'[4]OECD.Stat export'!$A:$S,15,0)="..",VLOOKUP($B20,'[4]OECD.Stat export'!$A:$S,19,0), VLOOKUP($B20,'[4]OECD.Stat export'!$A:$S,15,0)),M20)</f>
        <v>128245.41587373</v>
      </c>
      <c r="M20" s="6">
        <f>+IFERROR(IFERROR(VLOOKUP($A20,[4]IMF_fdi_credit_debitinc!$A:$C,2,0),VLOOKUP($B20,[4]IMF_fdi_credit_debitinc!$A:$C,2,0)),0)/1000000</f>
        <v>130789</v>
      </c>
      <c r="N20" s="6">
        <f>+IFERROR(VLOOKUP(A20,[4]OECD_COUNTERDI_INCOME!A:B,2,0),0)</f>
        <v>71982.277000000002</v>
      </c>
      <c r="O20" s="6">
        <f t="shared" si="1"/>
        <v>56263.13887373</v>
      </c>
      <c r="P20" s="118">
        <f>+-IFERROR(IF(VLOOKUP(TableB10!$A20,[4]totaldisc_DO_less_DI!$A:$B,2,0)&lt;0,VLOOKUP(TableB10!$A20,[4]totaldisc_DO_less_DI!$A:$B,2,0),0),0)</f>
        <v>0</v>
      </c>
    </row>
    <row r="21" spans="1:16" ht="14.25" customHeight="1">
      <c r="A21" s="1" t="s">
        <v>728</v>
      </c>
      <c r="B21" s="117" t="s">
        <v>40</v>
      </c>
      <c r="C21" s="5">
        <f>IFERROR(IF(VLOOKUP($B21,'[4]OECD.Stat export'!$A:$S,14,0)="..",VLOOKUP($B21,'[4]OECD.Stat export'!$A:$S,18,0), VLOOKUP($B21,'[4]OECD.Stat export'!$A:$S,14,0)),D21)</f>
        <v>1868.2913243031001</v>
      </c>
      <c r="D21" s="6">
        <f>+IFERROR(IFERROR(VLOOKUP($A21,[4]IMF_fdi_credit_debitinc!$A:$C,3,0),VLOOKUP($B21,[4]IMF_fdi_credit_debitinc!$A:$C,3,0)),0)/1000000</f>
        <v>1474.37</v>
      </c>
      <c r="E21" s="6">
        <f>+VLOOKUP(A21,[4]OECD_COUNTERDO_INCOME!A:B,2,0)</f>
        <v>852.88199999999995</v>
      </c>
      <c r="F21" s="6">
        <f t="shared" si="2"/>
        <v>1015.4093243031001</v>
      </c>
      <c r="G21" s="7"/>
      <c r="H21" s="6"/>
      <c r="I21" s="6"/>
      <c r="J21" s="6"/>
      <c r="K21" s="6"/>
      <c r="L21" s="5">
        <f>IFERROR(IF(VLOOKUP($B21,'[4]OECD.Stat export'!$A:$S,15,0)="..",VLOOKUP($B21,'[4]OECD.Stat export'!$A:$S,19,0), VLOOKUP($B21,'[4]OECD.Stat export'!$A:$S,15,0)),M21)</f>
        <v>934.72589275718997</v>
      </c>
      <c r="M21" s="6">
        <f>+IFERROR(IFERROR(VLOOKUP($A21,[4]IMF_fdi_credit_debitinc!$A:$C,2,0),VLOOKUP($B21,[4]IMF_fdi_credit_debitinc!$A:$C,2,0)),0)/1000000</f>
        <v>727.91200000000003</v>
      </c>
      <c r="N21" s="6">
        <f>+IFERROR(VLOOKUP(A21,[4]OECD_COUNTERDI_INCOME!A:B,2,0),0)</f>
        <v>201.18799999999999</v>
      </c>
      <c r="O21" s="6">
        <f t="shared" si="1"/>
        <v>733.53789275718998</v>
      </c>
      <c r="P21" s="118">
        <f>+-IFERROR(IF(VLOOKUP(TableB10!$A21,[4]totaldisc_DO_less_DI!$A:$B,2,0)&lt;0,VLOOKUP(TableB10!$A21,[4]totaldisc_DO_less_DI!$A:$B,2,0),0),0)</f>
        <v>0</v>
      </c>
    </row>
    <row r="22" spans="1:16" ht="14.25" customHeight="1">
      <c r="A22" s="1" t="s">
        <v>729</v>
      </c>
      <c r="B22" s="117" t="s">
        <v>95</v>
      </c>
      <c r="C22" s="5">
        <f>IFERROR(IF(VLOOKUP($B22,'[4]OECD.Stat export'!$A:$S,14,0)="..",VLOOKUP($B22,'[4]OECD.Stat export'!$A:$S,18,0), VLOOKUP($B22,'[4]OECD.Stat export'!$A:$S,14,0)),D22)</f>
        <v>15812.221848669</v>
      </c>
      <c r="D22" s="6">
        <f>+IFERROR(IFERROR(VLOOKUP($A22,[4]IMF_fdi_credit_debitinc!$A:$C,3,0),VLOOKUP($B22,[4]IMF_fdi_credit_debitinc!$A:$C,3,0)),0)/1000000</f>
        <v>18184.099999999999</v>
      </c>
      <c r="E22" s="6">
        <f>+VLOOKUP(A22,[4]OECD_COUNTERDO_INCOME!A:B,2,0)</f>
        <v>5297.0280000000002</v>
      </c>
      <c r="F22" s="6">
        <f t="shared" si="2"/>
        <v>10515.193848669</v>
      </c>
      <c r="G22" s="7"/>
      <c r="H22" s="6"/>
      <c r="I22" s="6"/>
      <c r="J22" s="6"/>
      <c r="K22" s="6"/>
      <c r="L22" s="5">
        <f>IFERROR(IF(VLOOKUP($B22,'[4]OECD.Stat export'!$A:$S,15,0)="..",VLOOKUP($B22,'[4]OECD.Stat export'!$A:$S,19,0), VLOOKUP($B22,'[4]OECD.Stat export'!$A:$S,15,0)),M22)</f>
        <v>8833.6725686556001</v>
      </c>
      <c r="M22" s="6">
        <f>+IFERROR(IFERROR(VLOOKUP($A22,[4]IMF_fdi_credit_debitinc!$A:$C,2,0),VLOOKUP($B22,[4]IMF_fdi_credit_debitinc!$A:$C,2,0)),0)/1000000</f>
        <v>9524.69</v>
      </c>
      <c r="N22" s="6">
        <f>+IFERROR(VLOOKUP(A22,[4]OECD_COUNTERDI_INCOME!A:B,2,0),0)</f>
        <v>1940.5989999999999</v>
      </c>
      <c r="O22" s="6">
        <f t="shared" si="1"/>
        <v>6893.0735686556</v>
      </c>
      <c r="P22" s="118">
        <f>+-IFERROR(IF(VLOOKUP(TableB10!$A22,[4]totaldisc_DO_less_DI!$A:$B,2,0)&lt;0,VLOOKUP(TableB10!$A22,[4]totaldisc_DO_less_DI!$A:$B,2,0),0),0)</f>
        <v>1152.4000000000001</v>
      </c>
    </row>
    <row r="23" spans="1:16" ht="14.25" customHeight="1">
      <c r="A23" s="1" t="s">
        <v>730</v>
      </c>
      <c r="B23" s="117" t="s">
        <v>113</v>
      </c>
      <c r="C23" s="5">
        <f>IFERROR(IF(VLOOKUP($B23,'[4]OECD.Stat export'!$A:$S,14,0)="..",VLOOKUP($B23,'[4]OECD.Stat export'!$A:$S,18,0), VLOOKUP($B23,'[4]OECD.Stat export'!$A:$S,14,0)),D23)</f>
        <v>-266.11163886770998</v>
      </c>
      <c r="D23" s="6">
        <f>+IFERROR(IFERROR(VLOOKUP($A23,[4]IMF_fdi_credit_debitinc!$A:$C,3,0),VLOOKUP($B23,[4]IMF_fdi_credit_debitinc!$A:$C,3,0)),0)/1000000</f>
        <v>-210.54400000000001</v>
      </c>
      <c r="E23" s="6">
        <f>+VLOOKUP(A23,[4]OECD_COUNTERDO_INCOME!A:B,2,0)</f>
        <v>83.063999999999993</v>
      </c>
      <c r="F23" s="6">
        <f t="shared" si="2"/>
        <v>-349.17563886770995</v>
      </c>
      <c r="G23" s="7"/>
      <c r="H23" s="6"/>
      <c r="I23" s="6"/>
      <c r="J23" s="6"/>
      <c r="K23" s="6"/>
      <c r="L23" s="5">
        <f>IFERROR(IF(VLOOKUP($B23,'[4]OECD.Stat export'!$A:$S,15,0)="..",VLOOKUP($B23,'[4]OECD.Stat export'!$A:$S,19,0), VLOOKUP($B23,'[4]OECD.Stat export'!$A:$S,15,0)),M23)</f>
        <v>324.20201163601001</v>
      </c>
      <c r="M23" s="6">
        <f>+IFERROR(IFERROR(VLOOKUP($A23,[4]IMF_fdi_credit_debitinc!$A:$C,2,0),VLOOKUP($B23,[4]IMF_fdi_credit_debitinc!$A:$C,2,0)),0)/1000000</f>
        <v>365.30099999999999</v>
      </c>
      <c r="N23" s="6">
        <f>+IFERROR(VLOOKUP(A23,[4]OECD_COUNTERDI_INCOME!A:B,2,0),0)</f>
        <v>245.21600000000001</v>
      </c>
      <c r="O23" s="6">
        <f t="shared" si="1"/>
        <v>78.986011636010005</v>
      </c>
      <c r="P23" s="118">
        <f>+-IFERROR(IF(VLOOKUP(TableB10!$A23,[4]totaldisc_DO_less_DI!$A:$B,2,0)&lt;0,VLOOKUP(TableB10!$A23,[4]totaldisc_DO_less_DI!$A:$B,2,0),0),0)</f>
        <v>0</v>
      </c>
    </row>
    <row r="24" spans="1:16" ht="14.25" customHeight="1">
      <c r="A24" s="1" t="s">
        <v>731</v>
      </c>
      <c r="B24" s="117" t="s">
        <v>20</v>
      </c>
      <c r="C24" s="5">
        <f>IFERROR(IF(VLOOKUP($B24,'[4]OECD.Stat export'!$A:$S,14,0)="..",VLOOKUP($B24,'[4]OECD.Stat export'!$A:$S,18,0), VLOOKUP($B24,'[4]OECD.Stat export'!$A:$S,14,0)),D24)</f>
        <v>94837.120788089</v>
      </c>
      <c r="D24" s="6">
        <f>+IFERROR(IFERROR(VLOOKUP($A24,[4]IMF_fdi_credit_debitinc!$A:$C,3,0),VLOOKUP($B24,[4]IMF_fdi_credit_debitinc!$A:$C,3,0)),0)/1000000</f>
        <v>98435.6</v>
      </c>
      <c r="E24" s="6">
        <f>+VLOOKUP(A24,[4]OECD_COUNTERDO_INCOME!A:B,2,0)</f>
        <v>90444.918999999994</v>
      </c>
      <c r="F24" s="6">
        <f t="shared" si="2"/>
        <v>4392.2017880890053</v>
      </c>
      <c r="G24" s="7">
        <f>+TableB11!E37*1000*(1/TableB11!$G$6)</f>
        <v>59624.796431654191</v>
      </c>
      <c r="H24" s="6">
        <f>+TableB11!C37*1000*(1/TableB11!$G$6)</f>
        <v>59624.796431654191</v>
      </c>
      <c r="I24" s="6">
        <f>+G24-H24</f>
        <v>0</v>
      </c>
      <c r="J24" s="6"/>
      <c r="K24" s="6"/>
      <c r="L24" s="5">
        <f>IFERROR(IF(VLOOKUP($B24,'[4]OECD.Stat export'!$A:$S,15,0)="..",VLOOKUP($B24,'[4]OECD.Stat export'!$A:$S,19,0), VLOOKUP($B24,'[4]OECD.Stat export'!$A:$S,15,0)),M24)</f>
        <v>17406.246501735</v>
      </c>
      <c r="M24" s="6">
        <f>+IFERROR(IFERROR(VLOOKUP($A24,[4]IMF_fdi_credit_debitinc!$A:$C,2,0),VLOOKUP($B24,[4]IMF_fdi_credit_debitinc!$A:$C,2,0)),0)/1000000</f>
        <v>19526.5</v>
      </c>
      <c r="N24" s="6">
        <f>+IFERROR(VLOOKUP(A24,[4]OECD_COUNTERDI_INCOME!A:B,2,0),0)</f>
        <v>26593.914000000001</v>
      </c>
      <c r="O24" s="6">
        <f t="shared" si="1"/>
        <v>-9187.6674982650002</v>
      </c>
      <c r="P24" s="118">
        <f>+-IFERROR(IF(VLOOKUP(TableB10!$A24,[4]totaldisc_DO_less_DI!$A:$B,2,0)&lt;0,VLOOKUP(TableB10!$A24,[4]totaldisc_DO_less_DI!$A:$B,2,0),0),0)</f>
        <v>6347.6</v>
      </c>
    </row>
    <row r="25" spans="1:16" ht="14.25" customHeight="1">
      <c r="A25" s="1" t="s">
        <v>732</v>
      </c>
      <c r="B25" s="117" t="s">
        <v>114</v>
      </c>
      <c r="C25" s="5">
        <f>IFERROR(IF(VLOOKUP($B25,'[4]OECD.Stat export'!$A:$S,14,0)="..",VLOOKUP($B25,'[4]OECD.Stat export'!$A:$S,18,0), VLOOKUP($B25,'[4]OECD.Stat export'!$A:$S,14,0)),D25)</f>
        <v>6623.6</v>
      </c>
      <c r="D25" s="6">
        <f>+IFERROR(IFERROR(VLOOKUP($A25,[4]IMF_fdi_credit_debitinc!$A:$C,3,0),VLOOKUP($B25,[4]IMF_fdi_credit_debitinc!$A:$C,3,0)),0)/1000000</f>
        <v>6623.6</v>
      </c>
      <c r="E25" s="6">
        <f>+VLOOKUP(A25,[4]OECD_COUNTERDO_INCOME!A:B,2,0)</f>
        <v>1633.7090000000001</v>
      </c>
      <c r="F25" s="6">
        <f t="shared" si="2"/>
        <v>4989.8910000000005</v>
      </c>
      <c r="G25" s="7"/>
      <c r="H25" s="6"/>
      <c r="I25" s="6"/>
      <c r="J25" s="6"/>
      <c r="K25" s="6"/>
      <c r="L25" s="5">
        <f>IFERROR(IF(VLOOKUP($B25,'[4]OECD.Stat export'!$A:$S,15,0)="..",VLOOKUP($B25,'[4]OECD.Stat export'!$A:$S,19,0), VLOOKUP($B25,'[4]OECD.Stat export'!$A:$S,15,0)),M25)</f>
        <v>7022.3</v>
      </c>
      <c r="M25" s="6">
        <f>+IFERROR(IFERROR(VLOOKUP($A25,[4]IMF_fdi_credit_debitinc!$A:$C,2,0),VLOOKUP($B25,[4]IMF_fdi_credit_debitinc!$A:$C,2,0)),0)/1000000</f>
        <v>7022.3</v>
      </c>
      <c r="N25" s="6">
        <f>+IFERROR(VLOOKUP(A25,[4]OECD_COUNTERDI_INCOME!A:B,2,0),0)</f>
        <v>1451.7049999999999</v>
      </c>
      <c r="O25" s="6">
        <f t="shared" si="1"/>
        <v>5570.5950000000003</v>
      </c>
      <c r="P25" s="118">
        <f>+-IFERROR(IF(VLOOKUP(TableB10!$A25,[4]totaldisc_DO_less_DI!$A:$B,2,0)&lt;0,VLOOKUP(TableB10!$A25,[4]totaldisc_DO_less_DI!$A:$B,2,0),0),0)</f>
        <v>0</v>
      </c>
    </row>
    <row r="26" spans="1:16" ht="14.25" customHeight="1">
      <c r="A26" s="1" t="s">
        <v>733</v>
      </c>
      <c r="B26" s="117" t="s">
        <v>33</v>
      </c>
      <c r="C26" s="5">
        <f>IFERROR(IF(VLOOKUP($B26,'[4]OECD.Stat export'!$A:$S,14,0)="..",VLOOKUP($B26,'[4]OECD.Stat export'!$A:$S,18,0), VLOOKUP($B26,'[4]OECD.Stat export'!$A:$S,14,0)),D26)</f>
        <v>17823.547520429998</v>
      </c>
      <c r="D26" s="6">
        <f>+IFERROR(IFERROR(VLOOKUP($A26,[4]IMF_fdi_credit_debitinc!$A:$C,3,0),VLOOKUP($B26,[4]IMF_fdi_credit_debitinc!$A:$C,3,0)),0)/1000000</f>
        <v>14553</v>
      </c>
      <c r="E26" s="6">
        <f>+VLOOKUP(A26,[4]OECD_COUNTERDO_INCOME!A:B,2,0)</f>
        <v>20499.905999999999</v>
      </c>
      <c r="F26" s="6">
        <f t="shared" si="2"/>
        <v>-2676.3584795700008</v>
      </c>
      <c r="G26" s="7"/>
      <c r="H26" s="6"/>
      <c r="I26" s="6"/>
      <c r="J26" s="6"/>
      <c r="K26" s="6"/>
      <c r="L26" s="5">
        <f>IFERROR(IF(VLOOKUP($B26,'[4]OECD.Stat export'!$A:$S,15,0)="..",VLOOKUP($B26,'[4]OECD.Stat export'!$A:$S,19,0), VLOOKUP($B26,'[4]OECD.Stat export'!$A:$S,15,0)),M26)</f>
        <v>28627.907757752</v>
      </c>
      <c r="M26" s="6">
        <f>+IFERROR(IFERROR(VLOOKUP($A26,[4]IMF_fdi_credit_debitinc!$A:$C,2,0),VLOOKUP($B26,[4]IMF_fdi_credit_debitinc!$A:$C,2,0)),0)/1000000</f>
        <v>25231.8</v>
      </c>
      <c r="N26" s="6">
        <f>+IFERROR(VLOOKUP(A26,[4]OECD_COUNTERDI_INCOME!A:B,2,0),0)</f>
        <v>15294.395</v>
      </c>
      <c r="O26" s="6">
        <f t="shared" si="1"/>
        <v>13333.512757752</v>
      </c>
      <c r="P26" s="118">
        <f>+-IFERROR(IF(VLOOKUP(TableB10!$A26,[4]totaldisc_DO_less_DI!$A:$B,2,0)&lt;0,VLOOKUP(TableB10!$A26,[4]totaldisc_DO_less_DI!$A:$B,2,0),0),0)</f>
        <v>0</v>
      </c>
    </row>
    <row r="27" spans="1:16" ht="14.25" customHeight="1">
      <c r="A27" s="1" t="s">
        <v>734</v>
      </c>
      <c r="B27" s="117" t="s">
        <v>31</v>
      </c>
      <c r="C27" s="5">
        <f>IFERROR(IF(VLOOKUP($B27,'[4]OECD.Stat export'!$A:$S,14,0)="..",VLOOKUP($B27,'[4]OECD.Stat export'!$A:$S,18,0), VLOOKUP($B27,'[4]OECD.Stat export'!$A:$S,14,0)),D27)</f>
        <v>33504.331662172001</v>
      </c>
      <c r="D27" s="6">
        <f>+IFERROR(IFERROR(VLOOKUP($A27,[4]IMF_fdi_credit_debitinc!$A:$C,3,0),VLOOKUP($B27,[4]IMF_fdi_credit_debitinc!$A:$C,3,0)),0)/1000000</f>
        <v>34860.5</v>
      </c>
      <c r="E27" s="6">
        <f>+VLOOKUP(A27,[4]OECD_COUNTERDO_INCOME!A:B,2,0)</f>
        <v>18087.455000000002</v>
      </c>
      <c r="F27" s="6">
        <f t="shared" si="2"/>
        <v>15416.876662171999</v>
      </c>
      <c r="G27" s="7"/>
      <c r="H27" s="6"/>
      <c r="I27" s="6"/>
      <c r="J27" s="6"/>
      <c r="K27" s="6"/>
      <c r="L27" s="5">
        <f>IFERROR(IF(VLOOKUP($B27,'[4]OECD.Stat export'!$A:$S,15,0)="..",VLOOKUP($B27,'[4]OECD.Stat export'!$A:$S,19,0), VLOOKUP($B27,'[4]OECD.Stat export'!$A:$S,15,0)),M27)</f>
        <v>136709.42236251</v>
      </c>
      <c r="M27" s="6">
        <f>+IFERROR(IFERROR(VLOOKUP($A27,[4]IMF_fdi_credit_debitinc!$A:$C,2,0),VLOOKUP($B27,[4]IMF_fdi_credit_debitinc!$A:$C,2,0)),0)/1000000</f>
        <v>132346</v>
      </c>
      <c r="N27" s="6">
        <f>+IFERROR(VLOOKUP(A27,[4]OECD_COUNTERDI_INCOME!A:B,2,0),0)</f>
        <v>46038.637000000002</v>
      </c>
      <c r="O27" s="6">
        <f t="shared" si="1"/>
        <v>90670.785362509996</v>
      </c>
      <c r="P27" s="118">
        <f>+-IFERROR(IF(VLOOKUP(TableB10!$A27,[4]totaldisc_DO_less_DI!$A:$B,2,0)&lt;0,VLOOKUP(TableB10!$A27,[4]totaldisc_DO_less_DI!$A:$B,2,0),0),0)</f>
        <v>0</v>
      </c>
    </row>
    <row r="28" spans="1:16" ht="14.25" customHeight="1">
      <c r="A28" s="1" t="s">
        <v>115</v>
      </c>
      <c r="B28" s="117" t="s">
        <v>48</v>
      </c>
      <c r="C28" s="5">
        <f>IFERROR(IF(VLOOKUP($B28,'[4]OECD.Stat export'!$A:$S,14,0)="..",VLOOKUP($B28,'[4]OECD.Stat export'!$A:$S,18,0), VLOOKUP($B28,'[4]OECD.Stat export'!$A:$S,14,0)),D28)</f>
        <v>3443.02</v>
      </c>
      <c r="D28" s="6">
        <f>+IFERROR(IFERROR(VLOOKUP($A28,[4]IMF_fdi_credit_debitinc!$A:$C,3,0),VLOOKUP($B28,[4]IMF_fdi_credit_debitinc!$A:$C,3,0)),0)/1000000</f>
        <v>13755.2</v>
      </c>
      <c r="E28" s="6">
        <f>+VLOOKUP(A28,[4]OECD_COUNTERDO_INCOME!A:B,2,0)</f>
        <v>14760.72</v>
      </c>
      <c r="F28" s="6">
        <f t="shared" si="2"/>
        <v>-11317.699999999999</v>
      </c>
      <c r="G28" s="7"/>
      <c r="H28" s="6"/>
      <c r="I28" s="6"/>
      <c r="J28" s="6"/>
      <c r="K28" s="6"/>
      <c r="L28" s="5">
        <f>IFERROR(IF(VLOOKUP($B28,'[4]OECD.Stat export'!$A:$S,15,0)="..",VLOOKUP($B28,'[4]OECD.Stat export'!$A:$S,19,0), VLOOKUP($B28,'[4]OECD.Stat export'!$A:$S,15,0)),M28)</f>
        <v>9063.48</v>
      </c>
      <c r="M28" s="6">
        <f>+IFERROR(IFERROR(VLOOKUP($A28,[4]IMF_fdi_credit_debitinc!$A:$C,2,0),VLOOKUP($B28,[4]IMF_fdi_credit_debitinc!$A:$C,2,0)),0)/1000000</f>
        <v>17606.7</v>
      </c>
      <c r="N28" s="6">
        <f>+IFERROR(VLOOKUP(A28,[4]OECD_COUNTERDI_INCOME!A:B,2,0),0)</f>
        <v>3570.0430000000001</v>
      </c>
      <c r="O28" s="6">
        <f t="shared" si="1"/>
        <v>5493.4369999999999</v>
      </c>
      <c r="P28" s="118">
        <f>+-IFERROR(IF(VLOOKUP(TableB10!$A28,[4]totaldisc_DO_less_DI!$A:$B,2,0)&lt;0,VLOOKUP(TableB10!$A28,[4]totaldisc_DO_less_DI!$A:$B,2,0),0),0)</f>
        <v>1464.9</v>
      </c>
    </row>
    <row r="29" spans="1:16" ht="14.25" customHeight="1">
      <c r="A29" s="1" t="s">
        <v>735</v>
      </c>
      <c r="B29" s="117" t="s">
        <v>96</v>
      </c>
      <c r="C29" s="5">
        <f>IFERROR(IF(VLOOKUP($B29,'[4]OECD.Stat export'!$A:$S,14,0)="..",VLOOKUP($B29,'[4]OECD.Stat export'!$A:$S,18,0), VLOOKUP($B29,'[4]OECD.Stat export'!$A:$S,14,0)),D29)</f>
        <v>1623.1948953318999</v>
      </c>
      <c r="D29" s="6">
        <f>+IFERROR(IFERROR(VLOOKUP($A29,[4]IMF_fdi_credit_debitinc!$A:$C,3,0),VLOOKUP($B29,[4]IMF_fdi_credit_debitinc!$A:$C,3,0)),0)/1000000</f>
        <v>1650.89</v>
      </c>
      <c r="E29" s="6">
        <f>+VLOOKUP(A29,[4]OECD_COUNTERDO_INCOME!A:B,2,0)</f>
        <v>780.85500000000002</v>
      </c>
      <c r="F29" s="6">
        <f t="shared" si="2"/>
        <v>842.33989533189992</v>
      </c>
      <c r="G29" s="7"/>
      <c r="H29" s="6"/>
      <c r="I29" s="6"/>
      <c r="J29" s="6"/>
      <c r="K29" s="6"/>
      <c r="L29" s="5">
        <f>IFERROR(IF(VLOOKUP($B29,'[4]OECD.Stat export'!$A:$S,15,0)="..",VLOOKUP($B29,'[4]OECD.Stat export'!$A:$S,19,0), VLOOKUP($B29,'[4]OECD.Stat export'!$A:$S,15,0)),M29)</f>
        <v>113.06392029553</v>
      </c>
      <c r="M29" s="6">
        <f>+IFERROR(IFERROR(VLOOKUP($A29,[4]IMF_fdi_credit_debitinc!$A:$C,2,0),VLOOKUP($B29,[4]IMF_fdi_credit_debitinc!$A:$C,2,0)),0)/1000000</f>
        <v>141.511</v>
      </c>
      <c r="N29" s="6">
        <f>+IFERROR(VLOOKUP(A29,[4]OECD_COUNTERDI_INCOME!A:B,2,0),0)</f>
        <v>128.065</v>
      </c>
      <c r="O29" s="6">
        <f t="shared" si="1"/>
        <v>-15.001079704470001</v>
      </c>
      <c r="P29" s="118">
        <f>+-IFERROR(IF(VLOOKUP(TableB10!$A29,[4]totaldisc_DO_less_DI!$A:$B,2,0)&lt;0,VLOOKUP(TableB10!$A29,[4]totaldisc_DO_less_DI!$A:$B,2,0),0),0)</f>
        <v>92.2</v>
      </c>
    </row>
    <row r="30" spans="1:16" ht="14.25" customHeight="1">
      <c r="A30" s="1" t="s">
        <v>736</v>
      </c>
      <c r="B30" s="117" t="s">
        <v>19</v>
      </c>
      <c r="C30" s="5">
        <f>IFERROR(IF(VLOOKUP($B30,'[4]OECD.Stat export'!$A:$S,14,0)="..",VLOOKUP($B30,'[4]OECD.Stat export'!$A:$S,18,0), VLOOKUP($B30,'[4]OECD.Stat export'!$A:$S,14,0)),D30)</f>
        <v>115405.79872383</v>
      </c>
      <c r="D30" s="6">
        <f>+IFERROR(IFERROR(VLOOKUP($A30,[4]IMF_fdi_credit_debitinc!$A:$C,3,0),VLOOKUP($B30,[4]IMF_fdi_credit_debitinc!$A:$C,3,0)),0)/1000000</f>
        <v>91042.4</v>
      </c>
      <c r="E30" s="6">
        <f>+VLOOKUP(A30,[4]OECD_COUNTERDO_INCOME!A:B,2,0)</f>
        <v>80171.165999999997</v>
      </c>
      <c r="F30" s="6">
        <f t="shared" si="2"/>
        <v>35234.63272383</v>
      </c>
      <c r="G30" s="7">
        <f>+TableB11!E35*1000*(1/TableB11!G6)</f>
        <v>47551.071428571428</v>
      </c>
      <c r="H30" s="6">
        <f>+TableB11!C35*1000*(1/TableB11!G6)</f>
        <v>18772.976190476191</v>
      </c>
      <c r="I30" s="6">
        <f>+G30-H30</f>
        <v>28778.095238095237</v>
      </c>
      <c r="J30" s="6"/>
      <c r="K30" s="6"/>
      <c r="L30" s="5">
        <f>IFERROR(IF(VLOOKUP($B30,'[4]OECD.Stat export'!$A:$S,15,0)="..",VLOOKUP($B30,'[4]OECD.Stat export'!$A:$S,19,0), VLOOKUP($B30,'[4]OECD.Stat export'!$A:$S,15,0)),M30)</f>
        <v>143643.79267883001</v>
      </c>
      <c r="M30" s="6">
        <f>+IFERROR(IFERROR(VLOOKUP($A30,[4]IMF_fdi_credit_debitinc!$A:$C,2,0),VLOOKUP($B30,[4]IMF_fdi_credit_debitinc!$A:$C,2,0)),0)/1000000</f>
        <v>119432</v>
      </c>
      <c r="N30" s="6">
        <f>+IFERROR(VLOOKUP(A30,[4]OECD_COUNTERDI_INCOME!A:B,2,0),0)</f>
        <v>108518.47500000001</v>
      </c>
      <c r="O30" s="6">
        <f t="shared" si="1"/>
        <v>35125.317678830004</v>
      </c>
      <c r="P30" s="118">
        <f>+-IFERROR(IF(VLOOKUP(TableB10!$A30,[4]totaldisc_DO_less_DI!$A:$B,2,0)&lt;0,VLOOKUP(TableB10!$A30,[4]totaldisc_DO_less_DI!$A:$B,2,0),0),0)</f>
        <v>0</v>
      </c>
    </row>
    <row r="31" spans="1:16" ht="14.25" customHeight="1">
      <c r="A31" s="1" t="s">
        <v>737</v>
      </c>
      <c r="B31" s="117" t="s">
        <v>38</v>
      </c>
      <c r="C31" s="5">
        <f>IFERROR(IF(VLOOKUP($B31,'[4]OECD.Stat export'!$A:$S,14,0)="..",VLOOKUP($B31,'[4]OECD.Stat export'!$A:$S,18,0), VLOOKUP($B31,'[4]OECD.Stat export'!$A:$S,14,0)),D31)</f>
        <v>25090.976104000001</v>
      </c>
      <c r="D31" s="6">
        <f>+IFERROR(IFERROR(VLOOKUP($A31,[4]IMF_fdi_credit_debitinc!$A:$C,3,0),VLOOKUP($B31,[4]IMF_fdi_credit_debitinc!$A:$C,3,0)),0)/1000000</f>
        <v>24188.9</v>
      </c>
      <c r="E31" s="6">
        <f>+VLOOKUP(A31,[4]OECD_COUNTERDO_INCOME!A:B,2,0)</f>
        <v>22948.524000000001</v>
      </c>
      <c r="F31" s="6">
        <f t="shared" si="2"/>
        <v>2142.452104</v>
      </c>
      <c r="G31" s="7"/>
      <c r="H31" s="6"/>
      <c r="I31" s="6"/>
      <c r="J31" s="6"/>
      <c r="K31" s="6"/>
      <c r="L31" s="5">
        <f>IFERROR(IF(VLOOKUP($B31,'[4]OECD.Stat export'!$A:$S,15,0)="..",VLOOKUP($B31,'[4]OECD.Stat export'!$A:$S,19,0), VLOOKUP($B31,'[4]OECD.Stat export'!$A:$S,15,0)),M31)</f>
        <v>6090.9029140000002</v>
      </c>
      <c r="M31" s="6">
        <f>+IFERROR(IFERROR(VLOOKUP($A31,[4]IMF_fdi_credit_debitinc!$A:$C,2,0),VLOOKUP($B31,[4]IMF_fdi_credit_debitinc!$A:$C,2,0)),0)/1000000</f>
        <v>5513.14</v>
      </c>
      <c r="N31" s="6">
        <f>+IFERROR(VLOOKUP(A31,[4]OECD_COUNTERDI_INCOME!A:B,2,0),0)</f>
        <v>2735.4560000000001</v>
      </c>
      <c r="O31" s="6">
        <f t="shared" si="1"/>
        <v>3355.4469140000001</v>
      </c>
      <c r="P31" s="118">
        <f>+-IFERROR(IF(VLOOKUP(TableB10!$A31,[4]totaldisc_DO_less_DI!$A:$B,2,0)&lt;0,VLOOKUP(TableB10!$A31,[4]totaldisc_DO_less_DI!$A:$B,2,0),0),0)</f>
        <v>0</v>
      </c>
    </row>
    <row r="32" spans="1:16" ht="14.25" customHeight="1">
      <c r="A32" s="1" t="s">
        <v>738</v>
      </c>
      <c r="B32" s="117" t="s">
        <v>23</v>
      </c>
      <c r="C32" s="5">
        <f>IFERROR(IF(VLOOKUP($B32,'[4]OECD.Stat export'!$A:$S,14,0)="..",VLOOKUP($B32,'[4]OECD.Stat export'!$A:$S,18,0), VLOOKUP($B32,'[4]OECD.Stat export'!$A:$S,14,0)),D32)</f>
        <v>193605.47528154001</v>
      </c>
      <c r="D32" s="6">
        <f>+IFERROR(IFERROR(VLOOKUP($A32,[4]IMF_fdi_credit_debitinc!$A:$C,3,0),VLOOKUP($B32,[4]IMF_fdi_credit_debitinc!$A:$C,3,0)),0)/1000000</f>
        <v>234372</v>
      </c>
      <c r="E32" s="6">
        <f>+VLOOKUP(A32,[4]OECD_COUNTERDO_INCOME!A:B,2,0)</f>
        <v>197028.204</v>
      </c>
      <c r="F32" s="6">
        <f t="shared" si="2"/>
        <v>-3422.7287184599845</v>
      </c>
      <c r="G32" s="7">
        <f>+TableB11!E36*1000/TableB11!G6</f>
        <v>38090.000000000007</v>
      </c>
      <c r="H32" s="6">
        <f>+TableB11!C36*1000/TableB11!G6</f>
        <v>37204.285714285717</v>
      </c>
      <c r="I32" s="6">
        <f>+G32-H32</f>
        <v>885.71428571428987</v>
      </c>
      <c r="J32" s="6"/>
      <c r="K32" s="6"/>
      <c r="L32" s="5">
        <f>IFERROR(IF(VLOOKUP($B32,'[4]OECD.Stat export'!$A:$S,15,0)="..",VLOOKUP($B32,'[4]OECD.Stat export'!$A:$S,19,0), VLOOKUP($B32,'[4]OECD.Stat export'!$A:$S,15,0)),M32)</f>
        <v>231946.45815516001</v>
      </c>
      <c r="M32" s="6">
        <f>+IFERROR(IFERROR(VLOOKUP($A32,[4]IMF_fdi_credit_debitinc!$A:$C,2,0),VLOOKUP($B32,[4]IMF_fdi_credit_debitinc!$A:$C,2,0)),0)/1000000</f>
        <v>275164</v>
      </c>
      <c r="N32" s="6">
        <f>+IFERROR(VLOOKUP(A32,[4]OECD_COUNTERDI_INCOME!A:B,2,0),0)</f>
        <v>169462.76199999999</v>
      </c>
      <c r="O32" s="6">
        <f t="shared" si="1"/>
        <v>62483.696155160025</v>
      </c>
      <c r="P32" s="118">
        <f>+-IFERROR(IF(VLOOKUP(TableB10!$A32,[4]totaldisc_DO_less_DI!$A:$B,2,0)&lt;0,VLOOKUP(TableB10!$A32,[4]totaldisc_DO_less_DI!$A:$B,2,0),0),0)</f>
        <v>94191.3</v>
      </c>
    </row>
    <row r="33" spans="1:16" ht="14.25" customHeight="1">
      <c r="A33" s="1" t="s">
        <v>739</v>
      </c>
      <c r="B33" s="117" t="s">
        <v>116</v>
      </c>
      <c r="C33" s="5">
        <f>IFERROR(IF(VLOOKUP($B33,'[4]OECD.Stat export'!$A:$S,14,0)="..",VLOOKUP($B33,'[4]OECD.Stat export'!$A:$S,18,0), VLOOKUP($B33,'[4]OECD.Stat export'!$A:$S,14,0)),D33)</f>
        <v>5801.0540184453002</v>
      </c>
      <c r="D33" s="6">
        <f>+IFERROR(IFERROR(VLOOKUP($A33,[4]IMF_fdi_credit_debitinc!$A:$C,3,0),VLOOKUP($B33,[4]IMF_fdi_credit_debitinc!$A:$C,3,0)),0)/1000000</f>
        <v>5998.73</v>
      </c>
      <c r="E33" s="6">
        <f>+VLOOKUP(A33,[4]OECD_COUNTERDO_INCOME!A:B,2,0)</f>
        <v>4113.9309999999996</v>
      </c>
      <c r="F33" s="6">
        <f t="shared" si="2"/>
        <v>1687.1230184453007</v>
      </c>
      <c r="G33" s="7"/>
      <c r="H33" s="6"/>
      <c r="I33" s="6"/>
      <c r="J33" s="6"/>
      <c r="K33" s="6"/>
      <c r="L33" s="5">
        <f>IFERROR(IF(VLOOKUP($B33,'[4]OECD.Stat export'!$A:$S,15,0)="..",VLOOKUP($B33,'[4]OECD.Stat export'!$A:$S,19,0), VLOOKUP($B33,'[4]OECD.Stat export'!$A:$S,15,0)),M33)</f>
        <v>608.69565217391005</v>
      </c>
      <c r="M33" s="6">
        <f>+IFERROR(IFERROR(VLOOKUP($A33,[4]IMF_fdi_credit_debitinc!$A:$C,2,0),VLOOKUP($B33,[4]IMF_fdi_credit_debitinc!$A:$C,2,0)),0)/1000000</f>
        <v>694.73699999999997</v>
      </c>
      <c r="N33" s="6">
        <f>+IFERROR(VLOOKUP(A33,[4]OECD_COUNTERDI_INCOME!A:B,2,0),0)</f>
        <v>457.46300000000002</v>
      </c>
      <c r="O33" s="6">
        <f t="shared" si="1"/>
        <v>151.23265217391003</v>
      </c>
      <c r="P33" s="118">
        <f>+-IFERROR(IF(VLOOKUP(TableB10!$A33,[4]totaldisc_DO_less_DI!$A:$B,2,0)&lt;0,VLOOKUP(TableB10!$A33,[4]totaldisc_DO_less_DI!$A:$B,2,0),0),0)</f>
        <v>134.4</v>
      </c>
    </row>
    <row r="34" spans="1:16" ht="14.25" customHeight="1">
      <c r="A34" s="1" t="s">
        <v>740</v>
      </c>
      <c r="B34" s="117" t="s">
        <v>117</v>
      </c>
      <c r="C34" s="5">
        <f>IFERROR(IF(VLOOKUP($B34,'[4]OECD.Stat export'!$A:$S,14,0)="..",VLOOKUP($B34,'[4]OECD.Stat export'!$A:$S,18,0), VLOOKUP($B34,'[4]OECD.Stat export'!$A:$S,14,0)),D34)</f>
        <v>13438.274270907001</v>
      </c>
      <c r="D34" s="6">
        <f>+IFERROR(IFERROR(VLOOKUP($A34,[4]IMF_fdi_credit_debitinc!$A:$C,3,0),VLOOKUP($B34,[4]IMF_fdi_credit_debitinc!$A:$C,3,0)),0)/1000000</f>
        <v>10689.3</v>
      </c>
      <c r="E34" s="6">
        <f>+VLOOKUP(A34,[4]OECD_COUNTERDO_INCOME!A:B,2,0)</f>
        <v>7787.9440000000004</v>
      </c>
      <c r="F34" s="6">
        <f t="shared" si="2"/>
        <v>5650.3302709070003</v>
      </c>
      <c r="G34" s="7"/>
      <c r="H34" s="6"/>
      <c r="I34" s="6"/>
      <c r="J34" s="6"/>
      <c r="K34" s="6"/>
      <c r="L34" s="5">
        <f>IFERROR(IF(VLOOKUP($B34,'[4]OECD.Stat export'!$A:$S,15,0)="..",VLOOKUP($B34,'[4]OECD.Stat export'!$A:$S,19,0), VLOOKUP($B34,'[4]OECD.Stat export'!$A:$S,15,0)),M34)</f>
        <v>5478.1442502215996</v>
      </c>
      <c r="M34" s="6">
        <f>+IFERROR(IFERROR(VLOOKUP($A34,[4]IMF_fdi_credit_debitinc!$A:$C,2,0),VLOOKUP($B34,[4]IMF_fdi_credit_debitinc!$A:$C,2,0)),0)/1000000</f>
        <v>9127.2999999999993</v>
      </c>
      <c r="N34" s="6">
        <f>+IFERROR(VLOOKUP(A34,[4]OECD_COUNTERDI_INCOME!A:B,2,0),0)</f>
        <v>4519.8059999999996</v>
      </c>
      <c r="O34" s="6">
        <f t="shared" si="1"/>
        <v>958.33825022159999</v>
      </c>
      <c r="P34" s="118">
        <f>+-IFERROR(IF(VLOOKUP(TableB10!$A34,[4]totaldisc_DO_less_DI!$A:$B,2,0)&lt;0,VLOOKUP(TableB10!$A34,[4]totaldisc_DO_less_DI!$A:$B,2,0),0),0)</f>
        <v>1774.4</v>
      </c>
    </row>
    <row r="35" spans="1:16" ht="14.25" customHeight="1">
      <c r="A35" s="1" t="s">
        <v>741</v>
      </c>
      <c r="B35" s="117" t="s">
        <v>97</v>
      </c>
      <c r="C35" s="5">
        <f>IFERROR(IF(VLOOKUP($B35,'[4]OECD.Stat export'!$A:$S,14,0)="..",VLOOKUP($B35,'[4]OECD.Stat export'!$A:$S,18,0), VLOOKUP($B35,'[4]OECD.Stat export'!$A:$S,14,0)),D35)</f>
        <v>23372.454955955</v>
      </c>
      <c r="D35" s="6">
        <f>+IFERROR(IFERROR(VLOOKUP($A35,[4]IMF_fdi_credit_debitinc!$A:$C,3,0),VLOOKUP($B35,[4]IMF_fdi_credit_debitinc!$A:$C,3,0)),0)/1000000</f>
        <v>25762</v>
      </c>
      <c r="E35" s="6">
        <f>+VLOOKUP(A35,[4]OECD_COUNTERDO_INCOME!A:B,2,0)</f>
        <v>12408.945</v>
      </c>
      <c r="F35" s="6">
        <f t="shared" si="2"/>
        <v>10963.509955955</v>
      </c>
      <c r="G35" s="7"/>
      <c r="H35" s="6"/>
      <c r="I35" s="6"/>
      <c r="J35" s="6"/>
      <c r="K35" s="6"/>
      <c r="L35" s="5">
        <f>IFERROR(IF(VLOOKUP($B35,'[4]OECD.Stat export'!$A:$S,15,0)="..",VLOOKUP($B35,'[4]OECD.Stat export'!$A:$S,19,0), VLOOKUP($B35,'[4]OECD.Stat export'!$A:$S,15,0)),M35)</f>
        <v>2301.4882516971002</v>
      </c>
      <c r="M35" s="6">
        <f>+IFERROR(IFERROR(VLOOKUP($A35,[4]IMF_fdi_credit_debitinc!$A:$C,2,0),VLOOKUP($B35,[4]IMF_fdi_credit_debitinc!$A:$C,2,0)),0)/1000000</f>
        <v>1571</v>
      </c>
      <c r="N35" s="6">
        <f>+IFERROR(VLOOKUP(A35,[4]OECD_COUNTERDI_INCOME!A:B,2,0),0)</f>
        <v>816.06500000000005</v>
      </c>
      <c r="O35" s="6">
        <f t="shared" si="1"/>
        <v>1485.4232516971001</v>
      </c>
      <c r="P35" s="118">
        <f>+-IFERROR(IF(VLOOKUP(TableB10!$A35,[4]totaldisc_DO_less_DI!$A:$B,2,0)&lt;0,VLOOKUP(TableB10!$A35,[4]totaldisc_DO_less_DI!$A:$B,2,0),0),0)</f>
        <v>0</v>
      </c>
    </row>
    <row r="36" spans="1:16" ht="14.25" customHeight="1">
      <c r="A36" s="1" t="s">
        <v>742</v>
      </c>
      <c r="B36" s="117" t="s">
        <v>42</v>
      </c>
      <c r="C36" s="5">
        <f>IFERROR(IF(VLOOKUP($B36,'[4]OECD.Stat export'!$A:$S,14,0)="..",VLOOKUP($B36,'[4]OECD.Stat export'!$A:$S,18,0), VLOOKUP($B36,'[4]OECD.Stat export'!$A:$S,14,0)),D36)</f>
        <v>7314.4520317921997</v>
      </c>
      <c r="D36" s="6">
        <f>+IFERROR(IFERROR(VLOOKUP($A36,[4]IMF_fdi_credit_debitinc!$A:$C,3,0),VLOOKUP($B36,[4]IMF_fdi_credit_debitinc!$A:$C,3,0)),0)/1000000</f>
        <v>7934.12</v>
      </c>
      <c r="E36" s="6">
        <f>+VLOOKUP(A36,[4]OECD_COUNTERDO_INCOME!A:B,2,0)</f>
        <v>5767.5290000000005</v>
      </c>
      <c r="F36" s="6">
        <f t="shared" si="2"/>
        <v>1546.9230317921993</v>
      </c>
      <c r="G36" s="7"/>
      <c r="H36" s="6"/>
      <c r="I36" s="6"/>
      <c r="J36" s="6"/>
      <c r="K36" s="6"/>
      <c r="L36" s="5">
        <f>IFERROR(IF(VLOOKUP($B36,'[4]OECD.Stat export'!$A:$S,15,0)="..",VLOOKUP($B36,'[4]OECD.Stat export'!$A:$S,19,0), VLOOKUP($B36,'[4]OECD.Stat export'!$A:$S,15,0)),M36)</f>
        <v>3019.1425053173998</v>
      </c>
      <c r="M36" s="6">
        <f>+IFERROR(IFERROR(VLOOKUP($A36,[4]IMF_fdi_credit_debitinc!$A:$C,2,0),VLOOKUP($B36,[4]IMF_fdi_credit_debitinc!$A:$C,2,0)),0)/1000000</f>
        <v>3605.46</v>
      </c>
      <c r="N36" s="6">
        <f>+IFERROR(VLOOKUP(A36,[4]OECD_COUNTERDI_INCOME!A:B,2,0),0)</f>
        <v>685.22400000000005</v>
      </c>
      <c r="O36" s="6">
        <f t="shared" si="1"/>
        <v>2333.9185053173996</v>
      </c>
      <c r="P36" s="118">
        <f>+-IFERROR(IF(VLOOKUP(TableB10!$A36,[4]totaldisc_DO_less_DI!$A:$B,2,0)&lt;0,VLOOKUP(TableB10!$A36,[4]totaldisc_DO_less_DI!$A:$B,2,0),0),0)</f>
        <v>9.3000000000000007</v>
      </c>
    </row>
    <row r="37" spans="1:16" ht="14.25" customHeight="1">
      <c r="A37" s="1" t="s">
        <v>118</v>
      </c>
      <c r="B37" s="117" t="s">
        <v>119</v>
      </c>
      <c r="C37" s="5">
        <f>IFERROR(IF(VLOOKUP($B37,'[4]OECD.Stat export'!$A:$S,14,0)="..",VLOOKUP($B37,'[4]OECD.Stat export'!$A:$S,18,0), VLOOKUP($B37,'[4]OECD.Stat export'!$A:$S,14,0)),D37)</f>
        <v>5028.6430213814001</v>
      </c>
      <c r="D37" s="6">
        <f>+IFERROR(IFERROR(VLOOKUP($A37,[4]IMF_fdi_credit_debitinc!$A:$C,3,0),VLOOKUP($B37,[4]IMF_fdi_credit_debitinc!$A:$C,3,0)),0)/1000000</f>
        <v>4815.45</v>
      </c>
      <c r="E37" s="6">
        <f>+VLOOKUP(A37,[4]OECD_COUNTERDO_INCOME!A:B,2,0)</f>
        <v>3537.3330000000001</v>
      </c>
      <c r="F37" s="6">
        <f t="shared" si="2"/>
        <v>1491.3100213814</v>
      </c>
      <c r="G37" s="7"/>
      <c r="H37" s="6"/>
      <c r="I37" s="6"/>
      <c r="J37" s="6"/>
      <c r="K37" s="6"/>
      <c r="L37" s="5">
        <f>IFERROR(IF(VLOOKUP($B37,'[4]OECD.Stat export'!$A:$S,15,0)="..",VLOOKUP($B37,'[4]OECD.Stat export'!$A:$S,19,0), VLOOKUP($B37,'[4]OECD.Stat export'!$A:$S,15,0)),M37)</f>
        <v>356.28732004926002</v>
      </c>
      <c r="M37" s="6">
        <f>+IFERROR(IFERROR(VLOOKUP($A37,[4]IMF_fdi_credit_debitinc!$A:$C,2,0),VLOOKUP($B37,[4]IMF_fdi_credit_debitinc!$A:$C,2,0)),0)/1000000</f>
        <v>525.85599999999999</v>
      </c>
      <c r="N37" s="6">
        <f>+IFERROR(VLOOKUP(A37,[4]OECD_COUNTERDI_INCOME!A:B,2,0),0)</f>
        <v>342.39</v>
      </c>
      <c r="O37" s="6">
        <f t="shared" si="1"/>
        <v>13.897320049260031</v>
      </c>
      <c r="P37" s="118">
        <f>+-IFERROR(IF(VLOOKUP(TableB10!$A37,[4]totaldisc_DO_less_DI!$A:$B,2,0)&lt;0,VLOOKUP(TableB10!$A37,[4]totaldisc_DO_less_DI!$A:$B,2,0),0),0)</f>
        <v>50.6</v>
      </c>
    </row>
    <row r="38" spans="1:16" ht="14.25" customHeight="1">
      <c r="A38" s="1" t="s">
        <v>743</v>
      </c>
      <c r="B38" s="117" t="s">
        <v>99</v>
      </c>
      <c r="C38" s="5">
        <f>IFERROR(IF(VLOOKUP($B38,'[4]OECD.Stat export'!$A:$S,14,0)="..",VLOOKUP($B38,'[4]OECD.Stat export'!$A:$S,18,0), VLOOKUP($B38,'[4]OECD.Stat export'!$A:$S,14,0)),D38)</f>
        <v>1618.0308966752</v>
      </c>
      <c r="D38" s="6">
        <f>+IFERROR(IFERROR(VLOOKUP($A38,[4]IMF_fdi_credit_debitinc!$A:$C,3,0),VLOOKUP($B38,[4]IMF_fdi_credit_debitinc!$A:$C,3,0)),0)/1000000</f>
        <v>1271.25</v>
      </c>
      <c r="E38" s="6">
        <f>+VLOOKUP(A38,[4]OECD_COUNTERDO_INCOME!A:B,2,0)</f>
        <v>835.34100000000001</v>
      </c>
      <c r="F38" s="6">
        <f t="shared" si="2"/>
        <v>782.68989667519998</v>
      </c>
      <c r="G38" s="7"/>
      <c r="H38" s="6"/>
      <c r="I38" s="6"/>
      <c r="J38" s="6"/>
      <c r="K38" s="6"/>
      <c r="L38" s="5">
        <f>IFERROR(IF(VLOOKUP($B38,'[4]OECD.Stat export'!$A:$S,15,0)="..",VLOOKUP($B38,'[4]OECD.Stat export'!$A:$S,19,0), VLOOKUP($B38,'[4]OECD.Stat export'!$A:$S,15,0)),M38)</f>
        <v>376.32038508900001</v>
      </c>
      <c r="M38" s="6">
        <f>+IFERROR(IFERROR(VLOOKUP($A38,[4]IMF_fdi_credit_debitinc!$A:$C,2,0),VLOOKUP($B38,[4]IMF_fdi_credit_debitinc!$A:$C,2,0)),0)/1000000</f>
        <v>263.10399999999998</v>
      </c>
      <c r="N38" s="6">
        <f>+IFERROR(VLOOKUP(A38,[4]OECD_COUNTERDI_INCOME!A:B,2,0),0)</f>
        <v>66.489999999999995</v>
      </c>
      <c r="O38" s="6">
        <f t="shared" si="1"/>
        <v>309.830385089</v>
      </c>
      <c r="P38" s="118">
        <f>+-IFERROR(IF(VLOOKUP(TableB10!$A38,[4]totaldisc_DO_less_DI!$A:$B,2,0)&lt;0,VLOOKUP(TableB10!$A38,[4]totaldisc_DO_less_DI!$A:$B,2,0),0),0)</f>
        <v>20.3</v>
      </c>
    </row>
    <row r="39" spans="1:16" ht="14.25" customHeight="1">
      <c r="A39" s="1" t="s">
        <v>744</v>
      </c>
      <c r="B39" s="117" t="s">
        <v>30</v>
      </c>
      <c r="C39" s="5">
        <f>IFERROR(IF(VLOOKUP($B39,'[4]OECD.Stat export'!$A:$S,14,0)="..",VLOOKUP($B39,'[4]OECD.Stat export'!$A:$S,18,0), VLOOKUP($B39,'[4]OECD.Stat export'!$A:$S,14,0)),D39)</f>
        <v>32175.081159745001</v>
      </c>
      <c r="D39" s="6">
        <f>+IFERROR(IFERROR(VLOOKUP($A39,[4]IMF_fdi_credit_debitinc!$A:$C,3,0),VLOOKUP($B39,[4]IMF_fdi_credit_debitinc!$A:$C,3,0)),0)/1000000</f>
        <v>27321.4</v>
      </c>
      <c r="E39" s="6">
        <f>+VLOOKUP(A39,[4]OECD_COUNTERDO_INCOME!A:B,2,0)</f>
        <v>24967.314999999999</v>
      </c>
      <c r="F39" s="6">
        <f t="shared" si="2"/>
        <v>7207.7661597450024</v>
      </c>
      <c r="G39" s="7"/>
      <c r="H39" s="6"/>
      <c r="I39" s="6"/>
      <c r="J39" s="6"/>
      <c r="K39" s="6"/>
      <c r="L39" s="5">
        <f>IFERROR(IF(VLOOKUP($B39,'[4]OECD.Stat export'!$A:$S,15,0)="..",VLOOKUP($B39,'[4]OECD.Stat export'!$A:$S,19,0), VLOOKUP($B39,'[4]OECD.Stat export'!$A:$S,15,0)),M39)</f>
        <v>42329.564535990001</v>
      </c>
      <c r="M39" s="6">
        <f>+IFERROR(IFERROR(VLOOKUP($A39,[4]IMF_fdi_credit_debitinc!$A:$C,2,0),VLOOKUP($B39,[4]IMF_fdi_credit_debitinc!$A:$C,2,0)),0)/1000000</f>
        <v>37318.9</v>
      </c>
      <c r="N39" s="6">
        <f>+IFERROR(VLOOKUP(A39,[4]OECD_COUNTERDI_INCOME!A:B,2,0),0)</f>
        <v>10247.888000000001</v>
      </c>
      <c r="O39" s="6">
        <f t="shared" si="1"/>
        <v>32081.676535990002</v>
      </c>
      <c r="P39" s="118">
        <f>+-IFERROR(IF(VLOOKUP(TableB10!$A39,[4]totaldisc_DO_less_DI!$A:$B,2,0)&lt;0,VLOOKUP(TableB10!$A39,[4]totaldisc_DO_less_DI!$A:$B,2,0),0),0)</f>
        <v>0</v>
      </c>
    </row>
    <row r="40" spans="1:16" ht="14.25" customHeight="1">
      <c r="A40" s="1" t="s">
        <v>745</v>
      </c>
      <c r="B40" s="117" t="s">
        <v>100</v>
      </c>
      <c r="C40" s="5">
        <f>IFERROR(IF(VLOOKUP($B40,'[4]OECD.Stat export'!$A:$S,14,0)="..",VLOOKUP($B40,'[4]OECD.Stat export'!$A:$S,18,0), VLOOKUP($B40,'[4]OECD.Stat export'!$A:$S,14,0)),D40)</f>
        <v>23558.307511711999</v>
      </c>
      <c r="D40" s="6">
        <f>+IFERROR(IFERROR(VLOOKUP($A40,[4]IMF_fdi_credit_debitinc!$A:$C,3,0),VLOOKUP($B40,[4]IMF_fdi_credit_debitinc!$A:$C,3,0)),0)/1000000</f>
        <v>23021.5</v>
      </c>
      <c r="E40" s="6">
        <f>+VLOOKUP(A40,[4]OECD_COUNTERDO_INCOME!A:B,2,0)</f>
        <v>18838.214</v>
      </c>
      <c r="F40" s="6">
        <f t="shared" si="2"/>
        <v>4720.0935117119989</v>
      </c>
      <c r="G40" s="7"/>
      <c r="H40" s="6"/>
      <c r="I40" s="6"/>
      <c r="J40" s="6"/>
      <c r="K40" s="6"/>
      <c r="L40" s="5">
        <f>IFERROR(IF(VLOOKUP($B40,'[4]OECD.Stat export'!$A:$S,15,0)="..",VLOOKUP($B40,'[4]OECD.Stat export'!$A:$S,19,0), VLOOKUP($B40,'[4]OECD.Stat export'!$A:$S,15,0)),M40)</f>
        <v>34513.478357428001</v>
      </c>
      <c r="M40" s="6">
        <f>+IFERROR(IFERROR(VLOOKUP($A40,[4]IMF_fdi_credit_debitinc!$A:$C,2,0),VLOOKUP($B40,[4]IMF_fdi_credit_debitinc!$A:$C,2,0)),0)/1000000</f>
        <v>31927.7</v>
      </c>
      <c r="N40" s="6">
        <f>+IFERROR(VLOOKUP(A40,[4]OECD_COUNTERDI_INCOME!A:B,2,0),0)</f>
        <v>20786.671999999999</v>
      </c>
      <c r="O40" s="6">
        <f t="shared" si="1"/>
        <v>13726.806357428002</v>
      </c>
      <c r="P40" s="118">
        <f>+-IFERROR(IF(VLOOKUP(TableB10!$A40,[4]totaldisc_DO_less_DI!$A:$B,2,0)&lt;0,VLOOKUP(TableB10!$A40,[4]totaldisc_DO_less_DI!$A:$B,2,0),0),0)</f>
        <v>0</v>
      </c>
    </row>
    <row r="41" spans="1:16" ht="14.25" customHeight="1">
      <c r="A41" s="1" t="s">
        <v>746</v>
      </c>
      <c r="B41" s="117" t="s">
        <v>21</v>
      </c>
      <c r="C41" s="5">
        <f>IFERROR(IF(VLOOKUP($B41,'[4]OECD.Stat export'!$A:$S,14,0)="..",VLOOKUP($B41,'[4]OECD.Stat export'!$A:$S,18,0), VLOOKUP($B41,'[4]OECD.Stat export'!$A:$S,14,0)),D41)</f>
        <v>109623.79556812</v>
      </c>
      <c r="D41" s="6">
        <f>+IFERROR(IFERROR(VLOOKUP($A41,[4]IMF_fdi_credit_debitinc!$A:$C,3,0),VLOOKUP($B41,[4]IMF_fdi_credit_debitinc!$A:$C,3,0)),0)/1000000</f>
        <v>69644.3</v>
      </c>
      <c r="E41" s="6">
        <f>+VLOOKUP(A41,[4]OECD_COUNTERDO_INCOME!A:B,2,0)</f>
        <v>85764.168999999994</v>
      </c>
      <c r="F41" s="6">
        <f t="shared" si="2"/>
        <v>23859.626568120002</v>
      </c>
      <c r="G41" s="7"/>
      <c r="H41" s="6"/>
      <c r="I41" s="6"/>
      <c r="J41" s="6"/>
      <c r="K41" s="6"/>
      <c r="L41" s="5">
        <f>IFERROR(IF(VLOOKUP($B41,'[4]OECD.Stat export'!$A:$S,15,0)="..",VLOOKUP($B41,'[4]OECD.Stat export'!$A:$S,19,0), VLOOKUP($B41,'[4]OECD.Stat export'!$A:$S,15,0)),M41)</f>
        <v>105855.53190461</v>
      </c>
      <c r="M41" s="6">
        <f>+IFERROR(IFERROR(VLOOKUP($A41,[4]IMF_fdi_credit_debitinc!$A:$C,2,0),VLOOKUP($B41,[4]IMF_fdi_credit_debitinc!$A:$C,2,0)),0)/1000000</f>
        <v>99232.5</v>
      </c>
      <c r="N41" s="6">
        <f>+IFERROR(VLOOKUP(A41,[4]OECD_COUNTERDI_INCOME!A:B,2,0),0)</f>
        <v>71121.652000000002</v>
      </c>
      <c r="O41" s="6">
        <f t="shared" si="1"/>
        <v>34733.879904610003</v>
      </c>
      <c r="P41" s="118">
        <f>+-IFERROR(IF(VLOOKUP(TableB10!$A41,[4]totaldisc_DO_less_DI!$A:$B,2,0)&lt;0,VLOOKUP(TableB10!$A41,[4]totaldisc_DO_less_DI!$A:$B,2,0),0),0)</f>
        <v>0</v>
      </c>
    </row>
    <row r="42" spans="1:16" ht="14.25" customHeight="1">
      <c r="A42" s="1" t="s">
        <v>747</v>
      </c>
      <c r="B42" s="117" t="s">
        <v>44</v>
      </c>
      <c r="C42" s="5">
        <f>IFERROR(IF(VLOOKUP($B42,'[4]OECD.Stat export'!$A:$S,14,0)="..",VLOOKUP($B42,'[4]OECD.Stat export'!$A:$S,18,0), VLOOKUP($B42,'[4]OECD.Stat export'!$A:$S,14,0)),D42)</f>
        <v>3470.8</v>
      </c>
      <c r="D42" s="6">
        <f>+IFERROR(IFERROR(VLOOKUP($A42,[4]IMF_fdi_credit_debitinc!$A:$C,3,0),VLOOKUP($B42,[4]IMF_fdi_credit_debitinc!$A:$C,3,0)),0)/1000000</f>
        <v>3247</v>
      </c>
      <c r="E42" s="6">
        <f>+VLOOKUP(A42,[4]OECD_COUNTERDO_INCOME!A:B,2,0)</f>
        <v>5384.549</v>
      </c>
      <c r="F42" s="6">
        <f t="shared" si="2"/>
        <v>-1913.7489999999998</v>
      </c>
      <c r="G42" s="7"/>
      <c r="H42" s="6"/>
      <c r="I42" s="6"/>
      <c r="J42" s="6"/>
      <c r="K42" s="6"/>
      <c r="L42" s="5">
        <f>IFERROR(IF(VLOOKUP($B42,'[4]OECD.Stat export'!$A:$S,15,0)="..",VLOOKUP($B42,'[4]OECD.Stat export'!$A:$S,19,0), VLOOKUP($B42,'[4]OECD.Stat export'!$A:$S,15,0)),M42)</f>
        <v>813.95</v>
      </c>
      <c r="M42" s="6">
        <f>+IFERROR(IFERROR(VLOOKUP($A42,[4]IMF_fdi_credit_debitinc!$A:$C,2,0),VLOOKUP($B42,[4]IMF_fdi_credit_debitinc!$A:$C,2,0)),0)/1000000</f>
        <v>823</v>
      </c>
      <c r="N42" s="6">
        <f>+IFERROR(VLOOKUP(A42,[4]OECD_COUNTERDI_INCOME!A:B,2,0),0)</f>
        <v>172.57</v>
      </c>
      <c r="O42" s="6">
        <f t="shared" si="1"/>
        <v>641.38000000000011</v>
      </c>
      <c r="P42" s="118">
        <f>+-IFERROR(IF(VLOOKUP(TableB10!$A42,[4]totaldisc_DO_less_DI!$A:$B,2,0)&lt;0,VLOOKUP(TableB10!$A42,[4]totaldisc_DO_less_DI!$A:$B,2,0),0),0)</f>
        <v>0</v>
      </c>
    </row>
    <row r="43" spans="1:16" ht="14.25" customHeight="1">
      <c r="A43" s="1" t="s">
        <v>748</v>
      </c>
      <c r="B43" s="117" t="s">
        <v>28</v>
      </c>
      <c r="C43" s="5">
        <f>IFERROR(IF(VLOOKUP($B43,'[4]OECD.Stat export'!$A:$S,14,0)="..",VLOOKUP($B43,'[4]OECD.Stat export'!$A:$S,18,0), VLOOKUP($B43,'[4]OECD.Stat export'!$A:$S,14,0)),D43)</f>
        <v>55925.216947421999</v>
      </c>
      <c r="D43" s="6">
        <f>+IFERROR(IFERROR(VLOOKUP($A43,[4]IMF_fdi_credit_debitinc!$A:$C,3,0),VLOOKUP($B43,[4]IMF_fdi_credit_debitinc!$A:$C,3,0)),0)/1000000</f>
        <v>83413.399999999994</v>
      </c>
      <c r="E43" s="6">
        <f>+VLOOKUP(A43,[4]OECD_COUNTERDO_INCOME!A:B,2,0)</f>
        <v>140379.68100000001</v>
      </c>
      <c r="F43" s="6">
        <f t="shared" si="2"/>
        <v>-84454.464052578012</v>
      </c>
      <c r="G43" s="7"/>
      <c r="H43" s="6"/>
      <c r="I43" s="6"/>
      <c r="J43" s="6"/>
      <c r="K43" s="6"/>
      <c r="L43" s="5">
        <f>IFERROR(IF(VLOOKUP($B43,'[4]OECD.Stat export'!$A:$S,15,0)="..",VLOOKUP($B43,'[4]OECD.Stat export'!$A:$S,19,0), VLOOKUP($B43,'[4]OECD.Stat export'!$A:$S,15,0)),M43)</f>
        <v>117344.30832056999</v>
      </c>
      <c r="M43" s="6">
        <f>+IFERROR(IFERROR(VLOOKUP($A43,[4]IMF_fdi_credit_debitinc!$A:$C,2,0),VLOOKUP($B43,[4]IMF_fdi_credit_debitinc!$A:$C,2,0)),0)/1000000</f>
        <v>121172</v>
      </c>
      <c r="N43" s="6">
        <f>+IFERROR(VLOOKUP(A43,[4]OECD_COUNTERDI_INCOME!A:B,2,0),0)</f>
        <v>80390.956999999995</v>
      </c>
      <c r="O43" s="6">
        <f t="shared" si="1"/>
        <v>36953.35132057</v>
      </c>
      <c r="P43" s="118">
        <f>+-IFERROR(IF(VLOOKUP(TableB10!$A43,[4]totaldisc_DO_less_DI!$A:$B,2,0)&lt;0,VLOOKUP(TableB10!$A43,[4]totaldisc_DO_less_DI!$A:$B,2,0),0),0)</f>
        <v>15845.5</v>
      </c>
    </row>
    <row r="44" spans="1:16" ht="14.25" customHeight="1">
      <c r="A44" s="1" t="s">
        <v>749</v>
      </c>
      <c r="B44" s="117" t="s">
        <v>11</v>
      </c>
      <c r="C44" s="5">
        <f>IFERROR(IF(VLOOKUP($B44,'[4]OECD.Stat export'!$A:$S,14,0)="..",VLOOKUP($B44,'[4]OECD.Stat export'!$A:$S,18,0), VLOOKUP($B44,'[4]OECD.Stat export'!$A:$S,14,0)),D44)</f>
        <v>210804</v>
      </c>
      <c r="D44" s="6">
        <f>+IFERROR(IFERROR(VLOOKUP($A44,[4]IMF_fdi_credit_debitinc!$A:$C,3,0),VLOOKUP($B44,[4]IMF_fdi_credit_debitinc!$A:$C,3,0)),0)/1000000</f>
        <v>245769</v>
      </c>
      <c r="E44" s="6">
        <f>+VLOOKUP(A44,[4]OECD_COUNTERDO_INCOME!A:B,2,0)</f>
        <v>164080.459</v>
      </c>
      <c r="F44" s="6">
        <f t="shared" si="2"/>
        <v>46723.540999999997</v>
      </c>
      <c r="G44" s="7"/>
      <c r="H44" s="6"/>
      <c r="I44" s="6"/>
      <c r="J44" s="6"/>
      <c r="K44" s="6"/>
      <c r="L44" s="5">
        <f>IFERROR(IF(VLOOKUP($B44,'[4]OECD.Stat export'!$A:$S,15,0)="..",VLOOKUP($B44,'[4]OECD.Stat export'!$A:$S,19,0), VLOOKUP($B44,'[4]OECD.Stat export'!$A:$S,15,0)),M44)</f>
        <v>563643</v>
      </c>
      <c r="M44" s="6">
        <f>+IFERROR(IFERROR(VLOOKUP($A44,[4]IMF_fdi_credit_debitinc!$A:$C,2,0),VLOOKUP($B44,[4]IMF_fdi_credit_debitinc!$A:$C,2,0)),0)/1000000</f>
        <v>579987</v>
      </c>
      <c r="N44" s="6">
        <f>+IFERROR(VLOOKUP(A44,[4]OECD_COUNTERDI_INCOME!A:B,2,0),0)</f>
        <v>140250.91899999999</v>
      </c>
      <c r="O44" s="6">
        <f t="shared" si="1"/>
        <v>423392.08100000001</v>
      </c>
      <c r="P44" s="118">
        <f>+-IFERROR(IF(VLOOKUP(TableB10!$A44,[4]totaldisc_DO_less_DI!$A:$B,2,0)&lt;0,VLOOKUP(TableB10!$A44,[4]totaldisc_DO_less_DI!$A:$B,2,0),0),0)</f>
        <v>0</v>
      </c>
    </row>
    <row r="45" spans="1:16" ht="40" customHeight="1">
      <c r="B45" s="119" t="s">
        <v>77</v>
      </c>
      <c r="C45" s="8">
        <f>SUM(C46:C52)</f>
        <v>340968.66382451495</v>
      </c>
      <c r="D45" s="9">
        <f t="shared" ref="D45:P45" si="3">SUM(D46:D52)</f>
        <v>340031.86382451496</v>
      </c>
      <c r="E45" s="9">
        <f t="shared" si="3"/>
        <v>117839.32099999998</v>
      </c>
      <c r="F45" s="9">
        <f t="shared" si="3"/>
        <v>223129.34282451496</v>
      </c>
      <c r="G45" s="10">
        <f t="shared" si="3"/>
        <v>0</v>
      </c>
      <c r="H45" s="9"/>
      <c r="I45" s="9"/>
      <c r="J45" s="9">
        <f t="shared" si="3"/>
        <v>0</v>
      </c>
      <c r="K45" s="9">
        <f t="shared" si="3"/>
        <v>0</v>
      </c>
      <c r="L45" s="8">
        <f t="shared" si="3"/>
        <v>179926.39849683503</v>
      </c>
      <c r="M45" s="9">
        <f t="shared" si="3"/>
        <v>180931.19849683502</v>
      </c>
      <c r="N45" s="9">
        <f t="shared" si="3"/>
        <v>5245.0289999999995</v>
      </c>
      <c r="O45" s="9">
        <f t="shared" si="3"/>
        <v>174681.36949683499</v>
      </c>
      <c r="P45" s="120">
        <f t="shared" si="3"/>
        <v>0</v>
      </c>
    </row>
    <row r="46" spans="1:16" ht="14.25" customHeight="1">
      <c r="A46" s="1" t="s">
        <v>750</v>
      </c>
      <c r="B46" s="117" t="s">
        <v>37</v>
      </c>
      <c r="C46" s="5">
        <f>IFERROR(IF(VLOOKUP($B46,'[4]OECD.Stat export'!$A:$S,14,0)="..",VLOOKUP($B46,'[4]OECD.Stat export'!$A:$S,18,0), VLOOKUP($B46,'[4]OECD.Stat export'!$A:$S,14,0)),D46)</f>
        <v>54051</v>
      </c>
      <c r="D46" s="6">
        <f>+IFERROR(IFERROR(VLOOKUP($A46,[4]IMF_fdi_credit_debitinc!$A:$C,3,0),VLOOKUP($B46,[4]IMF_fdi_credit_debitinc!$A:$C,3,0)),0)/1000000</f>
        <v>53114.2</v>
      </c>
      <c r="E46" s="6">
        <f>+VLOOKUP(A46,[4]OECD_COUNTERDO_INCOME!A:B,2,0)</f>
        <v>19053.111000000001</v>
      </c>
      <c r="F46" s="6">
        <f t="shared" ref="F46:F52" si="4">+C46-E46</f>
        <v>34997.888999999996</v>
      </c>
      <c r="G46" s="7"/>
      <c r="H46" s="6"/>
      <c r="I46" s="6"/>
      <c r="J46" s="6"/>
      <c r="K46" s="6"/>
      <c r="L46" s="5">
        <f>IFERROR(IF(VLOOKUP($B46,'[4]OECD.Stat export'!$A:$S,15,0)="..",VLOOKUP($B46,'[4]OECD.Stat export'!$A:$S,19,0), VLOOKUP($B46,'[4]OECD.Stat export'!$A:$S,15,0)),M46)</f>
        <v>16071</v>
      </c>
      <c r="M46" s="6">
        <f>+IFERROR(IFERROR(VLOOKUP($A46,[4]IMF_fdi_credit_debitinc!$A:$C,2,0),VLOOKUP($B46,[4]IMF_fdi_credit_debitinc!$A:$C,2,0)),0)/1000000</f>
        <v>17075.8</v>
      </c>
      <c r="N46" s="6">
        <f>+IFERROR(VLOOKUP(A46,[4]OECD_COUNTERDI_INCOME!A:B,2,0),0)</f>
        <v>-1444.972</v>
      </c>
      <c r="O46" s="6">
        <f t="shared" ref="O46:O52" si="5">+L46-N46</f>
        <v>17515.972000000002</v>
      </c>
      <c r="P46" s="118"/>
    </row>
    <row r="47" spans="1:16" ht="14.25" customHeight="1">
      <c r="A47" s="1" t="s">
        <v>120</v>
      </c>
      <c r="B47" s="117" t="s">
        <v>47</v>
      </c>
      <c r="C47" s="5">
        <f>IFERROR(IF(VLOOKUP($B47,'[4]OECD.Stat export'!$A:$S,14,0)="..",VLOOKUP($B47,'[4]OECD.Stat export'!$A:$S,18,0), VLOOKUP($B47,'[4]OECD.Stat export'!$A:$S,14,0)),D47)</f>
        <v>174172.183824515</v>
      </c>
      <c r="D47" s="667">
        <f>-'[2]annual(USD)'!$BT$62*100*0.5</f>
        <v>174172.183824515</v>
      </c>
      <c r="E47" s="6">
        <f>+VLOOKUP(A47,[4]OECD_COUNTERDO_INCOME!A:B,2,0)</f>
        <v>62324.23</v>
      </c>
      <c r="F47" s="6">
        <f t="shared" si="4"/>
        <v>111847.95382451499</v>
      </c>
      <c r="G47" s="7"/>
      <c r="H47" s="6"/>
      <c r="I47" s="6"/>
      <c r="J47" s="6"/>
      <c r="K47" s="6"/>
      <c r="L47" s="5">
        <f>IFERROR(IF(VLOOKUP($B47,'[4]OECD.Stat export'!$A:$S,15,0)="..",VLOOKUP($B47,'[4]OECD.Stat export'!$A:$S,19,0), VLOOKUP($B47,'[4]OECD.Stat export'!$A:$S,15,0)),M47)</f>
        <v>113970.627496835</v>
      </c>
      <c r="M47" s="667">
        <f>'[2]annual(USD)'!$BT$61*100*0.5</f>
        <v>113970.627496835</v>
      </c>
      <c r="N47" s="6">
        <f>+IFERROR(VLOOKUP(A47,[4]OECD_COUNTERDI_INCOME!A:B,2,0),0)</f>
        <v>4885.5709999999999</v>
      </c>
      <c r="O47" s="6">
        <f t="shared" si="5"/>
        <v>109085.05649683501</v>
      </c>
      <c r="P47" s="118"/>
    </row>
    <row r="48" spans="1:16" ht="14.25" customHeight="1">
      <c r="A48" s="1" t="s">
        <v>751</v>
      </c>
      <c r="B48" s="117" t="s">
        <v>121</v>
      </c>
      <c r="C48" s="5">
        <f>IFERROR(IF(VLOOKUP($B48,'[4]OECD.Stat export'!$A:$S,14,0)="..",VLOOKUP($B48,'[4]OECD.Stat export'!$A:$S,18,0), VLOOKUP($B48,'[4]OECD.Stat export'!$A:$S,14,0)),D48)</f>
        <v>9784.44</v>
      </c>
      <c r="D48" s="6">
        <f>+IFERROR(IFERROR(VLOOKUP($A48,[4]IMF_fdi_credit_debitinc!$A:$C,3,0),VLOOKUP($B48,[4]IMF_fdi_credit_debitinc!$A:$C,3,0)),0)/1000000</f>
        <v>9784.44</v>
      </c>
      <c r="E48" s="6">
        <f>+VLOOKUP(A48,[4]OECD_COUNTERDO_INCOME!A:B,2,0)</f>
        <v>1914.761</v>
      </c>
      <c r="F48" s="6">
        <f t="shared" si="4"/>
        <v>7869.6790000000001</v>
      </c>
      <c r="G48" s="7"/>
      <c r="H48" s="6"/>
      <c r="I48" s="6"/>
      <c r="J48" s="6"/>
      <c r="K48" s="6"/>
      <c r="L48" s="5">
        <f>IFERROR(IF(VLOOKUP($B48,'[4]OECD.Stat export'!$A:$S,15,0)="..",VLOOKUP($B48,'[4]OECD.Stat export'!$A:$S,19,0), VLOOKUP($B48,'[4]OECD.Stat export'!$A:$S,15,0)),M48)</f>
        <v>4514.78</v>
      </c>
      <c r="M48" s="6">
        <f>+IFERROR(IFERROR(VLOOKUP($A48,[4]IMF_fdi_credit_debitinc!$A:$C,2,0),VLOOKUP($B48,[4]IMF_fdi_credit_debitinc!$A:$C,2,0)),0)/1000000</f>
        <v>4514.78</v>
      </c>
      <c r="N48" s="6">
        <f>+IFERROR(VLOOKUP(A48,[4]OECD_COUNTERDI_INCOME!A:B,2,0),0)</f>
        <v>45.655999999999999</v>
      </c>
      <c r="O48" s="6">
        <f t="shared" si="5"/>
        <v>4469.1239999999998</v>
      </c>
      <c r="P48" s="118"/>
    </row>
    <row r="49" spans="1:16" ht="14.25" customHeight="1">
      <c r="A49" s="1" t="s">
        <v>752</v>
      </c>
      <c r="B49" s="117" t="s">
        <v>122</v>
      </c>
      <c r="C49" s="5">
        <f>IFERROR(IF(VLOOKUP($B49,'[4]OECD.Stat export'!$A:$S,14,0)="..",VLOOKUP($B49,'[4]OECD.Stat export'!$A:$S,18,0), VLOOKUP($B49,'[4]OECD.Stat export'!$A:$S,14,0)),D49)</f>
        <v>3023.94</v>
      </c>
      <c r="D49" s="6">
        <f>+IFERROR(IFERROR(VLOOKUP($A49,[4]IMF_fdi_credit_debitinc!$A:$C,3,0),VLOOKUP($B49,[4]IMF_fdi_credit_debitinc!$A:$C,3,0)),0)/1000000</f>
        <v>3023.94</v>
      </c>
      <c r="E49" s="6">
        <f>+VLOOKUP(A49,[4]OECD_COUNTERDO_INCOME!A:B,2,0)</f>
        <v>401.80900000000003</v>
      </c>
      <c r="F49" s="6">
        <f t="shared" si="4"/>
        <v>2622.1309999999999</v>
      </c>
      <c r="G49" s="7"/>
      <c r="H49" s="6"/>
      <c r="I49" s="6"/>
      <c r="J49" s="6"/>
      <c r="K49" s="6"/>
      <c r="L49" s="5">
        <f>IFERROR(IF(VLOOKUP($B49,'[4]OECD.Stat export'!$A:$S,15,0)="..",VLOOKUP($B49,'[4]OECD.Stat export'!$A:$S,19,0), VLOOKUP($B49,'[4]OECD.Stat export'!$A:$S,15,0)),M49)</f>
        <v>135.161</v>
      </c>
      <c r="M49" s="6">
        <f>+IFERROR(IFERROR(VLOOKUP($A49,[4]IMF_fdi_credit_debitinc!$A:$C,2,0),VLOOKUP($B49,[4]IMF_fdi_credit_debitinc!$A:$C,2,0)),0)/1000000</f>
        <v>135.161</v>
      </c>
      <c r="N49" s="6">
        <f>+IFERROR(VLOOKUP(A49,[4]OECD_COUNTERDI_INCOME!A:B,2,0),0)</f>
        <v>139.80000000000001</v>
      </c>
      <c r="O49" s="6">
        <f t="shared" si="5"/>
        <v>-4.63900000000001</v>
      </c>
      <c r="P49" s="118"/>
    </row>
    <row r="50" spans="1:16" ht="14.25" customHeight="1">
      <c r="A50" s="1" t="s">
        <v>753</v>
      </c>
      <c r="B50" s="117" t="s">
        <v>45</v>
      </c>
      <c r="C50" s="5">
        <f>IFERROR(IF(VLOOKUP($B50,'[4]OECD.Stat export'!$A:$S,14,0)="..",VLOOKUP($B50,'[4]OECD.Stat export'!$A:$S,18,0), VLOOKUP($B50,'[4]OECD.Stat export'!$A:$S,14,0)),D50)</f>
        <v>22314</v>
      </c>
      <c r="D50" s="6">
        <f>+IFERROR(IFERROR(VLOOKUP($A50,[4]IMF_fdi_credit_debitinc!$A:$C,3,0),VLOOKUP($B50,[4]IMF_fdi_credit_debitinc!$A:$C,3,0)),0)/1000000</f>
        <v>22314</v>
      </c>
      <c r="E50" s="6">
        <f>+VLOOKUP(A50,[4]OECD_COUNTERDO_INCOME!A:B,2,0)</f>
        <v>11777.518</v>
      </c>
      <c r="F50" s="6">
        <f t="shared" si="4"/>
        <v>10536.482</v>
      </c>
      <c r="G50" s="7"/>
      <c r="H50" s="6"/>
      <c r="I50" s="6"/>
      <c r="J50" s="6"/>
      <c r="K50" s="6"/>
      <c r="L50" s="5">
        <f>IFERROR(IF(VLOOKUP($B50,'[4]OECD.Stat export'!$A:$S,15,0)="..",VLOOKUP($B50,'[4]OECD.Stat export'!$A:$S,19,0), VLOOKUP($B50,'[4]OECD.Stat export'!$A:$S,15,0)),M50)</f>
        <v>6151.2</v>
      </c>
      <c r="M50" s="6">
        <f>+IFERROR(IFERROR(VLOOKUP($A50,[4]IMF_fdi_credit_debitinc!$A:$C,2,0),VLOOKUP($B50,[4]IMF_fdi_credit_debitinc!$A:$C,2,0)),0)/1000000</f>
        <v>6151.2</v>
      </c>
      <c r="N50" s="6">
        <f>+IFERROR(VLOOKUP(A50,[4]OECD_COUNTERDI_INCOME!A:B,2,0),0)</f>
        <v>-307.30200000000002</v>
      </c>
      <c r="O50" s="6">
        <f t="shared" si="5"/>
        <v>6458.5019999999995</v>
      </c>
      <c r="P50" s="118"/>
    </row>
    <row r="51" spans="1:16" ht="14.25" customHeight="1">
      <c r="A51" s="1" t="s">
        <v>123</v>
      </c>
      <c r="B51" s="121" t="s">
        <v>172</v>
      </c>
      <c r="C51" s="5">
        <f>IFERROR(IF(VLOOKUP($B51,'[4]OECD.Stat export'!$A:$S,14,0)="..",VLOOKUP($B51,'[4]OECD.Stat export'!$A:$S,18,0), VLOOKUP($B51,'[4]OECD.Stat export'!$A:$S,14,0)),D51)</f>
        <v>71008</v>
      </c>
      <c r="D51" s="6">
        <f>+IFERROR(IFERROR(VLOOKUP($A51,[4]IMF_fdi_credit_debitinc!$A:$C,3,0),VLOOKUP($B51,[4]IMF_fdi_credit_debitinc!$A:$C,3,0)),0)/1000000</f>
        <v>71008</v>
      </c>
      <c r="E51" s="6">
        <f>+VLOOKUP(A51,[4]OECD_COUNTERDO_INCOME!A:B,2,0)</f>
        <v>19393.347000000002</v>
      </c>
      <c r="F51" s="6">
        <f t="shared" si="4"/>
        <v>51614.652999999998</v>
      </c>
      <c r="G51" s="7"/>
      <c r="H51" s="6"/>
      <c r="I51" s="6"/>
      <c r="J51" s="6"/>
      <c r="K51" s="6"/>
      <c r="L51" s="5">
        <f>IFERROR(IF(VLOOKUP($B51,'[4]OECD.Stat export'!$A:$S,15,0)="..",VLOOKUP($B51,'[4]OECD.Stat export'!$A:$S,19,0), VLOOKUP($B51,'[4]OECD.Stat export'!$A:$S,15,0)),M51)</f>
        <v>35506</v>
      </c>
      <c r="M51" s="6">
        <f>+IFERROR(IFERROR(VLOOKUP($A51,[4]IMF_fdi_credit_debitinc!$A:$C,2,0),VLOOKUP($B51,[4]IMF_fdi_credit_debitinc!$A:$C,2,0)),0)/1000000</f>
        <v>35506</v>
      </c>
      <c r="N51" s="6">
        <f>+IFERROR(VLOOKUP(A51,[4]OECD_COUNTERDI_INCOME!A:B,2,0),0)</f>
        <v>1288.309</v>
      </c>
      <c r="O51" s="6">
        <f t="shared" si="5"/>
        <v>34217.690999999999</v>
      </c>
      <c r="P51" s="118"/>
    </row>
    <row r="52" spans="1:16" ht="14.25" customHeight="1">
      <c r="A52" s="1" t="s">
        <v>754</v>
      </c>
      <c r="B52" s="117" t="s">
        <v>39</v>
      </c>
      <c r="C52" s="5">
        <f>IFERROR(IF(VLOOKUP($B52,'[4]OECD.Stat export'!$A:$S,14,0)="..",VLOOKUP($B52,'[4]OECD.Stat export'!$A:$S,18,0), VLOOKUP($B52,'[4]OECD.Stat export'!$A:$S,14,0)),D52)</f>
        <v>6615.1</v>
      </c>
      <c r="D52" s="6">
        <f>+IFERROR(IFERROR(VLOOKUP($A52,[4]IMF_fdi_credit_debitinc!$A:$C,3,0),VLOOKUP($B52,[4]IMF_fdi_credit_debitinc!$A:$C,3,0)),0)/1000000</f>
        <v>6615.1</v>
      </c>
      <c r="E52" s="6">
        <f>+VLOOKUP(A52,[4]OECD_COUNTERDO_INCOME!A:B,2,0)</f>
        <v>2974.5450000000001</v>
      </c>
      <c r="F52" s="6">
        <f t="shared" si="4"/>
        <v>3640.5550000000003</v>
      </c>
      <c r="G52" s="7"/>
      <c r="H52" s="6"/>
      <c r="I52" s="6"/>
      <c r="J52" s="6"/>
      <c r="K52" s="6"/>
      <c r="L52" s="5">
        <f>IFERROR(IF(VLOOKUP($B52,'[4]OECD.Stat export'!$A:$S,15,0)="..",VLOOKUP($B52,'[4]OECD.Stat export'!$A:$S,19,0), VLOOKUP($B52,'[4]OECD.Stat export'!$A:$S,15,0)),M52)</f>
        <v>3577.63</v>
      </c>
      <c r="M52" s="6">
        <f>+IFERROR(IFERROR(VLOOKUP($A52,[4]IMF_fdi_credit_debitinc!$A:$C,2,0),VLOOKUP($B52,[4]IMF_fdi_credit_debitinc!$A:$C,2,0)),0)/1000000</f>
        <v>3577.63</v>
      </c>
      <c r="N52" s="6">
        <f>+IFERROR(VLOOKUP(A52,[4]OECD_COUNTERDI_INCOME!A:B,2,0),0)</f>
        <v>637.96699999999998</v>
      </c>
      <c r="O52" s="6">
        <f t="shared" si="5"/>
        <v>2939.663</v>
      </c>
      <c r="P52" s="118"/>
    </row>
    <row r="53" spans="1:16" ht="40" customHeight="1">
      <c r="B53" s="54" t="s">
        <v>124</v>
      </c>
      <c r="C53" s="8">
        <f>SUM(C54:C89)</f>
        <v>312520.57483332301</v>
      </c>
      <c r="D53" s="9">
        <f t="shared" ref="D53:P53" si="6">SUM(D54:D89)</f>
        <v>312520.57483332301</v>
      </c>
      <c r="E53" s="9">
        <f t="shared" si="6"/>
        <v>220765.07699999993</v>
      </c>
      <c r="F53" s="9">
        <f t="shared" si="6"/>
        <v>91755.49783332301</v>
      </c>
      <c r="G53" s="10">
        <f t="shared" si="6"/>
        <v>112215.40802591451</v>
      </c>
      <c r="H53" s="9"/>
      <c r="I53" s="9"/>
      <c r="J53" s="9">
        <f t="shared" si="6"/>
        <v>60834.556230574606</v>
      </c>
      <c r="K53" s="9">
        <f t="shared" si="6"/>
        <v>112432.38125255443</v>
      </c>
      <c r="L53" s="8">
        <f t="shared" si="6"/>
        <v>236760.56566928414</v>
      </c>
      <c r="M53" s="9">
        <f>SUM(M54:M89)</f>
        <v>236760.56566928414</v>
      </c>
      <c r="N53" s="9">
        <f t="shared" si="6"/>
        <v>78832.11500000002</v>
      </c>
      <c r="O53" s="9">
        <f t="shared" si="6"/>
        <v>157928.45066928412</v>
      </c>
      <c r="P53" s="122">
        <f t="shared" si="6"/>
        <v>53740.615570207505</v>
      </c>
    </row>
    <row r="54" spans="1:16" ht="14.25" customHeight="1">
      <c r="A54" s="1" t="s">
        <v>125</v>
      </c>
      <c r="B54" s="117" t="s">
        <v>173</v>
      </c>
      <c r="C54" s="5">
        <f t="shared" ref="C54:C89" si="7">+D54</f>
        <v>0</v>
      </c>
      <c r="D54" s="6">
        <f>+IFERROR(IFERROR(VLOOKUP($A54,[4]IMF_fdi_credit_debitinc!$A:$C,3,0),VLOOKUP($B54,[4]IMF_fdi_credit_debitinc!$A:$C,3,0)),0)/1000000</f>
        <v>0</v>
      </c>
      <c r="E54" s="6">
        <f>+IFERROR(VLOOKUP(A54,[4]OECD_COUNTERDO_INCOME!A:B,2,0),0)</f>
        <v>17.916</v>
      </c>
      <c r="F54" s="6">
        <f t="shared" ref="F54:F79" si="8">+C54-E54</f>
        <v>-17.916</v>
      </c>
      <c r="G54" s="7">
        <f>IF(F54&lt;0,-F54,0)</f>
        <v>17.916</v>
      </c>
      <c r="H54" s="6"/>
      <c r="I54" s="6"/>
      <c r="J54" s="6"/>
      <c r="K54" s="6">
        <f>$J$223*(G54+D54+J54)/(SUM($G$54:$G$88,$D$54:$D$88)-G$64-G$66-G$87-G$84-D$64-D$66-D$87-D$84)</f>
        <v>4.750088055084289</v>
      </c>
      <c r="L54" s="5">
        <f t="shared" ref="L54:L62" si="9">+M54</f>
        <v>0</v>
      </c>
      <c r="M54" s="6">
        <f>+IFERROR(IFERROR(VLOOKUP($A54,[4]IMF_fdi_credit_debitinc!$A:$C,2,0),VLOOKUP($B54,[4]IMF_fdi_credit_debitinc!$A:$C,2,0)),0)/1000000</f>
        <v>0</v>
      </c>
      <c r="N54" s="6">
        <f>+IFERROR(VLOOKUP(A54,[4]OECD_COUNTERDI_INCOME!A:B,2,0),0)</f>
        <v>14.688000000000001</v>
      </c>
      <c r="O54" s="6">
        <f t="shared" ref="O54:O78" si="10">+L54-N54</f>
        <v>-14.688000000000001</v>
      </c>
      <c r="P54" s="118">
        <f t="shared" ref="P54:P78" si="11">IF(L54&lt;N54,-O54,0)</f>
        <v>14.688000000000001</v>
      </c>
    </row>
    <row r="55" spans="1:16" ht="14.25" customHeight="1">
      <c r="A55" s="1" t="s">
        <v>755</v>
      </c>
      <c r="B55" s="117" t="s">
        <v>174</v>
      </c>
      <c r="C55" s="5">
        <f t="shared" si="7"/>
        <v>0</v>
      </c>
      <c r="D55" s="6">
        <f>+IFERROR(IFERROR(VLOOKUP($A55,[4]IMF_fdi_credit_debitinc!$A:$C,3,0),VLOOKUP($B55,[4]IMF_fdi_credit_debitinc!$A:$C,3,0)),0)/1000000</f>
        <v>0</v>
      </c>
      <c r="E55" s="6">
        <f>+IFERROR(VLOOKUP(A55,[4]OECD_COUNTERDO_INCOME!A:B,2,0),0)</f>
        <v>-7.4870000000000001</v>
      </c>
      <c r="F55" s="6">
        <f t="shared" si="8"/>
        <v>7.4870000000000001</v>
      </c>
      <c r="G55" s="7">
        <f t="shared" ref="G55:G80" si="12">IF(F55&lt;0,-F55,0)</f>
        <v>0</v>
      </c>
      <c r="H55" s="6"/>
      <c r="I55" s="6"/>
      <c r="J55" s="6"/>
      <c r="K55" s="6">
        <f t="shared" ref="K55:K89" si="13">$J$223*(G55+D55+J55)/(SUM($G$54:$G$88,$D$54:$D$88)-G$64-G$66-G$87-G$84-D$64-D$66-D$87-D$84)</f>
        <v>0</v>
      </c>
      <c r="L55" s="5">
        <f t="shared" si="9"/>
        <v>0</v>
      </c>
      <c r="M55" s="6">
        <f>+IFERROR(IFERROR(VLOOKUP($A55,[4]IMF_fdi_credit_debitinc!$A:$C,2,0),VLOOKUP($B55,[4]IMF_fdi_credit_debitinc!$A:$C,2,0)),0)/1000000</f>
        <v>0</v>
      </c>
      <c r="N55" s="6">
        <f>+IFERROR(VLOOKUP(A55,[4]OECD_COUNTERDI_INCOME!A:B,2,0),0)</f>
        <v>1.778</v>
      </c>
      <c r="O55" s="6">
        <f t="shared" si="10"/>
        <v>-1.778</v>
      </c>
      <c r="P55" s="118">
        <f t="shared" si="11"/>
        <v>1.778</v>
      </c>
    </row>
    <row r="56" spans="1:16" ht="14.25" customHeight="1">
      <c r="A56" s="1" t="s">
        <v>756</v>
      </c>
      <c r="B56" s="117" t="s">
        <v>175</v>
      </c>
      <c r="C56" s="5">
        <f t="shared" si="7"/>
        <v>0</v>
      </c>
      <c r="D56" s="6">
        <f>+IFERROR(IFERROR(VLOOKUP($A56,[4]IMF_fdi_credit_debitinc!$A:$C,3,0),VLOOKUP($B56,[4]IMF_fdi_credit_debitinc!$A:$C,3,0)),0)/1000000</f>
        <v>0</v>
      </c>
      <c r="E56" s="6">
        <f>+IFERROR(VLOOKUP(A56,[4]OECD_COUNTERDO_INCOME!A:B,2,0),0)</f>
        <v>-4.6390000000000002</v>
      </c>
      <c r="F56" s="6">
        <f t="shared" si="8"/>
        <v>4.6390000000000002</v>
      </c>
      <c r="G56" s="7">
        <f t="shared" si="12"/>
        <v>0</v>
      </c>
      <c r="H56" s="6"/>
      <c r="I56" s="6"/>
      <c r="J56" s="6"/>
      <c r="K56" s="6">
        <f t="shared" si="13"/>
        <v>0</v>
      </c>
      <c r="L56" s="5">
        <f t="shared" si="9"/>
        <v>0</v>
      </c>
      <c r="M56" s="6">
        <f>+IFERROR(IFERROR(VLOOKUP($A56,[4]IMF_fdi_credit_debitinc!$A:$C,2,0),VLOOKUP($B56,[4]IMF_fdi_credit_debitinc!$A:$C,2,0)),0)/1000000</f>
        <v>0</v>
      </c>
      <c r="N56" s="6">
        <f>+IFERROR(VLOOKUP(A56,[4]OECD_COUNTERDI_INCOME!A:B,2,0),0)</f>
        <v>0</v>
      </c>
      <c r="O56" s="6">
        <f t="shared" si="10"/>
        <v>0</v>
      </c>
      <c r="P56" s="118">
        <f t="shared" si="11"/>
        <v>0</v>
      </c>
    </row>
    <row r="57" spans="1:16" ht="14.25" customHeight="1">
      <c r="A57" s="1" t="s">
        <v>757</v>
      </c>
      <c r="B57" s="117" t="s">
        <v>176</v>
      </c>
      <c r="C57" s="5">
        <f t="shared" si="7"/>
        <v>0</v>
      </c>
      <c r="D57" s="6">
        <f>+IFERROR(IFERROR(VLOOKUP($A57,[4]IMF_fdi_credit_debitinc!$A:$C,3,0),VLOOKUP($B57,[4]IMF_fdi_credit_debitinc!$A:$C,3,0)),0)/1000000</f>
        <v>0</v>
      </c>
      <c r="E57" s="6">
        <f>+IFERROR(VLOOKUP(A57,[4]OECD_COUNTERDO_INCOME!A:B,2,0),0)</f>
        <v>29.091000000000001</v>
      </c>
      <c r="F57" s="6">
        <f t="shared" si="8"/>
        <v>-29.091000000000001</v>
      </c>
      <c r="G57" s="7">
        <f t="shared" si="12"/>
        <v>29.091000000000001</v>
      </c>
      <c r="H57" s="6"/>
      <c r="I57" s="6"/>
      <c r="J57" s="6"/>
      <c r="K57" s="6">
        <f t="shared" si="13"/>
        <v>7.7129276406819063</v>
      </c>
      <c r="L57" s="5">
        <f t="shared" si="9"/>
        <v>0</v>
      </c>
      <c r="M57" s="6">
        <f>+IFERROR(IFERROR(VLOOKUP($A57,[4]IMF_fdi_credit_debitinc!$A:$C,2,0),VLOOKUP($B57,[4]IMF_fdi_credit_debitinc!$A:$C,2,0)),0)/1000000</f>
        <v>0</v>
      </c>
      <c r="N57" s="6">
        <f>+IFERROR(VLOOKUP(A57,[4]OECD_COUNTERDI_INCOME!A:B,2,0),0)</f>
        <v>186.947</v>
      </c>
      <c r="O57" s="6">
        <f t="shared" si="10"/>
        <v>-186.947</v>
      </c>
      <c r="P57" s="118">
        <f t="shared" si="11"/>
        <v>186.947</v>
      </c>
    </row>
    <row r="58" spans="1:16" ht="14.25" customHeight="1">
      <c r="A58" s="1" t="s">
        <v>758</v>
      </c>
      <c r="B58" s="117" t="s">
        <v>178</v>
      </c>
      <c r="C58" s="5">
        <f t="shared" si="7"/>
        <v>0</v>
      </c>
      <c r="D58" s="6">
        <f>+IFERROR(IFERROR(VLOOKUP($A58,[4]IMF_fdi_credit_debitinc!$A:$C,3,0),VLOOKUP($B58,[4]IMF_fdi_credit_debitinc!$A:$C,3,0)),0)/1000000</f>
        <v>0</v>
      </c>
      <c r="E58" s="6">
        <f>+IFERROR(VLOOKUP(A58,[4]OECD_COUNTERDO_INCOME!A:B,2,0),0)</f>
        <v>3508.62</v>
      </c>
      <c r="F58" s="6">
        <f t="shared" si="8"/>
        <v>-3508.62</v>
      </c>
      <c r="G58" s="7">
        <f t="shared" si="12"/>
        <v>3508.62</v>
      </c>
      <c r="H58" s="6"/>
      <c r="I58" s="6"/>
      <c r="J58" s="6"/>
      <c r="K58" s="6">
        <f t="shared" si="13"/>
        <v>930.24413662814447</v>
      </c>
      <c r="L58" s="5">
        <f t="shared" si="9"/>
        <v>0</v>
      </c>
      <c r="M58" s="6">
        <f>+IFERROR(IFERROR(VLOOKUP($A58,[4]IMF_fdi_credit_debitinc!$A:$C,2,0),VLOOKUP($B58,[4]IMF_fdi_credit_debitinc!$A:$C,2,0)),0)/1000000</f>
        <v>0</v>
      </c>
      <c r="N58" s="6">
        <f>+IFERROR(VLOOKUP(A58,[4]OECD_COUNTERDI_INCOME!A:B,2,0),0)</f>
        <v>2027.415</v>
      </c>
      <c r="O58" s="6">
        <f t="shared" si="10"/>
        <v>-2027.415</v>
      </c>
      <c r="P58" s="118">
        <f t="shared" si="11"/>
        <v>2027.415</v>
      </c>
    </row>
    <row r="59" spans="1:16" ht="14.25" customHeight="1">
      <c r="A59" s="1" t="s">
        <v>770</v>
      </c>
      <c r="B59" s="117" t="s">
        <v>180</v>
      </c>
      <c r="C59" s="5">
        <f t="shared" si="7"/>
        <v>0</v>
      </c>
      <c r="D59" s="6">
        <f>+IFERROR(IFERROR(VLOOKUP($A59,[4]IMF_fdi_credit_debitinc!$A:$C,3,0),VLOOKUP($B59,[4]IMF_fdi_credit_debitinc!$A:$C,3,0)),0)/1000000</f>
        <v>0</v>
      </c>
      <c r="E59" s="6">
        <f>+IFERROR(VLOOKUP(A59,[4]OECD_COUNTERDO_INCOME!A:B,2,0),0)</f>
        <v>595.44899999999996</v>
      </c>
      <c r="F59" s="6">
        <f t="shared" si="8"/>
        <v>-595.44899999999996</v>
      </c>
      <c r="G59" s="7">
        <f t="shared" si="12"/>
        <v>595.44899999999996</v>
      </c>
      <c r="H59" s="6"/>
      <c r="I59" s="6"/>
      <c r="J59" s="6"/>
      <c r="K59" s="6">
        <f t="shared" si="13"/>
        <v>157.8720240183012</v>
      </c>
      <c r="L59" s="5">
        <f t="shared" si="9"/>
        <v>0</v>
      </c>
      <c r="M59" s="6">
        <f>+IFERROR(IFERROR(VLOOKUP($A59,[4]IMF_fdi_credit_debitinc!$A:$C,2,0),VLOOKUP($B59,[4]IMF_fdi_credit_debitinc!$A:$C,2,0)),0)/1000000</f>
        <v>0</v>
      </c>
      <c r="N59" s="6">
        <f>+IFERROR(VLOOKUP(A59,[4]OECD_COUNTERDI_INCOME!A:B,2,0),0)</f>
        <v>69.143000000000001</v>
      </c>
      <c r="O59" s="6">
        <f t="shared" si="10"/>
        <v>-69.143000000000001</v>
      </c>
      <c r="P59" s="118">
        <f t="shared" si="11"/>
        <v>69.143000000000001</v>
      </c>
    </row>
    <row r="60" spans="1:16" ht="14.25" customHeight="1">
      <c r="A60" s="1" t="s">
        <v>759</v>
      </c>
      <c r="B60" s="117" t="s">
        <v>181</v>
      </c>
      <c r="C60" s="5">
        <f t="shared" si="7"/>
        <v>0</v>
      </c>
      <c r="D60" s="6">
        <f>+IFERROR(IFERROR(VLOOKUP($A60,[4]IMF_fdi_credit_debitinc!$A:$C,3,0),VLOOKUP($B60,[4]IMF_fdi_credit_debitinc!$A:$C,3,0)),0)/1000000</f>
        <v>0</v>
      </c>
      <c r="E60" s="6">
        <f>+IFERROR(VLOOKUP(A60,[4]OECD_COUNTERDO_INCOME!A:B,2,0),0)</f>
        <v>5383.8789999999999</v>
      </c>
      <c r="F60" s="6">
        <f t="shared" si="8"/>
        <v>-5383.8789999999999</v>
      </c>
      <c r="G60" s="7">
        <f t="shared" si="12"/>
        <v>5383.8789999999999</v>
      </c>
      <c r="H60" s="6"/>
      <c r="I60" s="6"/>
      <c r="J60" s="6"/>
      <c r="K60" s="6">
        <f t="shared" si="13"/>
        <v>1427.4335414109817</v>
      </c>
      <c r="L60" s="5">
        <f t="shared" si="9"/>
        <v>0</v>
      </c>
      <c r="M60" s="6">
        <f>+IFERROR(IFERROR(VLOOKUP($A60,[4]IMF_fdi_credit_debitinc!$A:$C,2,0),VLOOKUP($B60,[4]IMF_fdi_credit_debitinc!$A:$C,2,0)),0)/1000000</f>
        <v>0</v>
      </c>
      <c r="N60" s="6">
        <f>+IFERROR(VLOOKUP(A60,[4]OECD_COUNTERDI_INCOME!A:B,2,0),0)</f>
        <v>3821.9450000000002</v>
      </c>
      <c r="O60" s="6">
        <f t="shared" si="10"/>
        <v>-3821.9450000000002</v>
      </c>
      <c r="P60" s="118">
        <f t="shared" si="11"/>
        <v>3821.9450000000002</v>
      </c>
    </row>
    <row r="61" spans="1:16" ht="14.25" customHeight="1">
      <c r="A61" s="1" t="s">
        <v>760</v>
      </c>
      <c r="B61" s="117" t="s">
        <v>182</v>
      </c>
      <c r="C61" s="5">
        <f t="shared" si="7"/>
        <v>0</v>
      </c>
      <c r="D61" s="6">
        <f>+IFERROR(IFERROR(VLOOKUP($A61,[4]IMF_fdi_credit_debitinc!$A:$C,3,0),VLOOKUP($B61,[4]IMF_fdi_credit_debitinc!$A:$C,3,0)),0)/1000000</f>
        <v>0</v>
      </c>
      <c r="E61" s="6">
        <f>+IFERROR(VLOOKUP(A61,[4]OECD_COUNTERDO_INCOME!A:B,2,0),0)</f>
        <v>12.599</v>
      </c>
      <c r="F61" s="6">
        <f t="shared" si="8"/>
        <v>-12.599</v>
      </c>
      <c r="G61" s="7">
        <f t="shared" si="12"/>
        <v>12.599</v>
      </c>
      <c r="H61" s="6"/>
      <c r="I61" s="6"/>
      <c r="J61" s="6"/>
      <c r="K61" s="6">
        <f t="shared" si="13"/>
        <v>3.3403862137757847</v>
      </c>
      <c r="L61" s="5">
        <f t="shared" si="9"/>
        <v>0</v>
      </c>
      <c r="M61" s="6">
        <f>+IFERROR(IFERROR(VLOOKUP($A61,[4]IMF_fdi_credit_debitinc!$A:$C,2,0),VLOOKUP($B61,[4]IMF_fdi_credit_debitinc!$A:$C,2,0)),0)/1000000</f>
        <v>0</v>
      </c>
      <c r="N61" s="6">
        <f>+IFERROR(VLOOKUP(A61,[4]OECD_COUNTERDI_INCOME!A:B,2,0),0)</f>
        <v>-2.556</v>
      </c>
      <c r="O61" s="6">
        <f t="shared" si="10"/>
        <v>2.556</v>
      </c>
      <c r="P61" s="118">
        <f t="shared" si="11"/>
        <v>0</v>
      </c>
    </row>
    <row r="62" spans="1:16" ht="14.25" customHeight="1">
      <c r="A62" s="1" t="s">
        <v>761</v>
      </c>
      <c r="B62" s="117" t="s">
        <v>89</v>
      </c>
      <c r="C62" s="5">
        <f t="shared" si="7"/>
        <v>0</v>
      </c>
      <c r="D62" s="6">
        <f>+IFERROR(IFERROR(VLOOKUP($A62,[4]IMF_fdi_credit_debitinc!$A:$C,3,0),VLOOKUP($B62,[4]IMF_fdi_credit_debitinc!$A:$C,3,0)),0)/1000000</f>
        <v>0</v>
      </c>
      <c r="E62" s="6">
        <f>+IFERROR(VLOOKUP(A62,[4]OECD_COUNTERDO_INCOME!A:B,2,0),0)</f>
        <v>50354.847999999998</v>
      </c>
      <c r="F62" s="6">
        <f t="shared" si="8"/>
        <v>-50354.847999999998</v>
      </c>
      <c r="G62" s="7">
        <f t="shared" si="12"/>
        <v>50354.847999999998</v>
      </c>
      <c r="H62" s="6"/>
      <c r="I62" s="6"/>
      <c r="J62" s="6"/>
      <c r="K62" s="6">
        <f t="shared" si="13"/>
        <v>13350.634181758483</v>
      </c>
      <c r="L62" s="5">
        <f t="shared" si="9"/>
        <v>0</v>
      </c>
      <c r="M62" s="6">
        <f>+IFERROR(IFERROR(VLOOKUP($A62,[4]IMF_fdi_credit_debitinc!$A:$C,2,0),VLOOKUP($B62,[4]IMF_fdi_credit_debitinc!$A:$C,2,0)),0)/1000000</f>
        <v>0</v>
      </c>
      <c r="N62" s="6">
        <f>+IFERROR(VLOOKUP(A62,[4]OECD_COUNTERDI_INCOME!A:B,2,0),0)</f>
        <v>17175.102999999999</v>
      </c>
      <c r="O62" s="6">
        <f t="shared" si="10"/>
        <v>-17175.102999999999</v>
      </c>
      <c r="P62" s="118">
        <f t="shared" si="11"/>
        <v>17175.102999999999</v>
      </c>
    </row>
    <row r="63" spans="1:16" ht="14.25" customHeight="1">
      <c r="A63" s="1" t="s">
        <v>126</v>
      </c>
      <c r="B63" s="117" t="s">
        <v>183</v>
      </c>
      <c r="C63" s="5">
        <f t="shared" si="7"/>
        <v>0</v>
      </c>
      <c r="D63" s="6">
        <f>+IFERROR(IFERROR(VLOOKUP($A63,[4]IMF_fdi_credit_debitinc!$A:$C,3,0),VLOOKUP($B63,[4]IMF_fdi_credit_debitinc!$A:$C,3,0)),0)/1000000</f>
        <v>0</v>
      </c>
      <c r="E63" s="6">
        <f>+IFERROR(VLOOKUP(A63,[4]OECD_COUNTERDO_INCOME!A:B,2,0),0)</f>
        <v>-4</v>
      </c>
      <c r="F63" s="6">
        <f t="shared" si="8"/>
        <v>4</v>
      </c>
      <c r="G63" s="7">
        <f t="shared" si="12"/>
        <v>0</v>
      </c>
      <c r="H63" s="6"/>
      <c r="I63" s="6"/>
      <c r="J63" s="6"/>
      <c r="K63" s="6">
        <f t="shared" si="13"/>
        <v>0</v>
      </c>
      <c r="L63" s="5">
        <v>0</v>
      </c>
      <c r="M63" s="6">
        <f>+IFERROR(IFERROR(VLOOKUP($A63,[4]IMF_fdi_credit_debitinc!$A:$C,2,0),VLOOKUP($B63,[4]IMF_fdi_credit_debitinc!$A:$C,2,0)),0)/1000000</f>
        <v>0</v>
      </c>
      <c r="N63" s="6">
        <f>+IFERROR(VLOOKUP(A63,[4]OECD_COUNTERDI_INCOME!A:B,2,0),0)</f>
        <v>1.861</v>
      </c>
      <c r="O63" s="6">
        <f t="shared" si="10"/>
        <v>-1.861</v>
      </c>
      <c r="P63" s="118">
        <f t="shared" si="11"/>
        <v>1.861</v>
      </c>
    </row>
    <row r="64" spans="1:16" ht="14.25" customHeight="1">
      <c r="A64" s="1" t="s">
        <v>981</v>
      </c>
      <c r="B64" s="117" t="s">
        <v>184</v>
      </c>
      <c r="C64" s="5">
        <f t="shared" si="7"/>
        <v>0</v>
      </c>
      <c r="D64" s="6">
        <f>+IFERROR(IFERROR(VLOOKUP($A64,[4]IMF_fdi_credit_debitinc!$A:$C,3,0),VLOOKUP($B64,[4]IMF_fdi_credit_debitinc!$A:$C,3,0)),0)/1000000</f>
        <v>0</v>
      </c>
      <c r="E64" s="6">
        <f>+IFERROR(VLOOKUP(A64,[4]OECD_COUNTERDO_INCOME!A:B,2,0),0)</f>
        <v>197.80799999999999</v>
      </c>
      <c r="F64" s="6">
        <f t="shared" si="8"/>
        <v>-197.80799999999999</v>
      </c>
      <c r="G64" s="7">
        <f>IF(F64&lt;0,-F64,0)</f>
        <v>197.80799999999999</v>
      </c>
      <c r="H64" s="6"/>
      <c r="I64" s="6"/>
      <c r="J64" s="6">
        <f>'[4]Imputed DI income using stocks'!$G$5</f>
        <v>57582.967969826495</v>
      </c>
      <c r="K64" s="6"/>
      <c r="L64" s="5">
        <v>0</v>
      </c>
      <c r="M64" s="6">
        <f>+IFERROR(IFERROR(VLOOKUP($A64,[4]IMF_fdi_credit_debitinc!$A:$C,2,0),VLOOKUP($B64,[4]IMF_fdi_credit_debitinc!$A:$C,2,0)),0)/1000000</f>
        <v>0</v>
      </c>
      <c r="N64" s="6">
        <f>+IFERROR(VLOOKUP(A64,[4]OECD_COUNTERDI_INCOME!A:B,2,0),0)</f>
        <v>1878.106</v>
      </c>
      <c r="O64" s="6">
        <f t="shared" si="10"/>
        <v>-1878.106</v>
      </c>
      <c r="P64" s="118">
        <f t="shared" si="11"/>
        <v>1878.106</v>
      </c>
    </row>
    <row r="65" spans="1:16" ht="14.25" customHeight="1">
      <c r="A65" s="1" t="s">
        <v>127</v>
      </c>
      <c r="B65" s="117" t="s">
        <v>185</v>
      </c>
      <c r="C65" s="5">
        <f t="shared" si="7"/>
        <v>0</v>
      </c>
      <c r="D65" s="6">
        <f>+IFERROR(IFERROR(VLOOKUP($A65,[4]IMF_fdi_credit_debitinc!$A:$C,3,0),VLOOKUP($B65,[4]IMF_fdi_credit_debitinc!$A:$C,3,0)),0)/1000000</f>
        <v>0</v>
      </c>
      <c r="E65" s="6">
        <f>+IFERROR(VLOOKUP(A65,[4]OECD_COUNTERDO_INCOME!A:B,2,0),0)</f>
        <v>42361.661999999997</v>
      </c>
      <c r="F65" s="6">
        <f t="shared" si="8"/>
        <v>-42361.661999999997</v>
      </c>
      <c r="G65" s="7">
        <f t="shared" si="12"/>
        <v>42361.661999999997</v>
      </c>
      <c r="H65" s="6"/>
      <c r="I65" s="6"/>
      <c r="J65" s="6"/>
      <c r="K65" s="6">
        <f t="shared" si="13"/>
        <v>11231.392311884238</v>
      </c>
      <c r="L65" s="5">
        <v>0</v>
      </c>
      <c r="M65" s="6">
        <f>+IFERROR(IFERROR(VLOOKUP($A65,[4]IMF_fdi_credit_debitinc!$A:$C,2,0),VLOOKUP($B65,[4]IMF_fdi_credit_debitinc!$A:$C,2,0)),0)/1000000</f>
        <v>0</v>
      </c>
      <c r="N65" s="6">
        <f>+IFERROR(VLOOKUP(A65,[4]OECD_COUNTERDI_INCOME!A:B,2,0),0)</f>
        <v>14991.924999999999</v>
      </c>
      <c r="O65" s="6">
        <f t="shared" si="10"/>
        <v>-14991.924999999999</v>
      </c>
      <c r="P65" s="118">
        <f t="shared" si="11"/>
        <v>14991.924999999999</v>
      </c>
    </row>
    <row r="66" spans="1:16" ht="14.25" customHeight="1">
      <c r="A66" s="1" t="s">
        <v>128</v>
      </c>
      <c r="B66" s="117" t="s">
        <v>186</v>
      </c>
      <c r="C66" s="5">
        <f t="shared" si="7"/>
        <v>0</v>
      </c>
      <c r="D66" s="6">
        <f>+IFERROR(IFERROR(VLOOKUP($A66,[4]IMF_fdi_credit_debitinc!$A:$C,3,0),VLOOKUP($B66,[4]IMF_fdi_credit_debitinc!$A:$C,3,0)),0)/1000000</f>
        <v>0</v>
      </c>
      <c r="E66" s="6">
        <f>+IFERROR(VLOOKUP(A66,[4]OECD_COUNTERDO_INCOME!A:B,2,0),0)</f>
        <v>416.779</v>
      </c>
      <c r="F66" s="6">
        <f t="shared" si="8"/>
        <v>-416.779</v>
      </c>
      <c r="G66" s="7">
        <f t="shared" si="12"/>
        <v>416.779</v>
      </c>
      <c r="H66" s="6"/>
      <c r="I66" s="6"/>
      <c r="J66" s="6">
        <f>'[4]Imputed DI income using stocks'!$G$6</f>
        <v>3212.1521713221155</v>
      </c>
      <c r="K66" s="6"/>
      <c r="L66" s="5">
        <f>+M66</f>
        <v>0</v>
      </c>
      <c r="M66" s="6">
        <f>+IFERROR(IFERROR(VLOOKUP($A66,[4]IMF_fdi_credit_debitinc!$A:$C,2,0),VLOOKUP($B66,[4]IMF_fdi_credit_debitinc!$A:$C,2,0)),0)/1000000</f>
        <v>0</v>
      </c>
      <c r="N66" s="6">
        <f>+IFERROR(VLOOKUP(A66,[4]OECD_COUNTERDI_INCOME!A:B,2,0),0)</f>
        <v>549.19799999999998</v>
      </c>
      <c r="O66" s="6">
        <f t="shared" si="10"/>
        <v>-549.19799999999998</v>
      </c>
      <c r="P66" s="118">
        <f t="shared" si="11"/>
        <v>549.19799999999998</v>
      </c>
    </row>
    <row r="67" spans="1:16" ht="14.25" customHeight="1">
      <c r="A67" s="1" t="s">
        <v>762</v>
      </c>
      <c r="B67" s="117" t="s">
        <v>187</v>
      </c>
      <c r="C67" s="5">
        <f t="shared" si="7"/>
        <v>9757.65</v>
      </c>
      <c r="D67" s="6">
        <f>+IFERROR(IFERROR(VLOOKUP($A67,[4]IMF_fdi_credit_debitinc!$A:$C,3,0),VLOOKUP($B67,[4]IMF_fdi_credit_debitinc!$A:$C,3,0)),0)/1000000</f>
        <v>9757.65</v>
      </c>
      <c r="E67" s="6">
        <f>+IFERROR(VLOOKUP(A67,[4]OECD_COUNTERDO_INCOME!A:B,2,0),0)</f>
        <v>3803.6480000000001</v>
      </c>
      <c r="F67" s="6">
        <f t="shared" si="8"/>
        <v>5954.0019999999995</v>
      </c>
      <c r="G67" s="7">
        <f t="shared" si="12"/>
        <v>0</v>
      </c>
      <c r="H67" s="6"/>
      <c r="I67" s="6"/>
      <c r="J67" s="6"/>
      <c r="K67" s="6">
        <f t="shared" si="13"/>
        <v>2587.0560789625588</v>
      </c>
      <c r="L67" s="5">
        <f>+M67</f>
        <v>9337.68</v>
      </c>
      <c r="M67" s="6">
        <f>+IFERROR(IFERROR(VLOOKUP($A67,[4]IMF_fdi_credit_debitinc!$A:$C,2,0),VLOOKUP($B67,[4]IMF_fdi_credit_debitinc!$A:$C,2,0)),0)/1000000</f>
        <v>9337.68</v>
      </c>
      <c r="N67" s="6">
        <f>+IFERROR(VLOOKUP(A67,[4]OECD_COUNTERDI_INCOME!A:B,2,0),0)</f>
        <v>5281.18</v>
      </c>
      <c r="O67" s="6">
        <f t="shared" si="10"/>
        <v>4056.5</v>
      </c>
      <c r="P67" s="118">
        <f t="shared" si="11"/>
        <v>0</v>
      </c>
    </row>
    <row r="68" spans="1:16" ht="14.25" customHeight="1">
      <c r="A68" s="1" t="s">
        <v>129</v>
      </c>
      <c r="B68" s="117" t="s">
        <v>188</v>
      </c>
      <c r="C68" s="5">
        <f t="shared" si="7"/>
        <v>0</v>
      </c>
      <c r="D68" s="6">
        <f>+IFERROR(IFERROR(VLOOKUP($A68,[4]IMF_fdi_credit_debitinc!$A:$C,3,0),VLOOKUP($B68,[4]IMF_fdi_credit_debitinc!$A:$C,3,0)),0)/1000000</f>
        <v>0</v>
      </c>
      <c r="E68" s="6">
        <f>+IFERROR(VLOOKUP(A68,[4]OECD_COUNTERDO_INCOME!A:B,2,0),0)</f>
        <v>6546.9769999999999</v>
      </c>
      <c r="F68" s="6">
        <f t="shared" si="8"/>
        <v>-6546.9769999999999</v>
      </c>
      <c r="G68" s="7">
        <f t="shared" si="12"/>
        <v>6546.9769999999999</v>
      </c>
      <c r="H68" s="6"/>
      <c r="I68" s="6"/>
      <c r="J68" s="6"/>
      <c r="K68" s="6">
        <f t="shared" si="13"/>
        <v>1735.8069460042182</v>
      </c>
      <c r="L68" s="5">
        <v>0</v>
      </c>
      <c r="M68" s="6">
        <f>+IFERROR(IFERROR(VLOOKUP($A68,[4]IMF_fdi_credit_debitinc!$A:$C,2,0),VLOOKUP($B68,[4]IMF_fdi_credit_debitinc!$A:$C,2,0)),0)/1000000</f>
        <v>0</v>
      </c>
      <c r="N68" s="6">
        <f>+IFERROR(VLOOKUP(A68,[4]OECD_COUNTERDI_INCOME!A:B,2,0),0)</f>
        <v>4618.7060000000001</v>
      </c>
      <c r="O68" s="6">
        <f t="shared" si="10"/>
        <v>-4618.7060000000001</v>
      </c>
      <c r="P68" s="118">
        <f t="shared" si="11"/>
        <v>4618.7060000000001</v>
      </c>
    </row>
    <row r="69" spans="1:16" ht="14.25" customHeight="1">
      <c r="A69" s="1" t="s">
        <v>763</v>
      </c>
      <c r="B69" s="117" t="s">
        <v>189</v>
      </c>
      <c r="C69" s="5">
        <f t="shared" si="7"/>
        <v>0</v>
      </c>
      <c r="D69" s="6">
        <f>+IFERROR(IFERROR(VLOOKUP($A69,[4]IMF_fdi_credit_debitinc!$A:$C,3,0),VLOOKUP($B69,[4]IMF_fdi_credit_debitinc!$A:$C,3,0)),0)/1000000</f>
        <v>0</v>
      </c>
      <c r="E69" s="6">
        <f>+IFERROR(VLOOKUP(A69,[4]OECD_COUNTERDO_INCOME!A:B,2,0),0)</f>
        <v>4</v>
      </c>
      <c r="F69" s="6">
        <f t="shared" si="8"/>
        <v>-4</v>
      </c>
      <c r="G69" s="7">
        <f t="shared" si="12"/>
        <v>4</v>
      </c>
      <c r="H69" s="6"/>
      <c r="I69" s="6"/>
      <c r="J69" s="6"/>
      <c r="K69" s="6">
        <f t="shared" si="13"/>
        <v>1.0605242364555232</v>
      </c>
      <c r="L69" s="5">
        <v>0</v>
      </c>
      <c r="M69" s="6">
        <f>+IFERROR(IFERROR(VLOOKUP($A69,[4]IMF_fdi_credit_debitinc!$A:$C,2,0),VLOOKUP($B69,[4]IMF_fdi_credit_debitinc!$A:$C,2,0)),0)/1000000</f>
        <v>0</v>
      </c>
      <c r="N69" s="6">
        <f>+IFERROR(VLOOKUP(A69,[4]OECD_COUNTERDI_INCOME!A:B,2,0),0)</f>
        <v>0</v>
      </c>
      <c r="O69" s="6">
        <f t="shared" si="10"/>
        <v>0</v>
      </c>
      <c r="P69" s="118">
        <f t="shared" si="11"/>
        <v>0</v>
      </c>
    </row>
    <row r="70" spans="1:16" ht="14.25" customHeight="1">
      <c r="A70" s="1" t="s">
        <v>130</v>
      </c>
      <c r="B70" s="117" t="s">
        <v>190</v>
      </c>
      <c r="C70" s="5">
        <f t="shared" si="7"/>
        <v>0</v>
      </c>
      <c r="D70" s="6">
        <f>+IFERROR(IFERROR(VLOOKUP($A70,[4]IMF_fdi_credit_debitinc!$A:$C,3,0),VLOOKUP($B70,[4]IMF_fdi_credit_debitinc!$A:$C,3,0)),0)/1000000</f>
        <v>0</v>
      </c>
      <c r="E70" s="6">
        <f>+IFERROR(VLOOKUP(A70,[4]OECD_COUNTERDO_INCOME!A:B,2,0),0)</f>
        <v>888.45899999999995</v>
      </c>
      <c r="F70" s="6">
        <f t="shared" si="8"/>
        <v>-888.45899999999995</v>
      </c>
      <c r="G70" s="7">
        <f t="shared" si="12"/>
        <v>888.45899999999995</v>
      </c>
      <c r="H70" s="6"/>
      <c r="I70" s="6"/>
      <c r="J70" s="6"/>
      <c r="K70" s="6">
        <f t="shared" si="13"/>
        <v>235.55807564925942</v>
      </c>
      <c r="L70" s="5">
        <v>0</v>
      </c>
      <c r="M70" s="6">
        <f>+IFERROR(IFERROR(VLOOKUP($A70,[4]IMF_fdi_credit_debitinc!$A:$C,2,0),VLOOKUP($B70,[4]IMF_fdi_credit_debitinc!$A:$C,2,0)),0)/1000000</f>
        <v>0</v>
      </c>
      <c r="N70" s="6">
        <f>+IFERROR(VLOOKUP(A70,[4]OECD_COUNTERDI_INCOME!A:B,2,0),0)</f>
        <v>1806.6220000000001</v>
      </c>
      <c r="O70" s="6">
        <f t="shared" si="10"/>
        <v>-1806.6220000000001</v>
      </c>
      <c r="P70" s="118">
        <f t="shared" si="11"/>
        <v>1806.6220000000001</v>
      </c>
    </row>
    <row r="71" spans="1:16" ht="14.25" customHeight="1">
      <c r="A71" s="1" t="s">
        <v>131</v>
      </c>
      <c r="B71" s="117" t="s">
        <v>191</v>
      </c>
      <c r="C71" s="5">
        <f t="shared" si="7"/>
        <v>0</v>
      </c>
      <c r="D71" s="6">
        <f>+IFERROR(IFERROR(VLOOKUP($A71,[4]IMF_fdi_credit_debitinc!$A:$C,3,0),VLOOKUP($B71,[4]IMF_fdi_credit_debitinc!$A:$C,3,0)),0)/1000000</f>
        <v>0</v>
      </c>
      <c r="E71" s="6">
        <f>+IFERROR(VLOOKUP(A71,[4]OECD_COUNTERDO_INCOME!A:B,2,0),0)</f>
        <v>34.305999999999997</v>
      </c>
      <c r="F71" s="6">
        <f t="shared" si="8"/>
        <v>-34.305999999999997</v>
      </c>
      <c r="G71" s="7">
        <f>IF(F71&lt;0,-F71,0)</f>
        <v>34.305999999999997</v>
      </c>
      <c r="H71" s="6"/>
      <c r="I71" s="6"/>
      <c r="J71" s="6"/>
      <c r="K71" s="6">
        <f t="shared" si="13"/>
        <v>9.0955861139607936</v>
      </c>
      <c r="L71" s="5">
        <v>0</v>
      </c>
      <c r="M71" s="6">
        <f>+IFERROR(IFERROR(VLOOKUP($A71,[4]IMF_fdi_credit_debitinc!$A:$C,2,0),VLOOKUP($B71,[4]IMF_fdi_credit_debitinc!$A:$C,2,0)),0)/1000000</f>
        <v>0</v>
      </c>
      <c r="N71" s="6">
        <f>+IFERROR(VLOOKUP(A71,[4]OECD_COUNTERDI_INCOME!A:B,2,0),0)</f>
        <v>4384.2479999999996</v>
      </c>
      <c r="O71" s="6">
        <f t="shared" si="10"/>
        <v>-4384.2479999999996</v>
      </c>
      <c r="P71" s="118">
        <f t="shared" si="11"/>
        <v>4384.2479999999996</v>
      </c>
    </row>
    <row r="72" spans="1:16" ht="14.25" customHeight="1">
      <c r="A72" s="1" t="s">
        <v>771</v>
      </c>
      <c r="B72" s="123" t="s">
        <v>192</v>
      </c>
      <c r="C72" s="5">
        <f t="shared" si="7"/>
        <v>154250</v>
      </c>
      <c r="D72" s="6">
        <f>+IFERROR(IFERROR(VLOOKUP($A72,[4]IMF_fdi_credit_debitinc!$A:$C,3,0),VLOOKUP($B72,[4]IMF_fdi_credit_debitinc!$A:$C,3,0)),0)/1000000</f>
        <v>154250</v>
      </c>
      <c r="E72" s="6">
        <f>+IFERROR(VLOOKUP(A72,[4]OECD_COUNTERDO_INCOME!A:B,2,0),0)</f>
        <v>29261.023000000001</v>
      </c>
      <c r="F72" s="6">
        <f t="shared" si="8"/>
        <v>124988.977</v>
      </c>
      <c r="G72" s="7">
        <f t="shared" si="12"/>
        <v>0</v>
      </c>
      <c r="H72" s="6"/>
      <c r="I72" s="6"/>
      <c r="J72" s="6"/>
      <c r="K72" s="6">
        <f t="shared" si="13"/>
        <v>40896.465868316118</v>
      </c>
      <c r="L72" s="5">
        <f>+M72</f>
        <v>137467</v>
      </c>
      <c r="M72" s="6">
        <f>+IFERROR(IFERROR(VLOOKUP($A72,[4]IMF_fdi_credit_debitinc!$A:$C,2,0),VLOOKUP($B72,[4]IMF_fdi_credit_debitinc!$A:$C,2,0)),0)/1000000</f>
        <v>137467</v>
      </c>
      <c r="N72" s="6">
        <f>+IFERROR(VLOOKUP(A72,[4]OECD_COUNTERDI_INCOME!A:B,2,0),0)</f>
        <v>8945.7189999999991</v>
      </c>
      <c r="O72" s="6">
        <f t="shared" si="10"/>
        <v>128521.281</v>
      </c>
      <c r="P72" s="118">
        <f t="shared" si="11"/>
        <v>0</v>
      </c>
    </row>
    <row r="73" spans="1:16" ht="14.25" customHeight="1">
      <c r="A73" s="1" t="s">
        <v>132</v>
      </c>
      <c r="B73" s="117" t="s">
        <v>193</v>
      </c>
      <c r="C73" s="5">
        <f t="shared" si="7"/>
        <v>0</v>
      </c>
      <c r="D73" s="6">
        <f>+IFERROR(IFERROR(VLOOKUP($A73,[4]IMF_fdi_credit_debitinc!$A:$C,3,0),VLOOKUP($B73,[4]IMF_fdi_credit_debitinc!$A:$C,3,0)),0)/1000000</f>
        <v>0</v>
      </c>
      <c r="E73" s="6">
        <f>+IFERROR(VLOOKUP(A73,[4]OECD_COUNTERDO_INCOME!A:B,2,0),0)</f>
        <v>219.92500000000001</v>
      </c>
      <c r="F73" s="6">
        <f t="shared" si="8"/>
        <v>-219.92500000000001</v>
      </c>
      <c r="G73" s="7">
        <f t="shared" si="12"/>
        <v>219.92500000000001</v>
      </c>
      <c r="H73" s="6"/>
      <c r="I73" s="6"/>
      <c r="J73" s="6"/>
      <c r="K73" s="6">
        <f t="shared" si="13"/>
        <v>58.308948175620245</v>
      </c>
      <c r="L73" s="5">
        <v>0</v>
      </c>
      <c r="M73" s="6">
        <f>+IFERROR(IFERROR(VLOOKUP($A73,[4]IMF_fdi_credit_debitinc!$A:$C,2,0),VLOOKUP($B73,[4]IMF_fdi_credit_debitinc!$A:$C,2,0)),0)/1000000</f>
        <v>0</v>
      </c>
      <c r="N73" s="6">
        <f>+IFERROR(VLOOKUP(A73,[4]OECD_COUNTERDI_INCOME!A:B,2,0),0)</f>
        <v>432.29700000000003</v>
      </c>
      <c r="O73" s="6">
        <f t="shared" si="10"/>
        <v>-432.29700000000003</v>
      </c>
      <c r="P73" s="118">
        <f t="shared" si="11"/>
        <v>432.29700000000003</v>
      </c>
    </row>
    <row r="74" spans="1:16" ht="14.25" customHeight="1">
      <c r="A74" s="1" t="s">
        <v>764</v>
      </c>
      <c r="B74" s="117" t="s">
        <v>194</v>
      </c>
      <c r="C74" s="5">
        <f t="shared" si="7"/>
        <v>0</v>
      </c>
      <c r="D74" s="6">
        <f>+IFERROR(IFERROR(VLOOKUP($A74,[4]IMF_fdi_credit_debitinc!$A:$C,3,0),VLOOKUP($B74,[4]IMF_fdi_credit_debitinc!$A:$C,3,0)),0)/1000000</f>
        <v>0</v>
      </c>
      <c r="E74" s="6">
        <f>+IFERROR(VLOOKUP(A74,[4]OECD_COUNTERDO_INCOME!A:B,2,0),0)</f>
        <v>162.214</v>
      </c>
      <c r="F74" s="6">
        <f t="shared" si="8"/>
        <v>-162.214</v>
      </c>
      <c r="G74" s="7">
        <f t="shared" si="12"/>
        <v>162.214</v>
      </c>
      <c r="H74" s="6"/>
      <c r="I74" s="6"/>
      <c r="J74" s="6"/>
      <c r="K74" s="6">
        <f t="shared" si="13"/>
        <v>43.007969623099065</v>
      </c>
      <c r="L74" s="5">
        <f>+M74</f>
        <v>0</v>
      </c>
      <c r="M74" s="6">
        <f>+IFERROR(IFERROR(VLOOKUP($A74,[4]IMF_fdi_credit_debitinc!$A:$C,2,0),VLOOKUP($B74,[4]IMF_fdi_credit_debitinc!$A:$C,2,0)),0)/1000000</f>
        <v>0</v>
      </c>
      <c r="N74" s="6">
        <f>+IFERROR(VLOOKUP(A74,[4]OECD_COUNTERDI_INCOME!A:B,2,0),0)</f>
        <v>59.704000000000001</v>
      </c>
      <c r="O74" s="6">
        <f t="shared" si="10"/>
        <v>-59.704000000000001</v>
      </c>
      <c r="P74" s="118">
        <f t="shared" si="11"/>
        <v>59.704000000000001</v>
      </c>
    </row>
    <row r="75" spans="1:16" ht="14.25" customHeight="1">
      <c r="A75" s="1" t="s">
        <v>133</v>
      </c>
      <c r="B75" s="117" t="s">
        <v>195</v>
      </c>
      <c r="C75" s="5">
        <f t="shared" si="7"/>
        <v>0</v>
      </c>
      <c r="D75" s="6">
        <f>+IFERROR(IFERROR(VLOOKUP($A75,[4]IMF_fdi_credit_debitinc!$A:$C,3,0),VLOOKUP($B75,[4]IMF_fdi_credit_debitinc!$A:$C,3,0)),0)/1000000</f>
        <v>0</v>
      </c>
      <c r="E75" s="6">
        <f>+IFERROR(VLOOKUP(A75,[4]OECD_COUNTERDO_INCOME!A:B,2,0),0)</f>
        <v>8.3680000000000003</v>
      </c>
      <c r="F75" s="6">
        <f t="shared" si="8"/>
        <v>-8.3680000000000003</v>
      </c>
      <c r="G75" s="7">
        <f t="shared" si="12"/>
        <v>8.3680000000000003</v>
      </c>
      <c r="H75" s="6"/>
      <c r="I75" s="6"/>
      <c r="J75" s="6"/>
      <c r="K75" s="6">
        <f t="shared" si="13"/>
        <v>2.2186167026649546</v>
      </c>
      <c r="L75" s="5">
        <v>0</v>
      </c>
      <c r="M75" s="6">
        <f>+IFERROR(IFERROR(VLOOKUP($A75,[4]IMF_fdi_credit_debitinc!$A:$C,2,0),VLOOKUP($B75,[4]IMF_fdi_credit_debitinc!$A:$C,2,0)),0)/1000000</f>
        <v>0</v>
      </c>
      <c r="N75" s="6">
        <f>+IFERROR(VLOOKUP(A75,[4]OECD_COUNTERDI_INCOME!A:B,2,0),0)</f>
        <v>922.24800000000005</v>
      </c>
      <c r="O75" s="6">
        <f t="shared" si="10"/>
        <v>-922.24800000000005</v>
      </c>
      <c r="P75" s="118">
        <f t="shared" si="11"/>
        <v>922.24800000000005</v>
      </c>
    </row>
    <row r="76" spans="1:16" ht="14.25" customHeight="1">
      <c r="A76" s="1" t="s">
        <v>772</v>
      </c>
      <c r="B76" s="117" t="s">
        <v>197</v>
      </c>
      <c r="C76" s="5">
        <f t="shared" si="7"/>
        <v>0</v>
      </c>
      <c r="D76" s="6">
        <f>+IFERROR(IFERROR(VLOOKUP($A76,[4]IMF_fdi_credit_debitinc!$A:$C,3,0),VLOOKUP($B76,[4]IMF_fdi_credit_debitinc!$A:$C,3,0)),0)/1000000</f>
        <v>0</v>
      </c>
      <c r="E76" s="6">
        <f>+IFERROR(VLOOKUP(A76,[4]OECD_COUNTERDO_INCOME!A:B,2,0),0)</f>
        <v>629.86800000000005</v>
      </c>
      <c r="F76" s="6">
        <f t="shared" si="8"/>
        <v>-629.86800000000005</v>
      </c>
      <c r="G76" s="7">
        <f t="shared" si="12"/>
        <v>629.86800000000005</v>
      </c>
      <c r="H76" s="6"/>
      <c r="I76" s="6"/>
      <c r="J76" s="6"/>
      <c r="K76" s="6">
        <f t="shared" si="13"/>
        <v>166.99756994194189</v>
      </c>
      <c r="L76" s="5">
        <v>0</v>
      </c>
      <c r="M76" s="6">
        <f>+IFERROR(IFERROR(VLOOKUP($A76,[4]IMF_fdi_credit_debitinc!$A:$C,2,0),VLOOKUP($B76,[4]IMF_fdi_credit_debitinc!$A:$C,2,0)),0)/1000000</f>
        <v>0</v>
      </c>
      <c r="N76" s="6">
        <f>+IFERROR(VLOOKUP(A76,[4]OECD_COUNTERDI_INCOME!A:B,2,0),0)</f>
        <v>-3.84</v>
      </c>
      <c r="O76" s="6">
        <f t="shared" si="10"/>
        <v>3.84</v>
      </c>
      <c r="P76" s="118">
        <f t="shared" si="11"/>
        <v>0</v>
      </c>
    </row>
    <row r="77" spans="1:16" ht="14.25" customHeight="1">
      <c r="A77" s="1" t="s">
        <v>765</v>
      </c>
      <c r="B77" s="117" t="s">
        <v>87</v>
      </c>
      <c r="C77" s="5">
        <f t="shared" si="7"/>
        <v>10408.1</v>
      </c>
      <c r="D77" s="6">
        <f>+IFERROR(IFERROR(VLOOKUP($A77,[4]IMF_fdi_credit_debitinc!$A:$C,3,0),VLOOKUP($B77,[4]IMF_fdi_credit_debitinc!$A:$C,3,0)),0)/1000000</f>
        <v>10408.1</v>
      </c>
      <c r="E77" s="6">
        <f>+IFERROR(VLOOKUP(A77,[4]OECD_COUNTERDO_INCOME!A:B,2,0),0)</f>
        <v>2650.8890000000001</v>
      </c>
      <c r="F77" s="6">
        <f t="shared" si="8"/>
        <v>7757.2110000000002</v>
      </c>
      <c r="G77" s="7">
        <f t="shared" si="12"/>
        <v>0</v>
      </c>
      <c r="H77" s="6"/>
      <c r="I77" s="6"/>
      <c r="J77" s="6"/>
      <c r="K77" s="6">
        <f t="shared" si="13"/>
        <v>2759.5105763631832</v>
      </c>
      <c r="L77" s="5">
        <f t="shared" ref="L77:L80" si="14">+M77</f>
        <v>55.546035842210003</v>
      </c>
      <c r="M77" s="6">
        <f>+IFERROR(IFERROR(VLOOKUP($A77,[4]IMF_fdi_credit_debitinc!$A:$C,2,0),VLOOKUP($B77,[4]IMF_fdi_credit_debitinc!$A:$C,2,0)),0)/1000000</f>
        <v>55.546035842210003</v>
      </c>
      <c r="N77" s="6">
        <f>+IFERROR(VLOOKUP(A77,[4]OECD_COUNTERDI_INCOME!A:B,2,0),0)</f>
        <v>567.12900000000002</v>
      </c>
      <c r="O77" s="6">
        <f t="shared" si="10"/>
        <v>-511.58296415779</v>
      </c>
      <c r="P77" s="118">
        <f t="shared" si="11"/>
        <v>511.58296415779</v>
      </c>
    </row>
    <row r="78" spans="1:16" ht="14.25" customHeight="1">
      <c r="A78" s="1" t="s">
        <v>773</v>
      </c>
      <c r="B78" s="117" t="s">
        <v>134</v>
      </c>
      <c r="C78" s="5">
        <f t="shared" si="7"/>
        <v>0</v>
      </c>
      <c r="D78" s="6">
        <f>+IFERROR(IFERROR(VLOOKUP($A78,[4]IMF_fdi_credit_debitinc!$A:$C,3,0),VLOOKUP($B78,[4]IMF_fdi_credit_debitinc!$A:$C,3,0)),0)/1000000</f>
        <v>0</v>
      </c>
      <c r="E78" s="6">
        <f>+IFERROR(VLOOKUP(A78,[4]OECD_COUNTERDO_INCOME!A:B,2,0),0)</f>
        <v>80.643000000000001</v>
      </c>
      <c r="F78" s="6">
        <f t="shared" si="8"/>
        <v>-80.643000000000001</v>
      </c>
      <c r="G78" s="7">
        <f t="shared" si="12"/>
        <v>80.643000000000001</v>
      </c>
      <c r="H78" s="6"/>
      <c r="I78" s="6"/>
      <c r="J78" s="6"/>
      <c r="K78" s="6">
        <f t="shared" si="13"/>
        <v>21.380964000120692</v>
      </c>
      <c r="L78" s="5">
        <f t="shared" si="14"/>
        <v>0</v>
      </c>
      <c r="M78" s="6">
        <f>+IFERROR(IFERROR(VLOOKUP($A78,[4]IMF_fdi_credit_debitinc!$A:$C,2,0),VLOOKUP($B78,[4]IMF_fdi_credit_debitinc!$A:$C,2,0)),0)/1000000</f>
        <v>0</v>
      </c>
      <c r="N78" s="6">
        <f>+IFERROR(VLOOKUP(A78,[4]OECD_COUNTERDI_INCOME!A:B,2,0),0)</f>
        <v>24.463999999999999</v>
      </c>
      <c r="O78" s="6">
        <f t="shared" si="10"/>
        <v>-24.463999999999999</v>
      </c>
      <c r="P78" s="118">
        <f t="shared" si="11"/>
        <v>24.463999999999999</v>
      </c>
    </row>
    <row r="79" spans="1:16" ht="14.25" customHeight="1">
      <c r="A79" s="1" t="s">
        <v>135</v>
      </c>
      <c r="B79" s="117" t="s">
        <v>199</v>
      </c>
      <c r="C79" s="5">
        <f t="shared" si="7"/>
        <v>0</v>
      </c>
      <c r="D79" s="6">
        <f>+IFERROR(IFERROR(VLOOKUP($A79,[4]IMF_fdi_credit_debitinc!$A:$C,3,0),VLOOKUP($B79,[4]IMF_fdi_credit_debitinc!$A:$C,3,0)),0)/1000000</f>
        <v>0</v>
      </c>
      <c r="E79" s="6">
        <f>+IFERROR(VLOOKUP(A79,[4]OECD_COUNTERDO_INCOME!A:B,2,0),0)</f>
        <v>0</v>
      </c>
      <c r="F79" s="6">
        <f t="shared" si="8"/>
        <v>0</v>
      </c>
      <c r="G79" s="7">
        <f t="shared" si="12"/>
        <v>0</v>
      </c>
      <c r="H79" s="6"/>
      <c r="I79" s="6"/>
      <c r="J79" s="6"/>
      <c r="K79" s="6">
        <f t="shared" si="13"/>
        <v>0</v>
      </c>
      <c r="L79" s="5">
        <f t="shared" si="14"/>
        <v>0</v>
      </c>
      <c r="M79" s="6">
        <f>+IFERROR(IFERROR(VLOOKUP($A79,[4]IMF_fdi_credit_debitinc!$A:$C,2,0),VLOOKUP($B79,[4]IMF_fdi_credit_debitinc!$A:$C,2,0)),0)/1000000</f>
        <v>0</v>
      </c>
      <c r="N79" s="6">
        <f>+IFERROR(VLOOKUP(A79,[4]OECD_COUNTERDI_INCOME!A:B,2,0),0)</f>
        <v>0</v>
      </c>
      <c r="O79" s="6">
        <f t="shared" ref="O79" si="15">+L79-N79</f>
        <v>0</v>
      </c>
      <c r="P79" s="118">
        <f t="shared" ref="P79" si="16">IF(L79&lt;N79,-O79,0)</f>
        <v>0</v>
      </c>
    </row>
    <row r="80" spans="1:16" ht="14.25" customHeight="1">
      <c r="A80" s="1" t="s">
        <v>136</v>
      </c>
      <c r="B80" s="117" t="s">
        <v>200</v>
      </c>
      <c r="C80" s="5">
        <f t="shared" si="7"/>
        <v>0</v>
      </c>
      <c r="D80" s="6">
        <f>+IFERROR(IFERROR(VLOOKUP($A80,[4]IMF_fdi_credit_debitinc!$A:$C,3,0),VLOOKUP($B80,[4]IMF_fdi_credit_debitinc!$A:$C,3,0)),0)/1000000</f>
        <v>0</v>
      </c>
      <c r="E80" s="6">
        <f>+IFERROR(VLOOKUP(A80,[4]OECD_COUNTERDO_INCOME!A:B,2,0),0)</f>
        <v>-12.868</v>
      </c>
      <c r="F80" s="6">
        <f t="shared" ref="F80:F88" si="17">+C80-E80</f>
        <v>12.868</v>
      </c>
      <c r="G80" s="7">
        <f t="shared" si="12"/>
        <v>0</v>
      </c>
      <c r="H80" s="6"/>
      <c r="I80" s="6"/>
      <c r="J80" s="6"/>
      <c r="K80" s="6">
        <f t="shared" si="13"/>
        <v>0</v>
      </c>
      <c r="L80" s="5">
        <f t="shared" si="14"/>
        <v>0</v>
      </c>
      <c r="M80" s="6">
        <f>+IFERROR(IFERROR(VLOOKUP($A80,[4]IMF_fdi_credit_debitinc!$A:$C,2,0),VLOOKUP($B80,[4]IMF_fdi_credit_debitinc!$A:$C,2,0)),0)/1000000</f>
        <v>0</v>
      </c>
      <c r="N80" s="6">
        <f>+IFERROR(VLOOKUP(A80,[4]OECD_COUNTERDI_INCOME!A:B,2,0),0)</f>
        <v>0</v>
      </c>
      <c r="O80" s="6">
        <f t="shared" ref="O80:O88" si="18">+L80-N80</f>
        <v>0</v>
      </c>
      <c r="P80" s="118">
        <f t="shared" ref="P80:P88" si="19">IF(L80&lt;N80,-O80,0)</f>
        <v>0</v>
      </c>
    </row>
    <row r="81" spans="1:16" ht="14.25" customHeight="1">
      <c r="A81" s="1" t="s">
        <v>766</v>
      </c>
      <c r="B81" s="117" t="s">
        <v>201</v>
      </c>
      <c r="C81" s="5">
        <f t="shared" si="7"/>
        <v>0</v>
      </c>
      <c r="D81" s="6">
        <f>+IFERROR(IFERROR(VLOOKUP($A81,[4]IMF_fdi_credit_debitinc!$A:$C,3,0),VLOOKUP($B81,[4]IMF_fdi_credit_debitinc!$A:$C,3,0)),0)/1000000</f>
        <v>0</v>
      </c>
      <c r="E81" s="6">
        <f>+IFERROR(VLOOKUP(A81,[4]OECD_COUNTERDO_INCOME!A:B,2,0),0)</f>
        <v>574.52200000000005</v>
      </c>
      <c r="F81" s="6">
        <f t="shared" si="17"/>
        <v>-574.52200000000005</v>
      </c>
      <c r="G81" s="7">
        <f>IF(F81&lt;0,-F81,0)</f>
        <v>574.52200000000005</v>
      </c>
      <c r="H81" s="6"/>
      <c r="I81" s="6"/>
      <c r="J81" s="6"/>
      <c r="K81" s="6">
        <f t="shared" si="13"/>
        <v>152.32362634422503</v>
      </c>
      <c r="L81" s="5">
        <f t="shared" ref="L81:L82" si="20">+M81</f>
        <v>0</v>
      </c>
      <c r="M81" s="6">
        <f>+IFERROR(IFERROR(VLOOKUP($A81,[4]IMF_fdi_credit_debitinc!$A:$C,2,0),VLOOKUP($B81,[4]IMF_fdi_credit_debitinc!$A:$C,2,0)),0)/1000000</f>
        <v>0</v>
      </c>
      <c r="N81" s="6">
        <f>+IFERROR(VLOOKUP(A81,[4]OECD_COUNTERDI_INCOME!A:B,2,0),0)</f>
        <v>219.898</v>
      </c>
      <c r="O81" s="6">
        <f t="shared" si="18"/>
        <v>-219.898</v>
      </c>
      <c r="P81" s="118">
        <f t="shared" si="19"/>
        <v>219.898</v>
      </c>
    </row>
    <row r="82" spans="1:16" ht="14.25" customHeight="1">
      <c r="A82" s="1" t="s">
        <v>767</v>
      </c>
      <c r="B82" s="117" t="s">
        <v>202</v>
      </c>
      <c r="C82" s="5">
        <f t="shared" ref="C82" si="21">+D82</f>
        <v>63.096974085490004</v>
      </c>
      <c r="D82" s="6">
        <f>+IFERROR(IFERROR(VLOOKUP($A82,[4]IMF_fdi_credit_debitinc!$A:$C,3,0),VLOOKUP($B82,[4]IMF_fdi_credit_debitinc!$A:$C,3,0)),0)/1000000</f>
        <v>63.096974085490004</v>
      </c>
      <c r="E82" s="6">
        <f>+IFERROR(VLOOKUP(A82,[4]OECD_COUNTERDO_INCOME!A:B,2,0),0)</f>
        <v>176.006</v>
      </c>
      <c r="F82" s="6">
        <f t="shared" si="17"/>
        <v>-112.90902591451</v>
      </c>
      <c r="G82" s="7">
        <f>IF(F82&lt;0,-F82,0)</f>
        <v>112.90902591451</v>
      </c>
      <c r="H82" s="6"/>
      <c r="I82" s="6"/>
      <c r="J82" s="6"/>
      <c r="K82" s="6">
        <f t="shared" si="13"/>
        <v>46.664657190397705</v>
      </c>
      <c r="L82" s="5">
        <f t="shared" si="20"/>
        <v>0.98539395027999999</v>
      </c>
      <c r="M82" s="6">
        <f>+IFERROR(IFERROR(VLOOKUP($A82,[4]IMF_fdi_credit_debitinc!$A:$C,2,0),VLOOKUP($B82,[4]IMF_fdi_credit_debitinc!$A:$C,2,0)),0)/1000000</f>
        <v>0.98539395027999999</v>
      </c>
      <c r="N82" s="6">
        <f>+IFERROR(VLOOKUP(A82,[4]OECD_COUNTERDI_INCOME!A:B,2,0),0)</f>
        <v>14.298999999999999</v>
      </c>
      <c r="O82" s="6">
        <f t="shared" si="18"/>
        <v>-13.313606049719999</v>
      </c>
      <c r="P82" s="118">
        <f t="shared" si="19"/>
        <v>13.313606049719999</v>
      </c>
    </row>
    <row r="83" spans="1:16" ht="14.25" customHeight="1">
      <c r="A83" s="1" t="s">
        <v>768</v>
      </c>
      <c r="B83" s="117" t="s">
        <v>22</v>
      </c>
      <c r="C83" s="668">
        <f t="shared" ref="C83" si="22">+D83</f>
        <v>134495.52785923751</v>
      </c>
      <c r="D83" s="667">
        <f>[4]Singapore!$W$98</f>
        <v>134495.52785923751</v>
      </c>
      <c r="E83" s="6">
        <f>+IFERROR(VLOOKUP(A83,[4]OECD_COUNTERDO_INCOME!A:B,2,0),0)</f>
        <v>71986.789000000004</v>
      </c>
      <c r="F83" s="6">
        <f t="shared" ref="F83" si="23">+C83-E83</f>
        <v>62508.738859237506</v>
      </c>
      <c r="G83" s="7">
        <f>IF(F83&lt;0,-F83,0)</f>
        <v>0</v>
      </c>
      <c r="H83" s="6"/>
      <c r="I83" s="6"/>
      <c r="J83" s="6"/>
      <c r="K83" s="6">
        <f t="shared" ref="K83" si="24">$J$223*(G83+D83+J83)/(SUM($G$54:$G$88,$D$54:$D$88)-G$64-G$66-G$87-G$84-D$64-D$66-D$87-D$84)</f>
        <v>35658.941747400102</v>
      </c>
      <c r="L83" s="668">
        <f t="shared" ref="L83" si="25">+M83</f>
        <v>89663.685239491664</v>
      </c>
      <c r="M83" s="667">
        <f>2/3*D83</f>
        <v>89663.685239491664</v>
      </c>
      <c r="N83" s="6">
        <f>+IFERROR(VLOOKUP(A83,[4]OECD_COUNTERDI_INCOME!A:B,2,0),0)</f>
        <v>10578.924000000001</v>
      </c>
      <c r="O83" s="6">
        <f t="shared" ref="O83" si="26">+L83-N83</f>
        <v>79084.761239491665</v>
      </c>
      <c r="P83" s="118">
        <f t="shared" ref="P83" si="27">IF(L83&lt;N83,-O83,0)</f>
        <v>0</v>
      </c>
    </row>
    <row r="84" spans="1:16" ht="14.25" customHeight="1">
      <c r="A84" s="1" t="s">
        <v>137</v>
      </c>
      <c r="B84" s="117" t="s">
        <v>203</v>
      </c>
      <c r="C84" s="5">
        <f t="shared" si="7"/>
        <v>0</v>
      </c>
      <c r="D84" s="6">
        <f>+IFERROR(IFERROR(VLOOKUP($A84,[4]IMF_fdi_credit_debitinc!$A:$C,3,0),VLOOKUP($B84,[4]IMF_fdi_credit_debitinc!$A:$C,3,0)),0)/1000000</f>
        <v>0</v>
      </c>
      <c r="E84" s="6">
        <f>+IFERROR(VLOOKUP(A84,[4]OECD_COUNTERDO_INCOME!A:B,2,0),0)</f>
        <v>57.984999999999999</v>
      </c>
      <c r="F84" s="6">
        <f t="shared" si="17"/>
        <v>-57.984999999999999</v>
      </c>
      <c r="G84" s="7">
        <f t="shared" ref="G84:G88" si="28">IF(F84&lt;0,-F84,0)</f>
        <v>57.984999999999999</v>
      </c>
      <c r="H84" s="6"/>
      <c r="I84" s="6"/>
      <c r="J84" s="6">
        <f>'[4]Imputed DI income using stocks'!$G$8</f>
        <v>-13.590672673245498</v>
      </c>
      <c r="K84" s="6"/>
      <c r="L84" s="5">
        <v>0</v>
      </c>
      <c r="M84" s="6">
        <f>+IFERROR(IFERROR(VLOOKUP($A84,[4]IMF_fdi_credit_debitinc!$A:$C,2,0),VLOOKUP($B84,[4]IMF_fdi_credit_debitinc!$A:$C,2,0)),0)/1000000</f>
        <v>0</v>
      </c>
      <c r="N84" s="6">
        <f>+IFERROR(VLOOKUP(A84,[4]OECD_COUNTERDI_INCOME!A:B,2,0),0)</f>
        <v>-0.128</v>
      </c>
      <c r="O84" s="6">
        <f t="shared" si="18"/>
        <v>0.128</v>
      </c>
      <c r="P84" s="118">
        <f t="shared" si="19"/>
        <v>0</v>
      </c>
    </row>
    <row r="85" spans="1:16" ht="14.25" customHeight="1">
      <c r="A85" s="1" t="s">
        <v>138</v>
      </c>
      <c r="B85" s="117" t="s">
        <v>204</v>
      </c>
      <c r="C85" s="5">
        <f t="shared" si="7"/>
        <v>0</v>
      </c>
      <c r="D85" s="6">
        <f>+IFERROR(IFERROR(VLOOKUP($A85,[4]IMF_fdi_credit_debitinc!$A:$C,3,0),VLOOKUP($B85,[4]IMF_fdi_credit_debitinc!$A:$C,3,0)),0)/1000000</f>
        <v>0</v>
      </c>
      <c r="E85" s="6">
        <f>+IFERROR(VLOOKUP(A85,[4]OECD_COUNTERDO_INCOME!A:B,2,0),0)</f>
        <v>14.881</v>
      </c>
      <c r="F85" s="6">
        <f t="shared" si="17"/>
        <v>-14.881</v>
      </c>
      <c r="G85" s="7">
        <f t="shared" si="28"/>
        <v>14.881</v>
      </c>
      <c r="H85" s="6"/>
      <c r="I85" s="6"/>
      <c r="J85" s="6"/>
      <c r="K85" s="6">
        <f t="shared" si="13"/>
        <v>3.9454152906736608</v>
      </c>
      <c r="L85" s="5">
        <v>0</v>
      </c>
      <c r="M85" s="6">
        <f>+IFERROR(IFERROR(VLOOKUP($A85,[4]IMF_fdi_credit_debitinc!$A:$C,2,0),VLOOKUP($B85,[4]IMF_fdi_credit_debitinc!$A:$C,2,0)),0)/1000000</f>
        <v>0</v>
      </c>
      <c r="N85" s="6">
        <f>+IFERROR(VLOOKUP(A85,[4]OECD_COUNTERDI_INCOME!A:B,2,0),0)</f>
        <v>2.44</v>
      </c>
      <c r="O85" s="6">
        <f t="shared" si="18"/>
        <v>-2.44</v>
      </c>
      <c r="P85" s="118">
        <f t="shared" si="19"/>
        <v>2.44</v>
      </c>
    </row>
    <row r="86" spans="1:16" ht="14.25" customHeight="1">
      <c r="A86" s="1" t="s">
        <v>139</v>
      </c>
      <c r="B86" s="117" t="s">
        <v>205</v>
      </c>
      <c r="C86" s="5">
        <f t="shared" si="7"/>
        <v>0</v>
      </c>
      <c r="D86" s="6">
        <f>+IFERROR(IFERROR(VLOOKUP($A86,[4]IMF_fdi_credit_debitinc!$A:$C,3,0),VLOOKUP($B86,[4]IMF_fdi_credit_debitinc!$A:$C,3,0)),0)/1000000</f>
        <v>0</v>
      </c>
      <c r="E86" s="6">
        <f>+IFERROR(VLOOKUP(A86,[4]OECD_COUNTERDO_INCOME!A:B,2,0),0)</f>
        <v>1.7</v>
      </c>
      <c r="F86" s="6">
        <f t="shared" si="17"/>
        <v>-1.7</v>
      </c>
      <c r="G86" s="7">
        <f t="shared" si="28"/>
        <v>1.7</v>
      </c>
      <c r="H86" s="6"/>
      <c r="I86" s="6"/>
      <c r="J86" s="6"/>
      <c r="K86" s="6">
        <f t="shared" si="13"/>
        <v>0.45072280049359736</v>
      </c>
      <c r="L86" s="5">
        <v>0</v>
      </c>
      <c r="M86" s="6">
        <f>+IFERROR(IFERROR(VLOOKUP($A86,[4]IMF_fdi_credit_debitinc!$A:$C,2,0),VLOOKUP($B86,[4]IMF_fdi_credit_debitinc!$A:$C,2,0)),0)/1000000</f>
        <v>0</v>
      </c>
      <c r="N86" s="6">
        <f>+IFERROR(VLOOKUP(A86,[4]OECD_COUNTERDI_INCOME!A:B,2,0),0)</f>
        <v>3.1880000000000002</v>
      </c>
      <c r="O86" s="6">
        <f t="shared" si="18"/>
        <v>-3.1880000000000002</v>
      </c>
      <c r="P86" s="118">
        <f t="shared" si="19"/>
        <v>3.1880000000000002</v>
      </c>
    </row>
    <row r="87" spans="1:16" ht="14.25" customHeight="1">
      <c r="A87" s="1" t="s">
        <v>140</v>
      </c>
      <c r="B87" s="117" t="s">
        <v>206</v>
      </c>
      <c r="C87" s="5">
        <f t="shared" si="7"/>
        <v>0</v>
      </c>
      <c r="D87" s="6">
        <f>+IFERROR(IFERROR(VLOOKUP($A87,[4]IMF_fdi_credit_debitinc!$A:$C,3,0),VLOOKUP($B87,[4]IMF_fdi_credit_debitinc!$A:$C,3,0)),0)/1000000</f>
        <v>0</v>
      </c>
      <c r="E87" s="6">
        <f>+IFERROR(VLOOKUP(A87,[4]OECD_COUNTERDO_INCOME!A:B,2,0),0)</f>
        <v>0</v>
      </c>
      <c r="F87" s="6">
        <f t="shared" si="17"/>
        <v>0</v>
      </c>
      <c r="G87" s="7">
        <f t="shared" si="28"/>
        <v>0</v>
      </c>
      <c r="H87" s="6"/>
      <c r="I87" s="6"/>
      <c r="J87" s="6">
        <f>'[4]Imputed DI income using stocks'!$G$7</f>
        <v>53.026762099234503</v>
      </c>
      <c r="K87" s="6"/>
      <c r="L87" s="5">
        <v>0</v>
      </c>
      <c r="M87" s="6">
        <f>+IFERROR(IFERROR(VLOOKUP($A87,[4]IMF_fdi_credit_debitinc!$A:$C,2,0),VLOOKUP($B87,[4]IMF_fdi_credit_debitinc!$A:$C,2,0)),0)/1000000</f>
        <v>0</v>
      </c>
      <c r="N87" s="6">
        <f>+IFERROR(VLOOKUP(A87,[4]OECD_COUNTERDI_INCOME!A:B,2,0),0)</f>
        <v>2.8069999999999999</v>
      </c>
      <c r="O87" s="6">
        <f t="shared" si="18"/>
        <v>-2.8069999999999999</v>
      </c>
      <c r="P87" s="118">
        <f t="shared" si="19"/>
        <v>2.8069999999999999</v>
      </c>
    </row>
    <row r="88" spans="1:16" ht="14.25" customHeight="1">
      <c r="A88" s="1" t="s">
        <v>769</v>
      </c>
      <c r="B88" s="117" t="s">
        <v>207</v>
      </c>
      <c r="C88" s="5">
        <f t="shared" si="7"/>
        <v>3546.2</v>
      </c>
      <c r="D88" s="6">
        <f>+IFERROR(IFERROR(VLOOKUP($A88,[4]IMF_fdi_credit_debitinc!$A:$C,3,0),VLOOKUP($B88,[4]IMF_fdi_credit_debitinc!$A:$C,3,0)),0)/1000000</f>
        <v>3546.2</v>
      </c>
      <c r="E88" s="6">
        <f>+IFERROR(VLOOKUP(A88,[4]OECD_COUNTERDO_INCOME!A:B,2,0),0)</f>
        <v>813.21699999999998</v>
      </c>
      <c r="F88" s="6">
        <f t="shared" si="17"/>
        <v>2732.9829999999997</v>
      </c>
      <c r="G88" s="7">
        <f t="shared" si="28"/>
        <v>0</v>
      </c>
      <c r="H88" s="6"/>
      <c r="I88" s="6"/>
      <c r="J88" s="6"/>
      <c r="K88" s="6">
        <f t="shared" si="13"/>
        <v>940.20776182964414</v>
      </c>
      <c r="L88" s="5">
        <f>+M88</f>
        <v>235.66900000000001</v>
      </c>
      <c r="M88" s="6">
        <f>+IFERROR(IFERROR(VLOOKUP($A88,[4]IMF_fdi_credit_debitinc!$A:$C,2,0),VLOOKUP($B88,[4]IMF_fdi_credit_debitinc!$A:$C,2,0)),0)/1000000</f>
        <v>235.66900000000001</v>
      </c>
      <c r="N88" s="6">
        <f>+IFERROR(VLOOKUP(A88,[4]OECD_COUNTERDI_INCOME!A:B,2,0),0)</f>
        <v>256.65699999999998</v>
      </c>
      <c r="O88" s="6">
        <f t="shared" si="18"/>
        <v>-20.987999999999971</v>
      </c>
      <c r="P88" s="118">
        <f t="shared" si="19"/>
        <v>20.987999999999971</v>
      </c>
    </row>
    <row r="89" spans="1:16" ht="14.25" customHeight="1">
      <c r="A89" s="1" t="s">
        <v>141</v>
      </c>
      <c r="B89" s="117" t="s">
        <v>18</v>
      </c>
      <c r="C89" s="5">
        <f t="shared" si="7"/>
        <v>0</v>
      </c>
      <c r="D89" s="6">
        <f>+IFERROR(IFERROR(VLOOKUP($A89,[4]IMF_fdi_credit_debitinc!$A:$C,3,0),VLOOKUP($B89,[4]IMF_fdi_credit_debitinc!$A:$C,3,0)),0)/1000000</f>
        <v>0</v>
      </c>
      <c r="E89" s="6">
        <f>+IFERROR(VLOOKUP(A89,[4]OECD_COUNTERDO_INCOME!A:B,2,0),0)</f>
        <v>0</v>
      </c>
      <c r="F89" s="6">
        <v>0</v>
      </c>
      <c r="G89" s="7">
        <f>IF(F89&lt;0,-F89,0)</f>
        <v>0</v>
      </c>
      <c r="H89" s="6"/>
      <c r="I89" s="6"/>
      <c r="J89" s="6"/>
      <c r="K89" s="6">
        <f t="shared" si="13"/>
        <v>0</v>
      </c>
      <c r="L89" s="5">
        <v>0</v>
      </c>
      <c r="M89" s="6">
        <f>+IFERROR(IFERROR(VLOOKUP($A89,[4]IMF_fdi_credit_debitinc!$A:$C,2,0),VLOOKUP($B89,[4]IMF_fdi_credit_debitinc!$A:$C,2,0)),0)/1000000</f>
        <v>0</v>
      </c>
      <c r="N89" s="6">
        <f>+IFERROR(VLOOKUP(A89,[4]OECD_COUNTERDI_INCOME!A:B,2,0),0)</f>
        <v>0</v>
      </c>
      <c r="O89" s="6">
        <v>0</v>
      </c>
      <c r="P89" s="118">
        <v>0</v>
      </c>
    </row>
    <row r="90" spans="1:16" ht="40" customHeight="1">
      <c r="B90" s="124" t="s">
        <v>142</v>
      </c>
      <c r="C90" s="8">
        <f>SUM(C91:C219)</f>
        <v>116634.5388115166</v>
      </c>
      <c r="D90" s="9">
        <f t="shared" ref="D90:P90" si="29">SUM(D91:D219)</f>
        <v>116634.5388115166</v>
      </c>
      <c r="E90" s="9">
        <f t="shared" si="29"/>
        <v>68097.191000000006</v>
      </c>
      <c r="F90" s="9">
        <f t="shared" si="29"/>
        <v>53528.336811516609</v>
      </c>
      <c r="G90" s="7"/>
      <c r="H90" s="9"/>
      <c r="I90" s="9"/>
      <c r="J90" s="9">
        <f t="shared" si="29"/>
        <v>0</v>
      </c>
      <c r="K90" s="9">
        <f t="shared" si="29"/>
        <v>0</v>
      </c>
      <c r="L90" s="8">
        <f t="shared" si="29"/>
        <v>16329.390102297621</v>
      </c>
      <c r="M90" s="9">
        <f t="shared" si="29"/>
        <v>16329.390102297621</v>
      </c>
      <c r="N90" s="9">
        <f t="shared" si="29"/>
        <v>4495.848</v>
      </c>
      <c r="O90" s="9">
        <f t="shared" si="29"/>
        <v>12568.30910229762</v>
      </c>
      <c r="P90" s="122">
        <f t="shared" si="29"/>
        <v>0</v>
      </c>
    </row>
    <row r="91" spans="1:16" ht="14.25" customHeight="1">
      <c r="A91" s="1" t="s">
        <v>774</v>
      </c>
      <c r="B91" s="117" t="s">
        <v>208</v>
      </c>
      <c r="C91" s="5">
        <f t="shared" ref="C91:C154" si="30">+D91</f>
        <v>0</v>
      </c>
      <c r="D91" s="6">
        <f>+IFERROR(IFERROR(VLOOKUP($A91,[4]IMF_fdi_credit_debitinc!$A:$C,3,0),VLOOKUP($B91,[4]IMF_fdi_credit_debitinc!$A:$C,3,0)),0)/1000000</f>
        <v>0</v>
      </c>
      <c r="E91" s="6">
        <f>+IFERROR(VLOOKUP(A91,[4]OECD_COUNTERDO_INCOME!A:B,2,0),0)</f>
        <v>2</v>
      </c>
      <c r="F91" s="6">
        <f t="shared" ref="F91:F122" si="31">+C91-E91</f>
        <v>-2</v>
      </c>
      <c r="G91" s="7"/>
      <c r="H91" s="6"/>
      <c r="I91" s="6"/>
      <c r="J91" s="6"/>
      <c r="K91" s="6"/>
      <c r="L91" s="5">
        <f>+M91</f>
        <v>0</v>
      </c>
      <c r="M91" s="6">
        <f>+IFERROR(IFERROR(VLOOKUP($A91,[4]IMF_fdi_credit_debitinc!$A:$C,2,0),VLOOKUP($B91,[4]IMF_fdi_credit_debitinc!$A:$C,2,0)),0)/1000000</f>
        <v>0</v>
      </c>
      <c r="N91" s="6">
        <f>+IFERROR(VLOOKUP(A91,[4]OECD_COUNTERDI_INCOME!A:B,2,0),0)</f>
        <v>-0.97</v>
      </c>
      <c r="O91" s="6">
        <f t="shared" ref="O91:O154" si="32">+L91-N91</f>
        <v>0.97</v>
      </c>
      <c r="P91" s="118"/>
    </row>
    <row r="92" spans="1:16" ht="14.25" customHeight="1">
      <c r="A92" s="1" t="s">
        <v>775</v>
      </c>
      <c r="B92" s="117" t="s">
        <v>209</v>
      </c>
      <c r="C92" s="5">
        <f t="shared" si="30"/>
        <v>475.59</v>
      </c>
      <c r="D92" s="6">
        <f>+IFERROR(IFERROR(VLOOKUP($A92,[4]IMF_fdi_credit_debitinc!$A:$C,3,0),VLOOKUP($B92,[4]IMF_fdi_credit_debitinc!$A:$C,3,0)),0)/1000000</f>
        <v>475.59</v>
      </c>
      <c r="E92" s="6">
        <f>+IFERROR(VLOOKUP(A92,[4]OECD_COUNTERDO_INCOME!A:B,2,0),0)</f>
        <v>-205.78100000000001</v>
      </c>
      <c r="F92" s="6">
        <f t="shared" si="31"/>
        <v>681.37099999999998</v>
      </c>
      <c r="G92" s="7"/>
      <c r="H92" s="6"/>
      <c r="I92" s="6"/>
      <c r="J92" s="6"/>
      <c r="K92" s="6"/>
      <c r="L92" s="5">
        <f t="shared" ref="L92:L155" si="33">+M92</f>
        <v>17.37236838826</v>
      </c>
      <c r="M92" s="6">
        <f>+IFERROR(IFERROR(VLOOKUP($A92,[4]IMF_fdi_credit_debitinc!$A:$C,2,0),VLOOKUP($B92,[4]IMF_fdi_credit_debitinc!$A:$C,2,0)),0)/1000000</f>
        <v>17.37236838826</v>
      </c>
      <c r="N92" s="6">
        <f>+IFERROR(VLOOKUP(A92,[4]OECD_COUNTERDI_INCOME!A:B,2,0),0)</f>
        <v>-3.5999999999999997E-2</v>
      </c>
      <c r="O92" s="6">
        <f t="shared" si="32"/>
        <v>17.408368388260001</v>
      </c>
      <c r="P92" s="118"/>
    </row>
    <row r="93" spans="1:16" ht="14.25" customHeight="1">
      <c r="A93" s="1" t="s">
        <v>776</v>
      </c>
      <c r="B93" s="117" t="s">
        <v>210</v>
      </c>
      <c r="C93" s="5">
        <f t="shared" si="30"/>
        <v>0</v>
      </c>
      <c r="D93" s="6">
        <f>+IFERROR(IFERROR(VLOOKUP($A93,[4]IMF_fdi_credit_debitinc!$A:$C,3,0),VLOOKUP($B93,[4]IMF_fdi_credit_debitinc!$A:$C,3,0)),0)/1000000</f>
        <v>0</v>
      </c>
      <c r="E93" s="6">
        <f>+IFERROR(VLOOKUP(A93,[4]OECD_COUNTERDO_INCOME!A:B,2,0),0)</f>
        <v>933.35699999999997</v>
      </c>
      <c r="F93" s="6">
        <f t="shared" si="31"/>
        <v>-933.35699999999997</v>
      </c>
      <c r="G93" s="7"/>
      <c r="H93" s="6"/>
      <c r="I93" s="6"/>
      <c r="J93" s="6"/>
      <c r="K93" s="6"/>
      <c r="L93" s="5">
        <f t="shared" si="33"/>
        <v>0</v>
      </c>
      <c r="M93" s="6">
        <f>+IFERROR(IFERROR(VLOOKUP($A93,[4]IMF_fdi_credit_debitinc!$A:$C,2,0),VLOOKUP($B93,[4]IMF_fdi_credit_debitinc!$A:$C,2,0)),0)/1000000</f>
        <v>0</v>
      </c>
      <c r="N93" s="6">
        <f>+IFERROR(VLOOKUP(A93,[4]OECD_COUNTERDI_INCOME!A:B,2,0),0)</f>
        <v>49.366</v>
      </c>
      <c r="O93" s="6">
        <f t="shared" si="32"/>
        <v>-49.366</v>
      </c>
      <c r="P93" s="118"/>
    </row>
    <row r="94" spans="1:16" ht="14.25" customHeight="1">
      <c r="A94" s="1" t="s">
        <v>777</v>
      </c>
      <c r="B94" s="117" t="s">
        <v>211</v>
      </c>
      <c r="C94" s="5">
        <f t="shared" si="30"/>
        <v>0</v>
      </c>
      <c r="D94" s="6">
        <f>+IFERROR(IFERROR(VLOOKUP($A94,[4]IMF_fdi_credit_debitinc!$A:$C,3,0),VLOOKUP($B94,[4]IMF_fdi_credit_debitinc!$A:$C,3,0)),0)/1000000</f>
        <v>0</v>
      </c>
      <c r="E94" s="6">
        <f>+IFERROR(VLOOKUP(A94,[4]OECD_COUNTERDO_INCOME!A:B,2,0),0)</f>
        <v>1026.8779999999999</v>
      </c>
      <c r="F94" s="6">
        <f t="shared" si="31"/>
        <v>-1026.8779999999999</v>
      </c>
      <c r="G94" s="7"/>
      <c r="H94" s="6"/>
      <c r="I94" s="6"/>
      <c r="J94" s="6"/>
      <c r="K94" s="6"/>
      <c r="L94" s="5">
        <f t="shared" si="33"/>
        <v>0</v>
      </c>
      <c r="M94" s="6">
        <f>+IFERROR(IFERROR(VLOOKUP($A94,[4]IMF_fdi_credit_debitinc!$A:$C,2,0),VLOOKUP($B94,[4]IMF_fdi_credit_debitinc!$A:$C,2,0)),0)/1000000</f>
        <v>0</v>
      </c>
      <c r="N94" s="6">
        <f>+IFERROR(VLOOKUP(A94,[4]OECD_COUNTERDI_INCOME!A:B,2,0),0)</f>
        <v>1.673</v>
      </c>
      <c r="O94" s="6">
        <f t="shared" si="32"/>
        <v>-1.673</v>
      </c>
      <c r="P94" s="118"/>
    </row>
    <row r="95" spans="1:16" ht="14.25" customHeight="1">
      <c r="A95" s="1" t="s">
        <v>778</v>
      </c>
      <c r="B95" s="117" t="s">
        <v>78</v>
      </c>
      <c r="C95" s="5">
        <f t="shared" si="30"/>
        <v>6671.76</v>
      </c>
      <c r="D95" s="6">
        <f>+IFERROR(IFERROR(VLOOKUP($A95,[4]IMF_fdi_credit_debitinc!$A:$C,3,0),VLOOKUP($B95,[4]IMF_fdi_credit_debitinc!$A:$C,3,0)),0)/1000000</f>
        <v>6671.76</v>
      </c>
      <c r="E95" s="6">
        <f>+IFERROR(VLOOKUP(A95,[4]OECD_COUNTERDO_INCOME!A:B,2,0),0)</f>
        <v>2502.4870000000001</v>
      </c>
      <c r="F95" s="6">
        <f t="shared" si="31"/>
        <v>4169.2730000000001</v>
      </c>
      <c r="G95" s="7"/>
      <c r="H95" s="6"/>
      <c r="I95" s="6"/>
      <c r="J95" s="6"/>
      <c r="K95" s="6"/>
      <c r="L95" s="5">
        <f t="shared" si="33"/>
        <v>1335.97</v>
      </c>
      <c r="M95" s="6">
        <f>+IFERROR(IFERROR(VLOOKUP($A95,[4]IMF_fdi_credit_debitinc!$A:$C,2,0),VLOOKUP($B95,[4]IMF_fdi_credit_debitinc!$A:$C,2,0)),0)/1000000</f>
        <v>1335.97</v>
      </c>
      <c r="N95" s="6">
        <f>+IFERROR(VLOOKUP(A95,[4]OECD_COUNTERDI_INCOME!A:B,2,0),0)</f>
        <v>220.00700000000001</v>
      </c>
      <c r="O95" s="6">
        <f t="shared" si="32"/>
        <v>1115.963</v>
      </c>
      <c r="P95" s="118"/>
    </row>
    <row r="96" spans="1:16" ht="14.25" customHeight="1">
      <c r="A96" s="1" t="s">
        <v>779</v>
      </c>
      <c r="B96" s="117" t="s">
        <v>213</v>
      </c>
      <c r="C96" s="5">
        <f t="shared" si="30"/>
        <v>195.059</v>
      </c>
      <c r="D96" s="6">
        <f>+IFERROR(IFERROR(VLOOKUP($A96,[4]IMF_fdi_credit_debitinc!$A:$C,3,0),VLOOKUP($B96,[4]IMF_fdi_credit_debitinc!$A:$C,3,0)),0)/1000000</f>
        <v>195.059</v>
      </c>
      <c r="E96" s="6">
        <f>+IFERROR(VLOOKUP(A96,[4]OECD_COUNTERDO_INCOME!A:B,2,0),0)</f>
        <v>18.323</v>
      </c>
      <c r="F96" s="6">
        <f t="shared" si="31"/>
        <v>176.73599999999999</v>
      </c>
      <c r="G96" s="7"/>
      <c r="H96" s="6"/>
      <c r="I96" s="6"/>
      <c r="J96" s="6"/>
      <c r="K96" s="6"/>
      <c r="L96" s="5">
        <f t="shared" si="33"/>
        <v>11.328432679800001</v>
      </c>
      <c r="M96" s="6">
        <f>+IFERROR(IFERROR(VLOOKUP($A96,[4]IMF_fdi_credit_debitinc!$A:$C,2,0),VLOOKUP($B96,[4]IMF_fdi_credit_debitinc!$A:$C,2,0)),0)/1000000</f>
        <v>11.328432679800001</v>
      </c>
      <c r="N96" s="6">
        <f>+IFERROR(VLOOKUP(A96,[4]OECD_COUNTERDI_INCOME!A:B,2,0),0)</f>
        <v>5.944</v>
      </c>
      <c r="O96" s="6">
        <f t="shared" si="32"/>
        <v>5.3844326798000006</v>
      </c>
      <c r="P96" s="118"/>
    </row>
    <row r="97" spans="1:16" ht="14.25" customHeight="1">
      <c r="A97" s="1" t="s">
        <v>780</v>
      </c>
      <c r="B97" s="117" t="s">
        <v>215</v>
      </c>
      <c r="C97" s="5">
        <f t="shared" si="30"/>
        <v>2600.98</v>
      </c>
      <c r="D97" s="6">
        <f>+IFERROR(IFERROR(VLOOKUP($A97,[4]IMF_fdi_credit_debitinc!$A:$C,3,0),VLOOKUP($B97,[4]IMF_fdi_credit_debitinc!$A:$C,3,0)),0)/1000000</f>
        <v>2600.98</v>
      </c>
      <c r="E97" s="6">
        <f>+IFERROR(VLOOKUP(A97,[4]OECD_COUNTERDO_INCOME!A:B,2,0),0)</f>
        <v>294.73500000000001</v>
      </c>
      <c r="F97" s="6">
        <f t="shared" si="31"/>
        <v>2306.2449999999999</v>
      </c>
      <c r="G97" s="7"/>
      <c r="H97" s="6"/>
      <c r="I97" s="6"/>
      <c r="J97" s="6"/>
      <c r="K97" s="6"/>
      <c r="L97" s="5">
        <f t="shared" si="33"/>
        <v>438.762</v>
      </c>
      <c r="M97" s="6">
        <f>+IFERROR(IFERROR(VLOOKUP($A97,[4]IMF_fdi_credit_debitinc!$A:$C,2,0),VLOOKUP($B97,[4]IMF_fdi_credit_debitinc!$A:$C,2,0)),0)/1000000</f>
        <v>438.762</v>
      </c>
      <c r="N97" s="6">
        <f>+IFERROR(VLOOKUP(A97,[4]OECD_COUNTERDI_INCOME!A:B,2,0),0)</f>
        <v>-1.5009999999999999</v>
      </c>
      <c r="O97" s="6">
        <f t="shared" si="32"/>
        <v>440.26299999999998</v>
      </c>
      <c r="P97" s="118"/>
    </row>
    <row r="98" spans="1:16" ht="14.25" customHeight="1">
      <c r="A98" s="1" t="s">
        <v>781</v>
      </c>
      <c r="B98" s="117" t="s">
        <v>216</v>
      </c>
      <c r="C98" s="5">
        <f t="shared" si="30"/>
        <v>1690.93</v>
      </c>
      <c r="D98" s="6">
        <f>+IFERROR(IFERROR(VLOOKUP($A98,[4]IMF_fdi_credit_debitinc!$A:$C,3,0),VLOOKUP($B98,[4]IMF_fdi_credit_debitinc!$A:$C,3,0)),0)/1000000</f>
        <v>1690.93</v>
      </c>
      <c r="E98" s="6">
        <f>+IFERROR(VLOOKUP(A98,[4]OECD_COUNTERDO_INCOME!A:B,2,0),0)</f>
        <v>362.24099999999999</v>
      </c>
      <c r="F98" s="6">
        <f t="shared" si="31"/>
        <v>1328.6890000000001</v>
      </c>
      <c r="G98" s="7"/>
      <c r="H98" s="6"/>
      <c r="I98" s="6"/>
      <c r="J98" s="6"/>
      <c r="K98" s="6"/>
      <c r="L98" s="5">
        <f t="shared" si="33"/>
        <v>7.9986393416600006</v>
      </c>
      <c r="M98" s="6">
        <f>+IFERROR(IFERROR(VLOOKUP($A98,[4]IMF_fdi_credit_debitinc!$A:$C,2,0),VLOOKUP($B98,[4]IMF_fdi_credit_debitinc!$A:$C,2,0)),0)/1000000</f>
        <v>7.9986393416600006</v>
      </c>
      <c r="N98" s="6">
        <f>+IFERROR(VLOOKUP(A98,[4]OECD_COUNTERDI_INCOME!A:B,2,0),0)</f>
        <v>19.704000000000001</v>
      </c>
      <c r="O98" s="6">
        <f t="shared" si="32"/>
        <v>-11.70536065834</v>
      </c>
      <c r="P98" s="118"/>
    </row>
    <row r="99" spans="1:16" ht="14.25" customHeight="1">
      <c r="A99" s="1" t="s">
        <v>782</v>
      </c>
      <c r="B99" s="117" t="s">
        <v>217</v>
      </c>
      <c r="C99" s="5">
        <f t="shared" si="30"/>
        <v>1779.9</v>
      </c>
      <c r="D99" s="6">
        <f>+IFERROR(IFERROR(VLOOKUP($A99,[4]IMF_fdi_credit_debitinc!$A:$C,3,0),VLOOKUP($B99,[4]IMF_fdi_credit_debitinc!$A:$C,3,0)),0)/1000000</f>
        <v>1779.9</v>
      </c>
      <c r="E99" s="6">
        <f>+IFERROR(VLOOKUP(A99,[4]OECD_COUNTERDO_INCOME!A:B,2,0),0)</f>
        <v>140.06200000000001</v>
      </c>
      <c r="F99" s="6">
        <f t="shared" si="31"/>
        <v>1639.8380000000002</v>
      </c>
      <c r="G99" s="7"/>
      <c r="H99" s="6"/>
      <c r="I99" s="6"/>
      <c r="J99" s="6"/>
      <c r="K99" s="6"/>
      <c r="L99" s="5">
        <f t="shared" si="33"/>
        <v>81.3</v>
      </c>
      <c r="M99" s="6">
        <f>+IFERROR(IFERROR(VLOOKUP($A99,[4]IMF_fdi_credit_debitinc!$A:$C,2,0),VLOOKUP($B99,[4]IMF_fdi_credit_debitinc!$A:$C,2,0)),0)/1000000</f>
        <v>81.3</v>
      </c>
      <c r="N99" s="6">
        <f>+IFERROR(VLOOKUP(A99,[4]OECD_COUNTERDI_INCOME!A:B,2,0),0)</f>
        <v>64.691000000000003</v>
      </c>
      <c r="O99" s="6">
        <f t="shared" si="32"/>
        <v>16.608999999999995</v>
      </c>
      <c r="P99" s="118"/>
    </row>
    <row r="100" spans="1:16" ht="14.25" customHeight="1">
      <c r="A100" s="1" t="s">
        <v>760</v>
      </c>
      <c r="B100" s="117" t="s">
        <v>182</v>
      </c>
      <c r="C100" s="5">
        <f t="shared" si="30"/>
        <v>0</v>
      </c>
      <c r="D100" s="6">
        <f>+IFERROR(IFERROR(VLOOKUP($A100,[4]IMF_fdi_credit_debitinc!$A:$C,3,0),VLOOKUP($B100,[4]IMF_fdi_credit_debitinc!$A:$C,3,0)),0)/1000000</f>
        <v>0</v>
      </c>
      <c r="E100" s="6">
        <f>+IFERROR(VLOOKUP(A100,[4]OECD_COUNTERDO_INCOME!A:B,2,0),0)</f>
        <v>12.599</v>
      </c>
      <c r="F100" s="6">
        <f t="shared" si="31"/>
        <v>-12.599</v>
      </c>
      <c r="G100" s="7"/>
      <c r="H100" s="6"/>
      <c r="I100" s="6"/>
      <c r="J100" s="6"/>
      <c r="K100" s="6"/>
      <c r="L100" s="5">
        <f t="shared" si="33"/>
        <v>0</v>
      </c>
      <c r="M100" s="6">
        <f>+IFERROR(IFERROR(VLOOKUP($A100,[4]IMF_fdi_credit_debitinc!$A:$C,2,0),VLOOKUP($B100,[4]IMF_fdi_credit_debitinc!$A:$C,2,0)),0)/1000000</f>
        <v>0</v>
      </c>
      <c r="N100" s="6">
        <f>+IFERROR(VLOOKUP(A100,[4]OECD_COUNTERDI_INCOME!A:B,2,0),0)</f>
        <v>-2.556</v>
      </c>
      <c r="O100" s="6">
        <f t="shared" si="32"/>
        <v>2.556</v>
      </c>
      <c r="P100" s="118"/>
    </row>
    <row r="101" spans="1:16" ht="14.25" customHeight="1">
      <c r="A101" s="1" t="s">
        <v>783</v>
      </c>
      <c r="B101" s="117" t="s">
        <v>218</v>
      </c>
      <c r="C101" s="5">
        <f t="shared" si="30"/>
        <v>0</v>
      </c>
      <c r="D101" s="6">
        <f>+IFERROR(IFERROR(VLOOKUP($A101,[4]IMF_fdi_credit_debitinc!$A:$C,3,0),VLOOKUP($B101,[4]IMF_fdi_credit_debitinc!$A:$C,3,0)),0)/1000000</f>
        <v>0</v>
      </c>
      <c r="E101" s="6">
        <f>+IFERROR(VLOOKUP(A101,[4]OECD_COUNTERDO_INCOME!A:B,2,0),0)</f>
        <v>12.048999999999999</v>
      </c>
      <c r="F101" s="6">
        <f t="shared" si="31"/>
        <v>-12.048999999999999</v>
      </c>
      <c r="G101" s="7"/>
      <c r="H101" s="6"/>
      <c r="I101" s="6"/>
      <c r="J101" s="6"/>
      <c r="K101" s="6"/>
      <c r="L101" s="5">
        <f t="shared" si="33"/>
        <v>0</v>
      </c>
      <c r="M101" s="6">
        <f>+IFERROR(IFERROR(VLOOKUP($A101,[4]IMF_fdi_credit_debitinc!$A:$C,2,0),VLOOKUP($B101,[4]IMF_fdi_credit_debitinc!$A:$C,2,0)),0)/1000000</f>
        <v>0</v>
      </c>
      <c r="N101" s="6">
        <f>+IFERROR(VLOOKUP(A101,[4]OECD_COUNTERDI_INCOME!A:B,2,0),0)</f>
        <v>0</v>
      </c>
      <c r="O101" s="6">
        <f t="shared" si="32"/>
        <v>0</v>
      </c>
      <c r="P101" s="118"/>
    </row>
    <row r="102" spans="1:16" ht="14.25" customHeight="1">
      <c r="A102" s="1" t="s">
        <v>784</v>
      </c>
      <c r="B102" s="117" t="s">
        <v>219</v>
      </c>
      <c r="C102" s="5">
        <f t="shared" si="30"/>
        <v>0</v>
      </c>
      <c r="D102" s="6">
        <f>+IFERROR(IFERROR(VLOOKUP($A102,[4]IMF_fdi_credit_debitinc!$A:$C,3,0),VLOOKUP($B102,[4]IMF_fdi_credit_debitinc!$A:$C,3,0)),0)/1000000</f>
        <v>0</v>
      </c>
      <c r="E102" s="6">
        <f>+IFERROR(VLOOKUP(A102,[4]OECD_COUNTERDO_INCOME!A:B,2,0),0)</f>
        <v>0</v>
      </c>
      <c r="F102" s="6">
        <f t="shared" si="31"/>
        <v>0</v>
      </c>
      <c r="G102" s="7"/>
      <c r="H102" s="6"/>
      <c r="I102" s="6"/>
      <c r="J102" s="6"/>
      <c r="K102" s="6"/>
      <c r="L102" s="5">
        <f t="shared" si="33"/>
        <v>0</v>
      </c>
      <c r="M102" s="6">
        <f>+IFERROR(IFERROR(VLOOKUP($A102,[4]IMF_fdi_credit_debitinc!$A:$C,2,0),VLOOKUP($B102,[4]IMF_fdi_credit_debitinc!$A:$C,2,0)),0)/1000000</f>
        <v>0</v>
      </c>
      <c r="N102" s="6">
        <f>+IFERROR(VLOOKUP(A102,[4]OECD_COUNTERDI_INCOME!A:B,2,0),0)</f>
        <v>2E-3</v>
      </c>
      <c r="O102" s="6">
        <f t="shared" si="32"/>
        <v>-2E-3</v>
      </c>
      <c r="P102" s="118"/>
    </row>
    <row r="103" spans="1:16" ht="14.25" customHeight="1">
      <c r="A103" s="1" t="s">
        <v>785</v>
      </c>
      <c r="B103" s="117" t="s">
        <v>220</v>
      </c>
      <c r="C103" s="5">
        <f t="shared" si="30"/>
        <v>559.93200000000002</v>
      </c>
      <c r="D103" s="6">
        <f>+IFERROR(IFERROR(VLOOKUP($A103,[4]IMF_fdi_credit_debitinc!$A:$C,3,0),VLOOKUP($B103,[4]IMF_fdi_credit_debitinc!$A:$C,3,0)),0)/1000000</f>
        <v>559.93200000000002</v>
      </c>
      <c r="E103" s="6">
        <f>+IFERROR(VLOOKUP(A103,[4]OECD_COUNTERDO_INCOME!A:B,2,0),0)</f>
        <v>513.32500000000005</v>
      </c>
      <c r="F103" s="6">
        <f t="shared" si="31"/>
        <v>46.606999999999971</v>
      </c>
      <c r="G103" s="7"/>
      <c r="H103" s="6"/>
      <c r="I103" s="6"/>
      <c r="J103" s="6"/>
      <c r="K103" s="6"/>
      <c r="L103" s="5">
        <f t="shared" si="33"/>
        <v>-0.15096288961000001</v>
      </c>
      <c r="M103" s="6">
        <f>+IFERROR(IFERROR(VLOOKUP($A103,[4]IMF_fdi_credit_debitinc!$A:$C,2,0),VLOOKUP($B103,[4]IMF_fdi_credit_debitinc!$A:$C,2,0)),0)/1000000</f>
        <v>-0.15096288961000001</v>
      </c>
      <c r="N103" s="6">
        <f>+IFERROR(VLOOKUP(A103,[4]OECD_COUNTERDI_INCOME!A:B,2,0),0)</f>
        <v>19.21</v>
      </c>
      <c r="O103" s="6">
        <f t="shared" si="32"/>
        <v>-19.360962889610001</v>
      </c>
      <c r="P103" s="118"/>
    </row>
    <row r="104" spans="1:16" ht="14.25" customHeight="1">
      <c r="A104" s="1" t="s">
        <v>786</v>
      </c>
      <c r="B104" s="117" t="s">
        <v>221</v>
      </c>
      <c r="C104" s="5">
        <f t="shared" si="30"/>
        <v>512.18299999999999</v>
      </c>
      <c r="D104" s="6">
        <f>+IFERROR(IFERROR(VLOOKUP($A104,[4]IMF_fdi_credit_debitinc!$A:$C,3,0),VLOOKUP($B104,[4]IMF_fdi_credit_debitinc!$A:$C,3,0)),0)/1000000</f>
        <v>512.18299999999999</v>
      </c>
      <c r="E104" s="6">
        <f>+IFERROR(VLOOKUP(A104,[4]OECD_COUNTERDO_INCOME!A:B,2,0),0)</f>
        <v>95.122</v>
      </c>
      <c r="F104" s="6">
        <f t="shared" si="31"/>
        <v>417.06099999999998</v>
      </c>
      <c r="G104" s="7"/>
      <c r="H104" s="6"/>
      <c r="I104" s="6"/>
      <c r="J104" s="6"/>
      <c r="K104" s="6"/>
      <c r="L104" s="5">
        <f t="shared" si="33"/>
        <v>4.6853659669199992</v>
      </c>
      <c r="M104" s="6">
        <f>+IFERROR(IFERROR(VLOOKUP($A104,[4]IMF_fdi_credit_debitinc!$A:$C,2,0),VLOOKUP($B104,[4]IMF_fdi_credit_debitinc!$A:$C,2,0)),0)/1000000</f>
        <v>4.6853659669199992</v>
      </c>
      <c r="N104" s="6">
        <f>+IFERROR(VLOOKUP(A104,[4]OECD_COUNTERDI_INCOME!A:B,2,0),0)</f>
        <v>14.712999999999999</v>
      </c>
      <c r="O104" s="6">
        <f t="shared" si="32"/>
        <v>-10.02763403308</v>
      </c>
      <c r="P104" s="118"/>
    </row>
    <row r="105" spans="1:16" ht="14.25" customHeight="1">
      <c r="A105" s="1" t="s">
        <v>787</v>
      </c>
      <c r="B105" s="117" t="s">
        <v>222</v>
      </c>
      <c r="C105" s="5">
        <f t="shared" si="30"/>
        <v>0</v>
      </c>
      <c r="D105" s="6">
        <f>+IFERROR(IFERROR(VLOOKUP($A105,[4]IMF_fdi_credit_debitinc!$A:$C,3,0),VLOOKUP($B105,[4]IMF_fdi_credit_debitinc!$A:$C,3,0)),0)/1000000</f>
        <v>0</v>
      </c>
      <c r="E105" s="6">
        <f>+IFERROR(VLOOKUP(A105,[4]OECD_COUNTERDO_INCOME!A:B,2,0),0)</f>
        <v>25.486999999999998</v>
      </c>
      <c r="F105" s="6">
        <f t="shared" si="31"/>
        <v>-25.486999999999998</v>
      </c>
      <c r="G105" s="7"/>
      <c r="H105" s="6"/>
      <c r="I105" s="6"/>
      <c r="J105" s="6"/>
      <c r="K105" s="6"/>
      <c r="L105" s="5">
        <f t="shared" si="33"/>
        <v>0</v>
      </c>
      <c r="M105" s="6">
        <f>+IFERROR(IFERROR(VLOOKUP($A105,[4]IMF_fdi_credit_debitinc!$A:$C,2,0),VLOOKUP($B105,[4]IMF_fdi_credit_debitinc!$A:$C,2,0)),0)/1000000</f>
        <v>0</v>
      </c>
      <c r="N105" s="6">
        <f>+IFERROR(VLOOKUP(A105,[4]OECD_COUNTERDI_INCOME!A:B,2,0),0)</f>
        <v>9.7289999999999992</v>
      </c>
      <c r="O105" s="6">
        <f t="shared" si="32"/>
        <v>-9.7289999999999992</v>
      </c>
      <c r="P105" s="118"/>
    </row>
    <row r="106" spans="1:16" ht="14.25" customHeight="1">
      <c r="A106" s="1" t="s">
        <v>788</v>
      </c>
      <c r="B106" s="117" t="s">
        <v>223</v>
      </c>
      <c r="C106" s="5">
        <f t="shared" si="30"/>
        <v>0</v>
      </c>
      <c r="D106" s="6">
        <f>+IFERROR(IFERROR(VLOOKUP($A106,[4]IMF_fdi_credit_debitinc!$A:$C,3,0),VLOOKUP($B106,[4]IMF_fdi_credit_debitinc!$A:$C,3,0)),0)/1000000</f>
        <v>0</v>
      </c>
      <c r="E106" s="6">
        <f>+IFERROR(VLOOKUP(A106,[4]OECD_COUNTERDO_INCOME!A:B,2,0),0)</f>
        <v>8.4250000000000007</v>
      </c>
      <c r="F106" s="6">
        <f t="shared" si="31"/>
        <v>-8.4250000000000007</v>
      </c>
      <c r="G106" s="7"/>
      <c r="H106" s="6"/>
      <c r="I106" s="6"/>
      <c r="J106" s="6"/>
      <c r="K106" s="6"/>
      <c r="L106" s="5">
        <f t="shared" si="33"/>
        <v>0</v>
      </c>
      <c r="M106" s="6">
        <f>+IFERROR(IFERROR(VLOOKUP($A106,[4]IMF_fdi_credit_debitinc!$A:$C,2,0),VLOOKUP($B106,[4]IMF_fdi_credit_debitinc!$A:$C,2,0)),0)/1000000</f>
        <v>0</v>
      </c>
      <c r="N106" s="6">
        <f>+IFERROR(VLOOKUP(A106,[4]OECD_COUNTERDI_INCOME!A:B,2,0),0)</f>
        <v>146.45099999999999</v>
      </c>
      <c r="O106" s="6">
        <f t="shared" si="32"/>
        <v>-146.45099999999999</v>
      </c>
      <c r="P106" s="118"/>
    </row>
    <row r="107" spans="1:16" ht="14.25" customHeight="1">
      <c r="A107" s="1" t="s">
        <v>789</v>
      </c>
      <c r="B107" s="117" t="s">
        <v>224</v>
      </c>
      <c r="C107" s="5">
        <f t="shared" si="30"/>
        <v>2771.28</v>
      </c>
      <c r="D107" s="6">
        <f>+IFERROR(IFERROR(VLOOKUP($A107,[4]IMF_fdi_credit_debitinc!$A:$C,3,0),VLOOKUP($B107,[4]IMF_fdi_credit_debitinc!$A:$C,3,0)),0)/1000000</f>
        <v>2771.28</v>
      </c>
      <c r="E107" s="6">
        <f>+IFERROR(VLOOKUP(A107,[4]OECD_COUNTERDO_INCOME!A:B,2,0),0)</f>
        <v>1606.6210000000001</v>
      </c>
      <c r="F107" s="6">
        <f t="shared" si="31"/>
        <v>1164.6590000000001</v>
      </c>
      <c r="G107" s="7"/>
      <c r="H107" s="6"/>
      <c r="I107" s="6"/>
      <c r="J107" s="6"/>
      <c r="K107" s="6"/>
      <c r="L107" s="5">
        <f t="shared" si="33"/>
        <v>137.97</v>
      </c>
      <c r="M107" s="6">
        <f>+IFERROR(IFERROR(VLOOKUP($A107,[4]IMF_fdi_credit_debitinc!$A:$C,2,0),VLOOKUP($B107,[4]IMF_fdi_credit_debitinc!$A:$C,2,0)),0)/1000000</f>
        <v>137.97</v>
      </c>
      <c r="N107" s="6">
        <f>+IFERROR(VLOOKUP(A107,[4]OECD_COUNTERDI_INCOME!A:B,2,0),0)</f>
        <v>125.69199999999999</v>
      </c>
      <c r="O107" s="6">
        <f t="shared" si="32"/>
        <v>12.278000000000006</v>
      </c>
      <c r="P107" s="118"/>
    </row>
    <row r="108" spans="1:16" ht="14.25" customHeight="1">
      <c r="A108" s="1" t="s">
        <v>790</v>
      </c>
      <c r="B108" s="117" t="s">
        <v>225</v>
      </c>
      <c r="C108" s="5">
        <f t="shared" si="30"/>
        <v>0</v>
      </c>
      <c r="D108" s="6">
        <f>+IFERROR(IFERROR(VLOOKUP($A108,[4]IMF_fdi_credit_debitinc!$A:$C,3,0),VLOOKUP($B108,[4]IMF_fdi_credit_debitinc!$A:$C,3,0)),0)/1000000</f>
        <v>0</v>
      </c>
      <c r="E108" s="6">
        <f>+IFERROR(VLOOKUP(A108,[4]OECD_COUNTERDO_INCOME!A:B,2,0),0)</f>
        <v>1.4039999999999999</v>
      </c>
      <c r="F108" s="6">
        <f t="shared" si="31"/>
        <v>-1.4039999999999999</v>
      </c>
      <c r="G108" s="7"/>
      <c r="H108" s="6"/>
      <c r="I108" s="6"/>
      <c r="J108" s="6"/>
      <c r="K108" s="6"/>
      <c r="L108" s="5">
        <f t="shared" si="33"/>
        <v>0</v>
      </c>
      <c r="M108" s="6">
        <f>+IFERROR(IFERROR(VLOOKUP($A108,[4]IMF_fdi_credit_debitinc!$A:$C,2,0),VLOOKUP($B108,[4]IMF_fdi_credit_debitinc!$A:$C,2,0)),0)/1000000</f>
        <v>0</v>
      </c>
      <c r="N108" s="6">
        <f>+IFERROR(VLOOKUP(A108,[4]OECD_COUNTERDI_INCOME!A:B,2,0),0)</f>
        <v>0</v>
      </c>
      <c r="O108" s="6">
        <f t="shared" si="32"/>
        <v>0</v>
      </c>
      <c r="P108" s="118"/>
    </row>
    <row r="109" spans="1:16" ht="14.25" customHeight="1">
      <c r="A109" s="1" t="s">
        <v>791</v>
      </c>
      <c r="B109" s="117" t="s">
        <v>226</v>
      </c>
      <c r="C109" s="5">
        <f t="shared" si="30"/>
        <v>0</v>
      </c>
      <c r="D109" s="6">
        <f>+IFERROR(IFERROR(VLOOKUP($A109,[4]IMF_fdi_credit_debitinc!$A:$C,3,0),VLOOKUP($B109,[4]IMF_fdi_credit_debitinc!$A:$C,3,0)),0)/1000000</f>
        <v>0</v>
      </c>
      <c r="E109" s="6">
        <f>+IFERROR(VLOOKUP(A109,[4]OECD_COUNTERDO_INCOME!A:B,2,0),0)</f>
        <v>13.433</v>
      </c>
      <c r="F109" s="6">
        <f t="shared" si="31"/>
        <v>-13.433</v>
      </c>
      <c r="G109" s="7"/>
      <c r="H109" s="6"/>
      <c r="I109" s="6"/>
      <c r="J109" s="6"/>
      <c r="K109" s="6"/>
      <c r="L109" s="5">
        <f t="shared" si="33"/>
        <v>0</v>
      </c>
      <c r="M109" s="6">
        <f>+IFERROR(IFERROR(VLOOKUP($A109,[4]IMF_fdi_credit_debitinc!$A:$C,2,0),VLOOKUP($B109,[4]IMF_fdi_credit_debitinc!$A:$C,2,0)),0)/1000000</f>
        <v>0</v>
      </c>
      <c r="N109" s="6">
        <f>+IFERROR(VLOOKUP(A109,[4]OECD_COUNTERDI_INCOME!A:B,2,0),0)</f>
        <v>0</v>
      </c>
      <c r="O109" s="6">
        <f t="shared" si="32"/>
        <v>0</v>
      </c>
      <c r="P109" s="118"/>
    </row>
    <row r="110" spans="1:16" ht="14.25" customHeight="1">
      <c r="A110" s="1" t="s">
        <v>792</v>
      </c>
      <c r="B110" s="117" t="s">
        <v>227</v>
      </c>
      <c r="C110" s="5">
        <f t="shared" si="30"/>
        <v>0</v>
      </c>
      <c r="D110" s="6">
        <f>+IFERROR(IFERROR(VLOOKUP($A110,[4]IMF_fdi_credit_debitinc!$A:$C,3,0),VLOOKUP($B110,[4]IMF_fdi_credit_debitinc!$A:$C,3,0)),0)/1000000</f>
        <v>0</v>
      </c>
      <c r="E110" s="6">
        <f>+IFERROR(VLOOKUP(A110,[4]OECD_COUNTERDO_INCOME!A:B,2,0),0)</f>
        <v>-37.283999999999999</v>
      </c>
      <c r="F110" s="6">
        <f t="shared" si="31"/>
        <v>37.283999999999999</v>
      </c>
      <c r="G110" s="7"/>
      <c r="H110" s="6"/>
      <c r="I110" s="6"/>
      <c r="J110" s="6"/>
      <c r="K110" s="6"/>
      <c r="L110" s="5">
        <f t="shared" si="33"/>
        <v>0</v>
      </c>
      <c r="M110" s="6">
        <f>+IFERROR(IFERROR(VLOOKUP($A110,[4]IMF_fdi_credit_debitinc!$A:$C,2,0),VLOOKUP($B110,[4]IMF_fdi_credit_debitinc!$A:$C,2,0)),0)/1000000</f>
        <v>0</v>
      </c>
      <c r="N110" s="6">
        <f>+IFERROR(VLOOKUP(A110,[4]OECD_COUNTERDI_INCOME!A:B,2,0),0)</f>
        <v>4.0000000000000001E-3</v>
      </c>
      <c r="O110" s="6">
        <f t="shared" si="32"/>
        <v>-4.0000000000000001E-3</v>
      </c>
      <c r="P110" s="118"/>
    </row>
    <row r="111" spans="1:16" ht="14.25" customHeight="1">
      <c r="A111" s="1" t="s">
        <v>793</v>
      </c>
      <c r="B111" s="117" t="s">
        <v>228</v>
      </c>
      <c r="C111" s="5">
        <f t="shared" si="30"/>
        <v>0</v>
      </c>
      <c r="D111" s="6">
        <f>+IFERROR(IFERROR(VLOOKUP($A111,[4]IMF_fdi_credit_debitinc!$A:$C,3,0),VLOOKUP($B111,[4]IMF_fdi_credit_debitinc!$A:$C,3,0)),0)/1000000</f>
        <v>0</v>
      </c>
      <c r="E111" s="6">
        <f>+IFERROR(VLOOKUP(A111,[4]OECD_COUNTERDO_INCOME!A:B,2,0),0)</f>
        <v>38.688000000000002</v>
      </c>
      <c r="F111" s="6">
        <f t="shared" si="31"/>
        <v>-38.688000000000002</v>
      </c>
      <c r="G111" s="7"/>
      <c r="H111" s="6"/>
      <c r="I111" s="6"/>
      <c r="J111" s="6"/>
      <c r="K111" s="6"/>
      <c r="L111" s="5">
        <f t="shared" si="33"/>
        <v>0</v>
      </c>
      <c r="M111" s="6">
        <f>+IFERROR(IFERROR(VLOOKUP($A111,[4]IMF_fdi_credit_debitinc!$A:$C,2,0),VLOOKUP($B111,[4]IMF_fdi_credit_debitinc!$A:$C,2,0)),0)/1000000</f>
        <v>0</v>
      </c>
      <c r="N111" s="6">
        <f>+IFERROR(VLOOKUP(A111,[4]OECD_COUNTERDI_INCOME!A:B,2,0),0)</f>
        <v>-19.027999999999999</v>
      </c>
      <c r="O111" s="6">
        <f t="shared" si="32"/>
        <v>19.027999999999999</v>
      </c>
      <c r="P111" s="118"/>
    </row>
    <row r="112" spans="1:16" ht="14.25" customHeight="1">
      <c r="A112" s="1" t="s">
        <v>229</v>
      </c>
      <c r="B112" s="117" t="s">
        <v>230</v>
      </c>
      <c r="C112" s="5">
        <f t="shared" si="30"/>
        <v>25.48220519334</v>
      </c>
      <c r="D112" s="6">
        <f>+IFERROR(IFERROR(VLOOKUP($A112,[4]IMF_fdi_credit_debitinc!$A:$C,3,0),VLOOKUP($B112,[4]IMF_fdi_credit_debitinc!$A:$C,3,0)),0)/1000000</f>
        <v>25.48220519334</v>
      </c>
      <c r="E112" s="6">
        <f>+IFERROR(VLOOKUP(A112,[4]OECD_COUNTERDO_INCOME!A:B,2,0),0)</f>
        <v>38.944000000000003</v>
      </c>
      <c r="F112" s="6">
        <f t="shared" si="31"/>
        <v>-13.461794806660002</v>
      </c>
      <c r="G112" s="7"/>
      <c r="H112" s="6"/>
      <c r="I112" s="6"/>
      <c r="J112" s="6"/>
      <c r="K112" s="6"/>
      <c r="L112" s="5">
        <f t="shared" si="33"/>
        <v>1.03943927627</v>
      </c>
      <c r="M112" s="6">
        <f>+IFERROR(IFERROR(VLOOKUP($A112,[4]IMF_fdi_credit_debitinc!$A:$C,2,0),VLOOKUP($B112,[4]IMF_fdi_credit_debitinc!$A:$C,2,0)),0)/1000000</f>
        <v>1.03943927627</v>
      </c>
      <c r="N112" s="6">
        <f>+IFERROR(VLOOKUP(A112,[4]OECD_COUNTERDI_INCOME!A:B,2,0),0)</f>
        <v>1E-3</v>
      </c>
      <c r="O112" s="6">
        <f t="shared" si="32"/>
        <v>1.0384392762700001</v>
      </c>
      <c r="P112" s="118"/>
    </row>
    <row r="113" spans="1:16" ht="14.25" customHeight="1">
      <c r="A113" s="1" t="s">
        <v>232</v>
      </c>
      <c r="B113" s="117" t="s">
        <v>231</v>
      </c>
      <c r="C113" s="5">
        <f t="shared" si="30"/>
        <v>0</v>
      </c>
      <c r="D113" s="6">
        <f>+IFERROR(IFERROR(VLOOKUP($A113,[4]IMF_fdi_credit_debitinc!$A:$C,3,0),VLOOKUP($B113,[4]IMF_fdi_credit_debitinc!$A:$C,3,0)),0)/1000000</f>
        <v>0</v>
      </c>
      <c r="E113" s="6">
        <f>+IFERROR(VLOOKUP(A113,[4]OECD_COUNTERDO_INCOME!A:B,2,0),0)</f>
        <v>2.3E-2</v>
      </c>
      <c r="F113" s="6">
        <f t="shared" si="31"/>
        <v>-2.3E-2</v>
      </c>
      <c r="G113" s="7"/>
      <c r="H113" s="6"/>
      <c r="I113" s="6"/>
      <c r="J113" s="6"/>
      <c r="K113" s="6"/>
      <c r="L113" s="5">
        <f t="shared" si="33"/>
        <v>0</v>
      </c>
      <c r="M113" s="6">
        <f>+IFERROR(IFERROR(VLOOKUP($A113,[4]IMF_fdi_credit_debitinc!$A:$C,2,0),VLOOKUP($B113,[4]IMF_fdi_credit_debitinc!$A:$C,2,0)),0)/1000000</f>
        <v>0</v>
      </c>
      <c r="N113" s="6">
        <f>+IFERROR(VLOOKUP(A113,[4]OECD_COUNTERDI_INCOME!A:B,2,0),0)</f>
        <v>0</v>
      </c>
      <c r="O113" s="6">
        <f t="shared" si="32"/>
        <v>0</v>
      </c>
      <c r="P113" s="118"/>
    </row>
    <row r="114" spans="1:16" ht="14.25" customHeight="1">
      <c r="A114" s="1" t="s">
        <v>233</v>
      </c>
      <c r="B114" s="117" t="s">
        <v>234</v>
      </c>
      <c r="C114" s="5">
        <f t="shared" si="30"/>
        <v>0</v>
      </c>
      <c r="D114" s="6">
        <f>+IFERROR(IFERROR(VLOOKUP($A114,[4]IMF_fdi_credit_debitinc!$A:$C,3,0),VLOOKUP($B114,[4]IMF_fdi_credit_debitinc!$A:$C,3,0)),0)/1000000</f>
        <v>0</v>
      </c>
      <c r="E114" s="6">
        <f>+IFERROR(VLOOKUP(A114,[4]OECD_COUNTERDO_INCOME!A:B,2,0),0)</f>
        <v>4.6790000000000003</v>
      </c>
      <c r="F114" s="6">
        <f t="shared" si="31"/>
        <v>-4.6790000000000003</v>
      </c>
      <c r="G114" s="7"/>
      <c r="H114" s="6"/>
      <c r="I114" s="6"/>
      <c r="J114" s="6"/>
      <c r="K114" s="6"/>
      <c r="L114" s="5">
        <f t="shared" si="33"/>
        <v>0</v>
      </c>
      <c r="M114" s="6">
        <f>+IFERROR(IFERROR(VLOOKUP($A114,[4]IMF_fdi_credit_debitinc!$A:$C,2,0),VLOOKUP($B114,[4]IMF_fdi_credit_debitinc!$A:$C,2,0)),0)/1000000</f>
        <v>0</v>
      </c>
      <c r="N114" s="6">
        <f>+IFERROR(VLOOKUP(A114,[4]OECD_COUNTERDI_INCOME!A:B,2,0),0)</f>
        <v>0</v>
      </c>
      <c r="O114" s="6">
        <f t="shared" si="32"/>
        <v>0</v>
      </c>
      <c r="P114" s="118"/>
    </row>
    <row r="115" spans="1:16" ht="14.25" customHeight="1">
      <c r="A115" s="1" t="s">
        <v>794</v>
      </c>
      <c r="B115" s="117" t="s">
        <v>235</v>
      </c>
      <c r="C115" s="5">
        <f t="shared" si="30"/>
        <v>0</v>
      </c>
      <c r="D115" s="6">
        <f>+IFERROR(IFERROR(VLOOKUP($A115,[4]IMF_fdi_credit_debitinc!$A:$C,3,0),VLOOKUP($B115,[4]IMF_fdi_credit_debitinc!$A:$C,3,0)),0)/1000000</f>
        <v>0</v>
      </c>
      <c r="E115" s="6">
        <f>+IFERROR(VLOOKUP(A115,[4]OECD_COUNTERDO_INCOME!A:B,2,0),0)</f>
        <v>0</v>
      </c>
      <c r="F115" s="6">
        <f t="shared" si="31"/>
        <v>0</v>
      </c>
      <c r="G115" s="7"/>
      <c r="H115" s="6"/>
      <c r="I115" s="6"/>
      <c r="J115" s="6"/>
      <c r="K115" s="6"/>
      <c r="L115" s="5">
        <f t="shared" si="33"/>
        <v>0</v>
      </c>
      <c r="M115" s="6">
        <f>+IFERROR(IFERROR(VLOOKUP($A115,[4]IMF_fdi_credit_debitinc!$A:$C,2,0),VLOOKUP($B115,[4]IMF_fdi_credit_debitinc!$A:$C,2,0)),0)/1000000</f>
        <v>0</v>
      </c>
      <c r="N115" s="6">
        <f>+IFERROR(VLOOKUP(A115,[4]OECD_COUNTERDI_INCOME!A:B,2,0),0)</f>
        <v>8.0000000000000002E-3</v>
      </c>
      <c r="O115" s="6">
        <f t="shared" si="32"/>
        <v>-8.0000000000000002E-3</v>
      </c>
      <c r="P115" s="118"/>
    </row>
    <row r="116" spans="1:16" ht="14.25" customHeight="1">
      <c r="A116" s="1" t="s">
        <v>795</v>
      </c>
      <c r="B116" s="117" t="s">
        <v>236</v>
      </c>
      <c r="C116" s="5">
        <f t="shared" si="30"/>
        <v>0</v>
      </c>
      <c r="D116" s="6">
        <f>+IFERROR(IFERROR(VLOOKUP($A116,[4]IMF_fdi_credit_debitinc!$A:$C,3,0),VLOOKUP($B116,[4]IMF_fdi_credit_debitinc!$A:$C,3,0)),0)/1000000</f>
        <v>0</v>
      </c>
      <c r="E116" s="6">
        <f>+IFERROR(VLOOKUP(A116,[4]OECD_COUNTERDO_INCOME!A:B,2,0),0)</f>
        <v>26.821999999999999</v>
      </c>
      <c r="F116" s="6">
        <f t="shared" si="31"/>
        <v>-26.821999999999999</v>
      </c>
      <c r="G116" s="7"/>
      <c r="H116" s="6"/>
      <c r="I116" s="6"/>
      <c r="J116" s="6"/>
      <c r="K116" s="6"/>
      <c r="L116" s="5">
        <f t="shared" si="33"/>
        <v>0</v>
      </c>
      <c r="M116" s="6">
        <f>+IFERROR(IFERROR(VLOOKUP($A116,[4]IMF_fdi_credit_debitinc!$A:$C,2,0),VLOOKUP($B116,[4]IMF_fdi_credit_debitinc!$A:$C,2,0)),0)/1000000</f>
        <v>0</v>
      </c>
      <c r="N116" s="6">
        <f>+IFERROR(VLOOKUP(A116,[4]OECD_COUNTERDI_INCOME!A:B,2,0),0)</f>
        <v>3.3000000000000002E-2</v>
      </c>
      <c r="O116" s="6">
        <f t="shared" si="32"/>
        <v>-3.3000000000000002E-2</v>
      </c>
      <c r="P116" s="118"/>
    </row>
    <row r="117" spans="1:16" ht="14.25" customHeight="1">
      <c r="A117" s="1" t="s">
        <v>796</v>
      </c>
      <c r="B117" s="117" t="s">
        <v>237</v>
      </c>
      <c r="C117" s="5">
        <f t="shared" si="30"/>
        <v>0</v>
      </c>
      <c r="D117" s="6">
        <f>+IFERROR(IFERROR(VLOOKUP($A117,[4]IMF_fdi_credit_debitinc!$A:$C,3,0),VLOOKUP($B117,[4]IMF_fdi_credit_debitinc!$A:$C,3,0)),0)/1000000</f>
        <v>0</v>
      </c>
      <c r="E117" s="6">
        <f>+IFERROR(VLOOKUP(A117,[4]OECD_COUNTERDO_INCOME!A:B,2,0),0)</f>
        <v>40.284999999999997</v>
      </c>
      <c r="F117" s="6">
        <f t="shared" si="31"/>
        <v>-40.284999999999997</v>
      </c>
      <c r="G117" s="7"/>
      <c r="H117" s="6"/>
      <c r="I117" s="6"/>
      <c r="J117" s="6"/>
      <c r="K117" s="6"/>
      <c r="L117" s="5">
        <f t="shared" si="33"/>
        <v>0</v>
      </c>
      <c r="M117" s="6">
        <f>+IFERROR(IFERROR(VLOOKUP($A117,[4]IMF_fdi_credit_debitinc!$A:$C,2,0),VLOOKUP($B117,[4]IMF_fdi_credit_debitinc!$A:$C,2,0)),0)/1000000</f>
        <v>0</v>
      </c>
      <c r="N117" s="6">
        <f>+IFERROR(VLOOKUP(A117,[4]OECD_COUNTERDI_INCOME!A:B,2,0),0)</f>
        <v>-4.4999999999999998E-2</v>
      </c>
      <c r="O117" s="6">
        <f t="shared" si="32"/>
        <v>4.4999999999999998E-2</v>
      </c>
      <c r="P117" s="118"/>
    </row>
    <row r="118" spans="1:16" ht="14.25" customHeight="1">
      <c r="A118" s="1" t="s">
        <v>797</v>
      </c>
      <c r="B118" s="117" t="s">
        <v>239</v>
      </c>
      <c r="C118" s="5">
        <f t="shared" si="30"/>
        <v>0</v>
      </c>
      <c r="D118" s="6">
        <f>+IFERROR(IFERROR(VLOOKUP($A118,[4]IMF_fdi_credit_debitinc!$A:$C,3,0),VLOOKUP($B118,[4]IMF_fdi_credit_debitinc!$A:$C,3,0)),0)/1000000</f>
        <v>0</v>
      </c>
      <c r="E118" s="6">
        <f>+IFERROR(VLOOKUP(A118,[4]OECD_COUNTERDO_INCOME!A:B,2,0),0)</f>
        <v>44.146999999999998</v>
      </c>
      <c r="F118" s="6">
        <f t="shared" si="31"/>
        <v>-44.146999999999998</v>
      </c>
      <c r="G118" s="7"/>
      <c r="H118" s="6"/>
      <c r="I118" s="6"/>
      <c r="J118" s="6"/>
      <c r="K118" s="6"/>
      <c r="L118" s="5">
        <f t="shared" si="33"/>
        <v>0</v>
      </c>
      <c r="M118" s="6">
        <f>+IFERROR(IFERROR(VLOOKUP($A118,[4]IMF_fdi_credit_debitinc!$A:$C,2,0),VLOOKUP($B118,[4]IMF_fdi_credit_debitinc!$A:$C,2,0)),0)/1000000</f>
        <v>0</v>
      </c>
      <c r="N118" s="6">
        <f>+IFERROR(VLOOKUP(A118,[4]OECD_COUNTERDI_INCOME!A:B,2,0),0)</f>
        <v>349.29700000000003</v>
      </c>
      <c r="O118" s="6">
        <f t="shared" si="32"/>
        <v>-349.29700000000003</v>
      </c>
      <c r="P118" s="118"/>
    </row>
    <row r="119" spans="1:16" ht="14.25" customHeight="1">
      <c r="A119" s="1" t="s">
        <v>798</v>
      </c>
      <c r="B119" s="117" t="s">
        <v>240</v>
      </c>
      <c r="C119" s="5">
        <f t="shared" si="30"/>
        <v>2321.5</v>
      </c>
      <c r="D119" s="6">
        <f>+IFERROR(IFERROR(VLOOKUP($A119,[4]IMF_fdi_credit_debitinc!$A:$C,3,0),VLOOKUP($B119,[4]IMF_fdi_credit_debitinc!$A:$C,3,0)),0)/1000000</f>
        <v>2321.5</v>
      </c>
      <c r="E119" s="6">
        <f>+IFERROR(VLOOKUP(A119,[4]OECD_COUNTERDO_INCOME!A:B,2,0),0)</f>
        <v>1509.6880000000001</v>
      </c>
      <c r="F119" s="6">
        <f t="shared" si="31"/>
        <v>811.8119999999999</v>
      </c>
      <c r="G119" s="7"/>
      <c r="H119" s="6"/>
      <c r="I119" s="6"/>
      <c r="J119" s="6"/>
      <c r="K119" s="6"/>
      <c r="L119" s="5">
        <f t="shared" si="33"/>
        <v>221.167</v>
      </c>
      <c r="M119" s="6">
        <f>+IFERROR(IFERROR(VLOOKUP($A119,[4]IMF_fdi_credit_debitinc!$A:$C,2,0),VLOOKUP($B119,[4]IMF_fdi_credit_debitinc!$A:$C,2,0)),0)/1000000</f>
        <v>221.167</v>
      </c>
      <c r="N119" s="6">
        <f>+IFERROR(VLOOKUP(A119,[4]OECD_COUNTERDI_INCOME!A:B,2,0),0)</f>
        <v>104.158</v>
      </c>
      <c r="O119" s="6">
        <f t="shared" si="32"/>
        <v>117.009</v>
      </c>
      <c r="P119" s="118"/>
    </row>
    <row r="120" spans="1:16" ht="14.25" customHeight="1">
      <c r="A120" s="1" t="s">
        <v>799</v>
      </c>
      <c r="B120" s="117" t="s">
        <v>241</v>
      </c>
      <c r="C120" s="5">
        <f t="shared" si="30"/>
        <v>0</v>
      </c>
      <c r="D120" s="6">
        <f>+IFERROR(IFERROR(VLOOKUP($A120,[4]IMF_fdi_credit_debitinc!$A:$C,3,0),VLOOKUP($B120,[4]IMF_fdi_credit_debitinc!$A:$C,3,0)),0)/1000000</f>
        <v>0</v>
      </c>
      <c r="E120" s="6">
        <f>+IFERROR(VLOOKUP(A120,[4]OECD_COUNTERDO_INCOME!A:B,2,0),0)</f>
        <v>10.585000000000001</v>
      </c>
      <c r="F120" s="6">
        <f t="shared" si="31"/>
        <v>-10.585000000000001</v>
      </c>
      <c r="G120" s="7"/>
      <c r="H120" s="6"/>
      <c r="I120" s="6"/>
      <c r="J120" s="6"/>
      <c r="K120" s="6"/>
      <c r="L120" s="5">
        <f t="shared" si="33"/>
        <v>0</v>
      </c>
      <c r="M120" s="6">
        <f>+IFERROR(IFERROR(VLOOKUP($A120,[4]IMF_fdi_credit_debitinc!$A:$C,2,0),VLOOKUP($B120,[4]IMF_fdi_credit_debitinc!$A:$C,2,0)),0)/1000000</f>
        <v>0</v>
      </c>
      <c r="N120" s="6">
        <f>+IFERROR(VLOOKUP(A120,[4]OECD_COUNTERDI_INCOME!A:B,2,0),0)</f>
        <v>5.8999999999999997E-2</v>
      </c>
      <c r="O120" s="6">
        <f t="shared" si="32"/>
        <v>-5.8999999999999997E-2</v>
      </c>
      <c r="P120" s="118"/>
    </row>
    <row r="121" spans="1:16" ht="14.25" customHeight="1">
      <c r="A121" s="1" t="s">
        <v>800</v>
      </c>
      <c r="B121" s="117" t="s">
        <v>242</v>
      </c>
      <c r="C121" s="5">
        <f t="shared" si="30"/>
        <v>0</v>
      </c>
      <c r="D121" s="6">
        <f>+IFERROR(IFERROR(VLOOKUP($A121,[4]IMF_fdi_credit_debitinc!$A:$C,3,0),VLOOKUP($B121,[4]IMF_fdi_credit_debitinc!$A:$C,3,0)),0)/1000000</f>
        <v>0</v>
      </c>
      <c r="E121" s="6">
        <f>+IFERROR(VLOOKUP(A121,[4]OECD_COUNTERDO_INCOME!A:B,2,0),0)</f>
        <v>59.371000000000002</v>
      </c>
      <c r="F121" s="6">
        <f t="shared" si="31"/>
        <v>-59.371000000000002</v>
      </c>
      <c r="G121" s="7"/>
      <c r="H121" s="6"/>
      <c r="I121" s="6"/>
      <c r="J121" s="6"/>
      <c r="K121" s="6"/>
      <c r="L121" s="5">
        <f t="shared" si="33"/>
        <v>0</v>
      </c>
      <c r="M121" s="6">
        <f>+IFERROR(IFERROR(VLOOKUP($A121,[4]IMF_fdi_credit_debitinc!$A:$C,2,0),VLOOKUP($B121,[4]IMF_fdi_credit_debitinc!$A:$C,2,0)),0)/1000000</f>
        <v>0</v>
      </c>
      <c r="N121" s="6">
        <f>+IFERROR(VLOOKUP(A121,[4]OECD_COUNTERDI_INCOME!A:B,2,0),0)</f>
        <v>-6.2380000000000004</v>
      </c>
      <c r="O121" s="6">
        <f t="shared" si="32"/>
        <v>6.2380000000000004</v>
      </c>
      <c r="P121" s="118"/>
    </row>
    <row r="122" spans="1:16" ht="14.25" customHeight="1">
      <c r="A122" s="1" t="s">
        <v>801</v>
      </c>
      <c r="B122" s="117" t="s">
        <v>243</v>
      </c>
      <c r="C122" s="5">
        <f t="shared" si="30"/>
        <v>2915.6</v>
      </c>
      <c r="D122" s="6">
        <f>+IFERROR(IFERROR(VLOOKUP($A122,[4]IMF_fdi_credit_debitinc!$A:$C,3,0),VLOOKUP($B122,[4]IMF_fdi_credit_debitinc!$A:$C,3,0)),0)/1000000</f>
        <v>2915.6</v>
      </c>
      <c r="E122" s="6">
        <f>+IFERROR(VLOOKUP(A122,[4]OECD_COUNTERDO_INCOME!A:B,2,0),0)</f>
        <v>608.58900000000006</v>
      </c>
      <c r="F122" s="6">
        <f t="shared" si="31"/>
        <v>2307.011</v>
      </c>
      <c r="G122" s="7"/>
      <c r="H122" s="6"/>
      <c r="I122" s="6"/>
      <c r="J122" s="6"/>
      <c r="K122" s="6"/>
      <c r="L122" s="5">
        <f t="shared" si="33"/>
        <v>0</v>
      </c>
      <c r="M122" s="6">
        <f>+IFERROR(IFERROR(VLOOKUP($A122,[4]IMF_fdi_credit_debitinc!$A:$C,2,0),VLOOKUP($B122,[4]IMF_fdi_credit_debitinc!$A:$C,2,0)),0)/1000000</f>
        <v>0</v>
      </c>
      <c r="N122" s="6">
        <f>+IFERROR(VLOOKUP(A122,[4]OECD_COUNTERDI_INCOME!A:B,2,0),0)</f>
        <v>10.37</v>
      </c>
      <c r="O122" s="6">
        <f t="shared" si="32"/>
        <v>-10.37</v>
      </c>
      <c r="P122" s="118"/>
    </row>
    <row r="123" spans="1:16" ht="14.25" customHeight="1">
      <c r="A123" s="1" t="s">
        <v>802</v>
      </c>
      <c r="B123" s="117" t="s">
        <v>244</v>
      </c>
      <c r="C123" s="5">
        <f t="shared" si="30"/>
        <v>391.28199999999998</v>
      </c>
      <c r="D123" s="6">
        <f>+IFERROR(IFERROR(VLOOKUP($A123,[4]IMF_fdi_credit_debitinc!$A:$C,3,0),VLOOKUP($B123,[4]IMF_fdi_credit_debitinc!$A:$C,3,0)),0)/1000000</f>
        <v>391.28199999999998</v>
      </c>
      <c r="E123" s="6">
        <f>+IFERROR(VLOOKUP(A123,[4]OECD_COUNTERDO_INCOME!A:B,2,0),0)</f>
        <v>401.31900000000002</v>
      </c>
      <c r="F123" s="6">
        <f t="shared" ref="F123:F154" si="34">+C123-E123</f>
        <v>-10.037000000000035</v>
      </c>
      <c r="G123" s="7"/>
      <c r="H123" s="6"/>
      <c r="I123" s="6"/>
      <c r="J123" s="6"/>
      <c r="K123" s="6"/>
      <c r="L123" s="5">
        <f t="shared" si="33"/>
        <v>0</v>
      </c>
      <c r="M123" s="6">
        <f>+IFERROR(IFERROR(VLOOKUP($A123,[4]IMF_fdi_credit_debitinc!$A:$C,2,0),VLOOKUP($B123,[4]IMF_fdi_credit_debitinc!$A:$C,2,0)),0)/1000000</f>
        <v>0</v>
      </c>
      <c r="N123" s="6">
        <f>+IFERROR(VLOOKUP(A123,[4]OECD_COUNTERDI_INCOME!A:B,2,0),0)</f>
        <v>-3.0430000000000001</v>
      </c>
      <c r="O123" s="6">
        <f t="shared" si="32"/>
        <v>3.0430000000000001</v>
      </c>
      <c r="P123" s="118"/>
    </row>
    <row r="124" spans="1:16" ht="14.25" customHeight="1">
      <c r="A124" s="1" t="s">
        <v>803</v>
      </c>
      <c r="B124" s="117" t="s">
        <v>79</v>
      </c>
      <c r="C124" s="5">
        <f t="shared" si="30"/>
        <v>0</v>
      </c>
      <c r="D124" s="6">
        <f>+IFERROR(IFERROR(VLOOKUP($A124,[4]IMF_fdi_credit_debitinc!$A:$C,3,0),VLOOKUP($B124,[4]IMF_fdi_credit_debitinc!$A:$C,3,0)),0)/1000000</f>
        <v>0</v>
      </c>
      <c r="E124" s="6">
        <f>+IFERROR(VLOOKUP(A124,[4]OECD_COUNTERDO_INCOME!A:B,2,0),0)</f>
        <v>1474.09</v>
      </c>
      <c r="F124" s="6">
        <f t="shared" si="34"/>
        <v>-1474.09</v>
      </c>
      <c r="G124" s="7"/>
      <c r="H124" s="6"/>
      <c r="I124" s="6"/>
      <c r="J124" s="6"/>
      <c r="K124" s="6"/>
      <c r="L124" s="5">
        <f t="shared" si="33"/>
        <v>0</v>
      </c>
      <c r="M124" s="6">
        <f>+IFERROR(IFERROR(VLOOKUP($A124,[4]IMF_fdi_credit_debitinc!$A:$C,2,0),VLOOKUP($B124,[4]IMF_fdi_credit_debitinc!$A:$C,2,0)),0)/1000000</f>
        <v>0</v>
      </c>
      <c r="N124" s="6">
        <f>+IFERROR(VLOOKUP(A124,[4]OECD_COUNTERDI_INCOME!A:B,2,0),0)</f>
        <v>-22.869</v>
      </c>
      <c r="O124" s="6">
        <f t="shared" si="32"/>
        <v>22.869</v>
      </c>
      <c r="P124" s="118"/>
    </row>
    <row r="125" spans="1:16" ht="14.25" customHeight="1">
      <c r="A125" s="1" t="s">
        <v>804</v>
      </c>
      <c r="B125" s="117" t="s">
        <v>245</v>
      </c>
      <c r="C125" s="5">
        <f t="shared" si="30"/>
        <v>820.98299999999995</v>
      </c>
      <c r="D125" s="6">
        <f>+IFERROR(IFERROR(VLOOKUP($A125,[4]IMF_fdi_credit_debitinc!$A:$C,3,0),VLOOKUP($B125,[4]IMF_fdi_credit_debitinc!$A:$C,3,0)),0)/1000000</f>
        <v>820.98299999999995</v>
      </c>
      <c r="E125" s="6">
        <f>+IFERROR(VLOOKUP(A125,[4]OECD_COUNTERDO_INCOME!A:B,2,0),0)</f>
        <v>490.95600000000002</v>
      </c>
      <c r="F125" s="6">
        <f t="shared" si="34"/>
        <v>330.02699999999993</v>
      </c>
      <c r="G125" s="7"/>
      <c r="H125" s="6"/>
      <c r="I125" s="6"/>
      <c r="J125" s="6"/>
      <c r="K125" s="6"/>
      <c r="L125" s="5">
        <f t="shared" si="33"/>
        <v>0.47439279819000002</v>
      </c>
      <c r="M125" s="6">
        <f>+IFERROR(IFERROR(VLOOKUP($A125,[4]IMF_fdi_credit_debitinc!$A:$C,2,0),VLOOKUP($B125,[4]IMF_fdi_credit_debitinc!$A:$C,2,0)),0)/1000000</f>
        <v>0.47439279819000002</v>
      </c>
      <c r="N125" s="6">
        <f>+IFERROR(VLOOKUP(A125,[4]OECD_COUNTERDI_INCOME!A:B,2,0),0)</f>
        <v>16.773</v>
      </c>
      <c r="O125" s="6">
        <f t="shared" si="32"/>
        <v>-16.29860720181</v>
      </c>
      <c r="P125" s="118"/>
    </row>
    <row r="126" spans="1:16" ht="14.25" customHeight="1">
      <c r="A126" s="1" t="s">
        <v>247</v>
      </c>
      <c r="B126" s="117" t="s">
        <v>246</v>
      </c>
      <c r="C126" s="5">
        <f t="shared" si="30"/>
        <v>0</v>
      </c>
      <c r="D126" s="6">
        <f>+IFERROR(IFERROR(VLOOKUP($A126,[4]IMF_fdi_credit_debitinc!$A:$C,3,0),VLOOKUP($B126,[4]IMF_fdi_credit_debitinc!$A:$C,3,0)),0)/1000000</f>
        <v>0</v>
      </c>
      <c r="E126" s="6">
        <f>+IFERROR(VLOOKUP(A126,[4]OECD_COUNTERDO_INCOME!A:B,2,0),0)</f>
        <v>58.320999999999998</v>
      </c>
      <c r="F126" s="6">
        <f t="shared" si="34"/>
        <v>-58.320999999999998</v>
      </c>
      <c r="G126" s="7"/>
      <c r="H126" s="6"/>
      <c r="I126" s="6"/>
      <c r="J126" s="6"/>
      <c r="K126" s="6"/>
      <c r="L126" s="5">
        <f t="shared" si="33"/>
        <v>0</v>
      </c>
      <c r="M126" s="6">
        <f>+IFERROR(IFERROR(VLOOKUP($A126,[4]IMF_fdi_credit_debitinc!$A:$C,2,0),VLOOKUP($B126,[4]IMF_fdi_credit_debitinc!$A:$C,2,0)),0)/1000000</f>
        <v>0</v>
      </c>
      <c r="N126" s="6">
        <f>+IFERROR(VLOOKUP(A126,[4]OECD_COUNTERDI_INCOME!A:B,2,0),0)</f>
        <v>3.2000000000000001E-2</v>
      </c>
      <c r="O126" s="6">
        <f t="shared" si="32"/>
        <v>-3.2000000000000001E-2</v>
      </c>
      <c r="P126" s="118"/>
    </row>
    <row r="127" spans="1:16" ht="14.25" customHeight="1">
      <c r="A127" s="1" t="s">
        <v>805</v>
      </c>
      <c r="B127" s="117" t="s">
        <v>248</v>
      </c>
      <c r="C127" s="5">
        <f t="shared" si="30"/>
        <v>0</v>
      </c>
      <c r="D127" s="6">
        <f>+IFERROR(IFERROR(VLOOKUP($A127,[4]IMF_fdi_credit_debitinc!$A:$C,3,0),VLOOKUP($B127,[4]IMF_fdi_credit_debitinc!$A:$C,3,0)),0)/1000000</f>
        <v>0</v>
      </c>
      <c r="E127" s="6">
        <f>+IFERROR(VLOOKUP(A127,[4]OECD_COUNTERDO_INCOME!A:B,2,0),0)</f>
        <v>3.5329999999999999</v>
      </c>
      <c r="F127" s="6">
        <f t="shared" si="34"/>
        <v>-3.5329999999999999</v>
      </c>
      <c r="G127" s="7"/>
      <c r="H127" s="6"/>
      <c r="I127" s="6"/>
      <c r="J127" s="6"/>
      <c r="K127" s="6"/>
      <c r="L127" s="5">
        <f t="shared" si="33"/>
        <v>0</v>
      </c>
      <c r="M127" s="6">
        <f>+IFERROR(IFERROR(VLOOKUP($A127,[4]IMF_fdi_credit_debitinc!$A:$C,2,0),VLOOKUP($B127,[4]IMF_fdi_credit_debitinc!$A:$C,2,0)),0)/1000000</f>
        <v>0</v>
      </c>
      <c r="N127" s="6">
        <f>+IFERROR(VLOOKUP(A127,[4]OECD_COUNTERDI_INCOME!A:B,2,0),0)</f>
        <v>4.4999999999999998E-2</v>
      </c>
      <c r="O127" s="6">
        <f t="shared" si="32"/>
        <v>-4.4999999999999998E-2</v>
      </c>
      <c r="P127" s="118"/>
    </row>
    <row r="128" spans="1:16" ht="14.25" customHeight="1">
      <c r="A128" s="1" t="s">
        <v>806</v>
      </c>
      <c r="B128" s="117" t="s">
        <v>249</v>
      </c>
      <c r="C128" s="5">
        <f t="shared" si="30"/>
        <v>0</v>
      </c>
      <c r="D128" s="6">
        <f>+IFERROR(IFERROR(VLOOKUP($A128,[4]IMF_fdi_credit_debitinc!$A:$C,3,0),VLOOKUP($B128,[4]IMF_fdi_credit_debitinc!$A:$C,3,0)),0)/1000000</f>
        <v>0</v>
      </c>
      <c r="E128" s="6">
        <f>+IFERROR(VLOOKUP(A128,[4]OECD_COUNTERDO_INCOME!A:B,2,0),0)</f>
        <v>-52.354999999999997</v>
      </c>
      <c r="F128" s="6">
        <f t="shared" si="34"/>
        <v>52.354999999999997</v>
      </c>
      <c r="G128" s="7"/>
      <c r="H128" s="6"/>
      <c r="I128" s="6"/>
      <c r="J128" s="6"/>
      <c r="K128" s="6"/>
      <c r="L128" s="5">
        <f t="shared" si="33"/>
        <v>0</v>
      </c>
      <c r="M128" s="6">
        <f>+IFERROR(IFERROR(VLOOKUP($A128,[4]IMF_fdi_credit_debitinc!$A:$C,2,0),VLOOKUP($B128,[4]IMF_fdi_credit_debitinc!$A:$C,2,0)),0)/1000000</f>
        <v>0</v>
      </c>
      <c r="N128" s="6">
        <f>+IFERROR(VLOOKUP(A128,[4]OECD_COUNTERDI_INCOME!A:B,2,0),0)</f>
        <v>3.3000000000000002E-2</v>
      </c>
      <c r="O128" s="6">
        <f t="shared" si="32"/>
        <v>-3.3000000000000002E-2</v>
      </c>
      <c r="P128" s="118"/>
    </row>
    <row r="129" spans="1:16" ht="14.25" customHeight="1">
      <c r="A129" s="1" t="s">
        <v>807</v>
      </c>
      <c r="B129" s="117" t="s">
        <v>250</v>
      </c>
      <c r="C129" s="5">
        <f t="shared" si="30"/>
        <v>0</v>
      </c>
      <c r="D129" s="6">
        <f>+IFERROR(IFERROR(VLOOKUP($A129,[4]IMF_fdi_credit_debitinc!$A:$C,3,0),VLOOKUP($B129,[4]IMF_fdi_credit_debitinc!$A:$C,3,0)),0)/1000000</f>
        <v>0</v>
      </c>
      <c r="E129" s="6">
        <f>+IFERROR(VLOOKUP(A129,[4]OECD_COUNTERDO_INCOME!A:B,2,0),0)</f>
        <v>32.683</v>
      </c>
      <c r="F129" s="6">
        <f t="shared" si="34"/>
        <v>-32.683</v>
      </c>
      <c r="G129" s="7"/>
      <c r="H129" s="6"/>
      <c r="I129" s="6"/>
      <c r="J129" s="6"/>
      <c r="K129" s="6"/>
      <c r="L129" s="5">
        <f t="shared" si="33"/>
        <v>0</v>
      </c>
      <c r="M129" s="6">
        <f>+IFERROR(IFERROR(VLOOKUP($A129,[4]IMF_fdi_credit_debitinc!$A:$C,2,0),VLOOKUP($B129,[4]IMF_fdi_credit_debitinc!$A:$C,2,0)),0)/1000000</f>
        <v>0</v>
      </c>
      <c r="N129" s="6">
        <f>+IFERROR(VLOOKUP(A129,[4]OECD_COUNTERDI_INCOME!A:B,2,0),0)</f>
        <v>2.633</v>
      </c>
      <c r="O129" s="6">
        <f t="shared" si="32"/>
        <v>-2.633</v>
      </c>
      <c r="P129" s="118"/>
    </row>
    <row r="130" spans="1:16" ht="14.25" customHeight="1">
      <c r="A130" s="1" t="s">
        <v>808</v>
      </c>
      <c r="B130" s="117" t="s">
        <v>251</v>
      </c>
      <c r="C130" s="5">
        <f t="shared" si="30"/>
        <v>459.29899999999998</v>
      </c>
      <c r="D130" s="6">
        <f>+IFERROR(IFERROR(VLOOKUP($A130,[4]IMF_fdi_credit_debitinc!$A:$C,3,0),VLOOKUP($B130,[4]IMF_fdi_credit_debitinc!$A:$C,3,0)),0)/1000000</f>
        <v>459.29899999999998</v>
      </c>
      <c r="E130" s="6">
        <f>+IFERROR(VLOOKUP(A130,[4]OECD_COUNTERDO_INCOME!A:B,2,0),0)</f>
        <v>32.552999999999997</v>
      </c>
      <c r="F130" s="6">
        <f t="shared" si="34"/>
        <v>426.74599999999998</v>
      </c>
      <c r="G130" s="7"/>
      <c r="H130" s="6"/>
      <c r="I130" s="6"/>
      <c r="J130" s="6"/>
      <c r="K130" s="6"/>
      <c r="L130" s="5">
        <f t="shared" si="33"/>
        <v>0</v>
      </c>
      <c r="M130" s="6">
        <f>+IFERROR(IFERROR(VLOOKUP($A130,[4]IMF_fdi_credit_debitinc!$A:$C,2,0),VLOOKUP($B130,[4]IMF_fdi_credit_debitinc!$A:$C,2,0)),0)/1000000</f>
        <v>0</v>
      </c>
      <c r="N130" s="6">
        <f>+IFERROR(VLOOKUP(A130,[4]OECD_COUNTERDI_INCOME!A:B,2,0),0)</f>
        <v>0.02</v>
      </c>
      <c r="O130" s="6">
        <f t="shared" si="32"/>
        <v>-0.02</v>
      </c>
      <c r="P130" s="118"/>
    </row>
    <row r="131" spans="1:16" ht="14.25" customHeight="1">
      <c r="A131" s="1" t="s">
        <v>809</v>
      </c>
      <c r="B131" s="117" t="s">
        <v>252</v>
      </c>
      <c r="C131" s="5">
        <f t="shared" si="30"/>
        <v>0</v>
      </c>
      <c r="D131" s="6">
        <f>+IFERROR(IFERROR(VLOOKUP($A131,[4]IMF_fdi_credit_debitinc!$A:$C,3,0),VLOOKUP($B131,[4]IMF_fdi_credit_debitinc!$A:$C,3,0)),0)/1000000</f>
        <v>0</v>
      </c>
      <c r="E131" s="6">
        <f>+IFERROR(VLOOKUP(A131,[4]OECD_COUNTERDO_INCOME!A:B,2,0),0)</f>
        <v>-13.308</v>
      </c>
      <c r="F131" s="6">
        <f t="shared" si="34"/>
        <v>13.308</v>
      </c>
      <c r="G131" s="7"/>
      <c r="H131" s="6"/>
      <c r="I131" s="6"/>
      <c r="J131" s="6"/>
      <c r="K131" s="6"/>
      <c r="L131" s="5">
        <f t="shared" si="33"/>
        <v>0</v>
      </c>
      <c r="M131" s="6">
        <f>+IFERROR(IFERROR(VLOOKUP($A131,[4]IMF_fdi_credit_debitinc!$A:$C,2,0),VLOOKUP($B131,[4]IMF_fdi_credit_debitinc!$A:$C,2,0)),0)/1000000</f>
        <v>0</v>
      </c>
      <c r="N131" s="6">
        <f>+IFERROR(VLOOKUP(A131,[4]OECD_COUNTERDI_INCOME!A:B,2,0),0)</f>
        <v>2E-3</v>
      </c>
      <c r="O131" s="6">
        <f t="shared" si="32"/>
        <v>-2E-3</v>
      </c>
      <c r="P131" s="118"/>
    </row>
    <row r="132" spans="1:16" ht="14.25" customHeight="1">
      <c r="A132" s="1" t="s">
        <v>810</v>
      </c>
      <c r="B132" s="117" t="s">
        <v>253</v>
      </c>
      <c r="C132" s="5">
        <f t="shared" si="30"/>
        <v>0</v>
      </c>
      <c r="D132" s="6">
        <f>+IFERROR(IFERROR(VLOOKUP($A132,[4]IMF_fdi_credit_debitinc!$A:$C,3,0),VLOOKUP($B132,[4]IMF_fdi_credit_debitinc!$A:$C,3,0)),0)/1000000</f>
        <v>0</v>
      </c>
      <c r="E132" s="6">
        <f>+IFERROR(VLOOKUP(A132,[4]OECD_COUNTERDO_INCOME!A:B,2,0),0)</f>
        <v>2.8079999999999998</v>
      </c>
      <c r="F132" s="6">
        <f t="shared" si="34"/>
        <v>-2.8079999999999998</v>
      </c>
      <c r="G132" s="7"/>
      <c r="H132" s="6"/>
      <c r="I132" s="6"/>
      <c r="J132" s="6"/>
      <c r="K132" s="6"/>
      <c r="L132" s="5">
        <f t="shared" si="33"/>
        <v>0</v>
      </c>
      <c r="M132" s="6">
        <f>+IFERROR(IFERROR(VLOOKUP($A132,[4]IMF_fdi_credit_debitinc!$A:$C,2,0),VLOOKUP($B132,[4]IMF_fdi_credit_debitinc!$A:$C,2,0)),0)/1000000</f>
        <v>0</v>
      </c>
      <c r="N132" s="6">
        <f>+IFERROR(VLOOKUP(A132,[4]OECD_COUNTERDI_INCOME!A:B,2,0),0)</f>
        <v>0</v>
      </c>
      <c r="O132" s="6">
        <f t="shared" si="32"/>
        <v>0</v>
      </c>
      <c r="P132" s="118"/>
    </row>
    <row r="133" spans="1:16" ht="14.25" customHeight="1">
      <c r="A133" s="1" t="s">
        <v>811</v>
      </c>
      <c r="B133" s="117" t="s">
        <v>254</v>
      </c>
      <c r="C133" s="5">
        <f t="shared" si="30"/>
        <v>1307.03</v>
      </c>
      <c r="D133" s="6">
        <f>+IFERROR(IFERROR(VLOOKUP($A133,[4]IMF_fdi_credit_debitinc!$A:$C,3,0),VLOOKUP($B133,[4]IMF_fdi_credit_debitinc!$A:$C,3,0)),0)/1000000</f>
        <v>1307.03</v>
      </c>
      <c r="E133" s="6">
        <f>+IFERROR(VLOOKUP(A133,[4]OECD_COUNTERDO_INCOME!A:B,2,0),0)</f>
        <v>120.039</v>
      </c>
      <c r="F133" s="6">
        <f t="shared" si="34"/>
        <v>1186.991</v>
      </c>
      <c r="G133" s="7"/>
      <c r="H133" s="6"/>
      <c r="I133" s="6"/>
      <c r="J133" s="6"/>
      <c r="K133" s="6"/>
      <c r="L133" s="5">
        <f t="shared" si="33"/>
        <v>252.166</v>
      </c>
      <c r="M133" s="6">
        <f>+IFERROR(IFERROR(VLOOKUP($A133,[4]IMF_fdi_credit_debitinc!$A:$C,2,0),VLOOKUP($B133,[4]IMF_fdi_credit_debitinc!$A:$C,2,0)),0)/1000000</f>
        <v>252.166</v>
      </c>
      <c r="N133" s="6">
        <f>+IFERROR(VLOOKUP(A133,[4]OECD_COUNTERDI_INCOME!A:B,2,0),0)</f>
        <v>23.564</v>
      </c>
      <c r="O133" s="6">
        <f t="shared" si="32"/>
        <v>228.602</v>
      </c>
      <c r="P133" s="118"/>
    </row>
    <row r="134" spans="1:16" ht="14.25" customHeight="1">
      <c r="A134" s="1" t="s">
        <v>812</v>
      </c>
      <c r="B134" s="117" t="s">
        <v>255</v>
      </c>
      <c r="C134" s="5">
        <f t="shared" si="30"/>
        <v>0</v>
      </c>
      <c r="D134" s="6">
        <f>+IFERROR(IFERROR(VLOOKUP($A134,[4]IMF_fdi_credit_debitinc!$A:$C,3,0),VLOOKUP($B134,[4]IMF_fdi_credit_debitinc!$A:$C,3,0)),0)/1000000</f>
        <v>0</v>
      </c>
      <c r="E134" s="6">
        <f>+IFERROR(VLOOKUP(A134,[4]OECD_COUNTERDO_INCOME!A:B,2,0),0)</f>
        <v>537.452</v>
      </c>
      <c r="F134" s="6">
        <f t="shared" si="34"/>
        <v>-537.452</v>
      </c>
      <c r="G134" s="7"/>
      <c r="H134" s="6"/>
      <c r="I134" s="6"/>
      <c r="J134" s="6"/>
      <c r="K134" s="6"/>
      <c r="L134" s="5">
        <f t="shared" si="33"/>
        <v>0</v>
      </c>
      <c r="M134" s="6">
        <f>+IFERROR(IFERROR(VLOOKUP($A134,[4]IMF_fdi_credit_debitinc!$A:$C,2,0),VLOOKUP($B134,[4]IMF_fdi_credit_debitinc!$A:$C,2,0)),0)/1000000</f>
        <v>0</v>
      </c>
      <c r="N134" s="6">
        <f>+IFERROR(VLOOKUP(A134,[4]OECD_COUNTERDI_INCOME!A:B,2,0),0)</f>
        <v>2.4630000000000001</v>
      </c>
      <c r="O134" s="6">
        <f t="shared" si="32"/>
        <v>-2.4630000000000001</v>
      </c>
      <c r="P134" s="118"/>
    </row>
    <row r="135" spans="1:16" ht="14.25" customHeight="1">
      <c r="A135" s="1" t="s">
        <v>763</v>
      </c>
      <c r="B135" s="117" t="s">
        <v>189</v>
      </c>
      <c r="C135" s="5">
        <f t="shared" si="30"/>
        <v>0</v>
      </c>
      <c r="D135" s="6">
        <f>+IFERROR(IFERROR(VLOOKUP($A135,[4]IMF_fdi_credit_debitinc!$A:$C,3,0),VLOOKUP($B135,[4]IMF_fdi_credit_debitinc!$A:$C,3,0)),0)/1000000</f>
        <v>0</v>
      </c>
      <c r="E135" s="6">
        <f>+IFERROR(VLOOKUP(A135,[4]OECD_COUNTERDO_INCOME!A:B,2,0),0)</f>
        <v>4</v>
      </c>
      <c r="F135" s="6">
        <f t="shared" si="34"/>
        <v>-4</v>
      </c>
      <c r="G135" s="7"/>
      <c r="H135" s="6"/>
      <c r="I135" s="6"/>
      <c r="J135" s="6"/>
      <c r="K135" s="6"/>
      <c r="L135" s="5">
        <f t="shared" si="33"/>
        <v>0</v>
      </c>
      <c r="M135" s="6">
        <f>+IFERROR(IFERROR(VLOOKUP($A135,[4]IMF_fdi_credit_debitinc!$A:$C,2,0),VLOOKUP($B135,[4]IMF_fdi_credit_debitinc!$A:$C,2,0)),0)/1000000</f>
        <v>0</v>
      </c>
      <c r="N135" s="6">
        <f>+IFERROR(VLOOKUP(A135,[4]OECD_COUNTERDI_INCOME!A:B,2,0),0)</f>
        <v>0</v>
      </c>
      <c r="O135" s="6">
        <f t="shared" si="32"/>
        <v>0</v>
      </c>
      <c r="P135" s="118"/>
    </row>
    <row r="136" spans="1:16" ht="14.25" customHeight="1">
      <c r="A136" s="1" t="s">
        <v>813</v>
      </c>
      <c r="B136" s="117" t="s">
        <v>256</v>
      </c>
      <c r="C136" s="5">
        <f t="shared" si="30"/>
        <v>1301.94</v>
      </c>
      <c r="D136" s="6">
        <f>+IFERROR(IFERROR(VLOOKUP($A136,[4]IMF_fdi_credit_debitinc!$A:$C,3,0),VLOOKUP($B136,[4]IMF_fdi_credit_debitinc!$A:$C,3,0)),0)/1000000</f>
        <v>1301.94</v>
      </c>
      <c r="E136" s="6">
        <f>+IFERROR(VLOOKUP(A136,[4]OECD_COUNTERDO_INCOME!A:B,2,0),0)</f>
        <v>210.066</v>
      </c>
      <c r="F136" s="6">
        <f t="shared" si="34"/>
        <v>1091.874</v>
      </c>
      <c r="G136" s="7"/>
      <c r="H136" s="6"/>
      <c r="I136" s="6"/>
      <c r="J136" s="6"/>
      <c r="K136" s="6"/>
      <c r="L136" s="5">
        <f t="shared" si="33"/>
        <v>210.58500000000001</v>
      </c>
      <c r="M136" s="6">
        <f>+IFERROR(IFERROR(VLOOKUP($A136,[4]IMF_fdi_credit_debitinc!$A:$C,2,0),VLOOKUP($B136,[4]IMF_fdi_credit_debitinc!$A:$C,2,0)),0)/1000000</f>
        <v>210.58500000000001</v>
      </c>
      <c r="N136" s="6">
        <f>+IFERROR(VLOOKUP(A136,[4]OECD_COUNTERDI_INCOME!A:B,2,0),0)</f>
        <v>60.213999999999999</v>
      </c>
      <c r="O136" s="6">
        <f t="shared" si="32"/>
        <v>150.37100000000001</v>
      </c>
      <c r="P136" s="118"/>
    </row>
    <row r="137" spans="1:16" ht="14.25" customHeight="1">
      <c r="A137" s="1" t="s">
        <v>247</v>
      </c>
      <c r="B137" s="117" t="s">
        <v>257</v>
      </c>
      <c r="C137" s="5">
        <f t="shared" si="30"/>
        <v>0</v>
      </c>
      <c r="D137" s="6">
        <f>+IFERROR(IFERROR(VLOOKUP($A137,[4]IMF_fdi_credit_debitinc!$A:$C,3,0),VLOOKUP($B137,[4]IMF_fdi_credit_debitinc!$A:$C,3,0)),0)/1000000</f>
        <v>0</v>
      </c>
      <c r="E137" s="6">
        <f>+IFERROR(VLOOKUP(A137,[4]OECD_COUNTERDO_INCOME!A:B,2,0),0)</f>
        <v>58.320999999999998</v>
      </c>
      <c r="F137" s="6">
        <f t="shared" si="34"/>
        <v>-58.320999999999998</v>
      </c>
      <c r="G137" s="7"/>
      <c r="H137" s="6"/>
      <c r="I137" s="6"/>
      <c r="J137" s="6"/>
      <c r="K137" s="6"/>
      <c r="L137" s="5">
        <f t="shared" si="33"/>
        <v>0</v>
      </c>
      <c r="M137" s="6">
        <f>+IFERROR(IFERROR(VLOOKUP($A137,[4]IMF_fdi_credit_debitinc!$A:$C,2,0),VLOOKUP($B137,[4]IMF_fdi_credit_debitinc!$A:$C,2,0)),0)/1000000</f>
        <v>0</v>
      </c>
      <c r="N137" s="6">
        <f>+IFERROR(VLOOKUP(A137,[4]OECD_COUNTERDI_INCOME!A:B,2,0),0)</f>
        <v>3.2000000000000001E-2</v>
      </c>
      <c r="O137" s="6">
        <f t="shared" si="32"/>
        <v>-3.2000000000000001E-2</v>
      </c>
      <c r="P137" s="118"/>
    </row>
    <row r="138" spans="1:16" ht="14.25" customHeight="1">
      <c r="A138" s="1" t="s">
        <v>814</v>
      </c>
      <c r="B138" s="117" t="s">
        <v>258</v>
      </c>
      <c r="C138" s="5">
        <f t="shared" si="30"/>
        <v>0</v>
      </c>
      <c r="D138" s="6">
        <f>+IFERROR(IFERROR(VLOOKUP($A138,[4]IMF_fdi_credit_debitinc!$A:$C,3,0),VLOOKUP($B138,[4]IMF_fdi_credit_debitinc!$A:$C,3,0)),0)/1000000</f>
        <v>0</v>
      </c>
      <c r="E138" s="6">
        <f>+IFERROR(VLOOKUP(A138,[4]OECD_COUNTERDO_INCOME!A:B,2,0),0)</f>
        <v>4.7E-2</v>
      </c>
      <c r="F138" s="6">
        <f t="shared" si="34"/>
        <v>-4.7E-2</v>
      </c>
      <c r="G138" s="7"/>
      <c r="H138" s="6"/>
      <c r="I138" s="6"/>
      <c r="J138" s="6"/>
      <c r="K138" s="6"/>
      <c r="L138" s="5">
        <f t="shared" si="33"/>
        <v>0</v>
      </c>
      <c r="M138" s="6">
        <f>+IFERROR(IFERROR(VLOOKUP($A138,[4]IMF_fdi_credit_debitinc!$A:$C,2,0),VLOOKUP($B138,[4]IMF_fdi_credit_debitinc!$A:$C,2,0)),0)/1000000</f>
        <v>0</v>
      </c>
      <c r="N138" s="6">
        <f>+IFERROR(VLOOKUP(A138,[4]OECD_COUNTERDI_INCOME!A:B,2,0),0)</f>
        <v>2.1999999999999999E-2</v>
      </c>
      <c r="O138" s="6">
        <f t="shared" si="32"/>
        <v>-2.1999999999999999E-2</v>
      </c>
      <c r="P138" s="118"/>
    </row>
    <row r="139" spans="1:16" ht="14.25" customHeight="1">
      <c r="A139" s="1" t="s">
        <v>815</v>
      </c>
      <c r="B139" s="117" t="s">
        <v>259</v>
      </c>
      <c r="C139" s="5">
        <f t="shared" si="30"/>
        <v>0</v>
      </c>
      <c r="D139" s="6">
        <f>+IFERROR(IFERROR(VLOOKUP($A139,[4]IMF_fdi_credit_debitinc!$A:$C,3,0),VLOOKUP($B139,[4]IMF_fdi_credit_debitinc!$A:$C,3,0)),0)/1000000</f>
        <v>0</v>
      </c>
      <c r="E139" s="6">
        <f>+IFERROR(VLOOKUP(A139,[4]OECD_COUNTERDO_INCOME!A:B,2,0),0)</f>
        <v>2.2389999999999999</v>
      </c>
      <c r="F139" s="6">
        <f t="shared" si="34"/>
        <v>-2.2389999999999999</v>
      </c>
      <c r="G139" s="7"/>
      <c r="H139" s="6"/>
      <c r="I139" s="6"/>
      <c r="J139" s="6"/>
      <c r="K139" s="6"/>
      <c r="L139" s="5">
        <f t="shared" si="33"/>
        <v>0</v>
      </c>
      <c r="M139" s="6">
        <f>+IFERROR(IFERROR(VLOOKUP($A139,[4]IMF_fdi_credit_debitinc!$A:$C,2,0),VLOOKUP($B139,[4]IMF_fdi_credit_debitinc!$A:$C,2,0)),0)/1000000</f>
        <v>0</v>
      </c>
      <c r="N139" s="6">
        <f>+IFERROR(VLOOKUP(A139,[4]OECD_COUNTERDI_INCOME!A:B,2,0),0)</f>
        <v>0.308</v>
      </c>
      <c r="O139" s="6">
        <f t="shared" si="32"/>
        <v>-0.308</v>
      </c>
      <c r="P139" s="118"/>
    </row>
    <row r="140" spans="1:16" ht="14.25" customHeight="1">
      <c r="A140" s="1" t="s">
        <v>816</v>
      </c>
      <c r="B140" s="117" t="s">
        <v>260</v>
      </c>
      <c r="C140" s="5">
        <f t="shared" si="30"/>
        <v>0</v>
      </c>
      <c r="D140" s="6">
        <f>+IFERROR(IFERROR(VLOOKUP($A140,[4]IMF_fdi_credit_debitinc!$A:$C,3,0),VLOOKUP($B140,[4]IMF_fdi_credit_debitinc!$A:$C,3,0)),0)/1000000</f>
        <v>0</v>
      </c>
      <c r="E140" s="6">
        <f>+IFERROR(VLOOKUP(A140,[4]OECD_COUNTERDO_INCOME!A:B,2,0),0)</f>
        <v>-7.5209999999999999</v>
      </c>
      <c r="F140" s="6">
        <f t="shared" si="34"/>
        <v>7.5209999999999999</v>
      </c>
      <c r="G140" s="7"/>
      <c r="H140" s="6"/>
      <c r="I140" s="6"/>
      <c r="J140" s="6"/>
      <c r="K140" s="6"/>
      <c r="L140" s="5">
        <f t="shared" si="33"/>
        <v>0</v>
      </c>
      <c r="M140" s="6">
        <f>+IFERROR(IFERROR(VLOOKUP($A140,[4]IMF_fdi_credit_debitinc!$A:$C,2,0),VLOOKUP($B140,[4]IMF_fdi_credit_debitinc!$A:$C,2,0)),0)/1000000</f>
        <v>0</v>
      </c>
      <c r="N140" s="6">
        <f>+IFERROR(VLOOKUP(A140,[4]OECD_COUNTERDI_INCOME!A:B,2,0),0)</f>
        <v>0</v>
      </c>
      <c r="O140" s="6">
        <f t="shared" si="32"/>
        <v>0</v>
      </c>
      <c r="P140" s="118"/>
    </row>
    <row r="141" spans="1:16" ht="14.25" customHeight="1">
      <c r="A141" s="1" t="s">
        <v>817</v>
      </c>
      <c r="B141" s="117" t="s">
        <v>261</v>
      </c>
      <c r="C141" s="5">
        <f t="shared" si="30"/>
        <v>1345.83</v>
      </c>
      <c r="D141" s="6">
        <f>+IFERROR(IFERROR(VLOOKUP($A141,[4]IMF_fdi_credit_debitinc!$A:$C,3,0),VLOOKUP($B141,[4]IMF_fdi_credit_debitinc!$A:$C,3,0)),0)/1000000</f>
        <v>1345.83</v>
      </c>
      <c r="E141" s="6">
        <f>+IFERROR(VLOOKUP(A141,[4]OECD_COUNTERDO_INCOME!A:B,2,0),0)</f>
        <v>340.34800000000001</v>
      </c>
      <c r="F141" s="6">
        <f t="shared" si="34"/>
        <v>1005.482</v>
      </c>
      <c r="G141" s="7"/>
      <c r="H141" s="6"/>
      <c r="I141" s="6"/>
      <c r="J141" s="6"/>
      <c r="K141" s="6"/>
      <c r="L141" s="5">
        <f t="shared" si="33"/>
        <v>2.1</v>
      </c>
      <c r="M141" s="6">
        <f>+IFERROR(IFERROR(VLOOKUP($A141,[4]IMF_fdi_credit_debitinc!$A:$C,2,0),VLOOKUP($B141,[4]IMF_fdi_credit_debitinc!$A:$C,2,0)),0)/1000000</f>
        <v>2.1</v>
      </c>
      <c r="N141" s="6">
        <f>+IFERROR(VLOOKUP(A141,[4]OECD_COUNTERDI_INCOME!A:B,2,0),0)</f>
        <v>2E-3</v>
      </c>
      <c r="O141" s="6">
        <f t="shared" si="32"/>
        <v>2.0980000000000003</v>
      </c>
      <c r="P141" s="118"/>
    </row>
    <row r="142" spans="1:16" ht="14.25" customHeight="1">
      <c r="A142" s="1" t="s">
        <v>818</v>
      </c>
      <c r="B142" s="117" t="s">
        <v>80</v>
      </c>
      <c r="C142" s="5">
        <f t="shared" si="30"/>
        <v>21690.9</v>
      </c>
      <c r="D142" s="6">
        <f>+IFERROR(IFERROR(VLOOKUP($A142,[4]IMF_fdi_credit_debitinc!$A:$C,3,0),VLOOKUP($B142,[4]IMF_fdi_credit_debitinc!$A:$C,3,0)),0)/1000000</f>
        <v>21690.9</v>
      </c>
      <c r="E142" s="6">
        <f>+IFERROR(VLOOKUP(A142,[4]OECD_COUNTERDO_INCOME!A:B,2,0),0)</f>
        <v>6181.5370000000003</v>
      </c>
      <c r="F142" s="6">
        <f t="shared" si="34"/>
        <v>15509.363000000001</v>
      </c>
      <c r="G142" s="7"/>
      <c r="H142" s="6"/>
      <c r="I142" s="6"/>
      <c r="J142" s="6"/>
      <c r="K142" s="6"/>
      <c r="L142" s="5">
        <f t="shared" si="33"/>
        <v>3410.59</v>
      </c>
      <c r="M142" s="6">
        <f>+IFERROR(IFERROR(VLOOKUP($A142,[4]IMF_fdi_credit_debitinc!$A:$C,2,0),VLOOKUP($B142,[4]IMF_fdi_credit_debitinc!$A:$C,2,0)),0)/1000000</f>
        <v>3410.59</v>
      </c>
      <c r="N142" s="6">
        <f>+IFERROR(VLOOKUP(A142,[4]OECD_COUNTERDI_INCOME!A:B,2,0),0)</f>
        <v>207</v>
      </c>
      <c r="O142" s="6">
        <f t="shared" si="32"/>
        <v>3203.59</v>
      </c>
      <c r="P142" s="118"/>
    </row>
    <row r="143" spans="1:16" ht="14.25" customHeight="1">
      <c r="A143" s="1" t="s">
        <v>819</v>
      </c>
      <c r="B143" s="117" t="s">
        <v>262</v>
      </c>
      <c r="C143" s="5">
        <f t="shared" si="30"/>
        <v>0</v>
      </c>
      <c r="D143" s="6">
        <f>+IFERROR(IFERROR(VLOOKUP($A143,[4]IMF_fdi_credit_debitinc!$A:$C,3,0),VLOOKUP($B143,[4]IMF_fdi_credit_debitinc!$A:$C,3,0)),0)/1000000</f>
        <v>0</v>
      </c>
      <c r="E143" s="6">
        <f>+IFERROR(VLOOKUP(A143,[4]OECD_COUNTERDO_INCOME!A:B,2,0),0)</f>
        <v>65.358999999999995</v>
      </c>
      <c r="F143" s="6">
        <f t="shared" si="34"/>
        <v>-65.358999999999995</v>
      </c>
      <c r="G143" s="7"/>
      <c r="H143" s="6"/>
      <c r="I143" s="6"/>
      <c r="J143" s="6"/>
      <c r="K143" s="6"/>
      <c r="L143" s="5">
        <f t="shared" si="33"/>
        <v>0</v>
      </c>
      <c r="M143" s="6">
        <f>+IFERROR(IFERROR(VLOOKUP($A143,[4]IMF_fdi_credit_debitinc!$A:$C,2,0),VLOOKUP($B143,[4]IMF_fdi_credit_debitinc!$A:$C,2,0)),0)/1000000</f>
        <v>0</v>
      </c>
      <c r="N143" s="6">
        <f>+IFERROR(VLOOKUP(A143,[4]OECD_COUNTERDI_INCOME!A:B,2,0),0)</f>
        <v>-142.227</v>
      </c>
      <c r="O143" s="6">
        <f t="shared" si="32"/>
        <v>142.227</v>
      </c>
      <c r="P143" s="118"/>
    </row>
    <row r="144" spans="1:16" ht="14.25" customHeight="1">
      <c r="A144" s="1" t="s">
        <v>820</v>
      </c>
      <c r="B144" s="117" t="s">
        <v>263</v>
      </c>
      <c r="C144" s="5">
        <f t="shared" si="30"/>
        <v>0</v>
      </c>
      <c r="D144" s="6">
        <f>+IFERROR(IFERROR(VLOOKUP($A144,[4]IMF_fdi_credit_debitinc!$A:$C,3,0),VLOOKUP($B144,[4]IMF_fdi_credit_debitinc!$A:$C,3,0)),0)/1000000</f>
        <v>0</v>
      </c>
      <c r="E144" s="6">
        <f>+IFERROR(VLOOKUP(A144,[4]OECD_COUNTERDO_INCOME!A:B,2,0),0)</f>
        <v>387.95600000000002</v>
      </c>
      <c r="F144" s="6">
        <f t="shared" si="34"/>
        <v>-387.95600000000002</v>
      </c>
      <c r="G144" s="7"/>
      <c r="H144" s="6"/>
      <c r="I144" s="6"/>
      <c r="J144" s="6"/>
      <c r="K144" s="6"/>
      <c r="L144" s="5">
        <f t="shared" si="33"/>
        <v>0</v>
      </c>
      <c r="M144" s="6">
        <f>+IFERROR(IFERROR(VLOOKUP($A144,[4]IMF_fdi_credit_debitinc!$A:$C,2,0),VLOOKUP($B144,[4]IMF_fdi_credit_debitinc!$A:$C,2,0)),0)/1000000</f>
        <v>0</v>
      </c>
      <c r="N144" s="6">
        <f>+IFERROR(VLOOKUP(A144,[4]OECD_COUNTERDI_INCOME!A:B,2,0),0)</f>
        <v>5.0999999999999997E-2</v>
      </c>
      <c r="O144" s="6">
        <f t="shared" si="32"/>
        <v>-5.0999999999999997E-2</v>
      </c>
      <c r="P144" s="118"/>
    </row>
    <row r="145" spans="1:16" ht="14.25" customHeight="1">
      <c r="A145" s="1" t="s">
        <v>821</v>
      </c>
      <c r="B145" s="117" t="s">
        <v>264</v>
      </c>
      <c r="C145" s="5">
        <f t="shared" si="30"/>
        <v>0</v>
      </c>
      <c r="D145" s="6">
        <f>+IFERROR(IFERROR(VLOOKUP($A145,[4]IMF_fdi_credit_debitinc!$A:$C,3,0),VLOOKUP($B145,[4]IMF_fdi_credit_debitinc!$A:$C,3,0)),0)/1000000</f>
        <v>0</v>
      </c>
      <c r="E145" s="6">
        <f>+IFERROR(VLOOKUP(A145,[4]OECD_COUNTERDO_INCOME!A:B,2,0),0)</f>
        <v>97.884</v>
      </c>
      <c r="F145" s="6">
        <f t="shared" si="34"/>
        <v>-97.884</v>
      </c>
      <c r="G145" s="7"/>
      <c r="H145" s="6"/>
      <c r="I145" s="6"/>
      <c r="J145" s="6"/>
      <c r="K145" s="6"/>
      <c r="L145" s="5">
        <f t="shared" si="33"/>
        <v>0</v>
      </c>
      <c r="M145" s="6">
        <f>+IFERROR(IFERROR(VLOOKUP($A145,[4]IMF_fdi_credit_debitinc!$A:$C,2,0),VLOOKUP($B145,[4]IMF_fdi_credit_debitinc!$A:$C,2,0)),0)/1000000</f>
        <v>0</v>
      </c>
      <c r="N145" s="6">
        <f>+IFERROR(VLOOKUP(A145,[4]OECD_COUNTERDI_INCOME!A:B,2,0),0)</f>
        <v>-0.26700000000000002</v>
      </c>
      <c r="O145" s="6">
        <f t="shared" si="32"/>
        <v>0.26700000000000002</v>
      </c>
      <c r="P145" s="118"/>
    </row>
    <row r="146" spans="1:16" ht="14.25" customHeight="1">
      <c r="A146" s="1" t="s">
        <v>822</v>
      </c>
      <c r="B146" s="117" t="s">
        <v>265</v>
      </c>
      <c r="C146" s="5">
        <f t="shared" si="30"/>
        <v>0</v>
      </c>
      <c r="D146" s="6">
        <f>+IFERROR(IFERROR(VLOOKUP($A146,[4]IMF_fdi_credit_debitinc!$A:$C,3,0),VLOOKUP($B146,[4]IMF_fdi_credit_debitinc!$A:$C,3,0)),0)/1000000</f>
        <v>0</v>
      </c>
      <c r="E146" s="6">
        <f>+IFERROR(VLOOKUP(A146,[4]OECD_COUNTERDO_INCOME!A:B,2,0),0)</f>
        <v>81.311999999999998</v>
      </c>
      <c r="F146" s="6">
        <f t="shared" si="34"/>
        <v>-81.311999999999998</v>
      </c>
      <c r="G146" s="7"/>
      <c r="H146" s="6"/>
      <c r="I146" s="6"/>
      <c r="J146" s="6"/>
      <c r="K146" s="6"/>
      <c r="L146" s="5">
        <f t="shared" si="33"/>
        <v>0</v>
      </c>
      <c r="M146" s="6">
        <f>+IFERROR(IFERROR(VLOOKUP($A146,[4]IMF_fdi_credit_debitinc!$A:$C,2,0),VLOOKUP($B146,[4]IMF_fdi_credit_debitinc!$A:$C,2,0)),0)/1000000</f>
        <v>0</v>
      </c>
      <c r="N146" s="6">
        <f>+IFERROR(VLOOKUP(A146,[4]OECD_COUNTERDI_INCOME!A:B,2,0),0)</f>
        <v>2.4460000000000002</v>
      </c>
      <c r="O146" s="6">
        <f t="shared" si="32"/>
        <v>-2.4460000000000002</v>
      </c>
      <c r="P146" s="118"/>
    </row>
    <row r="147" spans="1:16" ht="14.25" customHeight="1">
      <c r="A147" s="1" t="s">
        <v>823</v>
      </c>
      <c r="B147" s="117" t="s">
        <v>266</v>
      </c>
      <c r="C147" s="5">
        <f t="shared" si="30"/>
        <v>20793.099999999999</v>
      </c>
      <c r="D147" s="6">
        <f>+IFERROR(IFERROR(VLOOKUP($A147,[4]IMF_fdi_credit_debitinc!$A:$C,3,0),VLOOKUP($B147,[4]IMF_fdi_credit_debitinc!$A:$C,3,0)),0)/1000000</f>
        <v>20793.099999999999</v>
      </c>
      <c r="E147" s="6">
        <f>+IFERROR(VLOOKUP(A147,[4]OECD_COUNTERDO_INCOME!A:B,2,0),0)</f>
        <v>836.85400000000004</v>
      </c>
      <c r="F147" s="6">
        <f t="shared" si="34"/>
        <v>19956.245999999999</v>
      </c>
      <c r="G147" s="7"/>
      <c r="H147" s="6"/>
      <c r="I147" s="6"/>
      <c r="J147" s="6"/>
      <c r="K147" s="6"/>
      <c r="L147" s="5">
        <f t="shared" si="33"/>
        <v>653.46900000000005</v>
      </c>
      <c r="M147" s="6">
        <f>+IFERROR(IFERROR(VLOOKUP($A147,[4]IMF_fdi_credit_debitinc!$A:$C,2,0),VLOOKUP($B147,[4]IMF_fdi_credit_debitinc!$A:$C,2,0)),0)/1000000</f>
        <v>653.46900000000005</v>
      </c>
      <c r="N147" s="6">
        <f>+IFERROR(VLOOKUP(A147,[4]OECD_COUNTERDI_INCOME!A:B,2,0),0)</f>
        <v>16.684000000000001</v>
      </c>
      <c r="O147" s="6">
        <f t="shared" si="32"/>
        <v>636.78500000000008</v>
      </c>
      <c r="P147" s="118"/>
    </row>
    <row r="148" spans="1:16" ht="14.25" customHeight="1">
      <c r="A148" s="1" t="s">
        <v>824</v>
      </c>
      <c r="B148" s="117" t="s">
        <v>267</v>
      </c>
      <c r="C148" s="5">
        <f t="shared" si="30"/>
        <v>0</v>
      </c>
      <c r="D148" s="6">
        <f>+IFERROR(IFERROR(VLOOKUP($A148,[4]IMF_fdi_credit_debitinc!$A:$C,3,0),VLOOKUP($B148,[4]IMF_fdi_credit_debitinc!$A:$C,3,0)),0)/1000000</f>
        <v>0</v>
      </c>
      <c r="E148" s="6">
        <f>+IFERROR(VLOOKUP(A148,[4]OECD_COUNTERDO_INCOME!A:B,2,0),0)</f>
        <v>129.55600000000001</v>
      </c>
      <c r="F148" s="6">
        <f t="shared" si="34"/>
        <v>-129.55600000000001</v>
      </c>
      <c r="G148" s="7"/>
      <c r="H148" s="6"/>
      <c r="I148" s="6"/>
      <c r="J148" s="6"/>
      <c r="K148" s="6"/>
      <c r="L148" s="5">
        <f t="shared" si="33"/>
        <v>0</v>
      </c>
      <c r="M148" s="6">
        <f>+IFERROR(IFERROR(VLOOKUP($A148,[4]IMF_fdi_credit_debitinc!$A:$C,2,0),VLOOKUP($B148,[4]IMF_fdi_credit_debitinc!$A:$C,2,0)),0)/1000000</f>
        <v>0</v>
      </c>
      <c r="N148" s="6">
        <f>+IFERROR(VLOOKUP(A148,[4]OECD_COUNTERDI_INCOME!A:B,2,0),0)</f>
        <v>16.247</v>
      </c>
      <c r="O148" s="6">
        <f t="shared" si="32"/>
        <v>-16.247</v>
      </c>
      <c r="P148" s="118"/>
    </row>
    <row r="149" spans="1:16" ht="14.25" customHeight="1">
      <c r="A149" s="1" t="s">
        <v>825</v>
      </c>
      <c r="B149" s="117" t="s">
        <v>268</v>
      </c>
      <c r="C149" s="5">
        <f t="shared" si="30"/>
        <v>0</v>
      </c>
      <c r="D149" s="6">
        <f>+IFERROR(IFERROR(VLOOKUP($A149,[4]IMF_fdi_credit_debitinc!$A:$C,3,0),VLOOKUP($B149,[4]IMF_fdi_credit_debitinc!$A:$C,3,0)),0)/1000000</f>
        <v>0</v>
      </c>
      <c r="E149" s="6">
        <f>+IFERROR(VLOOKUP(A149,[4]OECD_COUNTERDO_INCOME!A:B,2,0),0)</f>
        <v>0</v>
      </c>
      <c r="F149" s="6">
        <f t="shared" si="34"/>
        <v>0</v>
      </c>
      <c r="G149" s="7"/>
      <c r="H149" s="6"/>
      <c r="I149" s="6"/>
      <c r="J149" s="6"/>
      <c r="K149" s="6"/>
      <c r="L149" s="5">
        <f t="shared" si="33"/>
        <v>0</v>
      </c>
      <c r="M149" s="6">
        <f>+IFERROR(IFERROR(VLOOKUP($A149,[4]IMF_fdi_credit_debitinc!$A:$C,2,0),VLOOKUP($B149,[4]IMF_fdi_credit_debitinc!$A:$C,2,0)),0)/1000000</f>
        <v>0</v>
      </c>
      <c r="N149" s="6">
        <f>+IFERROR(VLOOKUP(A149,[4]OECD_COUNTERDI_INCOME!A:B,2,0),0)</f>
        <v>0</v>
      </c>
      <c r="O149" s="6">
        <f t="shared" si="32"/>
        <v>0</v>
      </c>
      <c r="P149" s="118"/>
    </row>
    <row r="150" spans="1:16" ht="14.25" customHeight="1">
      <c r="B150" s="117" t="s">
        <v>269</v>
      </c>
      <c r="C150" s="5">
        <f t="shared" si="30"/>
        <v>0</v>
      </c>
      <c r="D150" s="6">
        <f>+IFERROR(IFERROR(VLOOKUP($A150,[4]IMF_fdi_credit_debitinc!$A:$C,3,0),VLOOKUP($B150,[4]IMF_fdi_credit_debitinc!$A:$C,3,0)),0)/1000000</f>
        <v>0</v>
      </c>
      <c r="E150" s="6">
        <f>+IFERROR(VLOOKUP(A150,[4]OECD_COUNTERDO_INCOME!A:B,2,0),0)</f>
        <v>0</v>
      </c>
      <c r="F150" s="6">
        <f t="shared" si="34"/>
        <v>0</v>
      </c>
      <c r="G150" s="7"/>
      <c r="H150" s="6"/>
      <c r="I150" s="6"/>
      <c r="J150" s="6"/>
      <c r="K150" s="6"/>
      <c r="L150" s="5">
        <f t="shared" si="33"/>
        <v>0</v>
      </c>
      <c r="M150" s="6">
        <f>+IFERROR(IFERROR(VLOOKUP($A150,[4]IMF_fdi_credit_debitinc!$A:$C,2,0),VLOOKUP($B150,[4]IMF_fdi_credit_debitinc!$A:$C,2,0)),0)/1000000</f>
        <v>0</v>
      </c>
      <c r="N150" s="6">
        <f>+IFERROR(VLOOKUP(A150,[4]OECD_COUNTERDI_INCOME!A:B,2,0),0)</f>
        <v>0</v>
      </c>
      <c r="O150" s="6">
        <f t="shared" si="32"/>
        <v>0</v>
      </c>
      <c r="P150" s="118"/>
    </row>
    <row r="151" spans="1:16" ht="14.25" customHeight="1">
      <c r="A151" s="1" t="s">
        <v>826</v>
      </c>
      <c r="B151" s="117" t="s">
        <v>270</v>
      </c>
      <c r="C151" s="5">
        <f t="shared" si="30"/>
        <v>0</v>
      </c>
      <c r="D151" s="6">
        <f>+IFERROR(IFERROR(VLOOKUP($A151,[4]IMF_fdi_credit_debitinc!$A:$C,3,0),VLOOKUP($B151,[4]IMF_fdi_credit_debitinc!$A:$C,3,0)),0)/1000000</f>
        <v>0</v>
      </c>
      <c r="E151" s="6">
        <f>+IFERROR(VLOOKUP(A151,[4]OECD_COUNTERDO_INCOME!A:B,2,0),0)</f>
        <v>384.49599999999998</v>
      </c>
      <c r="F151" s="6">
        <f t="shared" si="34"/>
        <v>-384.49599999999998</v>
      </c>
      <c r="G151" s="7"/>
      <c r="H151" s="6"/>
      <c r="I151" s="6"/>
      <c r="J151" s="6"/>
      <c r="K151" s="6"/>
      <c r="L151" s="5">
        <f t="shared" si="33"/>
        <v>0</v>
      </c>
      <c r="M151" s="6">
        <f>+IFERROR(IFERROR(VLOOKUP($A151,[4]IMF_fdi_credit_debitinc!$A:$C,2,0),VLOOKUP($B151,[4]IMF_fdi_credit_debitinc!$A:$C,2,0)),0)/1000000</f>
        <v>0</v>
      </c>
      <c r="N151" s="6">
        <f>+IFERROR(VLOOKUP(A151,[4]OECD_COUNTERDI_INCOME!A:B,2,0),0)</f>
        <v>-31.068000000000001</v>
      </c>
      <c r="O151" s="6">
        <f t="shared" si="32"/>
        <v>31.068000000000001</v>
      </c>
      <c r="P151" s="118"/>
    </row>
    <row r="152" spans="1:16" ht="14.25" customHeight="1">
      <c r="A152" s="1" t="s">
        <v>827</v>
      </c>
      <c r="B152" s="117" t="s">
        <v>271</v>
      </c>
      <c r="C152" s="5">
        <f t="shared" si="30"/>
        <v>0</v>
      </c>
      <c r="D152" s="6">
        <f>+IFERROR(IFERROR(VLOOKUP($A152,[4]IMF_fdi_credit_debitinc!$A:$C,3,0),VLOOKUP($B152,[4]IMF_fdi_credit_debitinc!$A:$C,3,0)),0)/1000000</f>
        <v>0</v>
      </c>
      <c r="E152" s="6">
        <f>+IFERROR(VLOOKUP(A152,[4]OECD_COUNTERDO_INCOME!A:B,2,0),0)</f>
        <v>18.041</v>
      </c>
      <c r="F152" s="6">
        <f t="shared" si="34"/>
        <v>-18.041</v>
      </c>
      <c r="G152" s="7"/>
      <c r="H152" s="6"/>
      <c r="I152" s="6"/>
      <c r="J152" s="6"/>
      <c r="K152" s="6"/>
      <c r="L152" s="5">
        <f t="shared" si="33"/>
        <v>0</v>
      </c>
      <c r="M152" s="6">
        <f>+IFERROR(IFERROR(VLOOKUP($A152,[4]IMF_fdi_credit_debitinc!$A:$C,2,0),VLOOKUP($B152,[4]IMF_fdi_credit_debitinc!$A:$C,2,0)),0)/1000000</f>
        <v>0</v>
      </c>
      <c r="N152" s="6">
        <f>+IFERROR(VLOOKUP(A152,[4]OECD_COUNTERDI_INCOME!A:B,2,0),0)</f>
        <v>-0.375</v>
      </c>
      <c r="O152" s="6">
        <f t="shared" si="32"/>
        <v>0.375</v>
      </c>
      <c r="P152" s="118"/>
    </row>
    <row r="153" spans="1:16" ht="14.25" customHeight="1">
      <c r="A153" s="1" t="s">
        <v>828</v>
      </c>
      <c r="B153" s="117" t="s">
        <v>272</v>
      </c>
      <c r="C153" s="5">
        <f t="shared" si="30"/>
        <v>0</v>
      </c>
      <c r="D153" s="6">
        <f>+IFERROR(IFERROR(VLOOKUP($A153,[4]IMF_fdi_credit_debitinc!$A:$C,3,0),VLOOKUP($B153,[4]IMF_fdi_credit_debitinc!$A:$C,3,0)),0)/1000000</f>
        <v>0</v>
      </c>
      <c r="E153" s="6">
        <f>+IFERROR(VLOOKUP(A153,[4]OECD_COUNTERDO_INCOME!A:B,2,0),0)</f>
        <v>-38.42</v>
      </c>
      <c r="F153" s="6">
        <f t="shared" si="34"/>
        <v>38.42</v>
      </c>
      <c r="G153" s="7"/>
      <c r="H153" s="6"/>
      <c r="I153" s="6"/>
      <c r="J153" s="6"/>
      <c r="K153" s="6"/>
      <c r="L153" s="5">
        <f t="shared" si="33"/>
        <v>0</v>
      </c>
      <c r="M153" s="6">
        <f>+IFERROR(IFERROR(VLOOKUP($A153,[4]IMF_fdi_credit_debitinc!$A:$C,2,0),VLOOKUP($B153,[4]IMF_fdi_credit_debitinc!$A:$C,2,0)),0)/1000000</f>
        <v>0</v>
      </c>
      <c r="N153" s="6">
        <f>+IFERROR(VLOOKUP(A153,[4]OECD_COUNTERDI_INCOME!A:B,2,0),0)</f>
        <v>2E-3</v>
      </c>
      <c r="O153" s="6">
        <f t="shared" si="32"/>
        <v>-2E-3</v>
      </c>
      <c r="P153" s="118"/>
    </row>
    <row r="154" spans="1:16" ht="14.25" customHeight="1">
      <c r="A154" s="1" t="s">
        <v>829</v>
      </c>
      <c r="B154" s="117" t="s">
        <v>273</v>
      </c>
      <c r="C154" s="5">
        <f t="shared" si="30"/>
        <v>110.42700000000001</v>
      </c>
      <c r="D154" s="6">
        <f>+IFERROR(IFERROR(VLOOKUP($A154,[4]IMF_fdi_credit_debitinc!$A:$C,3,0),VLOOKUP($B154,[4]IMF_fdi_credit_debitinc!$A:$C,3,0)),0)/1000000</f>
        <v>110.42700000000001</v>
      </c>
      <c r="E154" s="6">
        <f>+IFERROR(VLOOKUP(A154,[4]OECD_COUNTERDO_INCOME!A:B,2,0),0)</f>
        <v>0</v>
      </c>
      <c r="F154" s="6">
        <f t="shared" si="34"/>
        <v>110.42700000000001</v>
      </c>
      <c r="G154" s="7"/>
      <c r="H154" s="6"/>
      <c r="I154" s="6"/>
      <c r="J154" s="6"/>
      <c r="K154" s="6"/>
      <c r="L154" s="5">
        <f t="shared" si="33"/>
        <v>0</v>
      </c>
      <c r="M154" s="6">
        <f>+IFERROR(IFERROR(VLOOKUP($A154,[4]IMF_fdi_credit_debitinc!$A:$C,2,0),VLOOKUP($B154,[4]IMF_fdi_credit_debitinc!$A:$C,2,0)),0)/1000000</f>
        <v>0</v>
      </c>
      <c r="N154" s="6">
        <f>+IFERROR(VLOOKUP(A154,[4]OECD_COUNTERDI_INCOME!A:B,2,0),0)</f>
        <v>-5</v>
      </c>
      <c r="O154" s="6">
        <f t="shared" si="32"/>
        <v>5</v>
      </c>
      <c r="P154" s="118"/>
    </row>
    <row r="155" spans="1:16" ht="14.25" customHeight="1">
      <c r="A155" s="1" t="s">
        <v>830</v>
      </c>
      <c r="B155" s="117" t="s">
        <v>274</v>
      </c>
      <c r="C155" s="5">
        <f t="shared" ref="C155:C218" si="35">+D155</f>
        <v>0</v>
      </c>
      <c r="D155" s="6">
        <f>+IFERROR(IFERROR(VLOOKUP($A155,[4]IMF_fdi_credit_debitinc!$A:$C,3,0),VLOOKUP($B155,[4]IMF_fdi_credit_debitinc!$A:$C,3,0)),0)/1000000</f>
        <v>0</v>
      </c>
      <c r="E155" s="6">
        <f>+IFERROR(VLOOKUP(A155,[4]OECD_COUNTERDO_INCOME!A:B,2,0),0)</f>
        <v>-31.123999999999999</v>
      </c>
      <c r="F155" s="6">
        <f t="shared" ref="F155:F184" si="36">+C155-E155</f>
        <v>31.123999999999999</v>
      </c>
      <c r="G155" s="7"/>
      <c r="H155" s="6"/>
      <c r="I155" s="6"/>
      <c r="J155" s="6"/>
      <c r="K155" s="6"/>
      <c r="L155" s="5">
        <f t="shared" si="33"/>
        <v>0</v>
      </c>
      <c r="M155" s="6">
        <f>+IFERROR(IFERROR(VLOOKUP($A155,[4]IMF_fdi_credit_debitinc!$A:$C,2,0),VLOOKUP($B155,[4]IMF_fdi_credit_debitinc!$A:$C,2,0)),0)/1000000</f>
        <v>0</v>
      </c>
      <c r="N155" s="6">
        <f>+IFERROR(VLOOKUP(A155,[4]OECD_COUNTERDI_INCOME!A:B,2,0),0)</f>
        <v>54.070999999999998</v>
      </c>
      <c r="O155" s="6">
        <f t="shared" ref="O155:O184" si="37">+L155-N155</f>
        <v>-54.070999999999998</v>
      </c>
      <c r="P155" s="118"/>
    </row>
    <row r="156" spans="1:16" ht="14.25" customHeight="1">
      <c r="A156" s="1" t="s">
        <v>831</v>
      </c>
      <c r="B156" s="117" t="s">
        <v>275</v>
      </c>
      <c r="C156" s="5">
        <f t="shared" si="35"/>
        <v>0</v>
      </c>
      <c r="D156" s="6">
        <f>+IFERROR(IFERROR(VLOOKUP($A156,[4]IMF_fdi_credit_debitinc!$A:$C,3,0),VLOOKUP($B156,[4]IMF_fdi_credit_debitinc!$A:$C,3,0)),0)/1000000</f>
        <v>0</v>
      </c>
      <c r="E156" s="6">
        <f>+IFERROR(VLOOKUP(A156,[4]OECD_COUNTERDO_INCOME!A:B,2,0),0)</f>
        <v>54.180999999999997</v>
      </c>
      <c r="F156" s="6">
        <f t="shared" si="36"/>
        <v>-54.180999999999997</v>
      </c>
      <c r="G156" s="7"/>
      <c r="H156" s="6"/>
      <c r="I156" s="6"/>
      <c r="J156" s="6"/>
      <c r="K156" s="6"/>
      <c r="L156" s="5">
        <f t="shared" ref="L156:L217" si="38">+M156</f>
        <v>0</v>
      </c>
      <c r="M156" s="6">
        <f>+IFERROR(IFERROR(VLOOKUP($A156,[4]IMF_fdi_credit_debitinc!$A:$C,2,0),VLOOKUP($B156,[4]IMF_fdi_credit_debitinc!$A:$C,2,0)),0)/1000000</f>
        <v>0</v>
      </c>
      <c r="N156" s="6">
        <f>+IFERROR(VLOOKUP(A156,[4]OECD_COUNTERDI_INCOME!A:B,2,0),0)</f>
        <v>-27.516999999999999</v>
      </c>
      <c r="O156" s="6">
        <f t="shared" si="37"/>
        <v>27.516999999999999</v>
      </c>
      <c r="P156" s="118"/>
    </row>
    <row r="157" spans="1:16" ht="14.25" customHeight="1">
      <c r="A157" s="1" t="s">
        <v>832</v>
      </c>
      <c r="B157" s="117" t="s">
        <v>276</v>
      </c>
      <c r="C157" s="5">
        <f t="shared" si="35"/>
        <v>2033</v>
      </c>
      <c r="D157" s="6">
        <f>+IFERROR(IFERROR(VLOOKUP($A157,[4]IMF_fdi_credit_debitinc!$A:$C,3,0),VLOOKUP($B157,[4]IMF_fdi_credit_debitinc!$A:$C,3,0)),0)/1000000</f>
        <v>2033</v>
      </c>
      <c r="E157" s="6">
        <f>+IFERROR(VLOOKUP(A157,[4]OECD_COUNTERDO_INCOME!A:B,2,0),0)</f>
        <v>1276.0530000000001</v>
      </c>
      <c r="F157" s="6">
        <f t="shared" si="36"/>
        <v>756.94699999999989</v>
      </c>
      <c r="G157" s="7"/>
      <c r="H157" s="6"/>
      <c r="I157" s="6"/>
      <c r="J157" s="6"/>
      <c r="K157" s="6"/>
      <c r="L157" s="5">
        <f t="shared" si="38"/>
        <v>256.46600000000001</v>
      </c>
      <c r="M157" s="6">
        <f>+IFERROR(IFERROR(VLOOKUP($A157,[4]IMF_fdi_credit_debitinc!$A:$C,2,0),VLOOKUP($B157,[4]IMF_fdi_credit_debitinc!$A:$C,2,0)),0)/1000000</f>
        <v>256.46600000000001</v>
      </c>
      <c r="N157" s="6">
        <f>+IFERROR(VLOOKUP(A157,[4]OECD_COUNTERDI_INCOME!A:B,2,0),0)</f>
        <v>172.11500000000001</v>
      </c>
      <c r="O157" s="6">
        <f>+L157-N157</f>
        <v>84.350999999999999</v>
      </c>
      <c r="P157" s="118"/>
    </row>
    <row r="158" spans="1:16" ht="14.25" customHeight="1">
      <c r="A158" s="1" t="s">
        <v>277</v>
      </c>
      <c r="B158" s="117" t="s">
        <v>278</v>
      </c>
      <c r="C158" s="5">
        <f t="shared" si="35"/>
        <v>509.94400000000002</v>
      </c>
      <c r="D158" s="6">
        <f>+IFERROR(IFERROR(VLOOKUP($A158,[4]IMF_fdi_credit_debitinc!$A:$C,3,0),VLOOKUP($B158,[4]IMF_fdi_credit_debitinc!$A:$C,3,0)),0)/1000000</f>
        <v>509.94400000000002</v>
      </c>
      <c r="E158" s="6">
        <f>+IFERROR(VLOOKUP(A158,[4]OECD_COUNTERDO_INCOME!A:B,2,0),0)</f>
        <v>160.03899999999999</v>
      </c>
      <c r="F158" s="6">
        <f t="shared" si="36"/>
        <v>349.90500000000003</v>
      </c>
      <c r="G158" s="7"/>
      <c r="H158" s="6"/>
      <c r="I158" s="6"/>
      <c r="J158" s="6"/>
      <c r="K158" s="6"/>
      <c r="L158" s="5">
        <f t="shared" si="38"/>
        <v>17.624177911019999</v>
      </c>
      <c r="M158" s="6">
        <f>+IFERROR(IFERROR(VLOOKUP($A158,[4]IMF_fdi_credit_debitinc!$A:$C,2,0),VLOOKUP($B158,[4]IMF_fdi_credit_debitinc!$A:$C,2,0)),0)/1000000</f>
        <v>17.624177911019999</v>
      </c>
      <c r="N158" s="6">
        <f>+IFERROR(VLOOKUP(A158,[4]OECD_COUNTERDI_INCOME!A:B,2,0),0)</f>
        <v>0.60899999999999999</v>
      </c>
      <c r="O158" s="6">
        <f t="shared" si="37"/>
        <v>17.015177911019997</v>
      </c>
      <c r="P158" s="118"/>
    </row>
    <row r="159" spans="1:16" ht="14.25" customHeight="1">
      <c r="A159" s="1" t="s">
        <v>833</v>
      </c>
      <c r="B159" s="117" t="s">
        <v>279</v>
      </c>
      <c r="C159" s="5">
        <f t="shared" si="35"/>
        <v>0</v>
      </c>
      <c r="D159" s="6">
        <f>+IFERROR(IFERROR(VLOOKUP($A159,[4]IMF_fdi_credit_debitinc!$A:$C,3,0),VLOOKUP($B159,[4]IMF_fdi_credit_debitinc!$A:$C,3,0)),0)/1000000</f>
        <v>0</v>
      </c>
      <c r="E159" s="6">
        <f>+IFERROR(VLOOKUP(A159,[4]OECD_COUNTERDO_INCOME!A:B,2,0),0)</f>
        <v>11.298999999999999</v>
      </c>
      <c r="F159" s="6">
        <f t="shared" si="36"/>
        <v>-11.298999999999999</v>
      </c>
      <c r="G159" s="7"/>
      <c r="H159" s="6"/>
      <c r="I159" s="6"/>
      <c r="J159" s="6"/>
      <c r="K159" s="6"/>
      <c r="L159" s="5">
        <f t="shared" si="38"/>
        <v>0</v>
      </c>
      <c r="M159" s="6">
        <f>+IFERROR(IFERROR(VLOOKUP($A159,[4]IMF_fdi_credit_debitinc!$A:$C,2,0),VLOOKUP($B159,[4]IMF_fdi_credit_debitinc!$A:$C,2,0)),0)/1000000</f>
        <v>0</v>
      </c>
      <c r="N159" s="6">
        <f>+IFERROR(VLOOKUP(A159,[4]OECD_COUNTERDI_INCOME!A:B,2,0),0)</f>
        <v>4.0000000000000001E-3</v>
      </c>
      <c r="O159" s="6">
        <f t="shared" si="37"/>
        <v>-4.0000000000000001E-3</v>
      </c>
      <c r="P159" s="118"/>
    </row>
    <row r="160" spans="1:16" ht="14.25" customHeight="1">
      <c r="A160" s="1" t="s">
        <v>834</v>
      </c>
      <c r="B160" s="117" t="s">
        <v>280</v>
      </c>
      <c r="C160" s="5">
        <f t="shared" si="35"/>
        <v>0</v>
      </c>
      <c r="D160" s="6">
        <f>+IFERROR(IFERROR(VLOOKUP($A160,[4]IMF_fdi_credit_debitinc!$A:$C,3,0),VLOOKUP($B160,[4]IMF_fdi_credit_debitinc!$A:$C,3,0)),0)/1000000</f>
        <v>0</v>
      </c>
      <c r="E160" s="6">
        <f>+IFERROR(VLOOKUP(A160,[4]OECD_COUNTERDO_INCOME!A:B,2,0),0)</f>
        <v>5.6820000000000004</v>
      </c>
      <c r="F160" s="6">
        <f t="shared" si="36"/>
        <v>-5.6820000000000004</v>
      </c>
      <c r="G160" s="7"/>
      <c r="H160" s="6"/>
      <c r="I160" s="6"/>
      <c r="J160" s="6"/>
      <c r="K160" s="6"/>
      <c r="L160" s="5">
        <f t="shared" si="38"/>
        <v>0</v>
      </c>
      <c r="M160" s="6">
        <f>+IFERROR(IFERROR(VLOOKUP($A160,[4]IMF_fdi_credit_debitinc!$A:$C,2,0),VLOOKUP($B160,[4]IMF_fdi_credit_debitinc!$A:$C,2,0)),0)/1000000</f>
        <v>0</v>
      </c>
      <c r="N160" s="6">
        <f>+IFERROR(VLOOKUP(A160,[4]OECD_COUNTERDI_INCOME!A:B,2,0),0)</f>
        <v>2E-3</v>
      </c>
      <c r="O160" s="6">
        <f t="shared" si="37"/>
        <v>-2E-3</v>
      </c>
      <c r="P160" s="118"/>
    </row>
    <row r="161" spans="1:16" ht="14.25" customHeight="1">
      <c r="A161" s="1" t="s">
        <v>835</v>
      </c>
      <c r="B161" s="117" t="s">
        <v>81</v>
      </c>
      <c r="C161" s="5">
        <f t="shared" si="35"/>
        <v>0</v>
      </c>
      <c r="D161" s="6">
        <f>+IFERROR(IFERROR(VLOOKUP($A161,[4]IMF_fdi_credit_debitinc!$A:$C,3,0),VLOOKUP($B161,[4]IMF_fdi_credit_debitinc!$A:$C,3,0)),0)/1000000</f>
        <v>0</v>
      </c>
      <c r="E161" s="6">
        <f>+IFERROR(VLOOKUP(A161,[4]OECD_COUNTERDO_INCOME!A:B,2,0),0)</f>
        <v>6061.45</v>
      </c>
      <c r="F161" s="6">
        <f t="shared" si="36"/>
        <v>-6061.45</v>
      </c>
      <c r="G161" s="7"/>
      <c r="H161" s="6"/>
      <c r="I161" s="6"/>
      <c r="J161" s="6"/>
      <c r="K161" s="6"/>
      <c r="L161" s="5">
        <f t="shared" si="38"/>
        <v>0</v>
      </c>
      <c r="M161" s="6">
        <f>+IFERROR(IFERROR(VLOOKUP($A161,[4]IMF_fdi_credit_debitinc!$A:$C,2,0),VLOOKUP($B161,[4]IMF_fdi_credit_debitinc!$A:$C,2,0)),0)/1000000</f>
        <v>0</v>
      </c>
      <c r="N161" s="6">
        <f>+IFERROR(VLOOKUP(A161,[4]OECD_COUNTERDI_INCOME!A:B,2,0),0)</f>
        <v>221.809</v>
      </c>
      <c r="O161" s="6">
        <f t="shared" si="37"/>
        <v>-221.809</v>
      </c>
      <c r="P161" s="118"/>
    </row>
    <row r="162" spans="1:16" ht="14.25" customHeight="1">
      <c r="A162" s="1" t="s">
        <v>836</v>
      </c>
      <c r="B162" s="117" t="s">
        <v>281</v>
      </c>
      <c r="C162" s="5">
        <f t="shared" si="35"/>
        <v>0</v>
      </c>
      <c r="D162" s="6">
        <f>+IFERROR(IFERROR(VLOOKUP($A162,[4]IMF_fdi_credit_debitinc!$A:$C,3,0),VLOOKUP($B162,[4]IMF_fdi_credit_debitinc!$A:$C,3,0)),0)/1000000</f>
        <v>0</v>
      </c>
      <c r="E162" s="6">
        <f>+IFERROR(VLOOKUP(A162,[4]OECD_COUNTERDO_INCOME!A:B,2,0),0)</f>
        <v>-0.89600000000000002</v>
      </c>
      <c r="F162" s="6">
        <f t="shared" si="36"/>
        <v>0.89600000000000002</v>
      </c>
      <c r="G162" s="7"/>
      <c r="H162" s="6"/>
      <c r="I162" s="6"/>
      <c r="J162" s="6"/>
      <c r="K162" s="6"/>
      <c r="L162" s="5">
        <f t="shared" si="38"/>
        <v>0</v>
      </c>
      <c r="M162" s="6">
        <f>+IFERROR(IFERROR(VLOOKUP($A162,[4]IMF_fdi_credit_debitinc!$A:$C,2,0),VLOOKUP($B162,[4]IMF_fdi_credit_debitinc!$A:$C,2,0)),0)/1000000</f>
        <v>0</v>
      </c>
      <c r="N162" s="6">
        <f>+IFERROR(VLOOKUP(A162,[4]OECD_COUNTERDI_INCOME!A:B,2,0),0)</f>
        <v>0</v>
      </c>
      <c r="O162" s="6">
        <f t="shared" si="37"/>
        <v>0</v>
      </c>
      <c r="P162" s="118"/>
    </row>
    <row r="163" spans="1:16" ht="14.25" customHeight="1">
      <c r="A163" s="1" t="s">
        <v>837</v>
      </c>
      <c r="B163" s="117" t="s">
        <v>282</v>
      </c>
      <c r="C163" s="5">
        <f t="shared" si="35"/>
        <v>0</v>
      </c>
      <c r="D163" s="6">
        <f>+IFERROR(IFERROR(VLOOKUP($A163,[4]IMF_fdi_credit_debitinc!$A:$C,3,0),VLOOKUP($B163,[4]IMF_fdi_credit_debitinc!$A:$C,3,0)),0)/1000000</f>
        <v>0</v>
      </c>
      <c r="E163" s="6">
        <f>+IFERROR(VLOOKUP(A163,[4]OECD_COUNTERDO_INCOME!A:B,2,0),0)</f>
        <v>6.4930000000000003</v>
      </c>
      <c r="F163" s="6">
        <f t="shared" si="36"/>
        <v>-6.4930000000000003</v>
      </c>
      <c r="G163" s="7"/>
      <c r="H163" s="6"/>
      <c r="I163" s="6"/>
      <c r="J163" s="6"/>
      <c r="K163" s="6"/>
      <c r="L163" s="5">
        <f t="shared" si="38"/>
        <v>0</v>
      </c>
      <c r="M163" s="6">
        <f>+IFERROR(IFERROR(VLOOKUP($A163,[4]IMF_fdi_credit_debitinc!$A:$C,2,0),VLOOKUP($B163,[4]IMF_fdi_credit_debitinc!$A:$C,2,0)),0)/1000000</f>
        <v>0</v>
      </c>
      <c r="N163" s="6">
        <f>+IFERROR(VLOOKUP(A163,[4]OECD_COUNTERDI_INCOME!A:B,2,0),0)</f>
        <v>3.0000000000000001E-3</v>
      </c>
      <c r="O163" s="6">
        <f t="shared" si="37"/>
        <v>-3.0000000000000001E-3</v>
      </c>
      <c r="P163" s="118"/>
    </row>
    <row r="164" spans="1:16" ht="14.25" customHeight="1">
      <c r="A164" s="1" t="s">
        <v>838</v>
      </c>
      <c r="B164" s="117" t="s">
        <v>283</v>
      </c>
      <c r="C164" s="5">
        <f t="shared" si="35"/>
        <v>0</v>
      </c>
      <c r="D164" s="6">
        <f>+IFERROR(IFERROR(VLOOKUP($A164,[4]IMF_fdi_credit_debitinc!$A:$C,3,0),VLOOKUP($B164,[4]IMF_fdi_credit_debitinc!$A:$C,3,0)),0)/1000000</f>
        <v>0</v>
      </c>
      <c r="E164" s="6">
        <f>+IFERROR(VLOOKUP(A164,[4]OECD_COUNTERDO_INCOME!A:B,2,0),0)</f>
        <v>0</v>
      </c>
      <c r="F164" s="6">
        <f t="shared" si="36"/>
        <v>0</v>
      </c>
      <c r="G164" s="7"/>
      <c r="H164" s="6"/>
      <c r="I164" s="6"/>
      <c r="J164" s="6"/>
      <c r="K164" s="6"/>
      <c r="L164" s="5">
        <f t="shared" si="38"/>
        <v>0</v>
      </c>
      <c r="M164" s="6">
        <f>+IFERROR(IFERROR(VLOOKUP($A164,[4]IMF_fdi_credit_debitinc!$A:$C,2,0),VLOOKUP($B164,[4]IMF_fdi_credit_debitinc!$A:$C,2,0)),0)/1000000</f>
        <v>0</v>
      </c>
      <c r="N164" s="6">
        <f>+IFERROR(VLOOKUP(A164,[4]OECD_COUNTERDI_INCOME!A:B,2,0),0)</f>
        <v>1.6E-2</v>
      </c>
      <c r="O164" s="6">
        <f t="shared" si="37"/>
        <v>-1.6E-2</v>
      </c>
      <c r="P164" s="118"/>
    </row>
    <row r="165" spans="1:16" ht="14.25" customHeight="1">
      <c r="A165" s="1" t="s">
        <v>839</v>
      </c>
      <c r="B165" s="117" t="s">
        <v>285</v>
      </c>
      <c r="C165" s="5">
        <f t="shared" si="35"/>
        <v>0</v>
      </c>
      <c r="D165" s="6">
        <f>+IFERROR(IFERROR(VLOOKUP($A165,[4]IMF_fdi_credit_debitinc!$A:$C,3,0),VLOOKUP($B165,[4]IMF_fdi_credit_debitinc!$A:$C,3,0)),0)/1000000</f>
        <v>0</v>
      </c>
      <c r="E165" s="6">
        <f>+IFERROR(VLOOKUP(A165,[4]OECD_COUNTERDO_INCOME!A:B,2,0),0)</f>
        <v>1</v>
      </c>
      <c r="F165" s="6">
        <f t="shared" si="36"/>
        <v>-1</v>
      </c>
      <c r="G165" s="7"/>
      <c r="H165" s="6"/>
      <c r="I165" s="6"/>
      <c r="J165" s="6"/>
      <c r="K165" s="6"/>
      <c r="L165" s="5">
        <f t="shared" si="38"/>
        <v>0</v>
      </c>
      <c r="M165" s="6">
        <f>+IFERROR(IFERROR(VLOOKUP($A165,[4]IMF_fdi_credit_debitinc!$A:$C,2,0),VLOOKUP($B165,[4]IMF_fdi_credit_debitinc!$A:$C,2,0)),0)/1000000</f>
        <v>0</v>
      </c>
      <c r="N165" s="6">
        <f>+IFERROR(VLOOKUP(A165,[4]OECD_COUNTERDI_INCOME!A:B,2,0),0)</f>
        <v>-7.8E-2</v>
      </c>
      <c r="O165" s="6">
        <f t="shared" si="37"/>
        <v>7.8E-2</v>
      </c>
      <c r="P165" s="118"/>
    </row>
    <row r="166" spans="1:16" ht="14.25" customHeight="1">
      <c r="A166" s="1" t="s">
        <v>840</v>
      </c>
      <c r="B166" s="117" t="s">
        <v>286</v>
      </c>
      <c r="C166" s="5">
        <f t="shared" si="35"/>
        <v>314.39999999999998</v>
      </c>
      <c r="D166" s="6">
        <f>+IFERROR(IFERROR(VLOOKUP($A166,[4]IMF_fdi_credit_debitinc!$A:$C,3,0),VLOOKUP($B166,[4]IMF_fdi_credit_debitinc!$A:$C,3,0)),0)/1000000</f>
        <v>314.39999999999998</v>
      </c>
      <c r="E166" s="6">
        <f>+IFERROR(VLOOKUP(A166,[4]OECD_COUNTERDO_INCOME!A:B,2,0),0)</f>
        <v>59.283999999999999</v>
      </c>
      <c r="F166" s="6">
        <f t="shared" si="36"/>
        <v>255.11599999999999</v>
      </c>
      <c r="G166" s="7"/>
      <c r="H166" s="6"/>
      <c r="I166" s="6"/>
      <c r="J166" s="6"/>
      <c r="K166" s="6"/>
      <c r="L166" s="5">
        <f t="shared" si="38"/>
        <v>10.75</v>
      </c>
      <c r="M166" s="6">
        <f>+IFERROR(IFERROR(VLOOKUP($A166,[4]IMF_fdi_credit_debitinc!$A:$C,2,0),VLOOKUP($B166,[4]IMF_fdi_credit_debitinc!$A:$C,2,0)),0)/1000000</f>
        <v>10.75</v>
      </c>
      <c r="N166" s="6">
        <f>+IFERROR(VLOOKUP(A166,[4]OECD_COUNTERDI_INCOME!A:B,2,0),0)</f>
        <v>0.52</v>
      </c>
      <c r="O166" s="6">
        <f t="shared" si="37"/>
        <v>10.23</v>
      </c>
      <c r="P166" s="118"/>
    </row>
    <row r="167" spans="1:16" ht="14.25" customHeight="1">
      <c r="A167" s="1" t="s">
        <v>841</v>
      </c>
      <c r="B167" s="117" t="s">
        <v>287</v>
      </c>
      <c r="C167" s="5">
        <f t="shared" si="35"/>
        <v>976.52300000000002</v>
      </c>
      <c r="D167" s="6">
        <f>+IFERROR(IFERROR(VLOOKUP($A167,[4]IMF_fdi_credit_debitinc!$A:$C,3,0),VLOOKUP($B167,[4]IMF_fdi_credit_debitinc!$A:$C,3,0)),0)/1000000</f>
        <v>976.52300000000002</v>
      </c>
      <c r="E167" s="6">
        <f>+IFERROR(VLOOKUP(A167,[4]OECD_COUNTERDO_INCOME!A:B,2,0),0)</f>
        <v>59.018000000000001</v>
      </c>
      <c r="F167" s="6">
        <f t="shared" si="36"/>
        <v>917.505</v>
      </c>
      <c r="G167" s="7"/>
      <c r="H167" s="6"/>
      <c r="I167" s="6"/>
      <c r="J167" s="6"/>
      <c r="K167" s="6"/>
      <c r="L167" s="5">
        <f t="shared" si="38"/>
        <v>2.8063168313799998</v>
      </c>
      <c r="M167" s="6">
        <f>+IFERROR(IFERROR(VLOOKUP($A167,[4]IMF_fdi_credit_debitinc!$A:$C,2,0),VLOOKUP($B167,[4]IMF_fdi_credit_debitinc!$A:$C,2,0)),0)/1000000</f>
        <v>2.8063168313799998</v>
      </c>
      <c r="N167" s="6">
        <f>+IFERROR(VLOOKUP(A167,[4]OECD_COUNTERDI_INCOME!A:B,2,0),0)</f>
        <v>-0.97599999999999998</v>
      </c>
      <c r="O167" s="6">
        <f t="shared" si="37"/>
        <v>3.7823168313799997</v>
      </c>
      <c r="P167" s="118"/>
    </row>
    <row r="168" spans="1:16" ht="14.25" customHeight="1">
      <c r="A168" s="1" t="s">
        <v>842</v>
      </c>
      <c r="B168" s="117" t="s">
        <v>288</v>
      </c>
      <c r="C168" s="5">
        <f t="shared" si="35"/>
        <v>68.299523423270003</v>
      </c>
      <c r="D168" s="6">
        <f>+IFERROR(IFERROR(VLOOKUP($A168,[4]IMF_fdi_credit_debitinc!$A:$C,3,0),VLOOKUP($B168,[4]IMF_fdi_credit_debitinc!$A:$C,3,0)),0)/1000000</f>
        <v>68.299523423270003</v>
      </c>
      <c r="E168" s="6">
        <f>+IFERROR(VLOOKUP(A168,[4]OECD_COUNTERDO_INCOME!A:B,2,0),0)</f>
        <v>36.558999999999997</v>
      </c>
      <c r="F168" s="6">
        <f t="shared" si="36"/>
        <v>31.740523423270005</v>
      </c>
      <c r="G168" s="7"/>
      <c r="H168" s="6"/>
      <c r="I168" s="6"/>
      <c r="J168" s="6"/>
      <c r="K168" s="6"/>
      <c r="L168" s="5">
        <f t="shared" si="38"/>
        <v>15.1266299104</v>
      </c>
      <c r="M168" s="6">
        <f>+IFERROR(IFERROR(VLOOKUP($A168,[4]IMF_fdi_credit_debitinc!$A:$C,2,0),VLOOKUP($B168,[4]IMF_fdi_credit_debitinc!$A:$C,2,0)),0)/1000000</f>
        <v>15.1266299104</v>
      </c>
      <c r="N168" s="6">
        <f>+IFERROR(VLOOKUP(A168,[4]OECD_COUNTERDI_INCOME!A:B,2,0),0)</f>
        <v>2.234</v>
      </c>
      <c r="O168" s="6">
        <f t="shared" si="37"/>
        <v>12.8926299104</v>
      </c>
      <c r="P168" s="118"/>
    </row>
    <row r="169" spans="1:16" ht="14.25" customHeight="1">
      <c r="A169" s="1" t="s">
        <v>843</v>
      </c>
      <c r="B169" s="117" t="s">
        <v>289</v>
      </c>
      <c r="C169" s="5">
        <f t="shared" si="35"/>
        <v>0</v>
      </c>
      <c r="D169" s="6">
        <f>+IFERROR(IFERROR(VLOOKUP($A169,[4]IMF_fdi_credit_debitinc!$A:$C,3,0),VLOOKUP($B169,[4]IMF_fdi_credit_debitinc!$A:$C,3,0)),0)/1000000</f>
        <v>0</v>
      </c>
      <c r="E169" s="6">
        <f>+IFERROR(VLOOKUP(A169,[4]OECD_COUNTERDO_INCOME!A:B,2,0),0)</f>
        <v>0</v>
      </c>
      <c r="F169" s="6">
        <f t="shared" si="36"/>
        <v>0</v>
      </c>
      <c r="G169" s="7"/>
      <c r="H169" s="6"/>
      <c r="I169" s="6"/>
      <c r="J169" s="6"/>
      <c r="K169" s="6"/>
      <c r="L169" s="5">
        <f t="shared" si="38"/>
        <v>0</v>
      </c>
      <c r="M169" s="6">
        <f>+IFERROR(IFERROR(VLOOKUP($A169,[4]IMF_fdi_credit_debitinc!$A:$C,2,0),VLOOKUP($B169,[4]IMF_fdi_credit_debitinc!$A:$C,2,0)),0)/1000000</f>
        <v>0</v>
      </c>
      <c r="N169" s="6">
        <f>+IFERROR(VLOOKUP(A169,[4]OECD_COUNTERDI_INCOME!A:B,2,0),0)</f>
        <v>0</v>
      </c>
      <c r="O169" s="6">
        <f t="shared" si="37"/>
        <v>0</v>
      </c>
      <c r="P169" s="118"/>
    </row>
    <row r="170" spans="1:16" ht="14.25" customHeight="1">
      <c r="A170" s="1" t="s">
        <v>844</v>
      </c>
      <c r="B170" s="117" t="s">
        <v>290</v>
      </c>
      <c r="C170" s="5">
        <f t="shared" si="35"/>
        <v>1761.72</v>
      </c>
      <c r="D170" s="6">
        <f>+IFERROR(IFERROR(VLOOKUP($A170,[4]IMF_fdi_credit_debitinc!$A:$C,3,0),VLOOKUP($B170,[4]IMF_fdi_credit_debitinc!$A:$C,3,0)),0)/1000000</f>
        <v>1761.72</v>
      </c>
      <c r="E170" s="6">
        <f>+IFERROR(VLOOKUP(A170,[4]OECD_COUNTERDO_INCOME!A:B,2,0),0)</f>
        <v>1205.3040000000001</v>
      </c>
      <c r="F170" s="6">
        <f t="shared" si="36"/>
        <v>556.41599999999994</v>
      </c>
      <c r="G170" s="7"/>
      <c r="H170" s="6"/>
      <c r="I170" s="6"/>
      <c r="J170" s="6"/>
      <c r="K170" s="6"/>
      <c r="L170" s="5">
        <f t="shared" si="38"/>
        <v>478.983</v>
      </c>
      <c r="M170" s="6">
        <f>+IFERROR(IFERROR(VLOOKUP($A170,[4]IMF_fdi_credit_debitinc!$A:$C,2,0),VLOOKUP($B170,[4]IMF_fdi_credit_debitinc!$A:$C,2,0)),0)/1000000</f>
        <v>478.983</v>
      </c>
      <c r="N170" s="6">
        <f>+IFERROR(VLOOKUP(A170,[4]OECD_COUNTERDI_INCOME!A:B,2,0),0)</f>
        <v>40.767000000000003</v>
      </c>
      <c r="O170" s="6">
        <f t="shared" si="37"/>
        <v>438.21600000000001</v>
      </c>
      <c r="P170" s="118"/>
    </row>
    <row r="171" spans="1:16" ht="14.25" customHeight="1">
      <c r="A171" s="1" t="s">
        <v>845</v>
      </c>
      <c r="B171" s="117" t="s">
        <v>291</v>
      </c>
      <c r="C171" s="5">
        <f t="shared" si="35"/>
        <v>0</v>
      </c>
      <c r="D171" s="6">
        <f>+IFERROR(IFERROR(VLOOKUP($A171,[4]IMF_fdi_credit_debitinc!$A:$C,3,0),VLOOKUP($B171,[4]IMF_fdi_credit_debitinc!$A:$C,3,0)),0)/1000000</f>
        <v>0</v>
      </c>
      <c r="E171" s="6">
        <f>+IFERROR(VLOOKUP(A171,[4]OECD_COUNTERDO_INCOME!A:B,2,0),0)</f>
        <v>88.18</v>
      </c>
      <c r="F171" s="6">
        <f t="shared" si="36"/>
        <v>-88.18</v>
      </c>
      <c r="G171" s="7"/>
      <c r="H171" s="6"/>
      <c r="I171" s="6"/>
      <c r="J171" s="6"/>
      <c r="K171" s="6"/>
      <c r="L171" s="5">
        <f t="shared" si="38"/>
        <v>0</v>
      </c>
      <c r="M171" s="6">
        <f>+IFERROR(IFERROR(VLOOKUP($A171,[4]IMF_fdi_credit_debitinc!$A:$C,2,0),VLOOKUP($B171,[4]IMF_fdi_credit_debitinc!$A:$C,2,0)),0)/1000000</f>
        <v>0</v>
      </c>
      <c r="N171" s="6">
        <f>+IFERROR(VLOOKUP(A171,[4]OECD_COUNTERDI_INCOME!A:B,2,0),0)</f>
        <v>-0.05</v>
      </c>
      <c r="O171" s="6">
        <f t="shared" si="37"/>
        <v>0.05</v>
      </c>
      <c r="P171" s="118"/>
    </row>
    <row r="172" spans="1:16" ht="14.25" customHeight="1">
      <c r="A172" s="1" t="s">
        <v>846</v>
      </c>
      <c r="B172" s="117" t="s">
        <v>292</v>
      </c>
      <c r="C172" s="5">
        <f t="shared" si="35"/>
        <v>0</v>
      </c>
      <c r="D172" s="6">
        <f>+IFERROR(IFERROR(VLOOKUP($A172,[4]IMF_fdi_credit_debitinc!$A:$C,3,0),VLOOKUP($B172,[4]IMF_fdi_credit_debitinc!$A:$C,3,0)),0)/1000000</f>
        <v>0</v>
      </c>
      <c r="E172" s="6">
        <f>+IFERROR(VLOOKUP(A172,[4]OECD_COUNTERDO_INCOME!A:B,2,0),0)</f>
        <v>-9.3010000000000002</v>
      </c>
      <c r="F172" s="6">
        <f t="shared" si="36"/>
        <v>9.3010000000000002</v>
      </c>
      <c r="G172" s="7"/>
      <c r="H172" s="6"/>
      <c r="I172" s="6"/>
      <c r="J172" s="6"/>
      <c r="K172" s="6"/>
      <c r="L172" s="5">
        <f t="shared" si="38"/>
        <v>0</v>
      </c>
      <c r="M172" s="6">
        <f>+IFERROR(IFERROR(VLOOKUP($A172,[4]IMF_fdi_credit_debitinc!$A:$C,2,0),VLOOKUP($B172,[4]IMF_fdi_credit_debitinc!$A:$C,2,0)),0)/1000000</f>
        <v>0</v>
      </c>
      <c r="N172" s="6">
        <f>+IFERROR(VLOOKUP(A172,[4]OECD_COUNTERDI_INCOME!A:B,2,0),0)</f>
        <v>0.157</v>
      </c>
      <c r="O172" s="6">
        <f t="shared" si="37"/>
        <v>-0.157</v>
      </c>
      <c r="P172" s="118"/>
    </row>
    <row r="173" spans="1:16" ht="14.25" customHeight="1">
      <c r="A173" s="1" t="s">
        <v>847</v>
      </c>
      <c r="B173" s="117" t="s">
        <v>293</v>
      </c>
      <c r="C173" s="5">
        <f t="shared" si="35"/>
        <v>346.82900000000001</v>
      </c>
      <c r="D173" s="6">
        <f>+IFERROR(IFERROR(VLOOKUP($A173,[4]IMF_fdi_credit_debitinc!$A:$C,3,0),VLOOKUP($B173,[4]IMF_fdi_credit_debitinc!$A:$C,3,0)),0)/1000000</f>
        <v>346.82900000000001</v>
      </c>
      <c r="E173" s="6">
        <f>+IFERROR(VLOOKUP(A173,[4]OECD_COUNTERDO_INCOME!A:B,2,0),0)</f>
        <v>-14.731</v>
      </c>
      <c r="F173" s="6">
        <f t="shared" si="36"/>
        <v>361.56</v>
      </c>
      <c r="G173" s="7"/>
      <c r="H173" s="6"/>
      <c r="I173" s="6"/>
      <c r="J173" s="6"/>
      <c r="K173" s="6"/>
      <c r="L173" s="5">
        <f t="shared" si="38"/>
        <v>-1.4809518235100001</v>
      </c>
      <c r="M173" s="6">
        <f>+IFERROR(IFERROR(VLOOKUP($A173,[4]IMF_fdi_credit_debitinc!$A:$C,2,0),VLOOKUP($B173,[4]IMF_fdi_credit_debitinc!$A:$C,2,0)),0)/1000000</f>
        <v>-1.4809518235100001</v>
      </c>
      <c r="N173" s="6">
        <f>+IFERROR(VLOOKUP(A173,[4]OECD_COUNTERDI_INCOME!A:B,2,0),0)</f>
        <v>2.6560000000000001</v>
      </c>
      <c r="O173" s="6">
        <f t="shared" si="37"/>
        <v>-4.1369518235100005</v>
      </c>
      <c r="P173" s="118"/>
    </row>
    <row r="174" spans="1:16" ht="14.25" customHeight="1">
      <c r="A174" s="1" t="s">
        <v>848</v>
      </c>
      <c r="B174" s="117" t="s">
        <v>294</v>
      </c>
      <c r="C174" s="5">
        <f t="shared" si="35"/>
        <v>0</v>
      </c>
      <c r="D174" s="6">
        <f>+IFERROR(IFERROR(VLOOKUP($A174,[4]IMF_fdi_credit_debitinc!$A:$C,3,0),VLOOKUP($B174,[4]IMF_fdi_credit_debitinc!$A:$C,3,0)),0)/1000000</f>
        <v>0</v>
      </c>
      <c r="E174" s="6">
        <f>+IFERROR(VLOOKUP(A174,[4]OECD_COUNTERDO_INCOME!A:B,2,0),0)</f>
        <v>6.5540000000000003</v>
      </c>
      <c r="F174" s="6">
        <f t="shared" si="36"/>
        <v>-6.5540000000000003</v>
      </c>
      <c r="G174" s="7"/>
      <c r="H174" s="6"/>
      <c r="I174" s="6"/>
      <c r="J174" s="6"/>
      <c r="K174" s="6"/>
      <c r="L174" s="5">
        <f t="shared" si="38"/>
        <v>0</v>
      </c>
      <c r="M174" s="6">
        <f>+IFERROR(IFERROR(VLOOKUP($A174,[4]IMF_fdi_credit_debitinc!$A:$C,2,0),VLOOKUP($B174,[4]IMF_fdi_credit_debitinc!$A:$C,2,0)),0)/1000000</f>
        <v>0</v>
      </c>
      <c r="N174" s="6">
        <f>+IFERROR(VLOOKUP(A174,[4]OECD_COUNTERDI_INCOME!A:B,2,0),0)</f>
        <v>4.0000000000000001E-3</v>
      </c>
      <c r="O174" s="6">
        <f t="shared" si="37"/>
        <v>-4.0000000000000001E-3</v>
      </c>
      <c r="P174" s="118"/>
    </row>
    <row r="175" spans="1:16" ht="14.25" customHeight="1">
      <c r="A175" s="1" t="s">
        <v>849</v>
      </c>
      <c r="B175" s="117" t="s">
        <v>295</v>
      </c>
      <c r="C175" s="5">
        <f t="shared" si="35"/>
        <v>0</v>
      </c>
      <c r="D175" s="6">
        <f>+IFERROR(IFERROR(VLOOKUP($A175,[4]IMF_fdi_credit_debitinc!$A:$C,3,0),VLOOKUP($B175,[4]IMF_fdi_credit_debitinc!$A:$C,3,0)),0)/1000000</f>
        <v>0</v>
      </c>
      <c r="E175" s="6">
        <f>+IFERROR(VLOOKUP(A175,[4]OECD_COUNTERDO_INCOME!A:B,2,0),0)</f>
        <v>-8.1869999999999994</v>
      </c>
      <c r="F175" s="6">
        <f t="shared" si="36"/>
        <v>8.1869999999999994</v>
      </c>
      <c r="G175" s="7"/>
      <c r="H175" s="6"/>
      <c r="I175" s="6"/>
      <c r="J175" s="6"/>
      <c r="K175" s="6"/>
      <c r="L175" s="5">
        <f t="shared" si="38"/>
        <v>0</v>
      </c>
      <c r="M175" s="6">
        <f>+IFERROR(IFERROR(VLOOKUP($A175,[4]IMF_fdi_credit_debitinc!$A:$C,2,0),VLOOKUP($B175,[4]IMF_fdi_credit_debitinc!$A:$C,2,0)),0)/1000000</f>
        <v>0</v>
      </c>
      <c r="N175" s="6">
        <f>+IFERROR(VLOOKUP(A175,[4]OECD_COUNTERDI_INCOME!A:B,2,0),0)</f>
        <v>2.153</v>
      </c>
      <c r="O175" s="6">
        <f t="shared" si="37"/>
        <v>-2.153</v>
      </c>
      <c r="P175" s="118"/>
    </row>
    <row r="176" spans="1:16" ht="14.25" customHeight="1">
      <c r="A176" s="1" t="s">
        <v>850</v>
      </c>
      <c r="B176" s="117" t="s">
        <v>296</v>
      </c>
      <c r="C176" s="5">
        <f t="shared" si="35"/>
        <v>0</v>
      </c>
      <c r="D176" s="6">
        <f>+IFERROR(IFERROR(VLOOKUP($A176,[4]IMF_fdi_credit_debitinc!$A:$C,3,0),VLOOKUP($B176,[4]IMF_fdi_credit_debitinc!$A:$C,3,0)),0)/1000000</f>
        <v>0</v>
      </c>
      <c r="E176" s="6">
        <f>+IFERROR(VLOOKUP(A176,[4]OECD_COUNTERDO_INCOME!A:B,2,0),0)</f>
        <v>1.337</v>
      </c>
      <c r="F176" s="6">
        <f t="shared" si="36"/>
        <v>-1.337</v>
      </c>
      <c r="G176" s="7"/>
      <c r="H176" s="6"/>
      <c r="I176" s="6"/>
      <c r="J176" s="6"/>
      <c r="K176" s="6"/>
      <c r="L176" s="5">
        <f t="shared" si="38"/>
        <v>0</v>
      </c>
      <c r="M176" s="6">
        <f>+IFERROR(IFERROR(VLOOKUP($A176,[4]IMF_fdi_credit_debitinc!$A:$C,2,0),VLOOKUP($B176,[4]IMF_fdi_credit_debitinc!$A:$C,2,0)),0)/1000000</f>
        <v>0</v>
      </c>
      <c r="N176" s="6">
        <f>+IFERROR(VLOOKUP(A176,[4]OECD_COUNTERDI_INCOME!A:B,2,0),0)</f>
        <v>-0.2</v>
      </c>
      <c r="O176" s="6">
        <f t="shared" si="37"/>
        <v>0.2</v>
      </c>
      <c r="P176" s="118"/>
    </row>
    <row r="177" spans="1:16" ht="14.25" customHeight="1">
      <c r="A177" s="1" t="s">
        <v>851</v>
      </c>
      <c r="B177" s="117" t="s">
        <v>82</v>
      </c>
      <c r="C177" s="5">
        <f t="shared" si="35"/>
        <v>0</v>
      </c>
      <c r="D177" s="6">
        <f>+IFERROR(IFERROR(VLOOKUP($A177,[4]IMF_fdi_credit_debitinc!$A:$C,3,0),VLOOKUP($B177,[4]IMF_fdi_credit_debitinc!$A:$C,3,0)),0)/1000000</f>
        <v>0</v>
      </c>
      <c r="E177" s="6">
        <f>+IFERROR(VLOOKUP(A177,[4]OECD_COUNTERDO_INCOME!A:B,2,0),0)</f>
        <v>2118.2089999999998</v>
      </c>
      <c r="F177" s="6">
        <f t="shared" si="36"/>
        <v>-2118.2089999999998</v>
      </c>
      <c r="G177" s="7"/>
      <c r="H177" s="6"/>
      <c r="I177" s="6"/>
      <c r="J177" s="6"/>
      <c r="K177" s="6"/>
      <c r="L177" s="5">
        <f t="shared" si="38"/>
        <v>0</v>
      </c>
      <c r="M177" s="6">
        <f>+IFERROR(IFERROR(VLOOKUP($A177,[4]IMF_fdi_credit_debitinc!$A:$C,2,0),VLOOKUP($B177,[4]IMF_fdi_credit_debitinc!$A:$C,2,0)),0)/1000000</f>
        <v>0</v>
      </c>
      <c r="N177" s="6">
        <f>+IFERROR(VLOOKUP(A177,[4]OECD_COUNTERDI_INCOME!A:B,2,0),0)</f>
        <v>2.72</v>
      </c>
      <c r="O177" s="6">
        <f t="shared" si="37"/>
        <v>-2.72</v>
      </c>
      <c r="P177" s="118"/>
    </row>
    <row r="178" spans="1:16" ht="14.25" customHeight="1">
      <c r="A178" s="1" t="s">
        <v>852</v>
      </c>
      <c r="B178" s="117" t="s">
        <v>297</v>
      </c>
      <c r="C178" s="5">
        <f t="shared" si="35"/>
        <v>0</v>
      </c>
      <c r="D178" s="6">
        <f>+IFERROR(IFERROR(VLOOKUP($A178,[4]IMF_fdi_credit_debitinc!$A:$C,3,0),VLOOKUP($B178,[4]IMF_fdi_credit_debitinc!$A:$C,3,0)),0)/1000000</f>
        <v>0</v>
      </c>
      <c r="E178" s="6">
        <f>+IFERROR(VLOOKUP(A178,[4]OECD_COUNTERDO_INCOME!A:B,2,0),0)</f>
        <v>785.16</v>
      </c>
      <c r="F178" s="6">
        <f t="shared" si="36"/>
        <v>-785.16</v>
      </c>
      <c r="G178" s="7"/>
      <c r="H178" s="6"/>
      <c r="I178" s="6"/>
      <c r="J178" s="6"/>
      <c r="K178" s="6"/>
      <c r="L178" s="5">
        <f t="shared" si="38"/>
        <v>0</v>
      </c>
      <c r="M178" s="6">
        <f>+IFERROR(IFERROR(VLOOKUP($A178,[4]IMF_fdi_credit_debitinc!$A:$C,2,0),VLOOKUP($B178,[4]IMF_fdi_credit_debitinc!$A:$C,2,0)),0)/1000000</f>
        <v>0</v>
      </c>
      <c r="N178" s="6">
        <f>+IFERROR(VLOOKUP(A178,[4]OECD_COUNTERDI_INCOME!A:B,2,0),0)</f>
        <v>101.938</v>
      </c>
      <c r="O178" s="6">
        <f t="shared" si="37"/>
        <v>-101.938</v>
      </c>
      <c r="P178" s="118"/>
    </row>
    <row r="179" spans="1:16" ht="14.25" customHeight="1">
      <c r="A179" s="1" t="s">
        <v>853</v>
      </c>
      <c r="B179" s="117" t="s">
        <v>298</v>
      </c>
      <c r="C179" s="5">
        <f t="shared" si="35"/>
        <v>3165</v>
      </c>
      <c r="D179" s="6">
        <f>+IFERROR(IFERROR(VLOOKUP($A179,[4]IMF_fdi_credit_debitinc!$A:$C,3,0),VLOOKUP($B179,[4]IMF_fdi_credit_debitinc!$A:$C,3,0)),0)/1000000</f>
        <v>3165</v>
      </c>
      <c r="E179" s="6">
        <f>+IFERROR(VLOOKUP(A179,[4]OECD_COUNTERDO_INCOME!A:B,2,0),0)</f>
        <v>675.72</v>
      </c>
      <c r="F179" s="6">
        <f t="shared" si="36"/>
        <v>2489.2799999999997</v>
      </c>
      <c r="G179" s="7"/>
      <c r="H179" s="6"/>
      <c r="I179" s="6"/>
      <c r="J179" s="6"/>
      <c r="K179" s="6"/>
      <c r="L179" s="5">
        <f t="shared" si="38"/>
        <v>81</v>
      </c>
      <c r="M179" s="6">
        <f>+IFERROR(IFERROR(VLOOKUP($A179,[4]IMF_fdi_credit_debitinc!$A:$C,2,0),VLOOKUP($B179,[4]IMF_fdi_credit_debitinc!$A:$C,2,0)),0)/1000000</f>
        <v>81</v>
      </c>
      <c r="N179" s="6">
        <f>+IFERROR(VLOOKUP(A179,[4]OECD_COUNTERDI_INCOME!A:B,2,0),0)</f>
        <v>-12.583</v>
      </c>
      <c r="O179" s="6">
        <f t="shared" si="37"/>
        <v>93.582999999999998</v>
      </c>
      <c r="P179" s="118"/>
    </row>
    <row r="180" spans="1:16" ht="14.25" customHeight="1">
      <c r="A180" s="1" t="s">
        <v>854</v>
      </c>
      <c r="B180" s="117" t="s">
        <v>299</v>
      </c>
      <c r="C180" s="5">
        <f t="shared" si="35"/>
        <v>0</v>
      </c>
      <c r="D180" s="6">
        <f>+IFERROR(IFERROR(VLOOKUP($A180,[4]IMF_fdi_credit_debitinc!$A:$C,3,0),VLOOKUP($B180,[4]IMF_fdi_credit_debitinc!$A:$C,3,0)),0)/1000000</f>
        <v>0</v>
      </c>
      <c r="E180" s="6">
        <f>+IFERROR(VLOOKUP(A180,[4]OECD_COUNTERDO_INCOME!A:B,2,0),0)</f>
        <v>2</v>
      </c>
      <c r="F180" s="6">
        <f t="shared" si="36"/>
        <v>-2</v>
      </c>
      <c r="G180" s="7"/>
      <c r="H180" s="6"/>
      <c r="I180" s="6"/>
      <c r="J180" s="6"/>
      <c r="K180" s="6"/>
      <c r="L180" s="5">
        <f t="shared" si="38"/>
        <v>0</v>
      </c>
      <c r="M180" s="6">
        <f>+IFERROR(IFERROR(VLOOKUP($A180,[4]IMF_fdi_credit_debitinc!$A:$C,2,0),VLOOKUP($B180,[4]IMF_fdi_credit_debitinc!$A:$C,2,0)),0)/1000000</f>
        <v>0</v>
      </c>
      <c r="N180" s="6">
        <f>+IFERROR(VLOOKUP(A180,[4]OECD_COUNTERDI_INCOME!A:B,2,0),0)</f>
        <v>0</v>
      </c>
      <c r="O180" s="6">
        <f t="shared" si="37"/>
        <v>0</v>
      </c>
      <c r="P180" s="118"/>
    </row>
    <row r="181" spans="1:16" ht="14.25" customHeight="1">
      <c r="A181" s="1" t="s">
        <v>855</v>
      </c>
      <c r="B181" s="117" t="s">
        <v>300</v>
      </c>
      <c r="C181" s="5">
        <f t="shared" si="35"/>
        <v>0</v>
      </c>
      <c r="D181" s="6">
        <f>+IFERROR(IFERROR(VLOOKUP($A181,[4]IMF_fdi_credit_debitinc!$A:$C,3,0),VLOOKUP($B181,[4]IMF_fdi_credit_debitinc!$A:$C,3,0)),0)/1000000</f>
        <v>0</v>
      </c>
      <c r="E181" s="6">
        <f>+IFERROR(VLOOKUP(A181,[4]OECD_COUNTERDO_INCOME!A:B,2,0),0)</f>
        <v>420.572</v>
      </c>
      <c r="F181" s="6">
        <f t="shared" si="36"/>
        <v>-420.572</v>
      </c>
      <c r="G181" s="7"/>
      <c r="H181" s="6"/>
      <c r="I181" s="6"/>
      <c r="J181" s="6"/>
      <c r="K181" s="6"/>
      <c r="L181" s="5">
        <f t="shared" si="38"/>
        <v>0</v>
      </c>
      <c r="M181" s="6">
        <f>+IFERROR(IFERROR(VLOOKUP($A181,[4]IMF_fdi_credit_debitinc!$A:$C,2,0),VLOOKUP($B181,[4]IMF_fdi_credit_debitinc!$A:$C,2,0)),0)/1000000</f>
        <v>0</v>
      </c>
      <c r="N181" s="6">
        <f>+IFERROR(VLOOKUP(A181,[4]OECD_COUNTERDI_INCOME!A:B,2,0),0)</f>
        <v>0</v>
      </c>
      <c r="O181" s="6">
        <f t="shared" si="37"/>
        <v>0</v>
      </c>
      <c r="P181" s="118"/>
    </row>
    <row r="182" spans="1:16" ht="14.25" customHeight="1">
      <c r="A182" s="1" t="s">
        <v>856</v>
      </c>
      <c r="B182" s="117" t="s">
        <v>301</v>
      </c>
      <c r="C182" s="5">
        <f t="shared" si="35"/>
        <v>863.90099999999995</v>
      </c>
      <c r="D182" s="6">
        <f>+IFERROR(IFERROR(VLOOKUP($A182,[4]IMF_fdi_credit_debitinc!$A:$C,3,0),VLOOKUP($B182,[4]IMF_fdi_credit_debitinc!$A:$C,3,0)),0)/1000000</f>
        <v>863.90099999999995</v>
      </c>
      <c r="E182" s="6">
        <f>+IFERROR(VLOOKUP(A182,[4]OECD_COUNTERDO_INCOME!A:B,2,0),0)</f>
        <v>180.47200000000001</v>
      </c>
      <c r="F182" s="6">
        <f t="shared" si="36"/>
        <v>683.42899999999997</v>
      </c>
      <c r="G182" s="7"/>
      <c r="H182" s="6"/>
      <c r="I182" s="6"/>
      <c r="J182" s="6"/>
      <c r="K182" s="6"/>
      <c r="L182" s="5">
        <f t="shared" si="38"/>
        <v>0.2</v>
      </c>
      <c r="M182" s="6">
        <f>+IFERROR(IFERROR(VLOOKUP($A182,[4]IMF_fdi_credit_debitinc!$A:$C,2,0),VLOOKUP($B182,[4]IMF_fdi_credit_debitinc!$A:$C,2,0)),0)/1000000</f>
        <v>0.2</v>
      </c>
      <c r="N182" s="6">
        <f>+IFERROR(VLOOKUP(A182,[4]OECD_COUNTERDI_INCOME!A:B,2,0),0)</f>
        <v>-0.29099999999999998</v>
      </c>
      <c r="O182" s="6">
        <f t="shared" si="37"/>
        <v>0.49099999999999999</v>
      </c>
      <c r="P182" s="118"/>
    </row>
    <row r="183" spans="1:16" ht="14.25" customHeight="1">
      <c r="A183" s="1" t="s">
        <v>857</v>
      </c>
      <c r="B183" s="117" t="s">
        <v>302</v>
      </c>
      <c r="C183" s="5">
        <f t="shared" si="35"/>
        <v>0</v>
      </c>
      <c r="D183" s="6">
        <f>+IFERROR(IFERROR(VLOOKUP($A183,[4]IMF_fdi_credit_debitinc!$A:$C,3,0),VLOOKUP($B183,[4]IMF_fdi_credit_debitinc!$A:$C,3,0)),0)/1000000</f>
        <v>0</v>
      </c>
      <c r="E183" s="6">
        <f>+IFERROR(VLOOKUP(A183,[4]OECD_COUNTERDO_INCOME!A:B,2,0),0)</f>
        <v>859.47699999999998</v>
      </c>
      <c r="F183" s="6">
        <f t="shared" si="36"/>
        <v>-859.47699999999998</v>
      </c>
      <c r="G183" s="7"/>
      <c r="H183" s="6"/>
      <c r="I183" s="6"/>
      <c r="J183" s="6"/>
      <c r="K183" s="6"/>
      <c r="L183" s="5">
        <f t="shared" si="38"/>
        <v>0</v>
      </c>
      <c r="M183" s="6">
        <f>+IFERROR(IFERROR(VLOOKUP($A183,[4]IMF_fdi_credit_debitinc!$A:$C,2,0),VLOOKUP($B183,[4]IMF_fdi_credit_debitinc!$A:$C,2,0)),0)/1000000</f>
        <v>0</v>
      </c>
      <c r="N183" s="6">
        <f>+IFERROR(VLOOKUP(A183,[4]OECD_COUNTERDI_INCOME!A:B,2,0),0)</f>
        <v>41.957999999999998</v>
      </c>
      <c r="O183" s="6">
        <f t="shared" si="37"/>
        <v>-41.957999999999998</v>
      </c>
      <c r="P183" s="118"/>
    </row>
    <row r="184" spans="1:16" ht="14.25" customHeight="1">
      <c r="A184" s="1" t="s">
        <v>858</v>
      </c>
      <c r="B184" s="117" t="s">
        <v>303</v>
      </c>
      <c r="C184" s="5">
        <f t="shared" si="35"/>
        <v>0</v>
      </c>
      <c r="D184" s="6">
        <f>+IFERROR(IFERROR(VLOOKUP($A184,[4]IMF_fdi_credit_debitinc!$A:$C,3,0),VLOOKUP($B184,[4]IMF_fdi_credit_debitinc!$A:$C,3,0)),0)/1000000</f>
        <v>0</v>
      </c>
      <c r="E184" s="6">
        <f>+IFERROR(VLOOKUP(A184,[4]OECD_COUNTERDO_INCOME!A:B,2,0),0)</f>
        <v>3931.248</v>
      </c>
      <c r="F184" s="6">
        <f t="shared" si="36"/>
        <v>-3931.248</v>
      </c>
      <c r="G184" s="7"/>
      <c r="H184" s="6"/>
      <c r="I184" s="6"/>
      <c r="J184" s="6"/>
      <c r="K184" s="6"/>
      <c r="L184" s="5">
        <f t="shared" si="38"/>
        <v>0</v>
      </c>
      <c r="M184" s="6">
        <f>+IFERROR(IFERROR(VLOOKUP($A184,[4]IMF_fdi_credit_debitinc!$A:$C,2,0),VLOOKUP($B184,[4]IMF_fdi_credit_debitinc!$A:$C,2,0)),0)/1000000</f>
        <v>0</v>
      </c>
      <c r="N184" s="6">
        <f>+IFERROR(VLOOKUP(A184,[4]OECD_COUNTERDI_INCOME!A:B,2,0),0)</f>
        <v>-19.204000000000001</v>
      </c>
      <c r="O184" s="6">
        <f t="shared" si="37"/>
        <v>19.204000000000001</v>
      </c>
      <c r="P184" s="118"/>
    </row>
    <row r="185" spans="1:16" ht="14.25" customHeight="1">
      <c r="A185" s="1" t="s">
        <v>859</v>
      </c>
      <c r="B185" s="117" t="s">
        <v>304</v>
      </c>
      <c r="C185" s="5">
        <f t="shared" si="35"/>
        <v>0</v>
      </c>
      <c r="D185" s="6">
        <f>+IFERROR(IFERROR(VLOOKUP($A185,[4]IMF_fdi_credit_debitinc!$A:$C,3,0),VLOOKUP($B185,[4]IMF_fdi_credit_debitinc!$A:$C,3,0)),0)/1000000</f>
        <v>0</v>
      </c>
      <c r="E185" s="6">
        <f>+IFERROR(VLOOKUP(A185,[4]OECD_COUNTERDO_INCOME!A:B,2,0),0)</f>
        <v>4988.75</v>
      </c>
      <c r="F185" s="6"/>
      <c r="G185" s="7"/>
      <c r="H185" s="6"/>
      <c r="I185" s="6"/>
      <c r="J185" s="6"/>
      <c r="K185" s="6"/>
      <c r="L185" s="5">
        <f t="shared" si="38"/>
        <v>0</v>
      </c>
      <c r="M185" s="6">
        <f>+IFERROR(IFERROR(VLOOKUP($A185,[4]IMF_fdi_credit_debitinc!$A:$C,2,0),VLOOKUP($B185,[4]IMF_fdi_credit_debitinc!$A:$C,2,0)),0)/1000000</f>
        <v>0</v>
      </c>
      <c r="N185" s="6">
        <f>+IFERROR(VLOOKUP(A185,[4]OECD_COUNTERDI_INCOME!A:B,2,0),0)</f>
        <v>734.76700000000005</v>
      </c>
      <c r="O185" s="6"/>
      <c r="P185" s="118"/>
    </row>
    <row r="186" spans="1:16" ht="14.25" customHeight="1">
      <c r="A186" s="1" t="s">
        <v>860</v>
      </c>
      <c r="B186" s="117" t="s">
        <v>305</v>
      </c>
      <c r="C186" s="5">
        <f t="shared" si="35"/>
        <v>7373.85</v>
      </c>
      <c r="D186" s="6">
        <f>+IFERROR(IFERROR(VLOOKUP($A186,[4]IMF_fdi_credit_debitinc!$A:$C,3,0),VLOOKUP($B186,[4]IMF_fdi_credit_debitinc!$A:$C,3,0)),0)/1000000</f>
        <v>7373.85</v>
      </c>
      <c r="E186" s="6">
        <f>+IFERROR(VLOOKUP(A186,[4]OECD_COUNTERDO_INCOME!A:B,2,0),0)</f>
        <v>0</v>
      </c>
      <c r="F186" s="6">
        <f>+C186-E186</f>
        <v>7373.85</v>
      </c>
      <c r="G186" s="7"/>
      <c r="H186" s="6"/>
      <c r="I186" s="6"/>
      <c r="J186" s="6"/>
      <c r="K186" s="6"/>
      <c r="L186" s="5">
        <f t="shared" si="38"/>
        <v>49.69885132844</v>
      </c>
      <c r="M186" s="6">
        <f>+IFERROR(IFERROR(VLOOKUP($A186,[4]IMF_fdi_credit_debitinc!$A:$C,2,0),VLOOKUP($B186,[4]IMF_fdi_credit_debitinc!$A:$C,2,0)),0)/1000000</f>
        <v>49.69885132844</v>
      </c>
      <c r="N186" s="6">
        <f>+IFERROR(VLOOKUP(A186,[4]OECD_COUNTERDI_INCOME!A:B,2,0),0)</f>
        <v>0</v>
      </c>
      <c r="O186" s="6">
        <f>+L186-N186</f>
        <v>49.69885132844</v>
      </c>
      <c r="P186" s="118"/>
    </row>
    <row r="187" spans="1:16" ht="14.25" customHeight="1">
      <c r="A187" s="1" t="s">
        <v>861</v>
      </c>
      <c r="B187" s="117" t="s">
        <v>306</v>
      </c>
      <c r="C187" s="5">
        <f t="shared" si="35"/>
        <v>0</v>
      </c>
      <c r="D187" s="6">
        <f>+IFERROR(IFERROR(VLOOKUP($A187,[4]IMF_fdi_credit_debitinc!$A:$C,3,0),VLOOKUP($B187,[4]IMF_fdi_credit_debitinc!$A:$C,3,0)),0)/1000000</f>
        <v>0</v>
      </c>
      <c r="E187" s="6">
        <f>+IFERROR(VLOOKUP(A187,[4]OECD_COUNTERDO_INCOME!A:B,2,0),0)</f>
        <v>0.84199999999999997</v>
      </c>
      <c r="F187" s="6">
        <f>+C187-E187</f>
        <v>-0.84199999999999997</v>
      </c>
      <c r="G187" s="7"/>
      <c r="H187" s="6"/>
      <c r="I187" s="6"/>
      <c r="J187" s="6"/>
      <c r="K187" s="6"/>
      <c r="L187" s="5">
        <f t="shared" si="38"/>
        <v>0</v>
      </c>
      <c r="M187" s="6">
        <f>+IFERROR(IFERROR(VLOOKUP($A187,[4]IMF_fdi_credit_debitinc!$A:$C,2,0),VLOOKUP($B187,[4]IMF_fdi_credit_debitinc!$A:$C,2,0)),0)/1000000</f>
        <v>0</v>
      </c>
      <c r="N187" s="6">
        <f>+IFERROR(VLOOKUP(A187,[4]OECD_COUNTERDI_INCOME!A:B,2,0),0)</f>
        <v>-1.0999999999999999E-2</v>
      </c>
      <c r="O187" s="6">
        <f>+L187-N187</f>
        <v>1.0999999999999999E-2</v>
      </c>
      <c r="P187" s="118"/>
    </row>
    <row r="188" spans="1:16" ht="14.25" customHeight="1">
      <c r="A188" s="1" t="s">
        <v>862</v>
      </c>
      <c r="B188" s="117" t="s">
        <v>307</v>
      </c>
      <c r="C188" s="5">
        <f t="shared" si="35"/>
        <v>0</v>
      </c>
      <c r="D188" s="6">
        <f>+IFERROR(IFERROR(VLOOKUP($A188,[4]IMF_fdi_credit_debitinc!$A:$C,3,0),VLOOKUP($B188,[4]IMF_fdi_credit_debitinc!$A:$C,3,0)),0)/1000000</f>
        <v>0</v>
      </c>
      <c r="E188" s="6">
        <f>+IFERROR(VLOOKUP(A188,[4]OECD_COUNTERDO_INCOME!A:B,2,0),0)</f>
        <v>-1</v>
      </c>
      <c r="F188" s="6">
        <f>+C188-E188</f>
        <v>1</v>
      </c>
      <c r="G188" s="7"/>
      <c r="H188" s="6"/>
      <c r="I188" s="6"/>
      <c r="J188" s="6"/>
      <c r="K188" s="6"/>
      <c r="L188" s="5">
        <f t="shared" si="38"/>
        <v>0</v>
      </c>
      <c r="M188" s="6">
        <f>+IFERROR(IFERROR(VLOOKUP($A188,[4]IMF_fdi_credit_debitinc!$A:$C,2,0),VLOOKUP($B188,[4]IMF_fdi_credit_debitinc!$A:$C,2,0)),0)/1000000</f>
        <v>0</v>
      </c>
      <c r="N188" s="6">
        <f>+IFERROR(VLOOKUP(A188,[4]OECD_COUNTERDI_INCOME!A:B,2,0),0)</f>
        <v>1.508</v>
      </c>
      <c r="O188" s="6">
        <f>+L188-N188</f>
        <v>-1.508</v>
      </c>
      <c r="P188" s="118"/>
    </row>
    <row r="189" spans="1:16" ht="14.25" customHeight="1">
      <c r="A189" s="1" t="s">
        <v>863</v>
      </c>
      <c r="B189" s="117" t="s">
        <v>308</v>
      </c>
      <c r="C189" s="5">
        <f t="shared" si="35"/>
        <v>0</v>
      </c>
      <c r="D189" s="6">
        <f>+IFERROR(IFERROR(VLOOKUP($A189,[4]IMF_fdi_credit_debitinc!$A:$C,3,0),VLOOKUP($B189,[4]IMF_fdi_credit_debitinc!$A:$C,3,0)),0)/1000000</f>
        <v>0</v>
      </c>
      <c r="E189" s="6">
        <f>+IFERROR(VLOOKUP(A189,[4]OECD_COUNTERDO_INCOME!A:B,2,0),0)</f>
        <v>2.2389999999999999</v>
      </c>
      <c r="F189" s="6"/>
      <c r="G189" s="7"/>
      <c r="H189" s="6"/>
      <c r="I189" s="6"/>
      <c r="J189" s="6"/>
      <c r="K189" s="6"/>
      <c r="L189" s="5">
        <f t="shared" si="38"/>
        <v>0</v>
      </c>
      <c r="M189" s="6">
        <f>+IFERROR(IFERROR(VLOOKUP($A189,[4]IMF_fdi_credit_debitinc!$A:$C,2,0),VLOOKUP($B189,[4]IMF_fdi_credit_debitinc!$A:$C,2,0)),0)/1000000</f>
        <v>0</v>
      </c>
      <c r="N189" s="6">
        <f>+IFERROR(VLOOKUP(A189,[4]OECD_COUNTERDI_INCOME!A:B,2,0),0)</f>
        <v>0</v>
      </c>
      <c r="O189" s="6"/>
      <c r="P189" s="118"/>
    </row>
    <row r="190" spans="1:16" ht="14.25" customHeight="1">
      <c r="A190" s="1" t="s">
        <v>864</v>
      </c>
      <c r="B190" s="117" t="s">
        <v>309</v>
      </c>
      <c r="C190" s="5">
        <f t="shared" si="35"/>
        <v>3734.08</v>
      </c>
      <c r="D190" s="6">
        <f>+IFERROR(IFERROR(VLOOKUP($A190,[4]IMF_fdi_credit_debitinc!$A:$C,3,0),VLOOKUP($B190,[4]IMF_fdi_credit_debitinc!$A:$C,3,0)),0)/1000000</f>
        <v>3734.08</v>
      </c>
      <c r="E190" s="6">
        <f>+IFERROR(VLOOKUP(A190,[4]OECD_COUNTERDO_INCOME!A:B,2,0),0)</f>
        <v>2623.3</v>
      </c>
      <c r="F190" s="6">
        <f t="shared" ref="F190:F218" si="39">+C190-E190</f>
        <v>1110.7799999999997</v>
      </c>
      <c r="G190" s="7"/>
      <c r="H190" s="6"/>
      <c r="I190" s="6"/>
      <c r="J190" s="6"/>
      <c r="K190" s="6"/>
      <c r="L190" s="5">
        <f t="shared" si="38"/>
        <v>5097.91</v>
      </c>
      <c r="M190" s="6">
        <f>+IFERROR(IFERROR(VLOOKUP($A190,[4]IMF_fdi_credit_debitinc!$A:$C,2,0),VLOOKUP($B190,[4]IMF_fdi_credit_debitinc!$A:$C,2,0)),0)/1000000</f>
        <v>5097.91</v>
      </c>
      <c r="N190" s="6">
        <f>+IFERROR(VLOOKUP(A190,[4]OECD_COUNTERDI_INCOME!A:B,2,0),0)</f>
        <v>1046.0170000000001</v>
      </c>
      <c r="O190" s="6">
        <f t="shared" ref="O190:O218" si="40">+L190-N190</f>
        <v>4051.893</v>
      </c>
      <c r="P190" s="118"/>
    </row>
    <row r="191" spans="1:16" ht="14.25" customHeight="1">
      <c r="A191" s="1" t="s">
        <v>865</v>
      </c>
      <c r="B191" s="117" t="s">
        <v>310</v>
      </c>
      <c r="C191" s="5">
        <f t="shared" si="35"/>
        <v>0</v>
      </c>
      <c r="D191" s="6">
        <f>+IFERROR(IFERROR(VLOOKUP($A191,[4]IMF_fdi_credit_debitinc!$A:$C,3,0),VLOOKUP($B191,[4]IMF_fdi_credit_debitinc!$A:$C,3,0)),0)/1000000</f>
        <v>0</v>
      </c>
      <c r="E191" s="6">
        <f>+IFERROR(VLOOKUP(A191,[4]OECD_COUNTERDO_INCOME!A:B,2,0),0)</f>
        <v>3.9940000000000002</v>
      </c>
      <c r="F191" s="6">
        <f t="shared" si="39"/>
        <v>-3.9940000000000002</v>
      </c>
      <c r="G191" s="7"/>
      <c r="H191" s="6"/>
      <c r="I191" s="6"/>
      <c r="J191" s="6"/>
      <c r="K191" s="6"/>
      <c r="L191" s="5">
        <f t="shared" si="38"/>
        <v>0</v>
      </c>
      <c r="M191" s="6">
        <f>+IFERROR(IFERROR(VLOOKUP($A191,[4]IMF_fdi_credit_debitinc!$A:$C,2,0),VLOOKUP($B191,[4]IMF_fdi_credit_debitinc!$A:$C,2,0)),0)/1000000</f>
        <v>0</v>
      </c>
      <c r="N191" s="6">
        <f>+IFERROR(VLOOKUP(A191,[4]OECD_COUNTERDI_INCOME!A:B,2,0),0)</f>
        <v>0.187</v>
      </c>
      <c r="O191" s="6">
        <f t="shared" si="40"/>
        <v>-0.187</v>
      </c>
      <c r="P191" s="118"/>
    </row>
    <row r="192" spans="1:16" ht="14.25" customHeight="1">
      <c r="B192" s="117" t="s">
        <v>311</v>
      </c>
      <c r="C192" s="5">
        <f t="shared" si="35"/>
        <v>0</v>
      </c>
      <c r="D192" s="6">
        <f>+IFERROR(IFERROR(VLOOKUP($A192,[4]IMF_fdi_credit_debitinc!$A:$C,3,0),VLOOKUP($B192,[4]IMF_fdi_credit_debitinc!$A:$C,3,0)),0)/1000000</f>
        <v>0</v>
      </c>
      <c r="E192" s="6">
        <f>+IFERROR(VLOOKUP(A192,[4]OECD_COUNTERDO_INCOME!A:B,2,0),0)</f>
        <v>0</v>
      </c>
      <c r="F192" s="6">
        <f t="shared" si="39"/>
        <v>0</v>
      </c>
      <c r="G192" s="7"/>
      <c r="H192" s="6"/>
      <c r="I192" s="6"/>
      <c r="J192" s="6"/>
      <c r="K192" s="6"/>
      <c r="L192" s="5">
        <f t="shared" si="38"/>
        <v>0</v>
      </c>
      <c r="M192" s="6">
        <f>+IFERROR(IFERROR(VLOOKUP($A192,[4]IMF_fdi_credit_debitinc!$A:$C,2,0),VLOOKUP($B192,[4]IMF_fdi_credit_debitinc!$A:$C,2,0)),0)/1000000</f>
        <v>0</v>
      </c>
      <c r="N192" s="6">
        <f>+IFERROR(VLOOKUP(A192,[4]OECD_COUNTERDI_INCOME!A:B,2,0),0)</f>
        <v>0</v>
      </c>
      <c r="O192" s="6">
        <f t="shared" si="40"/>
        <v>0</v>
      </c>
      <c r="P192" s="118"/>
    </row>
    <row r="193" spans="1:16" ht="14.25" customHeight="1">
      <c r="A193" s="1" t="s">
        <v>866</v>
      </c>
      <c r="B193" s="117" t="s">
        <v>312</v>
      </c>
      <c r="C193" s="5">
        <f t="shared" si="35"/>
        <v>0</v>
      </c>
      <c r="D193" s="6">
        <f>+IFERROR(IFERROR(VLOOKUP($A193,[4]IMF_fdi_credit_debitinc!$A:$C,3,0),VLOOKUP($B193,[4]IMF_fdi_credit_debitinc!$A:$C,3,0)),0)/1000000</f>
        <v>0</v>
      </c>
      <c r="E193" s="6">
        <f>+IFERROR(VLOOKUP(A193,[4]OECD_COUNTERDO_INCOME!A:B,2,0),0)</f>
        <v>0.51400000000000001</v>
      </c>
      <c r="F193" s="6">
        <f t="shared" si="39"/>
        <v>-0.51400000000000001</v>
      </c>
      <c r="G193" s="7"/>
      <c r="H193" s="6"/>
      <c r="I193" s="6"/>
      <c r="J193" s="6"/>
      <c r="K193" s="6"/>
      <c r="L193" s="5">
        <f t="shared" si="38"/>
        <v>0</v>
      </c>
      <c r="M193" s="6">
        <f>+IFERROR(IFERROR(VLOOKUP($A193,[4]IMF_fdi_credit_debitinc!$A:$C,2,0),VLOOKUP($B193,[4]IMF_fdi_credit_debitinc!$A:$C,2,0)),0)/1000000</f>
        <v>0</v>
      </c>
      <c r="N193" s="6">
        <f>+IFERROR(VLOOKUP(A193,[4]OECD_COUNTERDI_INCOME!A:B,2,0),0)</f>
        <v>0.157</v>
      </c>
      <c r="O193" s="6">
        <f t="shared" si="40"/>
        <v>-0.157</v>
      </c>
      <c r="P193" s="118"/>
    </row>
    <row r="194" spans="1:16" ht="14.25" customHeight="1">
      <c r="A194" s="1" t="s">
        <v>867</v>
      </c>
      <c r="B194" s="117" t="s">
        <v>313</v>
      </c>
      <c r="C194" s="5">
        <f t="shared" si="35"/>
        <v>0</v>
      </c>
      <c r="D194" s="6">
        <f>+IFERROR(IFERROR(VLOOKUP($A194,[4]IMF_fdi_credit_debitinc!$A:$C,3,0),VLOOKUP($B194,[4]IMF_fdi_credit_debitinc!$A:$C,3,0)),0)/1000000</f>
        <v>0</v>
      </c>
      <c r="E194" s="6">
        <f>+IFERROR(VLOOKUP(A194,[4]OECD_COUNTERDO_INCOME!A:B,2,0),0)</f>
        <v>17.933</v>
      </c>
      <c r="F194" s="6">
        <f t="shared" si="39"/>
        <v>-17.933</v>
      </c>
      <c r="G194" s="7"/>
      <c r="H194" s="6"/>
      <c r="I194" s="6"/>
      <c r="J194" s="6"/>
      <c r="K194" s="6"/>
      <c r="L194" s="5">
        <f t="shared" si="38"/>
        <v>0</v>
      </c>
      <c r="M194" s="6">
        <f>+IFERROR(IFERROR(VLOOKUP($A194,[4]IMF_fdi_credit_debitinc!$A:$C,2,0),VLOOKUP($B194,[4]IMF_fdi_credit_debitinc!$A:$C,2,0)),0)/1000000</f>
        <v>0</v>
      </c>
      <c r="N194" s="6">
        <f>+IFERROR(VLOOKUP(A194,[4]OECD_COUNTERDI_INCOME!A:B,2,0),0)</f>
        <v>0</v>
      </c>
      <c r="O194" s="6">
        <f t="shared" si="40"/>
        <v>0</v>
      </c>
      <c r="P194" s="118"/>
    </row>
    <row r="195" spans="1:16" ht="14.25" customHeight="1">
      <c r="B195" s="117" t="s">
        <v>314</v>
      </c>
      <c r="C195" s="5">
        <f t="shared" si="35"/>
        <v>0</v>
      </c>
      <c r="D195" s="6">
        <f>+IFERROR(IFERROR(VLOOKUP($A195,[4]IMF_fdi_credit_debitinc!$A:$C,3,0),VLOOKUP($B195,[4]IMF_fdi_credit_debitinc!$A:$C,3,0)),0)/1000000</f>
        <v>0</v>
      </c>
      <c r="E195" s="6">
        <f>+IFERROR(VLOOKUP(A195,[4]OECD_COUNTERDO_INCOME!A:B,2,0),0)</f>
        <v>0</v>
      </c>
      <c r="F195" s="6">
        <f t="shared" si="39"/>
        <v>0</v>
      </c>
      <c r="G195" s="7"/>
      <c r="H195" s="6"/>
      <c r="I195" s="6"/>
      <c r="J195" s="6"/>
      <c r="K195" s="6"/>
      <c r="L195" s="5">
        <f t="shared" si="38"/>
        <v>0</v>
      </c>
      <c r="M195" s="6">
        <f>+IFERROR(IFERROR(VLOOKUP($A195,[4]IMF_fdi_credit_debitinc!$A:$C,2,0),VLOOKUP($B195,[4]IMF_fdi_credit_debitinc!$A:$C,2,0)),0)/1000000</f>
        <v>0</v>
      </c>
      <c r="N195" s="6">
        <f>+IFERROR(VLOOKUP(A195,[4]OECD_COUNTERDI_INCOME!A:B,2,0),0)</f>
        <v>0</v>
      </c>
      <c r="O195" s="6">
        <f t="shared" si="40"/>
        <v>0</v>
      </c>
      <c r="P195" s="118"/>
    </row>
    <row r="196" spans="1:16" ht="14.25" customHeight="1">
      <c r="A196" s="1" t="s">
        <v>868</v>
      </c>
      <c r="B196" s="117" t="s">
        <v>315</v>
      </c>
      <c r="C196" s="5">
        <f t="shared" si="35"/>
        <v>0</v>
      </c>
      <c r="D196" s="6">
        <f>+IFERROR(IFERROR(VLOOKUP($A196,[4]IMF_fdi_credit_debitinc!$A:$C,3,0),VLOOKUP($B196,[4]IMF_fdi_credit_debitinc!$A:$C,3,0)),0)/1000000</f>
        <v>0</v>
      </c>
      <c r="E196" s="6">
        <f>+IFERROR(VLOOKUP(A196,[4]OECD_COUNTERDO_INCOME!A:B,2,0),0)</f>
        <v>0.158</v>
      </c>
      <c r="F196" s="6">
        <f t="shared" si="39"/>
        <v>-0.158</v>
      </c>
      <c r="G196" s="7"/>
      <c r="H196" s="6"/>
      <c r="I196" s="6"/>
      <c r="J196" s="6"/>
      <c r="K196" s="6"/>
      <c r="L196" s="5">
        <f t="shared" si="38"/>
        <v>0</v>
      </c>
      <c r="M196" s="6">
        <f>+IFERROR(IFERROR(VLOOKUP($A196,[4]IMF_fdi_credit_debitinc!$A:$C,2,0),VLOOKUP($B196,[4]IMF_fdi_credit_debitinc!$A:$C,2,0)),0)/1000000</f>
        <v>0</v>
      </c>
      <c r="N196" s="6">
        <f>+IFERROR(VLOOKUP(A196,[4]OECD_COUNTERDI_INCOME!A:B,2,0),0)</f>
        <v>0</v>
      </c>
      <c r="O196" s="6">
        <f t="shared" si="40"/>
        <v>0</v>
      </c>
      <c r="P196" s="118"/>
    </row>
    <row r="197" spans="1:16" ht="14.25" customHeight="1">
      <c r="A197" s="1" t="s">
        <v>869</v>
      </c>
      <c r="B197" s="117" t="s">
        <v>316</v>
      </c>
      <c r="C197" s="5">
        <f t="shared" si="35"/>
        <v>269.27199999999999</v>
      </c>
      <c r="D197" s="6">
        <f>+IFERROR(IFERROR(VLOOKUP($A197,[4]IMF_fdi_credit_debitinc!$A:$C,3,0),VLOOKUP($B197,[4]IMF_fdi_credit_debitinc!$A:$C,3,0)),0)/1000000</f>
        <v>269.27199999999999</v>
      </c>
      <c r="E197" s="6">
        <f>+IFERROR(VLOOKUP(A197,[4]OECD_COUNTERDO_INCOME!A:B,2,0),0)</f>
        <v>4.2510000000000003</v>
      </c>
      <c r="F197" s="6">
        <f t="shared" si="39"/>
        <v>265.02100000000002</v>
      </c>
      <c r="G197" s="7"/>
      <c r="H197" s="6"/>
      <c r="I197" s="6"/>
      <c r="J197" s="6"/>
      <c r="K197" s="6"/>
      <c r="L197" s="5">
        <f t="shared" si="38"/>
        <v>0</v>
      </c>
      <c r="M197" s="6">
        <f>+IFERROR(IFERROR(VLOOKUP($A197,[4]IMF_fdi_credit_debitinc!$A:$C,2,0),VLOOKUP($B197,[4]IMF_fdi_credit_debitinc!$A:$C,2,0)),0)/1000000</f>
        <v>0</v>
      </c>
      <c r="N197" s="6">
        <f>+IFERROR(VLOOKUP(A197,[4]OECD_COUNTERDI_INCOME!A:B,2,0),0)</f>
        <v>2.2389999999999999</v>
      </c>
      <c r="O197" s="6">
        <f t="shared" si="40"/>
        <v>-2.2389999999999999</v>
      </c>
      <c r="P197" s="118"/>
    </row>
    <row r="198" spans="1:16" ht="14.25" customHeight="1">
      <c r="B198" s="117" t="s">
        <v>317</v>
      </c>
      <c r="C198" s="5">
        <f t="shared" si="35"/>
        <v>0</v>
      </c>
      <c r="D198" s="6">
        <f>+IFERROR(IFERROR(VLOOKUP($A198,[4]IMF_fdi_credit_debitinc!$A:$C,3,0),VLOOKUP($B198,[4]IMF_fdi_credit_debitinc!$A:$C,3,0)),0)/1000000</f>
        <v>0</v>
      </c>
      <c r="E198" s="6">
        <f>+IFERROR(VLOOKUP(A198,[4]OECD_COUNTERDO_INCOME!A:B,2,0),0)</f>
        <v>0</v>
      </c>
      <c r="F198" s="6">
        <f t="shared" si="39"/>
        <v>0</v>
      </c>
      <c r="G198" s="7"/>
      <c r="H198" s="6"/>
      <c r="I198" s="6"/>
      <c r="J198" s="6"/>
      <c r="K198" s="6"/>
      <c r="L198" s="5">
        <f t="shared" si="38"/>
        <v>0</v>
      </c>
      <c r="M198" s="6">
        <f>+IFERROR(IFERROR(VLOOKUP($A198,[4]IMF_fdi_credit_debitinc!$A:$C,2,0),VLOOKUP($B198,[4]IMF_fdi_credit_debitinc!$A:$C,2,0)),0)/1000000</f>
        <v>0</v>
      </c>
      <c r="N198" s="6">
        <f>+IFERROR(VLOOKUP(A198,[4]OECD_COUNTERDI_INCOME!A:B,2,0),0)</f>
        <v>0</v>
      </c>
      <c r="O198" s="6">
        <f t="shared" si="40"/>
        <v>0</v>
      </c>
      <c r="P198" s="118"/>
    </row>
    <row r="199" spans="1:16" ht="14.25" customHeight="1">
      <c r="A199" s="1" t="s">
        <v>870</v>
      </c>
      <c r="B199" s="117" t="s">
        <v>318</v>
      </c>
      <c r="C199" s="5">
        <f t="shared" si="35"/>
        <v>0</v>
      </c>
      <c r="D199" s="6">
        <f>+IFERROR(IFERROR(VLOOKUP($A199,[4]IMF_fdi_credit_debitinc!$A:$C,3,0),VLOOKUP($B199,[4]IMF_fdi_credit_debitinc!$A:$C,3,0)),0)/1000000</f>
        <v>0</v>
      </c>
      <c r="E199" s="6">
        <f>+IFERROR(VLOOKUP(A199,[4]OECD_COUNTERDO_INCOME!A:B,2,0),0)</f>
        <v>1.069</v>
      </c>
      <c r="F199" s="6">
        <f t="shared" si="39"/>
        <v>-1.069</v>
      </c>
      <c r="G199" s="7"/>
      <c r="H199" s="6"/>
      <c r="I199" s="6"/>
      <c r="J199" s="6"/>
      <c r="K199" s="6"/>
      <c r="L199" s="5">
        <f t="shared" si="38"/>
        <v>0</v>
      </c>
      <c r="M199" s="6">
        <f>+IFERROR(IFERROR(VLOOKUP($A199,[4]IMF_fdi_credit_debitinc!$A:$C,2,0),VLOOKUP($B199,[4]IMF_fdi_credit_debitinc!$A:$C,2,0)),0)/1000000</f>
        <v>0</v>
      </c>
      <c r="N199" s="6">
        <f>+IFERROR(VLOOKUP(A199,[4]OECD_COUNTERDI_INCOME!A:B,2,0),0)</f>
        <v>0.02</v>
      </c>
      <c r="O199" s="6">
        <f t="shared" si="40"/>
        <v>-0.02</v>
      </c>
      <c r="P199" s="118"/>
    </row>
    <row r="200" spans="1:16" ht="14.25" customHeight="1">
      <c r="A200" s="1" t="s">
        <v>871</v>
      </c>
      <c r="B200" s="117" t="s">
        <v>319</v>
      </c>
      <c r="C200" s="5">
        <f t="shared" si="35"/>
        <v>211.17400000000001</v>
      </c>
      <c r="D200" s="6">
        <f>+IFERROR(IFERROR(VLOOKUP($A200,[4]IMF_fdi_credit_debitinc!$A:$C,3,0),VLOOKUP($B200,[4]IMF_fdi_credit_debitinc!$A:$C,3,0)),0)/1000000</f>
        <v>211.17400000000001</v>
      </c>
      <c r="E200" s="6">
        <f>+IFERROR(VLOOKUP(A200,[4]OECD_COUNTERDO_INCOME!A:B,2,0),0)</f>
        <v>116.047</v>
      </c>
      <c r="F200" s="6">
        <f t="shared" si="39"/>
        <v>95.12700000000001</v>
      </c>
      <c r="G200" s="7"/>
      <c r="H200" s="6"/>
      <c r="I200" s="6"/>
      <c r="J200" s="6"/>
      <c r="K200" s="6"/>
      <c r="L200" s="5">
        <f t="shared" si="38"/>
        <v>0</v>
      </c>
      <c r="M200" s="6">
        <f>+IFERROR(IFERROR(VLOOKUP($A200,[4]IMF_fdi_credit_debitinc!$A:$C,2,0),VLOOKUP($B200,[4]IMF_fdi_credit_debitinc!$A:$C,2,0)),0)/1000000</f>
        <v>0</v>
      </c>
      <c r="N200" s="6">
        <f>+IFERROR(VLOOKUP(A200,[4]OECD_COUNTERDI_INCOME!A:B,2,0),0)</f>
        <v>0</v>
      </c>
      <c r="O200" s="6">
        <f t="shared" si="40"/>
        <v>0</v>
      </c>
      <c r="P200" s="118"/>
    </row>
    <row r="201" spans="1:16" ht="14.25" customHeight="1">
      <c r="A201" s="1" t="s">
        <v>872</v>
      </c>
      <c r="B201" s="117" t="s">
        <v>320</v>
      </c>
      <c r="C201" s="5">
        <f t="shared" si="35"/>
        <v>0</v>
      </c>
      <c r="D201" s="6">
        <f>+IFERROR(IFERROR(VLOOKUP($A201,[4]IMF_fdi_credit_debitinc!$A:$C,3,0),VLOOKUP($B201,[4]IMF_fdi_credit_debitinc!$A:$C,3,0)),0)/1000000</f>
        <v>0</v>
      </c>
      <c r="E201" s="6">
        <f>+IFERROR(VLOOKUP(A201,[4]OECD_COUNTERDO_INCOME!A:B,2,0),0)</f>
        <v>90.265000000000001</v>
      </c>
      <c r="F201" s="6">
        <f t="shared" si="39"/>
        <v>-90.265000000000001</v>
      </c>
      <c r="G201" s="7"/>
      <c r="H201" s="6"/>
      <c r="I201" s="6"/>
      <c r="J201" s="6"/>
      <c r="K201" s="6"/>
      <c r="L201" s="5">
        <f t="shared" si="38"/>
        <v>0</v>
      </c>
      <c r="M201" s="6">
        <f>+IFERROR(IFERROR(VLOOKUP($A201,[4]IMF_fdi_credit_debitinc!$A:$C,2,0),VLOOKUP($B201,[4]IMF_fdi_credit_debitinc!$A:$C,2,0)),0)/1000000</f>
        <v>0</v>
      </c>
      <c r="N201" s="6">
        <f>+IFERROR(VLOOKUP(A201,[4]OECD_COUNTERDI_INCOME!A:B,2,0),0)</f>
        <v>1.722</v>
      </c>
      <c r="O201" s="6">
        <f t="shared" si="40"/>
        <v>-1.722</v>
      </c>
      <c r="P201" s="118"/>
    </row>
    <row r="202" spans="1:16" ht="14.25" customHeight="1">
      <c r="A202" s="1" t="s">
        <v>873</v>
      </c>
      <c r="B202" s="117" t="s">
        <v>83</v>
      </c>
      <c r="C202" s="5">
        <f t="shared" si="35"/>
        <v>16684.8</v>
      </c>
      <c r="D202" s="6">
        <f>+IFERROR(IFERROR(VLOOKUP($A202,[4]IMF_fdi_credit_debitinc!$A:$C,3,0),VLOOKUP($B202,[4]IMF_fdi_credit_debitinc!$A:$C,3,0)),0)/1000000</f>
        <v>16684.8</v>
      </c>
      <c r="E202" s="6">
        <f>+IFERROR(VLOOKUP(A202,[4]OECD_COUNTERDO_INCOME!A:B,2,0),0)</f>
        <v>12379.15</v>
      </c>
      <c r="F202" s="6">
        <f t="shared" si="39"/>
        <v>4305.6499999999996</v>
      </c>
      <c r="G202" s="7"/>
      <c r="H202" s="6"/>
      <c r="I202" s="6"/>
      <c r="J202" s="6"/>
      <c r="K202" s="6"/>
      <c r="L202" s="5">
        <f t="shared" si="38"/>
        <v>2423.54</v>
      </c>
      <c r="M202" s="6">
        <f>+IFERROR(IFERROR(VLOOKUP($A202,[4]IMF_fdi_credit_debitinc!$A:$C,2,0),VLOOKUP($B202,[4]IMF_fdi_credit_debitinc!$A:$C,2,0)),0)/1000000</f>
        <v>2423.54</v>
      </c>
      <c r="N202" s="6">
        <f>+IFERROR(VLOOKUP(A202,[4]OECD_COUNTERDI_INCOME!A:B,2,0),0)</f>
        <v>120.27</v>
      </c>
      <c r="O202" s="6">
        <f t="shared" si="40"/>
        <v>2303.27</v>
      </c>
      <c r="P202" s="118"/>
    </row>
    <row r="203" spans="1:16" ht="14.25" customHeight="1">
      <c r="A203" s="1" t="s">
        <v>874</v>
      </c>
      <c r="B203" s="117" t="s">
        <v>322</v>
      </c>
      <c r="C203" s="5">
        <f t="shared" si="35"/>
        <v>59.598082900000001</v>
      </c>
      <c r="D203" s="6">
        <f>+IFERROR(IFERROR(VLOOKUP($A203,[4]IMF_fdi_credit_debitinc!$A:$C,3,0),VLOOKUP($B203,[4]IMF_fdi_credit_debitinc!$A:$C,3,0)),0)/1000000</f>
        <v>59.598082900000001</v>
      </c>
      <c r="E203" s="6">
        <f>+IFERROR(VLOOKUP(A203,[4]OECD_COUNTERDO_INCOME!A:B,2,0),0)</f>
        <v>0</v>
      </c>
      <c r="F203" s="6">
        <f t="shared" si="39"/>
        <v>59.598082900000001</v>
      </c>
      <c r="G203" s="7"/>
      <c r="H203" s="6"/>
      <c r="I203" s="6"/>
      <c r="J203" s="6"/>
      <c r="K203" s="6"/>
      <c r="L203" s="5">
        <f t="shared" si="38"/>
        <v>0</v>
      </c>
      <c r="M203" s="6">
        <f>+IFERROR(IFERROR(VLOOKUP($A203,[4]IMF_fdi_credit_debitinc!$A:$C,2,0),VLOOKUP($B203,[4]IMF_fdi_credit_debitinc!$A:$C,2,0)),0)/1000000</f>
        <v>0</v>
      </c>
      <c r="N203" s="6">
        <f>+IFERROR(VLOOKUP(A203,[4]OECD_COUNTERDI_INCOME!A:B,2,0),0)</f>
        <v>0</v>
      </c>
      <c r="O203" s="6">
        <f t="shared" si="40"/>
        <v>0</v>
      </c>
      <c r="P203" s="118"/>
    </row>
    <row r="204" spans="1:16" ht="14.25" customHeight="1">
      <c r="A204" s="1" t="s">
        <v>875</v>
      </c>
      <c r="B204" s="117" t="s">
        <v>323</v>
      </c>
      <c r="C204" s="5">
        <f t="shared" si="35"/>
        <v>0</v>
      </c>
      <c r="D204" s="6">
        <f>+IFERROR(IFERROR(VLOOKUP($A204,[4]IMF_fdi_credit_debitinc!$A:$C,3,0),VLOOKUP($B204,[4]IMF_fdi_credit_debitinc!$A:$C,3,0)),0)/1000000</f>
        <v>0</v>
      </c>
      <c r="E204" s="6">
        <f>+IFERROR(VLOOKUP(A204,[4]OECD_COUNTERDO_INCOME!A:B,2,0),0)</f>
        <v>14.779</v>
      </c>
      <c r="F204" s="6">
        <f t="shared" si="39"/>
        <v>-14.779</v>
      </c>
      <c r="G204" s="7"/>
      <c r="H204" s="6"/>
      <c r="I204" s="6"/>
      <c r="J204" s="6"/>
      <c r="K204" s="6"/>
      <c r="L204" s="5">
        <f t="shared" si="38"/>
        <v>0</v>
      </c>
      <c r="M204" s="6">
        <f>+IFERROR(IFERROR(VLOOKUP($A204,[4]IMF_fdi_credit_debitinc!$A:$C,2,0),VLOOKUP($B204,[4]IMF_fdi_credit_debitinc!$A:$C,2,0)),0)/1000000</f>
        <v>0</v>
      </c>
      <c r="N204" s="6">
        <f>+IFERROR(VLOOKUP(A204,[4]OECD_COUNTERDI_INCOME!A:B,2,0),0)</f>
        <v>1.708</v>
      </c>
      <c r="O204" s="6">
        <f t="shared" si="40"/>
        <v>-1.708</v>
      </c>
      <c r="P204" s="118"/>
    </row>
    <row r="205" spans="1:16" ht="14.25" customHeight="1">
      <c r="A205" s="1" t="s">
        <v>876</v>
      </c>
      <c r="B205" s="117" t="s">
        <v>324</v>
      </c>
      <c r="C205" s="5">
        <f t="shared" si="35"/>
        <v>0</v>
      </c>
      <c r="D205" s="6">
        <f>+IFERROR(IFERROR(VLOOKUP($A205,[4]IMF_fdi_credit_debitinc!$A:$C,3,0),VLOOKUP($B205,[4]IMF_fdi_credit_debitinc!$A:$C,3,0)),0)/1000000</f>
        <v>0</v>
      </c>
      <c r="E205" s="6">
        <f>+IFERROR(VLOOKUP(A205,[4]OECD_COUNTERDO_INCOME!A:B,2,0),0)</f>
        <v>0</v>
      </c>
      <c r="F205" s="6">
        <f t="shared" si="39"/>
        <v>0</v>
      </c>
      <c r="G205" s="7"/>
      <c r="H205" s="6"/>
      <c r="I205" s="6"/>
      <c r="J205" s="6"/>
      <c r="K205" s="6"/>
      <c r="L205" s="5">
        <f t="shared" si="38"/>
        <v>0</v>
      </c>
      <c r="M205" s="6">
        <f>+IFERROR(IFERROR(VLOOKUP($A205,[4]IMF_fdi_credit_debitinc!$A:$C,2,0),VLOOKUP($B205,[4]IMF_fdi_credit_debitinc!$A:$C,2,0)),0)/1000000</f>
        <v>0</v>
      </c>
      <c r="N205" s="6">
        <f>+IFERROR(VLOOKUP(A205,[4]OECD_COUNTERDI_INCOME!A:B,2,0),0)</f>
        <v>0</v>
      </c>
      <c r="O205" s="6">
        <f t="shared" si="40"/>
        <v>0</v>
      </c>
      <c r="P205" s="118"/>
    </row>
    <row r="206" spans="1:16" ht="14.25" customHeight="1">
      <c r="A206" s="1" t="s">
        <v>877</v>
      </c>
      <c r="B206" s="117" t="s">
        <v>325</v>
      </c>
      <c r="C206" s="5">
        <f t="shared" si="35"/>
        <v>0</v>
      </c>
      <c r="D206" s="6">
        <f>+IFERROR(IFERROR(VLOOKUP($A206,[4]IMF_fdi_credit_debitinc!$A:$C,3,0),VLOOKUP($B206,[4]IMF_fdi_credit_debitinc!$A:$C,3,0)),0)/1000000</f>
        <v>0</v>
      </c>
      <c r="E206" s="6">
        <f>+IFERROR(VLOOKUP(A206,[4]OECD_COUNTERDO_INCOME!A:B,2,0),0)</f>
        <v>112.627</v>
      </c>
      <c r="F206" s="6">
        <f t="shared" si="39"/>
        <v>-112.627</v>
      </c>
      <c r="G206" s="7"/>
      <c r="H206" s="6"/>
      <c r="I206" s="6"/>
      <c r="J206" s="6"/>
      <c r="K206" s="6"/>
      <c r="L206" s="5">
        <f t="shared" si="38"/>
        <v>0</v>
      </c>
      <c r="M206" s="6">
        <f>+IFERROR(IFERROR(VLOOKUP($A206,[4]IMF_fdi_credit_debitinc!$A:$C,2,0),VLOOKUP($B206,[4]IMF_fdi_credit_debitinc!$A:$C,2,0)),0)/1000000</f>
        <v>0</v>
      </c>
      <c r="N206" s="6">
        <f>+IFERROR(VLOOKUP(A206,[4]OECD_COUNTERDI_INCOME!A:B,2,0),0)</f>
        <v>-7.17</v>
      </c>
      <c r="O206" s="6">
        <f t="shared" si="40"/>
        <v>7.17</v>
      </c>
      <c r="P206" s="118"/>
    </row>
    <row r="207" spans="1:16" ht="14.25" customHeight="1">
      <c r="A207" s="1" t="s">
        <v>878</v>
      </c>
      <c r="B207" s="117" t="s">
        <v>326</v>
      </c>
      <c r="C207" s="5">
        <f t="shared" si="35"/>
        <v>0</v>
      </c>
      <c r="D207" s="6">
        <f>+IFERROR(IFERROR(VLOOKUP($A207,[4]IMF_fdi_credit_debitinc!$A:$C,3,0),VLOOKUP($B207,[4]IMF_fdi_credit_debitinc!$A:$C,3,0)),0)/1000000</f>
        <v>0</v>
      </c>
      <c r="E207" s="6">
        <f>+IFERROR(VLOOKUP(A207,[4]OECD_COUNTERDO_INCOME!A:B,2,0),0)</f>
        <v>208.60499999999999</v>
      </c>
      <c r="F207" s="6">
        <f t="shared" si="39"/>
        <v>-208.60499999999999</v>
      </c>
      <c r="G207" s="7"/>
      <c r="H207" s="6"/>
      <c r="I207" s="6"/>
      <c r="J207" s="6"/>
      <c r="K207" s="6"/>
      <c r="L207" s="5">
        <f t="shared" si="38"/>
        <v>0</v>
      </c>
      <c r="M207" s="6">
        <f>+IFERROR(IFERROR(VLOOKUP($A207,[4]IMF_fdi_credit_debitinc!$A:$C,2,0),VLOOKUP($B207,[4]IMF_fdi_credit_debitinc!$A:$C,2,0)),0)/1000000</f>
        <v>0</v>
      </c>
      <c r="N207" s="6">
        <f>+IFERROR(VLOOKUP(A207,[4]OECD_COUNTERDI_INCOME!A:B,2,0),0)</f>
        <v>-9.4809999999999999</v>
      </c>
      <c r="O207" s="6">
        <f t="shared" si="40"/>
        <v>9.4809999999999999</v>
      </c>
      <c r="P207" s="118"/>
    </row>
    <row r="208" spans="1:16" ht="14.25" customHeight="1">
      <c r="B208" s="117" t="s">
        <v>327</v>
      </c>
      <c r="C208" s="5">
        <f t="shared" si="35"/>
        <v>0</v>
      </c>
      <c r="D208" s="6">
        <f>+IFERROR(IFERROR(VLOOKUP($A208,[4]IMF_fdi_credit_debitinc!$A:$C,3,0),VLOOKUP($B208,[4]IMF_fdi_credit_debitinc!$A:$C,3,0)),0)/1000000</f>
        <v>0</v>
      </c>
      <c r="E208" s="6">
        <f>+IFERROR(VLOOKUP(A208,[4]OECD_COUNTERDO_INCOME!A:B,2,0),0)</f>
        <v>0</v>
      </c>
      <c r="F208" s="6">
        <f t="shared" si="39"/>
        <v>0</v>
      </c>
      <c r="G208" s="7"/>
      <c r="H208" s="6"/>
      <c r="I208" s="6"/>
      <c r="J208" s="6"/>
      <c r="K208" s="6"/>
      <c r="L208" s="5">
        <f t="shared" si="38"/>
        <v>0</v>
      </c>
      <c r="M208" s="6">
        <f>+IFERROR(IFERROR(VLOOKUP($A208,[4]IMF_fdi_credit_debitinc!$A:$C,2,0),VLOOKUP($B208,[4]IMF_fdi_credit_debitinc!$A:$C,2,0)),0)/1000000</f>
        <v>0</v>
      </c>
      <c r="N208" s="6">
        <f>+IFERROR(VLOOKUP(A208,[4]OECD_COUNTERDI_INCOME!A:B,2,0),0)</f>
        <v>0</v>
      </c>
      <c r="O208" s="6">
        <f t="shared" si="40"/>
        <v>0</v>
      </c>
      <c r="P208" s="118"/>
    </row>
    <row r="209" spans="1:16" ht="14.25" customHeight="1">
      <c r="A209" s="1" t="s">
        <v>879</v>
      </c>
      <c r="B209" s="117" t="s">
        <v>328</v>
      </c>
      <c r="C209" s="5">
        <f t="shared" si="35"/>
        <v>354.161</v>
      </c>
      <c r="D209" s="6">
        <f>+IFERROR(IFERROR(VLOOKUP($A209,[4]IMF_fdi_credit_debitinc!$A:$C,3,0),VLOOKUP($B209,[4]IMF_fdi_credit_debitinc!$A:$C,3,0)),0)/1000000</f>
        <v>354.161</v>
      </c>
      <c r="E209" s="6">
        <f>+IFERROR(VLOOKUP(A209,[4]OECD_COUNTERDO_INCOME!A:B,2,0),0)</f>
        <v>8.7189999999999994</v>
      </c>
      <c r="F209" s="6">
        <f t="shared" si="39"/>
        <v>345.44200000000001</v>
      </c>
      <c r="G209" s="7"/>
      <c r="H209" s="6"/>
      <c r="I209" s="6"/>
      <c r="J209" s="6"/>
      <c r="K209" s="6"/>
      <c r="L209" s="5">
        <f t="shared" si="38"/>
        <v>0.34315212007000001</v>
      </c>
      <c r="M209" s="6">
        <f>+IFERROR(IFERROR(VLOOKUP($A209,[4]IMF_fdi_credit_debitinc!$A:$C,2,0),VLOOKUP($B209,[4]IMF_fdi_credit_debitinc!$A:$C,2,0)),0)/1000000</f>
        <v>0.34315212007000001</v>
      </c>
      <c r="N209" s="6">
        <f>+IFERROR(VLOOKUP(A209,[4]OECD_COUNTERDI_INCOME!A:B,2,0),0)</f>
        <v>7.8460000000000001</v>
      </c>
      <c r="O209" s="6">
        <f t="shared" si="40"/>
        <v>-7.50284787993</v>
      </c>
      <c r="P209" s="118"/>
    </row>
    <row r="210" spans="1:16" ht="14.25" customHeight="1">
      <c r="A210" s="1" t="s">
        <v>880</v>
      </c>
      <c r="B210" s="117" t="s">
        <v>329</v>
      </c>
      <c r="C210" s="5">
        <f t="shared" si="35"/>
        <v>3877</v>
      </c>
      <c r="D210" s="6">
        <f>+IFERROR(IFERROR(VLOOKUP($A210,[4]IMF_fdi_credit_debitinc!$A:$C,3,0),VLOOKUP($B210,[4]IMF_fdi_credit_debitinc!$A:$C,3,0)),0)/1000000</f>
        <v>3877</v>
      </c>
      <c r="E210" s="6">
        <f>+IFERROR(VLOOKUP(A210,[4]OECD_COUNTERDO_INCOME!A:B,2,0),0)</f>
        <v>2554.6289999999999</v>
      </c>
      <c r="F210" s="6">
        <f t="shared" si="39"/>
        <v>1322.3710000000001</v>
      </c>
      <c r="G210" s="7"/>
      <c r="H210" s="6"/>
      <c r="I210" s="6"/>
      <c r="J210" s="6"/>
      <c r="K210" s="6"/>
      <c r="L210" s="5">
        <f t="shared" si="38"/>
        <v>94</v>
      </c>
      <c r="M210" s="6">
        <f>+IFERROR(IFERROR(VLOOKUP($A210,[4]IMF_fdi_credit_debitinc!$A:$C,2,0),VLOOKUP($B210,[4]IMF_fdi_credit_debitinc!$A:$C,2,0)),0)/1000000</f>
        <v>94</v>
      </c>
      <c r="N210" s="6">
        <f>+IFERROR(VLOOKUP(A210,[4]OECD_COUNTERDI_INCOME!A:B,2,0),0)</f>
        <v>-99.207999999999998</v>
      </c>
      <c r="O210" s="6">
        <f t="shared" si="40"/>
        <v>193.208</v>
      </c>
      <c r="P210" s="118"/>
    </row>
    <row r="211" spans="1:16" ht="14.25" customHeight="1">
      <c r="A211" s="1" t="s">
        <v>881</v>
      </c>
      <c r="B211" s="117" t="s">
        <v>84</v>
      </c>
      <c r="C211" s="5">
        <f t="shared" si="35"/>
        <v>3662.72</v>
      </c>
      <c r="D211" s="6">
        <f>+IFERROR(IFERROR(VLOOKUP($A211,[4]IMF_fdi_credit_debitinc!$A:$C,3,0),VLOOKUP($B211,[4]IMF_fdi_credit_debitinc!$A:$C,3,0)),0)/1000000</f>
        <v>3662.72</v>
      </c>
      <c r="E211" s="6">
        <f>+IFERROR(VLOOKUP(A211,[4]OECD_COUNTERDO_INCOME!A:B,2,0),0)</f>
        <v>1516.8689999999999</v>
      </c>
      <c r="F211" s="6">
        <f t="shared" si="39"/>
        <v>2145.8509999999997</v>
      </c>
      <c r="G211" s="7"/>
      <c r="H211" s="6"/>
      <c r="I211" s="6"/>
      <c r="J211" s="6"/>
      <c r="K211" s="6"/>
      <c r="L211" s="5">
        <f t="shared" si="38"/>
        <v>1008.58</v>
      </c>
      <c r="M211" s="6">
        <f>+IFERROR(IFERROR(VLOOKUP($A211,[4]IMF_fdi_credit_debitinc!$A:$C,2,0),VLOOKUP($B211,[4]IMF_fdi_credit_debitinc!$A:$C,2,0)),0)/1000000</f>
        <v>1008.58</v>
      </c>
      <c r="N211" s="6">
        <f>+IFERROR(VLOOKUP(A211,[4]OECD_COUNTERDI_INCOME!A:B,2,0),0)</f>
        <v>905.67899999999997</v>
      </c>
      <c r="O211" s="6">
        <f t="shared" si="40"/>
        <v>102.90100000000007</v>
      </c>
      <c r="P211" s="118"/>
    </row>
    <row r="212" spans="1:16" ht="14.25" customHeight="1">
      <c r="A212" s="1" t="s">
        <v>882</v>
      </c>
      <c r="B212" s="117" t="s">
        <v>330</v>
      </c>
      <c r="C212" s="5">
        <f t="shared" si="35"/>
        <v>0</v>
      </c>
      <c r="D212" s="6">
        <f>+IFERROR(IFERROR(VLOOKUP($A212,[4]IMF_fdi_credit_debitinc!$A:$C,3,0),VLOOKUP($B212,[4]IMF_fdi_credit_debitinc!$A:$C,3,0)),0)/1000000</f>
        <v>0</v>
      </c>
      <c r="E212" s="6">
        <f>+IFERROR(VLOOKUP(A212,[4]OECD_COUNTERDO_INCOME!A:B,2,0),0)</f>
        <v>0.79300000000000004</v>
      </c>
      <c r="F212" s="6">
        <f t="shared" si="39"/>
        <v>-0.79300000000000004</v>
      </c>
      <c r="G212" s="7"/>
      <c r="H212" s="6"/>
      <c r="I212" s="6"/>
      <c r="J212" s="6"/>
      <c r="K212" s="6"/>
      <c r="L212" s="5">
        <f t="shared" si="38"/>
        <v>0</v>
      </c>
      <c r="M212" s="6">
        <f>+IFERROR(IFERROR(VLOOKUP($A212,[4]IMF_fdi_credit_debitinc!$A:$C,2,0),VLOOKUP($B212,[4]IMF_fdi_credit_debitinc!$A:$C,2,0)),0)/1000000</f>
        <v>0</v>
      </c>
      <c r="N212" s="6">
        <f>+IFERROR(VLOOKUP(A212,[4]OECD_COUNTERDI_INCOME!A:B,2,0),0)</f>
        <v>0</v>
      </c>
      <c r="O212" s="6">
        <f t="shared" si="40"/>
        <v>0</v>
      </c>
      <c r="P212" s="118"/>
    </row>
    <row r="213" spans="1:16" ht="14.25" customHeight="1">
      <c r="A213" s="1" t="s">
        <v>883</v>
      </c>
      <c r="B213" s="117" t="s">
        <v>85</v>
      </c>
      <c r="C213" s="5">
        <f t="shared" si="35"/>
        <v>0</v>
      </c>
      <c r="D213" s="6">
        <f>+IFERROR(IFERROR(VLOOKUP($A213,[4]IMF_fdi_credit_debitinc!$A:$C,3,0),VLOOKUP($B213,[4]IMF_fdi_credit_debitinc!$A:$C,3,0)),0)/1000000</f>
        <v>0</v>
      </c>
      <c r="E213" s="6">
        <f>+IFERROR(VLOOKUP(A213,[4]OECD_COUNTERDO_INCOME!A:B,2,0),0)</f>
        <v>793.37099999999998</v>
      </c>
      <c r="F213" s="6">
        <f t="shared" si="39"/>
        <v>-793.37099999999998</v>
      </c>
      <c r="G213" s="7"/>
      <c r="H213" s="6"/>
      <c r="I213" s="6"/>
      <c r="J213" s="6"/>
      <c r="K213" s="6"/>
      <c r="L213" s="5">
        <f t="shared" si="38"/>
        <v>0</v>
      </c>
      <c r="M213" s="6">
        <f>+IFERROR(IFERROR(VLOOKUP($A213,[4]IMF_fdi_credit_debitinc!$A:$C,2,0),VLOOKUP($B213,[4]IMF_fdi_credit_debitinc!$A:$C,2,0)),0)/1000000</f>
        <v>0</v>
      </c>
      <c r="N213" s="6">
        <f>+IFERROR(VLOOKUP(A213,[4]OECD_COUNTERDI_INCOME!A:B,2,0),0)</f>
        <v>-0.52</v>
      </c>
      <c r="O213" s="6">
        <f t="shared" si="40"/>
        <v>0.52</v>
      </c>
      <c r="P213" s="118"/>
    </row>
    <row r="214" spans="1:16" ht="14.25" customHeight="1">
      <c r="A214" s="1" t="s">
        <v>884</v>
      </c>
      <c r="B214" s="117" t="s">
        <v>331</v>
      </c>
      <c r="C214" s="5">
        <f t="shared" si="35"/>
        <v>0</v>
      </c>
      <c r="D214" s="6">
        <f>+IFERROR(IFERROR(VLOOKUP($A214,[4]IMF_fdi_credit_debitinc!$A:$C,3,0),VLOOKUP($B214,[4]IMF_fdi_credit_debitinc!$A:$C,3,0)),0)/1000000</f>
        <v>0</v>
      </c>
      <c r="E214" s="6">
        <f>+IFERROR(VLOOKUP(A214,[4]OECD_COUNTERDO_INCOME!A:B,2,0),0)</f>
        <v>3211.8130000000001</v>
      </c>
      <c r="F214" s="6">
        <f t="shared" si="39"/>
        <v>-3211.8130000000001</v>
      </c>
      <c r="G214" s="7"/>
      <c r="H214" s="6"/>
      <c r="I214" s="6"/>
      <c r="J214" s="6"/>
      <c r="K214" s="6"/>
      <c r="L214" s="5">
        <f t="shared" si="38"/>
        <v>0</v>
      </c>
      <c r="M214" s="6">
        <f>+IFERROR(IFERROR(VLOOKUP($A214,[4]IMF_fdi_credit_debitinc!$A:$C,2,0),VLOOKUP($B214,[4]IMF_fdi_credit_debitinc!$A:$C,2,0)),0)/1000000</f>
        <v>0</v>
      </c>
      <c r="N214" s="6">
        <f>+IFERROR(VLOOKUP(A214,[4]OECD_COUNTERDI_INCOME!A:B,2,0),0)</f>
        <v>-45.075000000000003</v>
      </c>
      <c r="O214" s="6">
        <f t="shared" si="40"/>
        <v>45.075000000000003</v>
      </c>
      <c r="P214" s="118"/>
    </row>
    <row r="215" spans="1:16" ht="14.25" customHeight="1">
      <c r="B215" s="117" t="s">
        <v>332</v>
      </c>
      <c r="C215" s="5">
        <f t="shared" si="35"/>
        <v>0</v>
      </c>
      <c r="D215" s="6">
        <f>+IFERROR(IFERROR(VLOOKUP($A215,[4]IMF_fdi_credit_debitinc!$A:$C,3,0),VLOOKUP($B215,[4]IMF_fdi_credit_debitinc!$A:$C,3,0)),0)/1000000</f>
        <v>0</v>
      </c>
      <c r="E215" s="6">
        <f>+IFERROR(VLOOKUP(A215,[4]OECD_COUNTERDO_INCOME!A:B,2,0),0)</f>
        <v>0</v>
      </c>
      <c r="F215" s="6">
        <f t="shared" si="39"/>
        <v>0</v>
      </c>
      <c r="G215" s="7"/>
      <c r="H215" s="6"/>
      <c r="I215" s="6"/>
      <c r="J215" s="6"/>
      <c r="K215" s="6"/>
      <c r="L215" s="5">
        <f t="shared" si="38"/>
        <v>0</v>
      </c>
      <c r="M215" s="6">
        <f>+IFERROR(IFERROR(VLOOKUP($A215,[4]IMF_fdi_credit_debitinc!$A:$C,2,0),VLOOKUP($B215,[4]IMF_fdi_credit_debitinc!$A:$C,2,0)),0)/1000000</f>
        <v>0</v>
      </c>
      <c r="N215" s="6">
        <f>+IFERROR(VLOOKUP(A215,[4]OECD_COUNTERDI_INCOME!A:B,2,0),0)</f>
        <v>0</v>
      </c>
      <c r="O215" s="6">
        <f t="shared" si="40"/>
        <v>0</v>
      </c>
      <c r="P215" s="118"/>
    </row>
    <row r="216" spans="1:16" ht="14.25" customHeight="1">
      <c r="A216" s="1" t="s">
        <v>885</v>
      </c>
      <c r="B216" s="117" t="s">
        <v>333</v>
      </c>
      <c r="C216" s="5">
        <f t="shared" si="35"/>
        <v>0</v>
      </c>
      <c r="D216" s="6">
        <f>+IFERROR(IFERROR(VLOOKUP($A216,[4]IMF_fdi_credit_debitinc!$A:$C,3,0),VLOOKUP($B216,[4]IMF_fdi_credit_debitinc!$A:$C,3,0)),0)/1000000</f>
        <v>0</v>
      </c>
      <c r="E216" s="6">
        <f>+IFERROR(VLOOKUP(A216,[4]OECD_COUNTERDO_INCOME!A:B,2,0),0)</f>
        <v>1.397</v>
      </c>
      <c r="F216" s="6">
        <f t="shared" si="39"/>
        <v>-1.397</v>
      </c>
      <c r="G216" s="7"/>
      <c r="H216" s="6"/>
      <c r="I216" s="6"/>
      <c r="J216" s="6"/>
      <c r="K216" s="6"/>
      <c r="L216" s="5">
        <f t="shared" si="38"/>
        <v>0</v>
      </c>
      <c r="M216" s="6">
        <f>+IFERROR(IFERROR(VLOOKUP($A216,[4]IMF_fdi_credit_debitinc!$A:$C,2,0),VLOOKUP($B216,[4]IMF_fdi_credit_debitinc!$A:$C,2,0)),0)/1000000</f>
        <v>0</v>
      </c>
      <c r="N216" s="6">
        <f>+IFERROR(VLOOKUP(A216,[4]OECD_COUNTERDI_INCOME!A:B,2,0),0)</f>
        <v>0.216</v>
      </c>
      <c r="O216" s="6">
        <f t="shared" si="40"/>
        <v>-0.216</v>
      </c>
      <c r="P216" s="118"/>
    </row>
    <row r="217" spans="1:16" ht="14.25" customHeight="1">
      <c r="A217" s="1" t="s">
        <v>886</v>
      </c>
      <c r="B217" s="117" t="s">
        <v>334</v>
      </c>
      <c r="C217" s="5">
        <f t="shared" si="35"/>
        <v>-372.72</v>
      </c>
      <c r="D217" s="6">
        <f>+IFERROR(IFERROR(VLOOKUP($A217,[4]IMF_fdi_credit_debitinc!$A:$C,3,0),VLOOKUP($B217,[4]IMF_fdi_credit_debitinc!$A:$C,3,0)),0)/1000000</f>
        <v>-372.72</v>
      </c>
      <c r="E217" s="6">
        <f>+IFERROR(VLOOKUP(A217,[4]OECD_COUNTERDO_INCOME!A:B,2,0),0)</f>
        <v>2.5089999999999999</v>
      </c>
      <c r="F217" s="6">
        <f t="shared" si="39"/>
        <v>-375.22900000000004</v>
      </c>
      <c r="G217" s="7"/>
      <c r="H217" s="6"/>
      <c r="I217" s="6"/>
      <c r="J217" s="6"/>
      <c r="K217" s="6"/>
      <c r="L217" s="5">
        <f t="shared" si="38"/>
        <v>7.0162504583300001</v>
      </c>
      <c r="M217" s="6">
        <f>+IFERROR(IFERROR(VLOOKUP($A217,[4]IMF_fdi_credit_debitinc!$A:$C,2,0),VLOOKUP($B217,[4]IMF_fdi_credit_debitinc!$A:$C,2,0)),0)/1000000</f>
        <v>7.0162504583300001</v>
      </c>
      <c r="N217" s="6">
        <f>+IFERROR(VLOOKUP(A217,[4]OECD_COUNTERDI_INCOME!A:B,2,0),0)</f>
        <v>-1.056</v>
      </c>
      <c r="O217" s="6">
        <f t="shared" si="40"/>
        <v>8.0722504583300001</v>
      </c>
      <c r="P217" s="118"/>
    </row>
    <row r="218" spans="1:16" ht="14.25" customHeight="1">
      <c r="A218" s="1" t="s">
        <v>887</v>
      </c>
      <c r="B218" s="117" t="s">
        <v>335</v>
      </c>
      <c r="C218" s="5">
        <f t="shared" si="35"/>
        <v>0</v>
      </c>
      <c r="D218" s="6">
        <f>+IFERROR(IFERROR(VLOOKUP($A218,[4]IMF_fdi_credit_debitinc!$A:$C,3,0),VLOOKUP($B218,[4]IMF_fdi_credit_debitinc!$A:$C,3,0)),0)/1000000</f>
        <v>0</v>
      </c>
      <c r="E218" s="6">
        <f>+IFERROR(VLOOKUP(A218,[4]OECD_COUNTERDO_INCOME!A:B,2,0),0)</f>
        <v>-44.954000000000001</v>
      </c>
      <c r="F218" s="6">
        <f t="shared" si="39"/>
        <v>44.954000000000001</v>
      </c>
      <c r="G218" s="7"/>
      <c r="H218" s="6"/>
      <c r="I218" s="6"/>
      <c r="J218" s="6"/>
      <c r="K218" s="6"/>
      <c r="L218" s="5">
        <f>+M218</f>
        <v>0</v>
      </c>
      <c r="M218" s="6">
        <f>+IFERROR(IFERROR(VLOOKUP($A218,[4]IMF_fdi_credit_debitinc!$A:$C,2,0),VLOOKUP($B218,[4]IMF_fdi_credit_debitinc!$A:$C,2,0)),0)/1000000</f>
        <v>0</v>
      </c>
      <c r="N218" s="6">
        <f>+IFERROR(VLOOKUP(A218,[4]OECD_COUNTERDI_INCOME!A:B,2,0),0)</f>
        <v>-1.266</v>
      </c>
      <c r="O218" s="6">
        <f t="shared" si="40"/>
        <v>1.266</v>
      </c>
      <c r="P218" s="118"/>
    </row>
    <row r="219" spans="1:16" ht="14.25" customHeight="1">
      <c r="B219" s="125" t="s">
        <v>336</v>
      </c>
      <c r="C219" s="126"/>
      <c r="D219" s="127"/>
      <c r="E219" s="127"/>
      <c r="F219" s="127"/>
      <c r="G219" s="128"/>
      <c r="H219" s="127"/>
      <c r="I219" s="127"/>
      <c r="J219" s="127"/>
      <c r="K219" s="127"/>
      <c r="L219" s="126"/>
      <c r="M219" s="127"/>
      <c r="N219" s="127"/>
      <c r="O219" s="127"/>
      <c r="P219" s="129"/>
    </row>
    <row r="220" spans="1:16" ht="40" customHeight="1" thickBot="1">
      <c r="B220" s="130" t="s">
        <v>8</v>
      </c>
      <c r="C220" s="131">
        <f>C90+C53+C45+C9</f>
        <v>2035222.6563266041</v>
      </c>
      <c r="D220" s="132">
        <f>D90+D53+D45+D9</f>
        <v>2054269.8134693548</v>
      </c>
      <c r="E220" s="132">
        <f>E90+E53+E45+E9</f>
        <v>1553258.7359999998</v>
      </c>
      <c r="F220" s="132">
        <f t="shared" ref="F220:P220" si="41">F90+F53+F45+F9</f>
        <v>444280.96757363307</v>
      </c>
      <c r="G220" s="133">
        <f t="shared" si="41"/>
        <v>257481.27588614012</v>
      </c>
      <c r="H220" s="132">
        <f t="shared" si="41"/>
        <v>115602.05833641608</v>
      </c>
      <c r="I220" s="132">
        <f t="shared" si="41"/>
        <v>29663.809523809527</v>
      </c>
      <c r="J220" s="132">
        <f t="shared" si="41"/>
        <v>60834.556230574606</v>
      </c>
      <c r="K220" s="132">
        <f t="shared" si="41"/>
        <v>112432.38125255443</v>
      </c>
      <c r="L220" s="131">
        <f t="shared" si="41"/>
        <v>2309537.8845728431</v>
      </c>
      <c r="M220" s="132">
        <f t="shared" si="41"/>
        <v>2303898.2112684166</v>
      </c>
      <c r="N220" s="132">
        <f t="shared" si="41"/>
        <v>1016678.3509999999</v>
      </c>
      <c r="O220" s="132">
        <f t="shared" si="41"/>
        <v>1293594.3005728433</v>
      </c>
      <c r="P220" s="134">
        <f t="shared" si="41"/>
        <v>181119.81557020752</v>
      </c>
    </row>
    <row r="222" spans="1:16">
      <c r="G222" s="744" t="s">
        <v>947</v>
      </c>
      <c r="H222" s="744"/>
      <c r="I222" s="744"/>
      <c r="J222" s="744" t="s">
        <v>948</v>
      </c>
      <c r="K222" s="744" t="s">
        <v>949</v>
      </c>
    </row>
    <row r="223" spans="1:16" ht="17.5">
      <c r="B223" s="12" t="s">
        <v>915</v>
      </c>
      <c r="C223" s="15">
        <f>L220-C220</f>
        <v>274315.22824623901</v>
      </c>
      <c r="D223" s="15">
        <f>M220-D220</f>
        <v>249628.39779906184</v>
      </c>
      <c r="E223" s="15"/>
      <c r="F223" s="15"/>
      <c r="G223" s="15">
        <f>M220+P220-D220-G220</f>
        <v>173266.93748312903</v>
      </c>
      <c r="H223" s="745"/>
      <c r="I223" s="745"/>
      <c r="J223" s="15">
        <f>G223-J220</f>
        <v>112432.38125255442</v>
      </c>
      <c r="K223" s="734">
        <f>J223-K220</f>
        <v>0</v>
      </c>
      <c r="M223" s="11"/>
    </row>
    <row r="224" spans="1:16">
      <c r="B224" s="12"/>
      <c r="C224" s="12"/>
      <c r="D224" s="12"/>
      <c r="E224" s="12"/>
      <c r="F224" s="12"/>
      <c r="G224" s="12"/>
      <c r="H224" s="12"/>
      <c r="I224" s="12"/>
      <c r="J224" s="12"/>
      <c r="K224" s="12" t="s">
        <v>914</v>
      </c>
      <c r="M224" s="11"/>
    </row>
    <row r="225" spans="2:11">
      <c r="B225" s="12"/>
      <c r="C225" s="12"/>
      <c r="D225" s="12"/>
      <c r="E225" s="12"/>
      <c r="F225" s="12"/>
      <c r="G225" s="12"/>
      <c r="H225" s="12"/>
      <c r="I225" s="12"/>
      <c r="J225" s="12"/>
      <c r="K225" s="12"/>
    </row>
    <row r="226" spans="2:11" ht="17.5">
      <c r="B226" s="757" t="s">
        <v>974</v>
      </c>
      <c r="D226" s="12"/>
      <c r="E226" s="12"/>
      <c r="F226" s="12"/>
      <c r="G226" s="13"/>
      <c r="H226" s="14"/>
      <c r="I226" s="12"/>
      <c r="J226" s="12"/>
      <c r="K226" s="12"/>
    </row>
    <row r="227" spans="2:11">
      <c r="B227" s="12" t="s">
        <v>977</v>
      </c>
      <c r="C227" s="13">
        <f>'Table U1'!M8-'Table U1'!Q8</f>
        <v>1080.1285442376873</v>
      </c>
      <c r="D227" s="12"/>
      <c r="E227" s="12"/>
      <c r="F227" s="12"/>
      <c r="G227" s="16"/>
      <c r="H227" s="16"/>
      <c r="I227" s="12"/>
      <c r="J227" s="12"/>
      <c r="K227" s="12"/>
    </row>
    <row r="228" spans="2:11">
      <c r="B228" s="12" t="s">
        <v>976</v>
      </c>
      <c r="C228" s="13">
        <f>'Table U1'!M44-'Table U1'!Q44</f>
        <v>326.9378873981521</v>
      </c>
      <c r="D228" s="12"/>
      <c r="E228" s="12"/>
      <c r="F228" s="12"/>
      <c r="G228" s="12"/>
      <c r="H228" s="12"/>
      <c r="I228" s="12"/>
      <c r="J228" s="12"/>
      <c r="K228" s="12"/>
    </row>
    <row r="229" spans="2:11">
      <c r="B229" s="12" t="s">
        <v>975</v>
      </c>
      <c r="C229" s="13">
        <f>'Table U1'!M52-'Table U1'!Q52-C230</f>
        <v>335.46365337393581</v>
      </c>
      <c r="D229" s="12"/>
      <c r="E229" s="12"/>
      <c r="F229" s="12"/>
      <c r="G229" s="12"/>
      <c r="H229" s="12"/>
      <c r="I229" s="12"/>
      <c r="J229" s="12"/>
      <c r="K229" s="12"/>
    </row>
    <row r="230" spans="2:11">
      <c r="B230" s="12" t="s">
        <v>22</v>
      </c>
      <c r="C230" s="13">
        <f>'Table U1'!M82-'Table U1'!Q82</f>
        <v>91.979851437900095</v>
      </c>
    </row>
    <row r="231" spans="2:11">
      <c r="B231" s="12" t="s">
        <v>980</v>
      </c>
      <c r="C231" s="13">
        <f>'Table U1'!M89-'Table U1'!Q89</f>
        <v>116.63453881151658</v>
      </c>
    </row>
    <row r="232" spans="2:11" ht="13">
      <c r="B232" s="52" t="s">
        <v>344</v>
      </c>
      <c r="C232" s="759">
        <f>C227+C228+C229+C230+C231</f>
        <v>1951.1444752591919</v>
      </c>
    </row>
    <row r="233" spans="2:11">
      <c r="B233" s="1" t="s">
        <v>978</v>
      </c>
      <c r="C233" s="13">
        <f>'Table U1'!Q90</f>
        <v>333.04213048925544</v>
      </c>
    </row>
    <row r="234" spans="2:11" ht="13">
      <c r="B234" s="52" t="s">
        <v>979</v>
      </c>
      <c r="C234" s="758">
        <f>C232+C233</f>
        <v>2284.1866057484476</v>
      </c>
      <c r="D234" s="758">
        <f>'Table U1'!M90</f>
        <v>2284.1866057484476</v>
      </c>
    </row>
  </sheetData>
  <mergeCells count="17">
    <mergeCell ref="B2:P2"/>
    <mergeCell ref="C5:P5"/>
    <mergeCell ref="C6:F6"/>
    <mergeCell ref="G6:K6"/>
    <mergeCell ref="L6:O6"/>
    <mergeCell ref="C7:C8"/>
    <mergeCell ref="D7:D8"/>
    <mergeCell ref="E7:E8"/>
    <mergeCell ref="F7:F8"/>
    <mergeCell ref="G7:G8"/>
    <mergeCell ref="P7:P8"/>
    <mergeCell ref="J7:J8"/>
    <mergeCell ref="K7:K8"/>
    <mergeCell ref="L7:L8"/>
    <mergeCell ref="M7:M8"/>
    <mergeCell ref="N7:N8"/>
    <mergeCell ref="O7:O8"/>
  </mergeCells>
  <pageMargins left="0.7" right="0.7" top="0.75" bottom="0.75" header="0.3" footer="0.3"/>
  <pageSetup scale="47" fitToHeight="0"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9" tint="0.39997558519241921"/>
    <pageSetUpPr fitToPage="1"/>
  </sheetPr>
  <dimension ref="A1:G42"/>
  <sheetViews>
    <sheetView topLeftCell="A11" workbookViewId="0">
      <selection activeCell="B33" sqref="B33"/>
    </sheetView>
  </sheetViews>
  <sheetFormatPr defaultColWidth="8.81640625" defaultRowHeight="12.5"/>
  <cols>
    <col min="1" max="5" width="27.81640625" style="1" customWidth="1"/>
    <col min="6" max="16384" width="8.81640625" style="1"/>
  </cols>
  <sheetData>
    <row r="1" spans="1:7" ht="13" thickBot="1"/>
    <row r="2" spans="1:7" ht="60" customHeight="1">
      <c r="A2" s="882" t="s">
        <v>912</v>
      </c>
      <c r="B2" s="883"/>
      <c r="C2" s="883"/>
      <c r="D2" s="883"/>
      <c r="E2" s="884"/>
    </row>
    <row r="3" spans="1:7" ht="13" customHeight="1">
      <c r="A3" s="117"/>
      <c r="B3" s="22"/>
      <c r="C3" s="22"/>
      <c r="D3" s="22"/>
      <c r="E3" s="135"/>
    </row>
    <row r="4" spans="1:7" ht="13" customHeight="1" thickBot="1">
      <c r="A4" s="117"/>
      <c r="B4" s="3" t="s">
        <v>49</v>
      </c>
      <c r="C4" s="3" t="s">
        <v>50</v>
      </c>
      <c r="D4" s="3" t="s">
        <v>51</v>
      </c>
      <c r="E4" s="136" t="s">
        <v>54</v>
      </c>
    </row>
    <row r="5" spans="1:7" s="21" customFormat="1" ht="35.25" customHeight="1">
      <c r="A5" s="894" t="s">
        <v>338</v>
      </c>
      <c r="B5" s="895"/>
      <c r="C5" s="895"/>
      <c r="D5" s="895"/>
      <c r="E5" s="896"/>
      <c r="G5" s="21" t="s">
        <v>339</v>
      </c>
    </row>
    <row r="6" spans="1:7" ht="18" customHeight="1">
      <c r="A6" s="474"/>
      <c r="B6" s="891" t="s">
        <v>340</v>
      </c>
      <c r="C6" s="892"/>
      <c r="D6" s="892"/>
      <c r="E6" s="893"/>
      <c r="G6" s="1">
        <v>0.84</v>
      </c>
    </row>
    <row r="7" spans="1:7" ht="31">
      <c r="A7" s="436" t="s">
        <v>341</v>
      </c>
      <c r="B7" s="437" t="s">
        <v>342</v>
      </c>
      <c r="C7" s="435" t="s">
        <v>11</v>
      </c>
      <c r="D7" s="137" t="s">
        <v>31</v>
      </c>
      <c r="E7" s="138" t="s">
        <v>343</v>
      </c>
    </row>
    <row r="8" spans="1:7" ht="12" customHeight="1">
      <c r="A8" s="475" t="s">
        <v>41</v>
      </c>
      <c r="B8" s="476">
        <f>+VLOOKUP(A8,[4]Disc_EU_DI_less_DO!A:B,2,0)/1000</f>
        <v>0</v>
      </c>
      <c r="C8" s="477">
        <f>+VLOOKUP($A8,[4]Disc_EXTEU_DI_less_DO!$A:$C,3,0)/1000</f>
        <v>0.1159</v>
      </c>
      <c r="D8" s="17">
        <f>+VLOOKUP(A8,[4]Disc_EXTEU_DI_less_DO!$A:$C,2,0)/1000</f>
        <v>0</v>
      </c>
      <c r="E8" s="478">
        <f t="shared" ref="E8:E37" si="0">+SUM(B8:D8)</f>
        <v>0.1159</v>
      </c>
    </row>
    <row r="9" spans="1:7" ht="15.5">
      <c r="A9" s="139" t="s">
        <v>99</v>
      </c>
      <c r="B9" s="18">
        <f>+VLOOKUP(A9,[4]Disc_EU_DI_less_DO!A:B,2,0)/1000</f>
        <v>0</v>
      </c>
      <c r="C9" s="17">
        <f>+VLOOKUP(A9,[4]Disc_EXTEU_DI_less_DO!A:C,3,0)/1000</f>
        <v>3.0999999999999999E-3</v>
      </c>
      <c r="D9" s="17">
        <f>+VLOOKUP(A9,[4]Disc_EXTEU_DI_less_DO!A:C,2,0)/1000</f>
        <v>0</v>
      </c>
      <c r="E9" s="140">
        <f t="shared" si="0"/>
        <v>3.0999999999999999E-3</v>
      </c>
    </row>
    <row r="10" spans="1:7" ht="15.5">
      <c r="A10" s="139" t="s">
        <v>96</v>
      </c>
      <c r="B10" s="18">
        <f>+VLOOKUP(A10,[4]Disc_EU_DI_less_DO!A:B,2,0)/1000</f>
        <v>0</v>
      </c>
      <c r="C10" s="17">
        <f>+VLOOKUP(A10,[4]Disc_EXTEU_DI_less_DO!A:C,3,0)/1000</f>
        <v>-8.9999999999999998E-4</v>
      </c>
      <c r="D10" s="17">
        <f>+VLOOKUP(A10,[4]Disc_EXTEU_DI_less_DO!A:C,2,0)/1000</f>
        <v>0</v>
      </c>
      <c r="E10" s="140">
        <f t="shared" si="0"/>
        <v>-8.9999999999999998E-4</v>
      </c>
    </row>
    <row r="11" spans="1:7" ht="15.5">
      <c r="A11" s="139" t="s">
        <v>240</v>
      </c>
      <c r="B11" s="18">
        <f>+VLOOKUP(A11,[4]Disc_EU_DI_less_DO!A:B,2,0)/1000</f>
        <v>0</v>
      </c>
      <c r="C11" s="17">
        <f>+VLOOKUP(A11,[4]Disc_EXTEU_DI_less_DO!A:C,3,0)/1000</f>
        <v>2.5499999999999998E-2</v>
      </c>
      <c r="D11" s="17">
        <f>+VLOOKUP(A11,[4]Disc_EXTEU_DI_less_DO!A:C,2,0)/1000</f>
        <v>0</v>
      </c>
      <c r="E11" s="140">
        <f t="shared" si="0"/>
        <v>2.5499999999999998E-2</v>
      </c>
    </row>
    <row r="12" spans="1:7" ht="15.5">
      <c r="A12" s="139" t="s">
        <v>94</v>
      </c>
      <c r="B12" s="18">
        <f>+VLOOKUP(A12,[4]Disc_EU_DI_less_DO!A:B,2,0)/1000</f>
        <v>-1.0196000000000001</v>
      </c>
      <c r="C12" s="17">
        <f>+VLOOKUP(A12,[4]Disc_EXTEU_DI_less_DO!A:C,3,0)/1000</f>
        <v>3.3100000000000004E-2</v>
      </c>
      <c r="D12" s="17">
        <f>+VLOOKUP(A12,[4]Disc_EXTEU_DI_less_DO!A:C,2,0)/1000</f>
        <v>0</v>
      </c>
      <c r="E12" s="140">
        <f t="shared" si="0"/>
        <v>-0.98650000000000004</v>
      </c>
    </row>
    <row r="13" spans="1:7" ht="15.5">
      <c r="A13" s="139" t="s">
        <v>30</v>
      </c>
      <c r="B13" s="18">
        <f>+VLOOKUP(A13,[4]Disc_EU_DI_less_DO!A:B,2,0)/1000</f>
        <v>0</v>
      </c>
      <c r="C13" s="17">
        <f>+VLOOKUP(A13,[4]Disc_EXTEU_DI_less_DO!A:C,3,0)/1000</f>
        <v>2.3815999999999997</v>
      </c>
      <c r="D13" s="17">
        <f>+VLOOKUP(A13,[4]Disc_EXTEU_DI_less_DO!A:C,2,0)/1000</f>
        <v>-0.28339999999999999</v>
      </c>
      <c r="E13" s="140">
        <f t="shared" si="0"/>
        <v>2.0981999999999998</v>
      </c>
    </row>
    <row r="14" spans="1:7" ht="15.5">
      <c r="A14" s="139" t="s">
        <v>224</v>
      </c>
      <c r="B14" s="18">
        <f>+VLOOKUP(A14,[4]Disc_EU_DI_less_DO!A:B,2,0)/1000</f>
        <v>-0.1993</v>
      </c>
      <c r="C14" s="17">
        <f>+VLOOKUP(A14,[4]Disc_EXTEU_DI_less_DO!A:C,3,0)/1000</f>
        <v>-2.1000000000000001E-2</v>
      </c>
      <c r="D14" s="17">
        <f>+VLOOKUP(A14,[4]Disc_EXTEU_DI_less_DO!A:C,2,0)/1000</f>
        <v>0</v>
      </c>
      <c r="E14" s="140">
        <f t="shared" si="0"/>
        <v>-0.2203</v>
      </c>
    </row>
    <row r="15" spans="1:7" ht="15.5">
      <c r="A15" s="139" t="s">
        <v>93</v>
      </c>
      <c r="B15" s="18">
        <f>+VLOOKUP(A15,[4]Disc_EU_DI_less_DO!A:B,2,0)/1000</f>
        <v>0</v>
      </c>
      <c r="C15" s="17">
        <f>+VLOOKUP(A15,[4]Disc_EXTEU_DI_less_DO!A:C,3,0)/1000</f>
        <v>-3.8E-3</v>
      </c>
      <c r="D15" s="17">
        <f>+VLOOKUP(A15,[4]Disc_EXTEU_DI_less_DO!A:C,2,0)/1000</f>
        <v>0</v>
      </c>
      <c r="E15" s="140">
        <f t="shared" si="0"/>
        <v>-3.8E-3</v>
      </c>
    </row>
    <row r="16" spans="1:7" ht="15.5">
      <c r="A16" s="139" t="s">
        <v>42</v>
      </c>
      <c r="B16" s="18">
        <f>+VLOOKUP(A16,[4]Disc_EU_DI_less_DO!A:B,2,0)/1000</f>
        <v>0</v>
      </c>
      <c r="C16" s="17">
        <f>+VLOOKUP(A16,[4]Disc_EXTEU_DI_less_DO!A:C,3,0)/1000</f>
        <v>-8.8099999999999998E-2</v>
      </c>
      <c r="D16" s="17">
        <f>+VLOOKUP(A16,[4]Disc_EXTEU_DI_less_DO!A:C,2,0)/1000</f>
        <v>0</v>
      </c>
      <c r="E16" s="140">
        <f t="shared" si="0"/>
        <v>-8.8099999999999998E-2</v>
      </c>
    </row>
    <row r="17" spans="1:5" ht="15.5">
      <c r="A17" s="139" t="s">
        <v>276</v>
      </c>
      <c r="B17" s="18">
        <f>+VLOOKUP(A17,[4]Disc_EU_DI_less_DO!A:B,2,0)/1000</f>
        <v>0</v>
      </c>
      <c r="C17" s="17">
        <f>+VLOOKUP(A17,[4]Disc_EXTEU_DI_less_DO!A:C,3,0)/1000</f>
        <v>-2.87E-2</v>
      </c>
      <c r="D17" s="17">
        <f>+VLOOKUP(A17,[4]Disc_EXTEU_DI_less_DO!A:C,2,0)/1000</f>
        <v>0</v>
      </c>
      <c r="E17" s="140">
        <f t="shared" si="0"/>
        <v>-2.87E-2</v>
      </c>
    </row>
    <row r="18" spans="1:5" ht="15.5">
      <c r="A18" s="139" t="s">
        <v>40</v>
      </c>
      <c r="B18" s="18">
        <f>+VLOOKUP(A18,[4]Disc_EU_DI_less_DO!A:B,2,0)/1000</f>
        <v>0</v>
      </c>
      <c r="C18" s="17">
        <f>+VLOOKUP(A18,[4]Disc_EXTEU_DI_less_DO!A:C,3,0)/1000</f>
        <v>0</v>
      </c>
      <c r="D18" s="17">
        <f>+VLOOKUP(A18,[4]Disc_EXTEU_DI_less_DO!A:C,2,0)/1000</f>
        <v>0</v>
      </c>
      <c r="E18" s="140">
        <f t="shared" si="0"/>
        <v>0</v>
      </c>
    </row>
    <row r="19" spans="1:5" ht="15.5">
      <c r="A19" s="139" t="s">
        <v>87</v>
      </c>
      <c r="B19" s="18">
        <f>+VLOOKUP(A19,[4]Disc_EU_DI_less_DO!A:B,2,0)/1000</f>
        <v>0</v>
      </c>
      <c r="C19" s="17">
        <f>+VLOOKUP(A19,[4]Disc_EXTEU_DI_less_DO!A:C,3,0)/1000</f>
        <v>0</v>
      </c>
      <c r="D19" s="17">
        <f>+VLOOKUP(A19,[4]Disc_EXTEU_DI_less_DO!A:C,2,0)/1000</f>
        <v>0</v>
      </c>
      <c r="E19" s="140">
        <f t="shared" si="0"/>
        <v>0</v>
      </c>
    </row>
    <row r="20" spans="1:5" ht="15.5">
      <c r="A20" s="139" t="s">
        <v>305</v>
      </c>
      <c r="B20" s="18">
        <f>+VLOOKUP(A20,[4]Disc_EU_DI_less_DO!A:B,2,0)/1000</f>
        <v>0</v>
      </c>
      <c r="C20" s="17">
        <f>+VLOOKUP(A20,[4]Disc_EXTEU_DI_less_DO!A:C,3,0)/1000</f>
        <v>0.40350000000000003</v>
      </c>
      <c r="D20" s="17">
        <f>+VLOOKUP(A20,[4]Disc_EXTEU_DI_less_DO!A:C,2,0)/1000</f>
        <v>0</v>
      </c>
      <c r="E20" s="140">
        <f t="shared" si="0"/>
        <v>0.40350000000000003</v>
      </c>
    </row>
    <row r="21" spans="1:5" ht="15.5">
      <c r="A21" s="139" t="s">
        <v>98</v>
      </c>
      <c r="B21" s="18">
        <f>+VLOOKUP(A21,[4]Disc_EU_DI_less_DO!A:B,2,0)/1000</f>
        <v>0</v>
      </c>
      <c r="C21" s="17">
        <f>+VLOOKUP(A21,[4]Disc_EXTEU_DI_less_DO!A:C,3,0)/1000</f>
        <v>-3.5000000000000001E-3</v>
      </c>
      <c r="D21" s="17">
        <f>+VLOOKUP(A21,[4]Disc_EXTEU_DI_less_DO!A:C,2,0)/1000</f>
        <v>0</v>
      </c>
      <c r="E21" s="140">
        <f t="shared" si="0"/>
        <v>-3.5000000000000001E-3</v>
      </c>
    </row>
    <row r="22" spans="1:5" ht="15.5">
      <c r="A22" s="139" t="s">
        <v>91</v>
      </c>
      <c r="B22" s="18">
        <f>+VLOOKUP(A22,[4]Disc_EU_DI_less_DO!A:B,2,0)/1000</f>
        <v>0</v>
      </c>
      <c r="C22" s="17">
        <f>+VLOOKUP(A22,[4]Disc_EXTEU_DI_less_DO!A:C,3,0)/1000</f>
        <v>0</v>
      </c>
      <c r="D22" s="17">
        <f>+VLOOKUP(A22,[4]Disc_EXTEU_DI_less_DO!A:C,2,0)/1000</f>
        <v>0</v>
      </c>
      <c r="E22" s="140">
        <f t="shared" si="0"/>
        <v>0</v>
      </c>
    </row>
    <row r="23" spans="1:5" ht="15.5">
      <c r="A23" s="139" t="s">
        <v>100</v>
      </c>
      <c r="B23" s="18">
        <f>+VLOOKUP(A23,[4]Disc_EU_DI_less_DO!A:B,2,0)/1000</f>
        <v>0</v>
      </c>
      <c r="C23" s="17">
        <f>+VLOOKUP(A23,[4]Disc_EXTEU_DI_less_DO!A:C,3,0)/1000</f>
        <v>1.1367</v>
      </c>
      <c r="D23" s="17">
        <f>+VLOOKUP(A23,[4]Disc_EXTEU_DI_less_DO!A:C,2,0)/1000</f>
        <v>0.30299999999999999</v>
      </c>
      <c r="E23" s="140">
        <f t="shared" si="0"/>
        <v>1.4397</v>
      </c>
    </row>
    <row r="24" spans="1:5" ht="15.5">
      <c r="A24" s="139" t="s">
        <v>34</v>
      </c>
      <c r="B24" s="18">
        <f>+[4]Disc_EU_DI_less_DO!B48/1000</f>
        <v>0</v>
      </c>
      <c r="C24" s="17">
        <f>+[4]Disc_EXTEU_DI_less_DO!C15/1000</f>
        <v>4.6544999999999996</v>
      </c>
      <c r="D24" s="17">
        <f>+[4]Disc_EXTEU_DI_less_DO!B15/1000</f>
        <v>1.4664000000000001</v>
      </c>
      <c r="E24" s="140">
        <f t="shared" si="0"/>
        <v>6.1208999999999998</v>
      </c>
    </row>
    <row r="25" spans="1:5" ht="15.5">
      <c r="A25" s="139" t="s">
        <v>95</v>
      </c>
      <c r="B25" s="18">
        <f>+VLOOKUP(A25,[4]Disc_EU_DI_less_DO!A:B,2,0)/1000</f>
        <v>-4.0739999999999998</v>
      </c>
      <c r="C25" s="17">
        <f>+VLOOKUP(A25,[4]Disc_EXTEU_DI_less_DO!A:C,3,0)/1000</f>
        <v>0</v>
      </c>
      <c r="D25" s="17">
        <f>+VLOOKUP(A25,[4]Disc_EXTEU_DI_less_DO!A:C,2,0)/1000</f>
        <v>0</v>
      </c>
      <c r="E25" s="140">
        <f t="shared" si="0"/>
        <v>-4.0739999999999998</v>
      </c>
    </row>
    <row r="26" spans="1:5" ht="15.5">
      <c r="A26" s="139" t="s">
        <v>25</v>
      </c>
      <c r="B26" s="18">
        <f>+VLOOKUP(A26,[4]Disc_EU_DI_less_DO!A:B,2,0)/1000</f>
        <v>-19.491499999999998</v>
      </c>
      <c r="C26" s="17">
        <f>+VLOOKUP(A26,[4]Disc_EXTEU_DI_less_DO!A:C,3,0)/1000</f>
        <v>2.7934000000000001</v>
      </c>
      <c r="D26" s="17">
        <f>+VLOOKUP(A26,[4]Disc_EXTEU_DI_less_DO!A:C,2,0)/1000</f>
        <v>0.11899999999999999</v>
      </c>
      <c r="E26" s="140">
        <f t="shared" si="0"/>
        <v>-16.579099999999997</v>
      </c>
    </row>
    <row r="27" spans="1:5" ht="15.5">
      <c r="A27" s="139" t="s">
        <v>33</v>
      </c>
      <c r="B27" s="18">
        <f>+VLOOKUP(A27,[4]Disc_EU_DI_less_DO!A:B,2,0)/1000</f>
        <v>-6.617</v>
      </c>
      <c r="C27" s="17">
        <f>+VLOOKUP(A27,[4]Disc_EXTEU_DI_less_DO!A:C,3,0)/1000</f>
        <v>1.427</v>
      </c>
      <c r="D27" s="17">
        <f>+VLOOKUP(A27,[4]Disc_EXTEU_DI_less_DO!A:C,2,0)/1000</f>
        <v>-9.7599999999999992E-2</v>
      </c>
      <c r="E27" s="140">
        <f t="shared" si="0"/>
        <v>-5.2875999999999994</v>
      </c>
    </row>
    <row r="28" spans="1:5" ht="15.5">
      <c r="A28" s="139" t="s">
        <v>187</v>
      </c>
      <c r="B28" s="18">
        <f>+VLOOKUP(A28,[4]Disc_EU_DI_less_DO!A:B,2,0)/1000</f>
        <v>0</v>
      </c>
      <c r="C28" s="17">
        <f>+VLOOKUP(A28,[4]Disc_EXTEU_DI_less_DO!A:C,3,0)/1000</f>
        <v>0</v>
      </c>
      <c r="D28" s="17">
        <f>+VLOOKUP(A28,[4]Disc_EXTEU_DI_less_DO!A:C,2,0)/1000</f>
        <v>0</v>
      </c>
      <c r="E28" s="140">
        <f t="shared" si="0"/>
        <v>0</v>
      </c>
    </row>
    <row r="29" spans="1:5" ht="15.5">
      <c r="A29" s="139" t="s">
        <v>31</v>
      </c>
      <c r="B29" s="18">
        <f>+INDEX([4]Disc_nonEUcountries!$A$1:$AN$43,MATCH(A29,[4]Disc_nonEUcountries!A:A,0),MATCH([4]Disc_nonEUcountries!$K$2,[4]Disc_nonEUcountries!$2:$2,0))/1000</f>
        <v>-3.5627</v>
      </c>
      <c r="C29" s="17">
        <f>+INDEX([4]Disc_nonEUcountries!$A$1:$AN$43,MATCH($A29,[4]Disc_nonEUcountries!$A:$A,0),MATCH(C$7,[4]Disc_nonEUcountries!$2:$2,0))/1000</f>
        <v>0</v>
      </c>
      <c r="D29" s="17">
        <f>+INDEX([4]Disc_nonEUcountries!$A$1:$AN$43,MATCH($A29,[4]Disc_nonEUcountries!$A:$A,0),MATCH(D$7,[4]Disc_nonEUcountries!$2:$2,0))/1000</f>
        <v>0</v>
      </c>
      <c r="E29" s="140">
        <f t="shared" si="0"/>
        <v>-3.5627</v>
      </c>
    </row>
    <row r="30" spans="1:5" ht="15.5">
      <c r="A30" s="139" t="s">
        <v>11</v>
      </c>
      <c r="B30" s="18">
        <f>+INDEX([4]Disc_nonEUcountries!$A$1:$AN$43,MATCH(A30,[4]Disc_nonEUcountries!A:A,0),MATCH([4]Disc_nonEUcountries!$K$2,[4]Disc_nonEUcountries!$2:$2,0))/1000</f>
        <v>0</v>
      </c>
      <c r="C30" s="17">
        <f>+INDEX([4]Disc_nonEUcountries!$A$1:$AN$43,MATCH(A30,[4]Disc_nonEUcountries!A:A,0),MATCH(C$7,[4]Disc_nonEUcountries!$2:$2,0))/1000</f>
        <v>0</v>
      </c>
      <c r="D30" s="17">
        <f>+INDEX([4]Disc_nonEUcountries!$A$1:$AN$43,MATCH($A30,[4]Disc_nonEUcountries!$A:$A,0),MATCH(D$7,[4]Disc_nonEUcountries!$2:$2,0))/1000</f>
        <v>0</v>
      </c>
      <c r="E30" s="140">
        <f t="shared" si="0"/>
        <v>0</v>
      </c>
    </row>
    <row r="31" spans="1:5" ht="15.5">
      <c r="A31" s="139" t="s">
        <v>92</v>
      </c>
      <c r="B31" s="18">
        <f>+INDEX([4]Disc_nonEUcountries!$A$1:$AN$43,MATCH("Czechia",[4]Disc_nonEUcountries!A:A,0),MATCH([4]Disc_nonEUcountries!$K$2,[4]Disc_nonEUcountries!$2:$2,0))/1000</f>
        <v>0</v>
      </c>
      <c r="C31" s="17">
        <f>+INDEX([4]Disc_nonEUcountries!$A$1:$AN$43,MATCH("Czechia",[4]Disc_nonEUcountries!A:A,0),MATCH(C$7,[4]Disc_nonEUcountries!$2:$2,0))/1000</f>
        <v>0</v>
      </c>
      <c r="D31" s="17">
        <f>+INDEX([4]Disc_nonEUcountries!$A$1:$AN$43,MATCH("Czechia",[4]Disc_nonEUcountries!$A:$A,0),MATCH(D$7,[4]Disc_nonEUcountries!$2:$2,0))/1000</f>
        <v>0</v>
      </c>
      <c r="E31" s="140">
        <f t="shared" si="0"/>
        <v>0</v>
      </c>
    </row>
    <row r="32" spans="1:5" ht="15.5">
      <c r="A32" s="139" t="s">
        <v>97</v>
      </c>
      <c r="B32" s="18">
        <f>+VLOOKUP(A32,[4]Disc_EU_DI_less_DO!A:B,2,0)/1000</f>
        <v>0</v>
      </c>
      <c r="C32" s="17">
        <f>+VLOOKUP(A32,[4]Disc_EXTEU_DI_less_DO!A:C,3,0)/1000</f>
        <v>0.35810000000000003</v>
      </c>
      <c r="D32" s="17">
        <f>+VLOOKUP(A32,[4]Disc_EXTEU_DI_less_DO!A:C,2,0)/1000</f>
        <v>0</v>
      </c>
      <c r="E32" s="140">
        <f t="shared" si="0"/>
        <v>0.35810000000000003</v>
      </c>
    </row>
    <row r="33" spans="1:5" ht="15.5">
      <c r="A33" s="139" t="s">
        <v>32</v>
      </c>
      <c r="B33" s="18">
        <f>+VLOOKUP(A33,[4]Disc_EU_DI_less_DO!A:B,2,0)/1000</f>
        <v>0</v>
      </c>
      <c r="C33" s="17">
        <f>+VLOOKUP(A33,[4]Disc_EXTEU_DI_less_DO!A:C,3,0)/1000</f>
        <v>1.8997999999999999</v>
      </c>
      <c r="D33" s="17">
        <f>+VLOOKUP(A33,[4]Disc_EXTEU_DI_less_DO!A:C,2,0)/1000</f>
        <v>0.33739999999999998</v>
      </c>
      <c r="E33" s="140">
        <f t="shared" si="0"/>
        <v>2.2372000000000001</v>
      </c>
    </row>
    <row r="34" spans="1:5" ht="15.5">
      <c r="A34" s="139" t="s">
        <v>28</v>
      </c>
      <c r="B34" s="18">
        <f>+VLOOKUP(A34,[4]Disc_EU_DI_less_DO!A:B,2,0)/1000</f>
        <v>5.5456000000000003</v>
      </c>
      <c r="C34" s="17">
        <f>+VLOOKUP(A34,[4]Disc_EXTEU_DI_less_DO!A:C,3,0)/1000</f>
        <v>21.065099999999997</v>
      </c>
      <c r="D34" s="17">
        <f>+VLOOKUP(A34,[4]Disc_EXTEU_DI_less_DO!A:C,2,0)/1000</f>
        <v>3.2645999999999997</v>
      </c>
      <c r="E34" s="140">
        <f t="shared" si="0"/>
        <v>29.875299999999996</v>
      </c>
    </row>
    <row r="35" spans="1:5" ht="15.5">
      <c r="A35" s="139" t="s">
        <v>19</v>
      </c>
      <c r="B35" s="18">
        <f>+VLOOKUP(A35,[4]Disc_EU_DI_less_DO!A:B,2,0)/1000</f>
        <v>23.810400000000001</v>
      </c>
      <c r="C35" s="17">
        <f>+VLOOKUP(A35,[4]Disc_EXTEU_DI_less_DO!A:C,3,0)/1000</f>
        <v>15.769299999999999</v>
      </c>
      <c r="D35" s="17">
        <f>+VLOOKUP(A35,[4]Disc_EXTEU_DI_less_DO!A:C,2,0)/1000</f>
        <v>0.36319999999999997</v>
      </c>
      <c r="E35" s="140">
        <f t="shared" si="0"/>
        <v>39.942900000000002</v>
      </c>
    </row>
    <row r="36" spans="1:5" ht="15.5">
      <c r="A36" s="139" t="s">
        <v>23</v>
      </c>
      <c r="B36" s="18">
        <f>+VLOOKUP(A36,[4]Disc_EU_DI_less_DO!A:B,2,0)/1000</f>
        <v>-0.82240000000000002</v>
      </c>
      <c r="C36" s="17">
        <f>+VLOOKUP(A36,[4]Disc_EXTEU_DI_less_DO!A:C,3,0)/1000</f>
        <v>31.2516</v>
      </c>
      <c r="D36" s="17">
        <f>+VLOOKUP(A36,[4]Disc_EXTEU_DI_less_DO!A:C,2,0)/1000</f>
        <v>1.5664</v>
      </c>
      <c r="E36" s="140">
        <f t="shared" si="0"/>
        <v>31.995600000000003</v>
      </c>
    </row>
    <row r="37" spans="1:5" ht="15.5">
      <c r="A37" s="139" t="s">
        <v>20</v>
      </c>
      <c r="B37" s="18">
        <f>+VLOOKUP(A37,[4]Disc_EU_DI_less_DO!A:B,2,0)/1000</f>
        <v>0</v>
      </c>
      <c r="C37" s="17">
        <f>+VLOOKUP(A37,[4]Disc_EXTEU_DI_less_DO!A:C,3,0)/1000</f>
        <v>50.084829002589515</v>
      </c>
      <c r="D37" s="17">
        <f>+VLOOKUP(A37,[4]Disc_EXTEU_DI_less_DO!A:C,2,0)/1000</f>
        <v>0</v>
      </c>
      <c r="E37" s="140">
        <f t="shared" si="0"/>
        <v>50.084829002589515</v>
      </c>
    </row>
    <row r="38" spans="1:5" ht="15.5">
      <c r="A38" s="139"/>
      <c r="B38" s="20"/>
      <c r="C38" s="19"/>
      <c r="D38" s="19"/>
      <c r="E38" s="141"/>
    </row>
    <row r="39" spans="1:5" ht="27" customHeight="1" thickBot="1">
      <c r="A39" s="479" t="s">
        <v>344</v>
      </c>
      <c r="B39" s="480">
        <f>SUM(B8:B37)</f>
        <v>-6.4305000000000003</v>
      </c>
      <c r="C39" s="481">
        <f>SUM(C8:C37)</f>
        <v>133.25702900258952</v>
      </c>
      <c r="D39" s="481">
        <f>SUM(D8:D37)</f>
        <v>7.0389999999999997</v>
      </c>
      <c r="E39" s="482">
        <f>SUM(E8:E37)</f>
        <v>133.86552900258951</v>
      </c>
    </row>
    <row r="40" spans="1:5" ht="13" thickBot="1"/>
    <row r="41" spans="1:5" ht="12.5" customHeight="1">
      <c r="A41" s="885" t="s">
        <v>345</v>
      </c>
      <c r="B41" s="886"/>
      <c r="C41" s="886"/>
      <c r="D41" s="886"/>
      <c r="E41" s="887"/>
    </row>
    <row r="42" spans="1:5" ht="18" customHeight="1" thickBot="1">
      <c r="A42" s="888"/>
      <c r="B42" s="889"/>
      <c r="C42" s="889"/>
      <c r="D42" s="889"/>
      <c r="E42" s="890"/>
    </row>
  </sheetData>
  <mergeCells count="4">
    <mergeCell ref="A2:E2"/>
    <mergeCell ref="A41:E42"/>
    <mergeCell ref="B6:E6"/>
    <mergeCell ref="A5:E5"/>
  </mergeCells>
  <pageMargins left="0.7" right="0.7" top="0.75" bottom="0.75" header="0.3" footer="0.3"/>
  <pageSetup paperSize="9" scale="52"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9" tint="0.39997558519241921"/>
    <pageSetUpPr fitToPage="1"/>
  </sheetPr>
  <dimension ref="A1:AU112"/>
  <sheetViews>
    <sheetView zoomScale="85" zoomScaleNormal="85" workbookViewId="0">
      <pane xSplit="3" ySplit="7" topLeftCell="D33" activePane="bottomRight" state="frozen"/>
      <selection activeCell="B5" sqref="B5"/>
      <selection pane="topRight" activeCell="B5" sqref="B5"/>
      <selection pane="bottomLeft" activeCell="B5" sqref="B5"/>
      <selection pane="bottomRight" activeCell="C90" sqref="C90"/>
    </sheetView>
  </sheetViews>
  <sheetFormatPr defaultColWidth="10.81640625" defaultRowHeight="15.5"/>
  <cols>
    <col min="1" max="1" width="0" style="146" hidden="1" customWidth="1"/>
    <col min="2" max="2" width="10.81640625" style="146" hidden="1" customWidth="1"/>
    <col min="3" max="3" width="19" style="146" customWidth="1"/>
    <col min="4" max="4" width="10.81640625" style="146" customWidth="1"/>
    <col min="5" max="5" width="10.81640625" style="147" customWidth="1"/>
    <col min="6" max="25" width="10.81640625" style="146" customWidth="1"/>
    <col min="26" max="28" width="10.81640625" style="146"/>
    <col min="29" max="29" width="15" style="146" customWidth="1"/>
    <col min="30" max="34" width="10.81640625" style="146"/>
    <col min="35" max="35" width="15" style="146" customWidth="1"/>
    <col min="36" max="40" width="10.81640625" style="146"/>
    <col min="41" max="41" width="15" style="146" customWidth="1"/>
    <col min="42" max="45" width="10.81640625" style="146"/>
    <col min="46" max="46" width="12.81640625" style="146" bestFit="1" customWidth="1"/>
    <col min="47" max="16384" width="10.81640625" style="146"/>
  </cols>
  <sheetData>
    <row r="1" spans="3:47" ht="16" thickBot="1"/>
    <row r="2" spans="3:47" ht="16" hidden="1" thickBot="1">
      <c r="F2" s="146">
        <v>2</v>
      </c>
      <c r="G2" s="146">
        <v>3</v>
      </c>
      <c r="H2" s="146">
        <v>4</v>
      </c>
      <c r="I2" s="146">
        <v>5</v>
      </c>
      <c r="J2" s="146">
        <v>6</v>
      </c>
      <c r="K2" s="146">
        <v>7</v>
      </c>
      <c r="Q2" s="146">
        <v>2</v>
      </c>
      <c r="R2" s="146">
        <v>3</v>
      </c>
      <c r="S2" s="146">
        <v>4</v>
      </c>
      <c r="T2" s="146">
        <v>5</v>
      </c>
      <c r="U2" s="146">
        <v>6</v>
      </c>
      <c r="V2" s="146">
        <v>7</v>
      </c>
    </row>
    <row r="3" spans="3:47" ht="32" customHeight="1" thickTop="1">
      <c r="C3" s="897" t="s">
        <v>346</v>
      </c>
      <c r="D3" s="898"/>
      <c r="E3" s="898"/>
      <c r="F3" s="898"/>
      <c r="G3" s="898"/>
      <c r="H3" s="898"/>
      <c r="I3" s="898"/>
      <c r="J3" s="898"/>
      <c r="K3" s="898"/>
      <c r="L3" s="898"/>
      <c r="M3" s="898"/>
      <c r="N3" s="898"/>
      <c r="O3" s="898"/>
      <c r="P3" s="898"/>
      <c r="Q3" s="898"/>
      <c r="R3" s="898"/>
      <c r="S3" s="898"/>
      <c r="T3" s="898"/>
      <c r="U3" s="898"/>
      <c r="V3" s="898"/>
      <c r="W3" s="898"/>
      <c r="X3" s="898"/>
      <c r="Y3" s="899"/>
    </row>
    <row r="4" spans="3:47" ht="20">
      <c r="C4" s="210"/>
      <c r="D4" s="3" t="s">
        <v>49</v>
      </c>
      <c r="E4" s="3" t="s">
        <v>50</v>
      </c>
      <c r="F4" s="3" t="s">
        <v>51</v>
      </c>
      <c r="G4" s="3" t="s">
        <v>52</v>
      </c>
      <c r="H4" s="3" t="s">
        <v>53</v>
      </c>
      <c r="I4" s="3" t="s">
        <v>54</v>
      </c>
      <c r="J4" s="3" t="s">
        <v>55</v>
      </c>
      <c r="K4" s="3" t="s">
        <v>56</v>
      </c>
      <c r="L4" s="3" t="s">
        <v>57</v>
      </c>
      <c r="M4" s="3" t="s">
        <v>58</v>
      </c>
      <c r="N4" s="3" t="s">
        <v>59</v>
      </c>
      <c r="O4" s="3" t="s">
        <v>60</v>
      </c>
      <c r="P4" s="3" t="s">
        <v>61</v>
      </c>
      <c r="Q4" s="3" t="s">
        <v>62</v>
      </c>
      <c r="R4" s="3" t="s">
        <v>63</v>
      </c>
      <c r="S4" s="3" t="s">
        <v>102</v>
      </c>
      <c r="T4" s="3" t="s">
        <v>103</v>
      </c>
      <c r="U4" s="3" t="s">
        <v>104</v>
      </c>
      <c r="V4" s="3" t="s">
        <v>105</v>
      </c>
      <c r="W4" s="3" t="s">
        <v>106</v>
      </c>
      <c r="X4" s="3" t="s">
        <v>107</v>
      </c>
      <c r="Y4" s="209" t="s">
        <v>108</v>
      </c>
    </row>
    <row r="5" spans="3:47" ht="21" customHeight="1">
      <c r="C5" s="185"/>
      <c r="D5" s="902" t="s">
        <v>347</v>
      </c>
      <c r="E5" s="903"/>
      <c r="F5" s="903"/>
      <c r="G5" s="903"/>
      <c r="H5" s="903"/>
      <c r="I5" s="903"/>
      <c r="J5" s="903"/>
      <c r="K5" s="903"/>
      <c r="L5" s="903"/>
      <c r="M5" s="903"/>
      <c r="N5" s="904"/>
      <c r="O5" s="903" t="s">
        <v>348</v>
      </c>
      <c r="P5" s="903"/>
      <c r="Q5" s="903"/>
      <c r="R5" s="903"/>
      <c r="S5" s="903"/>
      <c r="T5" s="903"/>
      <c r="U5" s="903"/>
      <c r="V5" s="903"/>
      <c r="W5" s="903"/>
      <c r="X5" s="903"/>
      <c r="Y5" s="905"/>
    </row>
    <row r="6" spans="3:47" ht="73.5" customHeight="1">
      <c r="C6" s="185"/>
      <c r="D6" s="900" t="s">
        <v>349</v>
      </c>
      <c r="E6" s="900" t="s">
        <v>350</v>
      </c>
      <c r="F6" s="206" t="s">
        <v>25</v>
      </c>
      <c r="G6" s="206" t="s">
        <v>187</v>
      </c>
      <c r="H6" s="206" t="s">
        <v>20</v>
      </c>
      <c r="I6" s="208" t="s">
        <v>19</v>
      </c>
      <c r="J6" s="206" t="s">
        <v>87</v>
      </c>
      <c r="K6" s="208" t="s">
        <v>23</v>
      </c>
      <c r="L6" s="900" t="s">
        <v>351</v>
      </c>
      <c r="M6" s="208" t="s">
        <v>21</v>
      </c>
      <c r="N6" s="207" t="s">
        <v>352</v>
      </c>
      <c r="O6" s="900" t="s">
        <v>349</v>
      </c>
      <c r="P6" s="900" t="s">
        <v>350</v>
      </c>
      <c r="Q6" s="206" t="s">
        <v>25</v>
      </c>
      <c r="R6" s="206" t="s">
        <v>187</v>
      </c>
      <c r="S6" s="206" t="s">
        <v>20</v>
      </c>
      <c r="T6" s="208" t="s">
        <v>19</v>
      </c>
      <c r="U6" s="206" t="s">
        <v>87</v>
      </c>
      <c r="V6" s="208" t="s">
        <v>23</v>
      </c>
      <c r="W6" s="907" t="s">
        <v>351</v>
      </c>
      <c r="X6" s="208" t="s">
        <v>21</v>
      </c>
      <c r="Y6" s="205" t="s">
        <v>352</v>
      </c>
      <c r="Z6" s="159"/>
      <c r="AA6" s="908" t="s">
        <v>353</v>
      </c>
      <c r="AB6" s="908"/>
      <c r="AC6" s="908"/>
      <c r="AD6" s="908"/>
      <c r="AE6" s="908"/>
      <c r="AF6" s="908"/>
      <c r="AG6" s="908"/>
      <c r="AH6" s="908"/>
      <c r="AI6" s="908"/>
      <c r="AJ6" s="908"/>
      <c r="AK6" s="908"/>
      <c r="AL6" s="908"/>
      <c r="AM6" s="908"/>
      <c r="AN6" s="908"/>
      <c r="AO6" s="908"/>
      <c r="AP6" s="908"/>
      <c r="AQ6" s="908"/>
      <c r="AR6" s="908"/>
      <c r="AS6" s="908"/>
      <c r="AT6" s="908"/>
      <c r="AU6" s="908"/>
    </row>
    <row r="7" spans="3:47" ht="16.5" customHeight="1">
      <c r="C7" s="185"/>
      <c r="D7" s="900"/>
      <c r="E7" s="900"/>
      <c r="F7" s="206"/>
      <c r="G7" s="206"/>
      <c r="H7" s="206"/>
      <c r="I7" s="206"/>
      <c r="J7" s="206"/>
      <c r="K7" s="206"/>
      <c r="L7" s="901"/>
      <c r="M7" s="206"/>
      <c r="N7" s="207"/>
      <c r="O7" s="900"/>
      <c r="P7" s="900"/>
      <c r="Q7" s="206"/>
      <c r="R7" s="206"/>
      <c r="S7" s="206"/>
      <c r="T7" s="206"/>
      <c r="U7" s="206"/>
      <c r="V7" s="206"/>
      <c r="W7" s="901"/>
      <c r="X7" s="206"/>
      <c r="Y7" s="205"/>
      <c r="Z7" s="159"/>
      <c r="AA7" s="909" t="s">
        <v>354</v>
      </c>
      <c r="AB7" s="909"/>
      <c r="AC7" s="909"/>
      <c r="AD7" s="909"/>
      <c r="AE7" s="909"/>
      <c r="AG7" s="909" t="s">
        <v>355</v>
      </c>
      <c r="AH7" s="909"/>
      <c r="AI7" s="909"/>
      <c r="AJ7" s="909"/>
      <c r="AK7" s="909"/>
    </row>
    <row r="8" spans="3:47" ht="40" customHeight="1">
      <c r="C8" s="483" t="s">
        <v>76</v>
      </c>
      <c r="D8" s="484">
        <f t="shared" ref="D8:D39" si="0">+E8+L8</f>
        <v>63846.753186542031</v>
      </c>
      <c r="E8" s="484">
        <f t="shared" ref="E8:K8" si="1">SUMIF(E9:E43,"&gt;-999999999")-(E11+E23+E29+E31+E40)</f>
        <v>46408.485475468624</v>
      </c>
      <c r="F8" s="485">
        <f t="shared" si="1"/>
        <v>5418.6600071215771</v>
      </c>
      <c r="G8" s="485">
        <f t="shared" si="1"/>
        <v>48.572848506283613</v>
      </c>
      <c r="H8" s="485">
        <f t="shared" si="1"/>
        <v>2889.3114904654831</v>
      </c>
      <c r="I8" s="485">
        <f t="shared" si="1"/>
        <v>9003.2569315276069</v>
      </c>
      <c r="J8" s="485">
        <f t="shared" si="1"/>
        <v>668.23302322868585</v>
      </c>
      <c r="K8" s="485">
        <f t="shared" si="1"/>
        <v>28380.451174618978</v>
      </c>
      <c r="L8" s="484">
        <f>SUMIF(L9:L43,"&gt;-999999999")-(L11+L23+L29+L31)</f>
        <v>17438.267711073408</v>
      </c>
      <c r="M8" s="485">
        <f>SUMIF(M9:M43,"&gt;-999999999")-(M11+M23+M29+M31)</f>
        <v>4319.6605367188895</v>
      </c>
      <c r="N8" s="486">
        <f>SUMIF(N9:N43,"&gt;-999999999")-(N11+N23+N29+N31)</f>
        <v>13118.607174354529</v>
      </c>
      <c r="O8" s="484">
        <f t="shared" ref="O8:O39" si="2">+P8+W8</f>
        <v>552323.45401214832</v>
      </c>
      <c r="P8" s="484">
        <f t="shared" ref="P8:V8" si="3">SUMIF(P9:P43,"&gt;-999999999")-(P11+P23+P29+P31)-P40</f>
        <v>308115.2738602272</v>
      </c>
      <c r="Q8" s="485">
        <f t="shared" si="3"/>
        <v>41046.490552713338</v>
      </c>
      <c r="R8" s="485">
        <f t="shared" si="3"/>
        <v>1454.1981343465843</v>
      </c>
      <c r="S8" s="485">
        <f t="shared" si="3"/>
        <v>101443.4082131218</v>
      </c>
      <c r="T8" s="485">
        <f t="shared" si="3"/>
        <v>73694.760791967419</v>
      </c>
      <c r="U8" s="485">
        <f t="shared" si="3"/>
        <v>4400.6336413478411</v>
      </c>
      <c r="V8" s="485">
        <f t="shared" si="3"/>
        <v>86075.782526730167</v>
      </c>
      <c r="W8" s="484">
        <f>SUMIF(W9:W43,"&gt;-999999999")-(W11+W23+W29+W31)</f>
        <v>244208.18015192106</v>
      </c>
      <c r="X8" s="485">
        <f>SUMIF(X9:X43,"&gt;-999999999")-(X11+X23+X29+X31)</f>
        <v>49807.532289168717</v>
      </c>
      <c r="Y8" s="487">
        <f>SUMIF(Y9:Y43,"&gt;-999999999")-(Y11+Y23+Y29+Y31)</f>
        <v>194400.64786275226</v>
      </c>
      <c r="Z8" s="159"/>
      <c r="AA8" s="36"/>
      <c r="AB8" s="906" t="s">
        <v>356</v>
      </c>
      <c r="AC8" s="906"/>
      <c r="AD8" s="906" t="s">
        <v>357</v>
      </c>
      <c r="AE8" s="906"/>
      <c r="AF8" s="204"/>
      <c r="AG8" s="36"/>
      <c r="AH8" s="906" t="s">
        <v>356</v>
      </c>
      <c r="AI8" s="906"/>
      <c r="AJ8" s="906" t="s">
        <v>357</v>
      </c>
      <c r="AK8" s="906"/>
      <c r="AL8" s="204"/>
      <c r="AM8" s="36"/>
      <c r="AN8" s="906" t="s">
        <v>356</v>
      </c>
      <c r="AO8" s="906"/>
      <c r="AP8" s="906" t="s">
        <v>357</v>
      </c>
      <c r="AQ8" s="906"/>
      <c r="AR8" s="906" t="s">
        <v>358</v>
      </c>
      <c r="AS8" s="906"/>
      <c r="AT8" s="906" t="s">
        <v>359</v>
      </c>
      <c r="AU8" s="906"/>
    </row>
    <row r="9" spans="3:47">
      <c r="C9" s="199" t="s">
        <v>27</v>
      </c>
      <c r="D9" s="196">
        <f t="shared" si="0"/>
        <v>2867.2626646956073</v>
      </c>
      <c r="E9" s="196">
        <f t="shared" ref="E9:E43" si="4">SUM(F9:K9)</f>
        <v>1514.1509433962265</v>
      </c>
      <c r="F9" s="171">
        <f>HLOOKUP($C9,'[4]Interest shifted to EU'!$L$2:$AT$8,F$2,0)/E106</f>
        <v>101.06132075471699</v>
      </c>
      <c r="G9" s="171">
        <f>HLOOKUP($C9,'[4]Interest shifted to EU'!$L$2:$AT$8,G$2,0)/E106</f>
        <v>0</v>
      </c>
      <c r="H9" s="171">
        <f>HLOOKUP($C9,'[4]Interest shifted to EU'!$L$2:$AT$8,H$2,0)/E106</f>
        <v>0</v>
      </c>
      <c r="I9" s="171">
        <f>HLOOKUP($C9,'[4]Interest shifted to EU'!$L$2:$AT$8,I$2,0)/E106</f>
        <v>214.74056603773585</v>
      </c>
      <c r="J9" s="171">
        <f>HLOOKUP($C9,'[4]Interest shifted to EU'!$L$2:$AT$8,J$2,0)/E106</f>
        <v>29.716981132075471</v>
      </c>
      <c r="K9" s="171">
        <f>HLOOKUP($C9,'[4]Interest shifted to EU'!$L$2:$AT$8,K$2,0)/E106</f>
        <v>1168.632075471698</v>
      </c>
      <c r="L9" s="196">
        <f t="shared" ref="L9:L39" si="5">SUM(M9:N9)</f>
        <v>1353.1117212993809</v>
      </c>
      <c r="M9" s="178">
        <f>AC9*'[4]Non-EU tax havens'!$K$8</f>
        <v>192.76770981982853</v>
      </c>
      <c r="N9" s="183">
        <f>AC9*'[4]Non-EU tax havens'!$K$13</f>
        <v>1160.3440114795524</v>
      </c>
      <c r="O9" s="196">
        <f t="shared" si="2"/>
        <v>24428.39827989175</v>
      </c>
      <c r="P9" s="196">
        <f t="shared" ref="P9:P43" si="6">SUM(Q9:V9)</f>
        <v>6646.933962264151</v>
      </c>
      <c r="Q9" s="171">
        <f>HLOOKUP($C9,'[4]Non EU income shifted to EU'!$B$2:$AI$9,Q$2+1,0)/E106</f>
        <v>358.49056603773585</v>
      </c>
      <c r="R9" s="171">
        <f>HLOOKUP($C9,'[4]Non EU income shifted to EU'!$B$2:$AI$9,R$2+1,0)/E106</f>
        <v>1.179245283018868</v>
      </c>
      <c r="S9" s="171">
        <f>HLOOKUP($C9,'[4]Non EU income shifted to EU'!$B$2:$AI$9,S$2+1,0)/E106</f>
        <v>3696.6981132075475</v>
      </c>
      <c r="T9" s="171">
        <f>HLOOKUP($C9,'[4]Non EU income shifted to EU'!$B$2:$AI$9,T$2+1,0)/E106</f>
        <v>451.65094339622641</v>
      </c>
      <c r="U9" s="171">
        <f>HLOOKUP($C9,'[4]Non EU income shifted to EU'!$B$2:$AI$9,U$2+1,0)/E106</f>
        <v>55.778301886792448</v>
      </c>
      <c r="V9" s="171">
        <f>HLOOKUP($C9,'[4]Non EU income shifted to EU'!$B$2:$AI$9,V$2+1,0)/E106</f>
        <v>2083.1367924528304</v>
      </c>
      <c r="W9" s="196">
        <f t="shared" ref="W9:W39" si="7">SUM(X9:Y9)</f>
        <v>17781.464317627597</v>
      </c>
      <c r="X9" s="178">
        <f>IFERROR(IFERROR(VLOOKUP(C9,'[4]Swiss pivot'!$E$3:$H$54,3,0),VLOOKUP($C9,'[4]Breakdown non-EU havens'!$F$4:$H$31,3,0)/$E$106),AK9*'[4]Non-EU tax havens'!$I$8)</f>
        <v>1106.588233199491</v>
      </c>
      <c r="Y9" s="177">
        <f>AE9*'[4]Non-EU tax havens'!$I$13</f>
        <v>16674.876084428106</v>
      </c>
      <c r="Z9" s="159"/>
      <c r="AA9" s="36">
        <f>+'[4]CDIS Table-4'!O6</f>
        <v>1.9724959247258356E-2</v>
      </c>
      <c r="AB9" s="39">
        <f>+AA9</f>
        <v>1.9724959247258356E-2</v>
      </c>
      <c r="AC9" s="39">
        <f t="shared" ref="AC9:AC30" si="8">+AB9/$AB$102</f>
        <v>3.927462406173924E-2</v>
      </c>
      <c r="AD9" s="39">
        <f t="shared" ref="AD9:AD30" si="9">+AB9</f>
        <v>1.9724959247258356E-2</v>
      </c>
      <c r="AE9" s="39">
        <f t="shared" ref="AE9:AE30" si="10">+AD9/$AD$102</f>
        <v>4.9878726150206214E-2</v>
      </c>
      <c r="AF9" s="39"/>
      <c r="AG9" s="36">
        <f>+AA9</f>
        <v>1.9724959247258356E-2</v>
      </c>
      <c r="AH9" s="39">
        <f>+AG9</f>
        <v>1.9724959247258356E-2</v>
      </c>
      <c r="AI9" s="39">
        <f t="shared" ref="AI9:AI30" si="11">+AH9/$AB$102</f>
        <v>3.927462406173924E-2</v>
      </c>
      <c r="AJ9" s="39"/>
      <c r="AK9" s="39">
        <f t="shared" ref="AK9:AK40" si="12">+AJ9/$AJ$102</f>
        <v>0</v>
      </c>
      <c r="AL9" s="39"/>
      <c r="AM9" s="36">
        <f>+'[4]CDIS Table-4'!U6</f>
        <v>0</v>
      </c>
      <c r="AN9" s="39">
        <f>+AM9</f>
        <v>0</v>
      </c>
      <c r="AO9" s="39">
        <f t="shared" ref="AO9:AO30" si="13">+AN9/$AB$102</f>
        <v>0</v>
      </c>
      <c r="AP9" s="39">
        <f t="shared" ref="AP9:AP30" si="14">+AN9</f>
        <v>0</v>
      </c>
      <c r="AQ9" s="39">
        <f t="shared" ref="AQ9:AQ30" si="15">+AP9/$AD$102</f>
        <v>0</v>
      </c>
      <c r="AR9" s="39"/>
      <c r="AS9" s="39">
        <f t="shared" ref="AS9:AS40" si="16">+AR9/$AR$102</f>
        <v>0</v>
      </c>
      <c r="AT9" s="39"/>
      <c r="AU9" s="39">
        <f t="shared" ref="AU9:AU21" si="17">+AT9/$AB$102</f>
        <v>0</v>
      </c>
    </row>
    <row r="10" spans="3:47">
      <c r="C10" s="199" t="s">
        <v>91</v>
      </c>
      <c r="D10" s="196">
        <f t="shared" si="0"/>
        <v>412.14622641509436</v>
      </c>
      <c r="E10" s="196">
        <f t="shared" si="4"/>
        <v>352.71226415094338</v>
      </c>
      <c r="F10" s="171">
        <f>VLOOKUP($C10,'[4]Breakdown EU havens'!$S$4:$Y$31,F$2,0)/E106</f>
        <v>46.698113207547173</v>
      </c>
      <c r="G10" s="171">
        <f>VLOOKUP($C10,'[4]Breakdown EU havens'!$S$4:$Y$31,G$2,0)/E106</f>
        <v>0</v>
      </c>
      <c r="H10" s="171">
        <f>VLOOKUP($C10,'[4]Breakdown EU havens'!$S$4:$Y$31,H$2,0)/E106</f>
        <v>86.202830188679243</v>
      </c>
      <c r="I10" s="171">
        <f>VLOOKUP($C10,'[4]Breakdown EU havens'!$S$4:$Y$31,I$2,0)/E106</f>
        <v>115.68396226415094</v>
      </c>
      <c r="J10" s="171">
        <f>VLOOKUP($C10,'[4]Breakdown EU havens'!$S$4:$Y$31,J$2,0)/E106</f>
        <v>0.35377358490566035</v>
      </c>
      <c r="K10" s="171">
        <f>VLOOKUP($C10,'[4]Breakdown EU havens'!$S$4:$Y$31,K$2,0)/E106</f>
        <v>103.77358490566039</v>
      </c>
      <c r="L10" s="196">
        <f t="shared" si="5"/>
        <v>59.433962264150949</v>
      </c>
      <c r="M10" s="178">
        <f>VLOOKUP($C10,'[4]Breakdown non-EU havens'!$K$4:$M$31,3,0)/E106</f>
        <v>57.665094339622648</v>
      </c>
      <c r="N10" s="183">
        <f>VLOOKUP($C10,'[4]Breakdown non-EU havens'!$K$4:$M$31,2,0)/E106</f>
        <v>1.7688679245283019</v>
      </c>
      <c r="O10" s="196">
        <f t="shared" si="2"/>
        <v>4513.2919394526889</v>
      </c>
      <c r="P10" s="196">
        <f t="shared" si="6"/>
        <v>3222.9952830188681</v>
      </c>
      <c r="Q10" s="171">
        <f>VLOOKUP($C10,'[4]Breakdown EU havens'!$J$4:$P$31,Q$2,0)/E106</f>
        <v>621.46226415094338</v>
      </c>
      <c r="R10" s="171">
        <f>VLOOKUP($C10,'[4]Breakdown EU havens'!$J$4:$P$31,R$2,0)/E106</f>
        <v>29.481132075471699</v>
      </c>
      <c r="S10" s="171">
        <f>VLOOKUP($C10,'[4]Breakdown EU havens'!$J$4:$P$31,S$2,0)/E106</f>
        <v>889.15094339622647</v>
      </c>
      <c r="T10" s="171">
        <f>VLOOKUP($C10,'[4]Breakdown EU havens'!$J$4:$P$31,T$2,0)/E106</f>
        <v>643.86792452830196</v>
      </c>
      <c r="U10" s="171">
        <f>VLOOKUP($C10,'[4]Breakdown EU havens'!$J$4:$P$31,U$2,0)/E106</f>
        <v>132.0754716981132</v>
      </c>
      <c r="V10" s="171">
        <f>VLOOKUP($C10,'[4]Breakdown EU havens'!$J$4:$P$31,V$2,0)/E106</f>
        <v>906.95754716981139</v>
      </c>
      <c r="W10" s="196">
        <f t="shared" si="7"/>
        <v>1290.2966564338203</v>
      </c>
      <c r="X10" s="178">
        <f>IFERROR(IFERROR(VLOOKUP(C10,'[4]Swiss pivot'!$E$3:$H$54,3,0),VLOOKUP($C10,'[4]Breakdown non-EU havens'!$F$4:$H$31,3,0)/$E$106),AK10*'[4]Non-EU tax havens'!$I$8)</f>
        <v>819.77778850929201</v>
      </c>
      <c r="Y10" s="177">
        <f>VLOOKUP($C10,'[4]Breakdown non-EU havens'!$F$4:$H$31,2,0)/E106</f>
        <v>470.51886792452831</v>
      </c>
      <c r="Z10" s="159"/>
      <c r="AA10" s="36">
        <f>+'[4]CDIS Table-4'!O7</f>
        <v>7.5183978411835217E-3</v>
      </c>
      <c r="AB10" s="39"/>
      <c r="AC10" s="39">
        <f t="shared" si="8"/>
        <v>0</v>
      </c>
      <c r="AD10" s="39">
        <f t="shared" si="9"/>
        <v>0</v>
      </c>
      <c r="AE10" s="39">
        <f t="shared" si="10"/>
        <v>0</v>
      </c>
      <c r="AF10" s="39"/>
      <c r="AG10" s="36">
        <f t="shared" ref="AG10:AG43" si="18">+AA10</f>
        <v>7.5183978411835217E-3</v>
      </c>
      <c r="AH10" s="39"/>
      <c r="AI10" s="39">
        <f t="shared" si="11"/>
        <v>0</v>
      </c>
      <c r="AJ10" s="39"/>
      <c r="AK10" s="39">
        <f t="shared" si="12"/>
        <v>0</v>
      </c>
      <c r="AL10" s="39"/>
      <c r="AM10" s="36">
        <f>+'[4]CDIS Table-4'!U7</f>
        <v>0</v>
      </c>
      <c r="AN10" s="39"/>
      <c r="AO10" s="39">
        <f t="shared" si="13"/>
        <v>0</v>
      </c>
      <c r="AP10" s="39">
        <f t="shared" si="14"/>
        <v>0</v>
      </c>
      <c r="AQ10" s="39">
        <f t="shared" si="15"/>
        <v>0</v>
      </c>
      <c r="AR10" s="39"/>
      <c r="AS10" s="39">
        <f t="shared" si="16"/>
        <v>0</v>
      </c>
      <c r="AT10" s="39"/>
      <c r="AU10" s="39">
        <f t="shared" si="17"/>
        <v>0</v>
      </c>
    </row>
    <row r="11" spans="3:47">
      <c r="C11" s="199" t="s">
        <v>25</v>
      </c>
      <c r="D11" s="196">
        <f t="shared" si="0"/>
        <v>3161.9103773584902</v>
      </c>
      <c r="E11" s="196">
        <f t="shared" si="4"/>
        <v>2391.9811320754716</v>
      </c>
      <c r="F11" s="171">
        <f>VLOOKUP($C11,'[4]Breakdown EU havens'!$S$4:$Y$31,F$2,0)/E106</f>
        <v>0</v>
      </c>
      <c r="G11" s="171">
        <f>VLOOKUP($C11,'[4]Breakdown EU havens'!$S$4:$Y$31,G$2,0)/E106</f>
        <v>0</v>
      </c>
      <c r="H11" s="171">
        <f>VLOOKUP($C11,'[4]Breakdown EU havens'!$S$4:$Y$31,H$2,0)/E106</f>
        <v>532.19339622641508</v>
      </c>
      <c r="I11" s="171">
        <f>VLOOKUP($C11,'[4]Breakdown EU havens'!$S$4:$Y$31,I$2,0)/E106</f>
        <v>1250.1179245283017</v>
      </c>
      <c r="J11" s="171">
        <f>VLOOKUP($C11,'[4]Breakdown EU havens'!$S$4:$Y$31,J$2,0)/E106</f>
        <v>0</v>
      </c>
      <c r="K11" s="171">
        <f>VLOOKUP($C11,'[4]Breakdown EU havens'!$S$4:$Y$31,K$2,0)/E106</f>
        <v>609.66981132075477</v>
      </c>
      <c r="L11" s="196">
        <f t="shared" si="5"/>
        <v>769.92924528301887</v>
      </c>
      <c r="M11" s="178">
        <f>VLOOKUP($C11,'[4]Breakdown non-EU havens'!$K$4:$M$31,3,0)/E106</f>
        <v>755.07075471698113</v>
      </c>
      <c r="N11" s="183">
        <f>VLOOKUP($C11,'[4]Breakdown non-EU havens'!$K$4:$M$31,2,0)/E106</f>
        <v>14.858490566037736</v>
      </c>
      <c r="O11" s="196">
        <f t="shared" si="2"/>
        <v>15936.323371747605</v>
      </c>
      <c r="P11" s="196">
        <f t="shared" si="6"/>
        <v>13506.014150943396</v>
      </c>
      <c r="Q11" s="171">
        <f>VLOOKUP($C11,'[4]Breakdown EU havens'!$J$4:$P$31,Q$2,0)/E106</f>
        <v>0</v>
      </c>
      <c r="R11" s="171">
        <f>VLOOKUP($C11,'[4]Breakdown EU havens'!$J$4:$P$31,R$2,0)/E106</f>
        <v>15.566037735849056</v>
      </c>
      <c r="S11" s="171">
        <f>VLOOKUP($C11,'[4]Breakdown EU havens'!$J$4:$P$31,S$2,0)/E106</f>
        <v>2516.5094339622642</v>
      </c>
      <c r="T11" s="171">
        <f>VLOOKUP($C11,'[4]Breakdown EU havens'!$J$4:$P$31,T$2,0)/E106</f>
        <v>4563.6792452830186</v>
      </c>
      <c r="U11" s="171">
        <f>VLOOKUP($C11,'[4]Breakdown EU havens'!$J$4:$P$31,U$2,0)/E106</f>
        <v>37.735849056603776</v>
      </c>
      <c r="V11" s="171">
        <f>VLOOKUP($C11,'[4]Breakdown EU havens'!$J$4:$P$31,V$2,0)/E106</f>
        <v>6372.5235849056598</v>
      </c>
      <c r="W11" s="196">
        <f t="shared" si="7"/>
        <v>2430.309220804209</v>
      </c>
      <c r="X11" s="178">
        <f>IFERROR(IFERROR(VLOOKUP(C11,'[4]Swiss pivot'!$E$3:$H$54,3,0),VLOOKUP($C11,'[4]Breakdown non-EU havens'!$F$4:$H$31,3,0)/$E$106),AK11*'[4]Non-EU tax havens'!$I$8)</f>
        <v>1108.3752585400582</v>
      </c>
      <c r="Y11" s="177">
        <f>VLOOKUP($C11,'[4]Breakdown non-EU havens'!$F$4:$H$31,2,0)/E106</f>
        <v>1321.933962264151</v>
      </c>
      <c r="Z11" s="159"/>
      <c r="AA11" s="36">
        <f>+'[4]CDIS Table-4'!O8</f>
        <v>1.6851091979899344E-2</v>
      </c>
      <c r="AB11" s="39"/>
      <c r="AC11" s="39">
        <f t="shared" si="8"/>
        <v>0</v>
      </c>
      <c r="AD11" s="39">
        <f t="shared" si="9"/>
        <v>0</v>
      </c>
      <c r="AE11" s="39">
        <f t="shared" si="10"/>
        <v>0</v>
      </c>
      <c r="AF11" s="39"/>
      <c r="AG11" s="36">
        <f t="shared" si="18"/>
        <v>1.6851091979899344E-2</v>
      </c>
      <c r="AH11" s="39"/>
      <c r="AI11" s="39">
        <f t="shared" si="11"/>
        <v>0</v>
      </c>
      <c r="AJ11" s="39"/>
      <c r="AK11" s="39">
        <f t="shared" si="12"/>
        <v>0</v>
      </c>
      <c r="AL11" s="39"/>
      <c r="AM11" s="36">
        <f>+'[4]CDIS Table-4'!U8</f>
        <v>0</v>
      </c>
      <c r="AN11" s="39"/>
      <c r="AO11" s="39">
        <f t="shared" si="13"/>
        <v>0</v>
      </c>
      <c r="AP11" s="39">
        <f t="shared" si="14"/>
        <v>0</v>
      </c>
      <c r="AQ11" s="39">
        <f t="shared" si="15"/>
        <v>0</v>
      </c>
      <c r="AR11" s="39"/>
      <c r="AS11" s="39">
        <f t="shared" si="16"/>
        <v>0</v>
      </c>
      <c r="AT11" s="39"/>
      <c r="AU11" s="39">
        <f t="shared" si="17"/>
        <v>0</v>
      </c>
    </row>
    <row r="12" spans="3:47">
      <c r="C12" s="199" t="s">
        <v>43</v>
      </c>
      <c r="D12" s="196">
        <f t="shared" si="0"/>
        <v>2291.3393674451245</v>
      </c>
      <c r="E12" s="196">
        <f t="shared" si="4"/>
        <v>1013.679245283019</v>
      </c>
      <c r="F12" s="171">
        <f>HLOOKUP($C12,'[4]Interest shifted to EU'!$L$2:$AT$8,F$2,0)/E106</f>
        <v>96.108490566037744</v>
      </c>
      <c r="G12" s="171">
        <f>HLOOKUP($C12,'[4]Interest shifted to EU'!$L$2:$AT$8,G$2,0)/E106</f>
        <v>0</v>
      </c>
      <c r="H12" s="171">
        <f>HLOOKUP($C12,'[4]Interest shifted to EU'!$L$2:$AT$8,H$2,0)/E106</f>
        <v>-23.584905660377359</v>
      </c>
      <c r="I12" s="171">
        <f>HLOOKUP($C12,'[4]Interest shifted to EU'!$L$2:$AT$8,I$2,0)/E106</f>
        <v>0</v>
      </c>
      <c r="J12" s="171">
        <f>HLOOKUP($C12,'[4]Interest shifted to EU'!$L$2:$AT$8,J$2,0)/E106</f>
        <v>199.76415094339623</v>
      </c>
      <c r="K12" s="171">
        <f>HLOOKUP($C12,'[4]Interest shifted to EU'!$L$2:$AT$8,K$2,0)/E106</f>
        <v>741.39150943396237</v>
      </c>
      <c r="L12" s="196">
        <f t="shared" si="5"/>
        <v>1277.6601221621054</v>
      </c>
      <c r="M12" s="178">
        <f>AC12*'[4]Non-EU tax havens'!$K$8</f>
        <v>182.01868463662396</v>
      </c>
      <c r="N12" s="183">
        <f>AC12*'[4]Non-EU tax havens'!$K$13</f>
        <v>1095.6414375254815</v>
      </c>
      <c r="O12" s="196">
        <f t="shared" si="2"/>
        <v>21076.808980881491</v>
      </c>
      <c r="P12" s="196">
        <f t="shared" si="6"/>
        <v>4129.3632075471705</v>
      </c>
      <c r="Q12" s="171">
        <f>HLOOKUP($C12,'[4]Non EU income shifted to EU'!$B$2:$AI$9,Q$2+1,0)/E106</f>
        <v>343.75</v>
      </c>
      <c r="R12" s="171">
        <f>HLOOKUP($C12,'[4]Non EU income shifted to EU'!$B$2:$AI$9,R$2+1,0)/E106</f>
        <v>1.179245283018868</v>
      </c>
      <c r="S12" s="171">
        <f>HLOOKUP($C12,'[4]Non EU income shifted to EU'!$B$2:$AI$9,S$2+1,0)/E106</f>
        <v>1094.3396226415095</v>
      </c>
      <c r="T12" s="171">
        <f>HLOOKUP($C12,'[4]Non EU income shifted to EU'!$B$2:$AI$9,T$2+1,0)/E106</f>
        <v>530.66037735849056</v>
      </c>
      <c r="U12" s="171">
        <f>HLOOKUP($C12,'[4]Non EU income shifted to EU'!$B$2:$AI$9,U$2+1,0)/E106</f>
        <v>172.52358490566039</v>
      </c>
      <c r="V12" s="171">
        <f>HLOOKUP($C12,'[4]Non EU income shifted to EU'!$B$2:$AI$9,V$2+1,0)/E106</f>
        <v>1986.9103773584907</v>
      </c>
      <c r="W12" s="196">
        <f t="shared" si="7"/>
        <v>16947.445773334319</v>
      </c>
      <c r="X12" s="178">
        <f>IFERROR(IFERROR(VLOOKUP(C12,'[4]Swiss pivot'!$E$3:$H$54,3,0),VLOOKUP($C12,'[4]Breakdown non-EU havens'!$F$4:$H$31,3,0)/$E$106),AK12*'[4]Non-EU tax havens'!$I$8)</f>
        <v>1202.3865297342736</v>
      </c>
      <c r="Y12" s="177">
        <f>AE12*'[4]Non-EU tax havens'!$I$13</f>
        <v>15745.059243600046</v>
      </c>
      <c r="Z12" s="159"/>
      <c r="AA12" s="36">
        <f>+'[4]CDIS Table-4'!O9</f>
        <v>1.8625065059146493E-2</v>
      </c>
      <c r="AB12" s="39">
        <f>+AA12</f>
        <v>1.8625065059146493E-2</v>
      </c>
      <c r="AC12" s="39">
        <f t="shared" si="8"/>
        <v>3.7084610373787533E-2</v>
      </c>
      <c r="AD12" s="39">
        <f t="shared" si="9"/>
        <v>1.8625065059146493E-2</v>
      </c>
      <c r="AE12" s="39">
        <f t="shared" si="10"/>
        <v>4.7097411354300595E-2</v>
      </c>
      <c r="AF12" s="39"/>
      <c r="AG12" s="36">
        <f t="shared" si="18"/>
        <v>1.8625065059146493E-2</v>
      </c>
      <c r="AH12" s="39">
        <f>+AG12</f>
        <v>1.8625065059146493E-2</v>
      </c>
      <c r="AI12" s="39">
        <f t="shared" si="11"/>
        <v>3.7084610373787533E-2</v>
      </c>
      <c r="AJ12" s="39"/>
      <c r="AK12" s="39">
        <f t="shared" si="12"/>
        <v>0</v>
      </c>
      <c r="AL12" s="39"/>
      <c r="AM12" s="36">
        <f>+'[4]CDIS Table-4'!U9</f>
        <v>0</v>
      </c>
      <c r="AN12" s="39">
        <f>+AM12</f>
        <v>0</v>
      </c>
      <c r="AO12" s="39">
        <f t="shared" si="13"/>
        <v>0</v>
      </c>
      <c r="AP12" s="39">
        <f t="shared" si="14"/>
        <v>0</v>
      </c>
      <c r="AQ12" s="39">
        <f t="shared" si="15"/>
        <v>0</v>
      </c>
      <c r="AR12" s="39"/>
      <c r="AS12" s="39">
        <f t="shared" si="16"/>
        <v>0</v>
      </c>
      <c r="AT12" s="39"/>
      <c r="AU12" s="39">
        <f t="shared" si="17"/>
        <v>0</v>
      </c>
    </row>
    <row r="13" spans="3:47">
      <c r="C13" s="199" t="s">
        <v>112</v>
      </c>
      <c r="D13" s="196">
        <f t="shared" si="0"/>
        <v>905.94653543049571</v>
      </c>
      <c r="E13" s="196">
        <f t="shared" si="4"/>
        <v>421.34433962264154</v>
      </c>
      <c r="F13" s="171">
        <f>HLOOKUP($C13,'[4]Interest shifted to EU'!$L$2:$AT$8,F$2,0)/E106</f>
        <v>33.136792452830193</v>
      </c>
      <c r="G13" s="171">
        <f>HLOOKUP($C13,'[4]Interest shifted to EU'!$L$2:$AT$8,G$2,0)/E106</f>
        <v>0</v>
      </c>
      <c r="H13" s="171">
        <f>HLOOKUP($C13,'[4]Interest shifted to EU'!$L$2:$AT$8,H$2,0)/E106</f>
        <v>0</v>
      </c>
      <c r="I13" s="171">
        <f>HLOOKUP($C13,'[4]Interest shifted to EU'!$L$2:$AT$8,I$2,0)/E106</f>
        <v>40.566037735849058</v>
      </c>
      <c r="J13" s="171">
        <f>HLOOKUP($C13,'[4]Interest shifted to EU'!$L$2:$AT$8,J$2,0)/E106</f>
        <v>3.3018867924528301</v>
      </c>
      <c r="K13" s="171">
        <f>HLOOKUP($C13,'[4]Interest shifted to EU'!$L$2:$AT$8,K$2,0)/E106</f>
        <v>344.33962264150944</v>
      </c>
      <c r="L13" s="196">
        <f t="shared" si="5"/>
        <v>484.60219580785417</v>
      </c>
      <c r="M13" s="178">
        <f>AC13*'[4]Non-EU tax havens'!$K$8</f>
        <v>69.037651502888437</v>
      </c>
      <c r="N13" s="183">
        <f>AC13*'[4]Non-EU tax havens'!$K$13</f>
        <v>415.56454430496575</v>
      </c>
      <c r="O13" s="196">
        <f t="shared" si="2"/>
        <v>7052.8408264820146</v>
      </c>
      <c r="P13" s="196">
        <f t="shared" si="6"/>
        <v>862.5</v>
      </c>
      <c r="Q13" s="171">
        <f>HLOOKUP($C13,'[4]Non EU income shifted to EU'!$B$2:$AI$9,Q$2+1,0)/E106</f>
        <v>76.650943396226424</v>
      </c>
      <c r="R13" s="171">
        <f>HLOOKUP($C13,'[4]Non EU income shifted to EU'!$B$2:$AI$9,R$2+1,0)/E106</f>
        <v>0</v>
      </c>
      <c r="S13" s="171">
        <f>HLOOKUP($C13,'[4]Non EU income shifted to EU'!$B$2:$AI$9,S$2+1,0)/E106</f>
        <v>282.90094339622641</v>
      </c>
      <c r="T13" s="171">
        <f>HLOOKUP($C13,'[4]Non EU income shifted to EU'!$B$2:$AI$9,T$2+1,0)/E106</f>
        <v>87.264150943396231</v>
      </c>
      <c r="U13" s="171">
        <f>HLOOKUP($C13,'[4]Non EU income shifted to EU'!$B$2:$AI$9,U$2+1,0)/E106</f>
        <v>0</v>
      </c>
      <c r="V13" s="171">
        <f>HLOOKUP($C13,'[4]Non EU income shifted to EU'!$B$2:$AI$9,V$2+1,0)/E106</f>
        <v>415.68396226415098</v>
      </c>
      <c r="W13" s="196">
        <f t="shared" si="7"/>
        <v>6190.3408264820146</v>
      </c>
      <c r="X13" s="178">
        <f>IFERROR(IFERROR(VLOOKUP(C13,'[4]Swiss pivot'!$E$3:$H$54,3,0),VLOOKUP($C13,'[4]Breakdown non-EU havens'!$F$4:$H$31,3,0)/$E$106),AK13*'[4]Non-EU tax havens'!$I$8)</f>
        <v>218.41593799022883</v>
      </c>
      <c r="Y13" s="177">
        <f>AE13*'[4]Non-EU tax havens'!$I$13</f>
        <v>5971.9248884917861</v>
      </c>
      <c r="Z13" s="159"/>
      <c r="AA13" s="36">
        <f>+'[4]CDIS Table-4'!O10</f>
        <v>7.0642788861976962E-3</v>
      </c>
      <c r="AB13" s="39">
        <f>+AA13</f>
        <v>7.0642788861976962E-3</v>
      </c>
      <c r="AC13" s="39">
        <f t="shared" si="8"/>
        <v>1.4065777984370734E-2</v>
      </c>
      <c r="AD13" s="39">
        <f t="shared" si="9"/>
        <v>7.0642788861976962E-3</v>
      </c>
      <c r="AE13" s="39">
        <f t="shared" si="10"/>
        <v>1.786352141955954E-2</v>
      </c>
      <c r="AF13" s="39"/>
      <c r="AG13" s="36">
        <f t="shared" si="18"/>
        <v>7.0642788861976962E-3</v>
      </c>
      <c r="AH13" s="39">
        <f>+AG13</f>
        <v>7.0642788861976962E-3</v>
      </c>
      <c r="AI13" s="39">
        <f t="shared" si="11"/>
        <v>1.4065777984370734E-2</v>
      </c>
      <c r="AJ13" s="39"/>
      <c r="AK13" s="39">
        <f t="shared" si="12"/>
        <v>0</v>
      </c>
      <c r="AL13" s="39"/>
      <c r="AM13" s="36">
        <f>+'[4]CDIS Table-4'!U10</f>
        <v>0</v>
      </c>
      <c r="AN13" s="39">
        <f>+AM13</f>
        <v>0</v>
      </c>
      <c r="AO13" s="39">
        <f t="shared" si="13"/>
        <v>0</v>
      </c>
      <c r="AP13" s="39">
        <f t="shared" si="14"/>
        <v>0</v>
      </c>
      <c r="AQ13" s="39">
        <f t="shared" si="15"/>
        <v>0</v>
      </c>
      <c r="AR13" s="39"/>
      <c r="AS13" s="39">
        <f t="shared" si="16"/>
        <v>0</v>
      </c>
      <c r="AT13" s="39"/>
      <c r="AU13" s="39">
        <f t="shared" si="17"/>
        <v>0</v>
      </c>
    </row>
    <row r="14" spans="3:47">
      <c r="C14" s="199" t="s">
        <v>92</v>
      </c>
      <c r="D14" s="196">
        <f t="shared" si="0"/>
        <v>241.50943396226413</v>
      </c>
      <c r="E14" s="196">
        <f t="shared" si="4"/>
        <v>220.87264150943395</v>
      </c>
      <c r="F14" s="171">
        <f>VLOOKUP($C14,'[4]Breakdown EU havens'!$S$4:$Y$31,F$2,0)/E106</f>
        <v>4.716981132075472</v>
      </c>
      <c r="G14" s="171">
        <f>VLOOKUP($C14,'[4]Breakdown EU havens'!$S$4:$Y$31,G$2,0)/E106</f>
        <v>0.47169811320754723</v>
      </c>
      <c r="H14" s="171">
        <f>VLOOKUP($C14,'[4]Breakdown EU havens'!$S$4:$Y$31,H$2,0)/E106</f>
        <v>58.490566037735853</v>
      </c>
      <c r="I14" s="171">
        <f>VLOOKUP($C14,'[4]Breakdown EU havens'!$S$4:$Y$31,I$2,0)/E106</f>
        <v>47.877358490566039</v>
      </c>
      <c r="J14" s="171">
        <f>VLOOKUP($C14,'[4]Breakdown EU havens'!$S$4:$Y$31,J$2,0)/E106</f>
        <v>0.82547169811320753</v>
      </c>
      <c r="K14" s="171">
        <f>VLOOKUP($C14,'[4]Breakdown EU havens'!$S$4:$Y$31,K$2,0)/E106</f>
        <v>108.49056603773585</v>
      </c>
      <c r="L14" s="196">
        <f t="shared" si="5"/>
        <v>20.636792452830189</v>
      </c>
      <c r="M14" s="178">
        <f>VLOOKUP($C14,'[4]Breakdown non-EU havens'!$K$4:$M$31,3,0)/E106</f>
        <v>20.636792452830189</v>
      </c>
      <c r="N14" s="183">
        <f>VLOOKUP($C14,'[4]Breakdown non-EU havens'!$K$4:$M$31,2,0)/E106</f>
        <v>0</v>
      </c>
      <c r="O14" s="196">
        <f t="shared" si="2"/>
        <v>2580.5424528301892</v>
      </c>
      <c r="P14" s="196">
        <f t="shared" si="6"/>
        <v>2141.3915094339627</v>
      </c>
      <c r="Q14" s="171">
        <f>VLOOKUP($C14,'[4]Breakdown EU havens'!$J$4:$P$31,Q$2,0)/E106</f>
        <v>503.53773584905662</v>
      </c>
      <c r="R14" s="171">
        <f>VLOOKUP($C14,'[4]Breakdown EU havens'!$J$4:$P$31,R$2,0)/E106</f>
        <v>9.433962264150944</v>
      </c>
      <c r="S14" s="171">
        <f>VLOOKUP($C14,'[4]Breakdown EU havens'!$J$4:$P$31,S$2,0)/E106</f>
        <v>548.34905660377365</v>
      </c>
      <c r="T14" s="171">
        <f>VLOOKUP($C14,'[4]Breakdown EU havens'!$J$4:$P$31,T$2,0)/E106</f>
        <v>321.46226415094344</v>
      </c>
      <c r="U14" s="171">
        <f>VLOOKUP($C14,'[4]Breakdown EU havens'!$J$4:$P$31,U$2,0)/E106</f>
        <v>37.617924528301884</v>
      </c>
      <c r="V14" s="171">
        <f>VLOOKUP($C14,'[4]Breakdown EU havens'!$J$4:$P$31,V$2,0)/E106</f>
        <v>720.99056603773579</v>
      </c>
      <c r="W14" s="196">
        <f t="shared" si="7"/>
        <v>439.15094339622641</v>
      </c>
      <c r="X14" s="178">
        <f>IFERROR(IFERROR(VLOOKUP(C14,'[4]Swiss pivot'!$E$3:$H$54,3,0),VLOOKUP($C14,'[4]Breakdown non-EU havens'!$F$4:$H$31,3,0)/$E$106),AK14*'[4]Non-EU tax havens'!$I$8)</f>
        <v>370.87264150943395</v>
      </c>
      <c r="Y14" s="177">
        <f>VLOOKUP($C14,'[4]Breakdown non-EU havens'!$F$4:$H$31,2,0)/E106</f>
        <v>68.278301886792448</v>
      </c>
      <c r="Z14" s="159"/>
      <c r="AA14" s="36">
        <f>+'[4]CDIS Table-4'!O11</f>
        <v>4.2168628042858767E-3</v>
      </c>
      <c r="AB14" s="39"/>
      <c r="AC14" s="39">
        <f t="shared" si="8"/>
        <v>0</v>
      </c>
      <c r="AD14" s="39">
        <f t="shared" si="9"/>
        <v>0</v>
      </c>
      <c r="AE14" s="39">
        <f t="shared" si="10"/>
        <v>0</v>
      </c>
      <c r="AF14" s="39"/>
      <c r="AG14" s="36">
        <f t="shared" si="18"/>
        <v>4.2168628042858767E-3</v>
      </c>
      <c r="AH14" s="39"/>
      <c r="AI14" s="39">
        <f t="shared" si="11"/>
        <v>0</v>
      </c>
      <c r="AJ14" s="39"/>
      <c r="AK14" s="39">
        <f t="shared" si="12"/>
        <v>0</v>
      </c>
      <c r="AL14" s="39"/>
      <c r="AM14" s="36">
        <f>+'[4]CDIS Table-4'!U11</f>
        <v>0</v>
      </c>
      <c r="AN14" s="39"/>
      <c r="AO14" s="39">
        <f t="shared" si="13"/>
        <v>0</v>
      </c>
      <c r="AP14" s="39">
        <f t="shared" si="14"/>
        <v>0</v>
      </c>
      <c r="AQ14" s="39">
        <f t="shared" si="15"/>
        <v>0</v>
      </c>
      <c r="AR14" s="39"/>
      <c r="AS14" s="39">
        <f t="shared" si="16"/>
        <v>0</v>
      </c>
      <c r="AT14" s="39"/>
      <c r="AU14" s="39">
        <f t="shared" si="17"/>
        <v>0</v>
      </c>
    </row>
    <row r="15" spans="3:47">
      <c r="C15" s="199" t="s">
        <v>41</v>
      </c>
      <c r="D15" s="196">
        <f t="shared" si="0"/>
        <v>245.16509433962264</v>
      </c>
      <c r="E15" s="196">
        <f t="shared" si="4"/>
        <v>161.91037735849056</v>
      </c>
      <c r="F15" s="171">
        <f>VLOOKUP($C15,'[4]Breakdown EU havens'!$S$4:$Y$31,F$2,0)/E106</f>
        <v>16.391509433962266</v>
      </c>
      <c r="G15" s="171">
        <f>VLOOKUP($C15,'[4]Breakdown EU havens'!$S$4:$Y$31,G$2,0)/E106</f>
        <v>0</v>
      </c>
      <c r="H15" s="171">
        <f>VLOOKUP($C15,'[4]Breakdown EU havens'!$S$4:$Y$31,H$2,0)/E106</f>
        <v>15.683962264150944</v>
      </c>
      <c r="I15" s="171">
        <f>VLOOKUP($C15,'[4]Breakdown EU havens'!$S$4:$Y$31,I$2,0)/E106</f>
        <v>43.160377358490571</v>
      </c>
      <c r="J15" s="171">
        <f>VLOOKUP($C15,'[4]Breakdown EU havens'!$S$4:$Y$31,J$2,0)/E106</f>
        <v>0.589622641509434</v>
      </c>
      <c r="K15" s="171">
        <f>VLOOKUP($C15,'[4]Breakdown EU havens'!$S$4:$Y$31,K$2,0)/E106</f>
        <v>86.084905660377359</v>
      </c>
      <c r="L15" s="196">
        <f t="shared" si="5"/>
        <v>83.254716981132077</v>
      </c>
      <c r="M15" s="178">
        <f>VLOOKUP($C15,'[4]Breakdown non-EU havens'!$K$4:$M$31,3,0)/E106</f>
        <v>56.60377358490566</v>
      </c>
      <c r="N15" s="183">
        <f>VLOOKUP($C15,'[4]Breakdown non-EU havens'!$K$4:$M$31,2,0)/E106</f>
        <v>26.650943396226417</v>
      </c>
      <c r="O15" s="196">
        <f t="shared" si="2"/>
        <v>5497.2643993757365</v>
      </c>
      <c r="P15" s="196">
        <f t="shared" si="6"/>
        <v>4790.683962264151</v>
      </c>
      <c r="Q15" s="171">
        <f>VLOOKUP($C15,'[4]Breakdown EU havens'!$J$4:$P$31,Q$2,0)/E106</f>
        <v>689.85849056603774</v>
      </c>
      <c r="R15" s="171">
        <f>VLOOKUP($C15,'[4]Breakdown EU havens'!$J$4:$P$31,R$2,0)/E106</f>
        <v>34.551886792452834</v>
      </c>
      <c r="S15" s="171">
        <f>VLOOKUP($C15,'[4]Breakdown EU havens'!$J$4:$P$31,S$2,0)/E106</f>
        <v>1682.7830188679245</v>
      </c>
      <c r="T15" s="171">
        <f>VLOOKUP($C15,'[4]Breakdown EU havens'!$J$4:$P$31,T$2,0)/E106</f>
        <v>540.09433962264154</v>
      </c>
      <c r="U15" s="171">
        <f>VLOOKUP($C15,'[4]Breakdown EU havens'!$J$4:$P$31,U$2,0)/E106</f>
        <v>245.99056603773585</v>
      </c>
      <c r="V15" s="171">
        <f>VLOOKUP($C15,'[4]Breakdown EU havens'!$J$4:$P$31,V$2,0)/E106</f>
        <v>1597.4056603773583</v>
      </c>
      <c r="W15" s="196">
        <f t="shared" si="7"/>
        <v>706.58043711158552</v>
      </c>
      <c r="X15" s="178">
        <f>IFERROR(IFERROR(VLOOKUP(C15,'[4]Swiss pivot'!$E$3:$H$54,3,0),VLOOKUP($C15,'[4]Breakdown non-EU havens'!$F$4:$H$31,3,0)/$E$106),AK15*'[4]Non-EU tax havens'!$I$8)</f>
        <v>319.19836163988737</v>
      </c>
      <c r="Y15" s="177">
        <f>VLOOKUP($C15,'[4]Breakdown non-EU havens'!$F$4:$H$31,2,0)/E106</f>
        <v>387.3820754716981</v>
      </c>
      <c r="Z15" s="159"/>
      <c r="AA15" s="36">
        <f>+'[4]CDIS Table-4'!O12</f>
        <v>4.270260946196207E-3</v>
      </c>
      <c r="AB15" s="39"/>
      <c r="AC15" s="39">
        <f t="shared" si="8"/>
        <v>0</v>
      </c>
      <c r="AD15" s="39">
        <f t="shared" si="9"/>
        <v>0</v>
      </c>
      <c r="AE15" s="39">
        <f t="shared" si="10"/>
        <v>0</v>
      </c>
      <c r="AF15" s="39"/>
      <c r="AG15" s="36">
        <f t="shared" si="18"/>
        <v>4.270260946196207E-3</v>
      </c>
      <c r="AH15" s="39"/>
      <c r="AI15" s="39">
        <f t="shared" si="11"/>
        <v>0</v>
      </c>
      <c r="AJ15" s="39"/>
      <c r="AK15" s="39">
        <f t="shared" si="12"/>
        <v>0</v>
      </c>
      <c r="AL15" s="39"/>
      <c r="AM15" s="36">
        <f>+'[4]CDIS Table-4'!U12</f>
        <v>0</v>
      </c>
      <c r="AN15" s="39"/>
      <c r="AO15" s="39">
        <f t="shared" si="13"/>
        <v>0</v>
      </c>
      <c r="AP15" s="39">
        <f t="shared" si="14"/>
        <v>0</v>
      </c>
      <c r="AQ15" s="39">
        <f t="shared" si="15"/>
        <v>0</v>
      </c>
      <c r="AR15" s="39"/>
      <c r="AS15" s="39">
        <f t="shared" si="16"/>
        <v>0</v>
      </c>
      <c r="AT15" s="39"/>
      <c r="AU15" s="39">
        <f t="shared" si="17"/>
        <v>0</v>
      </c>
    </row>
    <row r="16" spans="3:47">
      <c r="C16" s="199" t="s">
        <v>93</v>
      </c>
      <c r="D16" s="196">
        <f t="shared" si="0"/>
        <v>21.816037735849058</v>
      </c>
      <c r="E16" s="196">
        <f t="shared" si="4"/>
        <v>18.632075471698116</v>
      </c>
      <c r="F16" s="171">
        <f>VLOOKUP($C16,'[4]Breakdown EU havens'!$S$4:$Y$31,F$2,0)/E106</f>
        <v>3.5377358490566038</v>
      </c>
      <c r="G16" s="171">
        <f>VLOOKUP($C16,'[4]Breakdown EU havens'!$S$4:$Y$31,G$2,0)/E106</f>
        <v>0</v>
      </c>
      <c r="H16" s="171">
        <f>VLOOKUP($C16,'[4]Breakdown EU havens'!$S$4:$Y$31,H$2,0)/E106</f>
        <v>2.1226415094339623</v>
      </c>
      <c r="I16" s="171">
        <f>VLOOKUP($C16,'[4]Breakdown EU havens'!$S$4:$Y$31,I$2,0)/E106</f>
        <v>0</v>
      </c>
      <c r="J16" s="171">
        <f>VLOOKUP($C16,'[4]Breakdown EU havens'!$S$4:$Y$31,J$2,0)/E106</f>
        <v>0</v>
      </c>
      <c r="K16" s="171">
        <f>VLOOKUP($C16,'[4]Breakdown EU havens'!$S$4:$Y$31,K$2,0)/E106</f>
        <v>12.971698113207548</v>
      </c>
      <c r="L16" s="196">
        <f t="shared" si="5"/>
        <v>3.1839622641509435</v>
      </c>
      <c r="M16" s="178">
        <f>VLOOKUP($C16,'[4]Breakdown non-EU havens'!$K$4:$M$31,3,0)/E106</f>
        <v>1.5330188679245285</v>
      </c>
      <c r="N16" s="183">
        <f>VLOOKUP($C16,'[4]Breakdown non-EU havens'!$K$4:$M$31,2,0)/E106</f>
        <v>1.6509433962264151</v>
      </c>
      <c r="O16" s="196">
        <f t="shared" si="2"/>
        <v>378.77358490566041</v>
      </c>
      <c r="P16" s="196">
        <f t="shared" si="6"/>
        <v>303.77358490566041</v>
      </c>
      <c r="Q16" s="171">
        <f>VLOOKUP($C16,'[4]Breakdown EU havens'!$J$4:$P$31,Q$2,0)/E106</f>
        <v>79.009433962264154</v>
      </c>
      <c r="R16" s="171">
        <f>VLOOKUP($C16,'[4]Breakdown EU havens'!$J$4:$P$31,R$2,0)/E106</f>
        <v>0.35377358490566035</v>
      </c>
      <c r="S16" s="171">
        <f>VLOOKUP($C16,'[4]Breakdown EU havens'!$J$4:$P$31,S$2,0)/E106</f>
        <v>49.528301886792455</v>
      </c>
      <c r="T16" s="171">
        <f>VLOOKUP($C16,'[4]Breakdown EU havens'!$J$4:$P$31,T$2,0)/E106</f>
        <v>101.41509433962264</v>
      </c>
      <c r="U16" s="171">
        <f>VLOOKUP($C16,'[4]Breakdown EU havens'!$J$4:$P$31,U$2,0)/E106</f>
        <v>17.924528301886792</v>
      </c>
      <c r="V16" s="171">
        <f>VLOOKUP($C16,'[4]Breakdown EU havens'!$J$4:$P$31,V$2,0)/E106</f>
        <v>55.54245283018868</v>
      </c>
      <c r="W16" s="196">
        <f t="shared" si="7"/>
        <v>75</v>
      </c>
      <c r="X16" s="178">
        <f>IFERROR(IFERROR(VLOOKUP(C16,'[4]Swiss pivot'!$E$3:$H$54,3,0),VLOOKUP($C16,'[4]Breakdown non-EU havens'!$F$4:$H$31,3,0)/$E$106),AK16*'[4]Non-EU tax havens'!$I$8)</f>
        <v>39.386792452830186</v>
      </c>
      <c r="Y16" s="177">
        <f>VLOOKUP($C16,'[4]Breakdown non-EU havens'!$F$4:$H$31,2,0)/E106</f>
        <v>35.613207547169814</v>
      </c>
      <c r="Z16" s="159"/>
      <c r="AA16" s="36">
        <f>+'[4]CDIS Table-4'!O13</f>
        <v>6.773202753420001E-4</v>
      </c>
      <c r="AB16" s="39"/>
      <c r="AC16" s="39">
        <f t="shared" si="8"/>
        <v>0</v>
      </c>
      <c r="AD16" s="39">
        <f t="shared" si="9"/>
        <v>0</v>
      </c>
      <c r="AE16" s="39">
        <f t="shared" si="10"/>
        <v>0</v>
      </c>
      <c r="AF16" s="39"/>
      <c r="AG16" s="36">
        <f t="shared" si="18"/>
        <v>6.773202753420001E-4</v>
      </c>
      <c r="AH16" s="39"/>
      <c r="AI16" s="39">
        <f t="shared" si="11"/>
        <v>0</v>
      </c>
      <c r="AJ16" s="39"/>
      <c r="AK16" s="39">
        <f t="shared" si="12"/>
        <v>0</v>
      </c>
      <c r="AL16" s="39"/>
      <c r="AM16" s="36">
        <f>+'[4]CDIS Table-4'!U13</f>
        <v>0</v>
      </c>
      <c r="AN16" s="39"/>
      <c r="AO16" s="39">
        <f t="shared" si="13"/>
        <v>0</v>
      </c>
      <c r="AP16" s="39">
        <f t="shared" si="14"/>
        <v>0</v>
      </c>
      <c r="AQ16" s="39">
        <f t="shared" si="15"/>
        <v>0</v>
      </c>
      <c r="AR16" s="39"/>
      <c r="AS16" s="39">
        <f t="shared" si="16"/>
        <v>0</v>
      </c>
      <c r="AT16" s="39"/>
      <c r="AU16" s="39">
        <f t="shared" si="17"/>
        <v>0</v>
      </c>
    </row>
    <row r="17" spans="1:47">
      <c r="C17" s="199" t="s">
        <v>94</v>
      </c>
      <c r="D17" s="196">
        <f t="shared" si="0"/>
        <v>299.8820754716981</v>
      </c>
      <c r="E17" s="196">
        <f t="shared" si="4"/>
        <v>236.20283018867923</v>
      </c>
      <c r="F17" s="171">
        <f>VLOOKUP($C17,'[4]Breakdown EU havens'!$S$4:$Y$31,F$2,0)/E106</f>
        <v>7.783018867924528</v>
      </c>
      <c r="G17" s="171">
        <f>VLOOKUP($C17,'[4]Breakdown EU havens'!$S$4:$Y$31,G$2,0)/E106</f>
        <v>0</v>
      </c>
      <c r="H17" s="171">
        <f>VLOOKUP($C17,'[4]Breakdown EU havens'!$S$4:$Y$31,H$2,0)/E106</f>
        <v>2.358490566037736</v>
      </c>
      <c r="I17" s="171">
        <f>VLOOKUP($C17,'[4]Breakdown EU havens'!$S$4:$Y$31,I$2,0)/E106</f>
        <v>16.15566037735849</v>
      </c>
      <c r="J17" s="171">
        <f>VLOOKUP($C17,'[4]Breakdown EU havens'!$S$4:$Y$31,J$2,0)/E106</f>
        <v>0</v>
      </c>
      <c r="K17" s="171">
        <f>VLOOKUP($C17,'[4]Breakdown EU havens'!$S$4:$Y$31,K$2,0)/E106</f>
        <v>209.90566037735849</v>
      </c>
      <c r="L17" s="196">
        <f t="shared" si="5"/>
        <v>63.679245283018872</v>
      </c>
      <c r="M17" s="178">
        <f>VLOOKUP($C17,'[4]Breakdown non-EU havens'!$K$4:$M$31,3,0)/E106</f>
        <v>4.716981132075472</v>
      </c>
      <c r="N17" s="183">
        <f>VLOOKUP($C17,'[4]Breakdown non-EU havens'!$K$4:$M$31,2,0)/E106</f>
        <v>58.962264150943398</v>
      </c>
      <c r="O17" s="196">
        <f t="shared" si="2"/>
        <v>4513.6929052575288</v>
      </c>
      <c r="P17" s="196">
        <f t="shared" si="6"/>
        <v>3635.3773584905662</v>
      </c>
      <c r="Q17" s="171">
        <f>VLOOKUP($C17,'[4]Breakdown EU havens'!$J$4:$P$31,Q$2,0)/E106</f>
        <v>411.55660377358492</v>
      </c>
      <c r="R17" s="171">
        <f>VLOOKUP($C17,'[4]Breakdown EU havens'!$J$4:$P$31,R$2,0)/E106</f>
        <v>2.8301886792452828</v>
      </c>
      <c r="S17" s="171">
        <f>VLOOKUP($C17,'[4]Breakdown EU havens'!$J$4:$P$31,S$2,0)/E106</f>
        <v>1194.5754716981132</v>
      </c>
      <c r="T17" s="171">
        <f>VLOOKUP($C17,'[4]Breakdown EU havens'!$J$4:$P$31,T$2,0)/E106</f>
        <v>748.82075471698113</v>
      </c>
      <c r="U17" s="171">
        <f>VLOOKUP($C17,'[4]Breakdown EU havens'!$J$4:$P$31,U$2,0)/E106</f>
        <v>79.834905660377359</v>
      </c>
      <c r="V17" s="171">
        <f>VLOOKUP($C17,'[4]Breakdown EU havens'!$J$4:$P$31,V$2,0)/E106</f>
        <v>1197.7594339622642</v>
      </c>
      <c r="W17" s="196">
        <f t="shared" si="7"/>
        <v>878.31554676696214</v>
      </c>
      <c r="X17" s="178">
        <f>IFERROR(IFERROR(VLOOKUP(C17,'[4]Swiss pivot'!$E$3:$H$54,3,0),VLOOKUP($C17,'[4]Breakdown non-EU havens'!$F$4:$H$31,3,0)/$E$106),AK17*'[4]Non-EU tax havens'!$I$8)</f>
        <v>365.34384865375455</v>
      </c>
      <c r="Y17" s="177">
        <f>VLOOKUP($C17,'[4]Breakdown non-EU havens'!$F$4:$H$31,2,0)/E106</f>
        <v>512.97169811320759</v>
      </c>
      <c r="Z17" s="159"/>
      <c r="AA17" s="36">
        <f>+'[4]CDIS Table-4'!O14</f>
        <v>2.5371919195899964E-3</v>
      </c>
      <c r="AB17" s="39"/>
      <c r="AC17" s="39">
        <f t="shared" si="8"/>
        <v>0</v>
      </c>
      <c r="AD17" s="39">
        <f t="shared" si="9"/>
        <v>0</v>
      </c>
      <c r="AE17" s="39">
        <f t="shared" si="10"/>
        <v>0</v>
      </c>
      <c r="AF17" s="39"/>
      <c r="AG17" s="36">
        <f t="shared" si="18"/>
        <v>2.5371919195899964E-3</v>
      </c>
      <c r="AH17" s="39"/>
      <c r="AI17" s="39">
        <f t="shared" si="11"/>
        <v>0</v>
      </c>
      <c r="AJ17" s="39"/>
      <c r="AK17" s="39">
        <f t="shared" si="12"/>
        <v>0</v>
      </c>
      <c r="AL17" s="39"/>
      <c r="AM17" s="36">
        <f>+'[4]CDIS Table-4'!U14</f>
        <v>0</v>
      </c>
      <c r="AN17" s="39"/>
      <c r="AO17" s="39">
        <f t="shared" si="13"/>
        <v>0</v>
      </c>
      <c r="AP17" s="39">
        <f t="shared" si="14"/>
        <v>0</v>
      </c>
      <c r="AQ17" s="39">
        <f t="shared" si="15"/>
        <v>0</v>
      </c>
      <c r="AR17" s="39"/>
      <c r="AS17" s="39">
        <f t="shared" si="16"/>
        <v>0</v>
      </c>
      <c r="AT17" s="39"/>
      <c r="AU17" s="39">
        <f t="shared" si="17"/>
        <v>0</v>
      </c>
    </row>
    <row r="18" spans="1:47">
      <c r="C18" s="199" t="s">
        <v>32</v>
      </c>
      <c r="D18" s="196">
        <f t="shared" si="0"/>
        <v>3057.6650943396226</v>
      </c>
      <c r="E18" s="196">
        <f t="shared" si="4"/>
        <v>2626.0613207547171</v>
      </c>
      <c r="F18" s="171">
        <f>VLOOKUP($C18,'[4]Breakdown EU havens'!$S$4:$Y$31,F$2,0)/E106</f>
        <v>320.75471698113211</v>
      </c>
      <c r="G18" s="171">
        <f>VLOOKUP($C18,'[4]Breakdown EU havens'!$S$4:$Y$31,G$2,0)/E106</f>
        <v>0</v>
      </c>
      <c r="H18" s="171">
        <f>VLOOKUP($C18,'[4]Breakdown EU havens'!$S$4:$Y$31,H$2,0)/E106</f>
        <v>225.23584905660377</v>
      </c>
      <c r="I18" s="171">
        <f>VLOOKUP($C18,'[4]Breakdown EU havens'!$S$4:$Y$31,I$2,0)/E106</f>
        <v>944.10377358490575</v>
      </c>
      <c r="J18" s="171">
        <f>VLOOKUP($C18,'[4]Breakdown EU havens'!$S$4:$Y$31,J$2,0)/E106</f>
        <v>3.891509433962264</v>
      </c>
      <c r="K18" s="171">
        <f>VLOOKUP($C18,'[4]Breakdown EU havens'!$S$4:$Y$31,K$2,0)/E106</f>
        <v>1132.0754716981132</v>
      </c>
      <c r="L18" s="196">
        <f t="shared" si="5"/>
        <v>431.60377358490564</v>
      </c>
      <c r="M18" s="178">
        <f>VLOOKUP($C18,'[4]Breakdown non-EU havens'!$K$4:$M$31,3,0)/E106</f>
        <v>295.99056603773585</v>
      </c>
      <c r="N18" s="183">
        <f>VLOOKUP($C18,'[4]Breakdown non-EU havens'!$K$4:$M$31,2,0)/E106</f>
        <v>135.61320754716982</v>
      </c>
      <c r="O18" s="196">
        <f t="shared" si="2"/>
        <v>39795.187745298899</v>
      </c>
      <c r="P18" s="196">
        <f t="shared" si="6"/>
        <v>32284.669811320757</v>
      </c>
      <c r="Q18" s="171">
        <f>VLOOKUP($C18,'[4]Breakdown EU havens'!$J$4:$P$31,Q$2,0)/E106</f>
        <v>5971.6981132075471</v>
      </c>
      <c r="R18" s="171">
        <f>VLOOKUP($C18,'[4]Breakdown EU havens'!$J$4:$P$31,R$2,0)/E106</f>
        <v>38.915094339622641</v>
      </c>
      <c r="S18" s="171">
        <f>VLOOKUP($C18,'[4]Breakdown EU havens'!$J$4:$P$31,S$2,0)/E106</f>
        <v>6851.4150943396226</v>
      </c>
      <c r="T18" s="171">
        <f>VLOOKUP($C18,'[4]Breakdown EU havens'!$J$4:$P$31,T$2,0)/E106</f>
        <v>10653.301886792453</v>
      </c>
      <c r="U18" s="171">
        <f>VLOOKUP($C18,'[4]Breakdown EU havens'!$J$4:$P$31,U$2,0)/E106</f>
        <v>407.90094339622641</v>
      </c>
      <c r="V18" s="171">
        <f>VLOOKUP($C18,'[4]Breakdown EU havens'!$J$4:$P$31,V$2,0)/E106</f>
        <v>8361.4386792452824</v>
      </c>
      <c r="W18" s="196">
        <f t="shared" si="7"/>
        <v>7510.5179339781425</v>
      </c>
      <c r="X18" s="178">
        <f>IFERROR(IFERROR(VLOOKUP(C18,'[4]Swiss pivot'!$E$3:$H$54,3,0),VLOOKUP($C18,'[4]Breakdown non-EU havens'!$F$4:$H$31,3,0)/$E$106),AK18*'[4]Non-EU tax havens'!$I$8)</f>
        <v>3568.3009528460666</v>
      </c>
      <c r="Y18" s="177">
        <f>VLOOKUP($C18,'[4]Breakdown non-EU havens'!$F$4:$H$31,2,0)/E106</f>
        <v>3942.2169811320755</v>
      </c>
      <c r="Z18" s="159"/>
      <c r="AA18" s="36">
        <f>+'[4]CDIS Table-4'!O15</f>
        <v>2.3101070838444246E-2</v>
      </c>
      <c r="AB18" s="39"/>
      <c r="AC18" s="39">
        <f t="shared" si="8"/>
        <v>0</v>
      </c>
      <c r="AD18" s="39">
        <f t="shared" si="9"/>
        <v>0</v>
      </c>
      <c r="AE18" s="39">
        <f t="shared" si="10"/>
        <v>0</v>
      </c>
      <c r="AF18" s="39"/>
      <c r="AG18" s="36">
        <f t="shared" si="18"/>
        <v>2.3101070838444246E-2</v>
      </c>
      <c r="AH18" s="39"/>
      <c r="AI18" s="39">
        <f t="shared" si="11"/>
        <v>0</v>
      </c>
      <c r="AJ18" s="39"/>
      <c r="AK18" s="39">
        <f t="shared" si="12"/>
        <v>0</v>
      </c>
      <c r="AL18" s="39"/>
      <c r="AM18" s="36">
        <f>+'[4]CDIS Table-4'!U15</f>
        <v>0</v>
      </c>
      <c r="AN18" s="39"/>
      <c r="AO18" s="39">
        <f t="shared" si="13"/>
        <v>0</v>
      </c>
      <c r="AP18" s="39">
        <f t="shared" si="14"/>
        <v>0</v>
      </c>
      <c r="AQ18" s="39">
        <f t="shared" si="15"/>
        <v>0</v>
      </c>
      <c r="AR18" s="39"/>
      <c r="AS18" s="39">
        <f t="shared" si="16"/>
        <v>0</v>
      </c>
      <c r="AT18" s="39"/>
      <c r="AU18" s="39">
        <f t="shared" si="17"/>
        <v>0</v>
      </c>
    </row>
    <row r="19" spans="1:47">
      <c r="B19" s="146" t="s">
        <v>360</v>
      </c>
      <c r="C19" s="199" t="s">
        <v>34</v>
      </c>
      <c r="D19" s="196">
        <f t="shared" si="0"/>
        <v>10960.613207547171</v>
      </c>
      <c r="E19" s="196">
        <f t="shared" si="4"/>
        <v>9591.5094339622647</v>
      </c>
      <c r="F19" s="171">
        <f>VLOOKUP($B19,'[4]Breakdown EU havens'!$S$4:$Y$31,F$2,0)/E106</f>
        <v>779.7169811320756</v>
      </c>
      <c r="G19" s="171">
        <f>VLOOKUP($B19,'[4]Breakdown EU havens'!$S$4:$Y$31,G$2,0)/E106</f>
        <v>0</v>
      </c>
      <c r="H19" s="171">
        <f>VLOOKUP($B19,'[4]Breakdown EU havens'!$S$4:$Y$31,H$2,0)/E106</f>
        <v>398.58490566037739</v>
      </c>
      <c r="I19" s="171">
        <f>VLOOKUP($B19,'[4]Breakdown EU havens'!$S$4:$Y$31,I$2,0)/E106</f>
        <v>2022.4056603773586</v>
      </c>
      <c r="J19" s="171">
        <f>VLOOKUP($B19,'[4]Breakdown EU havens'!$S$4:$Y$31,J$2,0)/E106</f>
        <v>19.339622641509433</v>
      </c>
      <c r="K19" s="171">
        <f>VLOOKUP($B19,'[4]Breakdown EU havens'!$S$4:$Y$31,K$2,0)/E106</f>
        <v>6371.4622641509432</v>
      </c>
      <c r="L19" s="196">
        <f t="shared" si="5"/>
        <v>1369.1037735849056</v>
      </c>
      <c r="M19" s="178">
        <f>VLOOKUP($B19,'[4]Breakdown non-EU havens'!$K$4:$M$31,3,0)/E106</f>
        <v>560.14150943396226</v>
      </c>
      <c r="N19" s="183">
        <f>VLOOKUP($B19,'[4]Breakdown non-EU havens'!$K$4:$M$31,2,0)/E106</f>
        <v>808.96226415094338</v>
      </c>
      <c r="O19" s="196">
        <f t="shared" si="2"/>
        <v>64036.373245853829</v>
      </c>
      <c r="P19" s="196">
        <f t="shared" si="6"/>
        <v>51332.193396226416</v>
      </c>
      <c r="Q19" s="171">
        <f>VLOOKUP($B19,'[4]Breakdown EU havens'!$J$4:$P$31,Q$2,0)/E106</f>
        <v>6165.0943396226421</v>
      </c>
      <c r="R19" s="171">
        <f>VLOOKUP($B19,'[4]Breakdown EU havens'!$J$4:$P$31,R$2,0)/E106</f>
        <v>120.28301886792453</v>
      </c>
      <c r="S19" s="171">
        <f>VLOOKUP($B19,'[4]Breakdown EU havens'!$J$4:$P$31,S$2,0)/E106</f>
        <v>12214.622641509435</v>
      </c>
      <c r="T19" s="171">
        <f>VLOOKUP($B19,'[4]Breakdown EU havens'!$J$4:$P$31,T$2,0)/E106</f>
        <v>18053.066037735851</v>
      </c>
      <c r="U19" s="171">
        <f>VLOOKUP($B19,'[4]Breakdown EU havens'!$J$4:$P$31,U$2,0)/E106</f>
        <v>876.41509433962267</v>
      </c>
      <c r="V19" s="171">
        <f>VLOOKUP($B19,'[4]Breakdown EU havens'!$J$4:$P$31,V$2,0)/E106</f>
        <v>13902.712264150943</v>
      </c>
      <c r="W19" s="196">
        <f t="shared" si="7"/>
        <v>12704.179849627413</v>
      </c>
      <c r="X19" s="178">
        <f>IFERROR(IFERROR(VLOOKUP(C19,'[4]Swiss pivot'!$E$3:$H$54,3,0),VLOOKUP($C19,'[4]Breakdown non-EU havens'!$F$4:$H$31,3,0)/$E$106),AK19*'[4]Non-EU tax havens'!$I$8)</f>
        <v>7517.8590949104328</v>
      </c>
      <c r="Y19" s="177">
        <f>VLOOKUP($B19,'[4]Breakdown non-EU havens'!$F$4:$H$31,2,0)/E106</f>
        <v>5186.3207547169814</v>
      </c>
      <c r="Z19" s="159"/>
      <c r="AA19" s="36">
        <f>+'[4]CDIS Table-4'!O16</f>
        <v>2.7155362460586724E-2</v>
      </c>
      <c r="AB19" s="39"/>
      <c r="AC19" s="39">
        <f t="shared" si="8"/>
        <v>0</v>
      </c>
      <c r="AD19" s="39">
        <f t="shared" si="9"/>
        <v>0</v>
      </c>
      <c r="AE19" s="39">
        <f t="shared" si="10"/>
        <v>0</v>
      </c>
      <c r="AF19" s="39"/>
      <c r="AG19" s="36">
        <f t="shared" si="18"/>
        <v>2.7155362460586724E-2</v>
      </c>
      <c r="AH19" s="39"/>
      <c r="AI19" s="39">
        <f t="shared" si="11"/>
        <v>0</v>
      </c>
      <c r="AJ19" s="39"/>
      <c r="AK19" s="39">
        <f t="shared" si="12"/>
        <v>0</v>
      </c>
      <c r="AL19" s="39"/>
      <c r="AM19" s="36">
        <f>+'[4]CDIS Table-4'!U16</f>
        <v>0</v>
      </c>
      <c r="AN19" s="39"/>
      <c r="AO19" s="39">
        <f t="shared" si="13"/>
        <v>0</v>
      </c>
      <c r="AP19" s="39">
        <f t="shared" si="14"/>
        <v>0</v>
      </c>
      <c r="AQ19" s="39">
        <f t="shared" si="15"/>
        <v>0</v>
      </c>
      <c r="AR19" s="39"/>
      <c r="AS19" s="39">
        <f t="shared" si="16"/>
        <v>0</v>
      </c>
      <c r="AT19" s="39"/>
      <c r="AU19" s="39">
        <f t="shared" si="17"/>
        <v>0</v>
      </c>
    </row>
    <row r="20" spans="1:47">
      <c r="C20" s="199" t="s">
        <v>40</v>
      </c>
      <c r="D20" s="196">
        <f t="shared" si="0"/>
        <v>70.283018867924525</v>
      </c>
      <c r="E20" s="196">
        <f t="shared" si="4"/>
        <v>65.448113207547166</v>
      </c>
      <c r="F20" s="171">
        <f>VLOOKUP($C20,'[4]Breakdown EU havens'!$S$4:$Y$31,F$2,0)/E106</f>
        <v>1.7688679245283019</v>
      </c>
      <c r="G20" s="171">
        <f>VLOOKUP($C20,'[4]Breakdown EU havens'!$S$4:$Y$31,G$2,0)/E106</f>
        <v>0</v>
      </c>
      <c r="H20" s="171">
        <f>VLOOKUP($C20,'[4]Breakdown EU havens'!$S$4:$Y$31,H$2,0)/E106</f>
        <v>11.674528301886793</v>
      </c>
      <c r="I20" s="171">
        <f>VLOOKUP($C20,'[4]Breakdown EU havens'!$S$4:$Y$31,I$2,0)/E106</f>
        <v>3.6556603773584908</v>
      </c>
      <c r="J20" s="171">
        <f>VLOOKUP($C20,'[4]Breakdown EU havens'!$S$4:$Y$31,J$2,0)/E106</f>
        <v>0</v>
      </c>
      <c r="K20" s="171">
        <f>VLOOKUP($C20,'[4]Breakdown EU havens'!$S$4:$Y$31,K$2,0)/E106</f>
        <v>48.349056603773583</v>
      </c>
      <c r="L20" s="196">
        <f t="shared" si="5"/>
        <v>4.834905660377359</v>
      </c>
      <c r="M20" s="178">
        <f>VLOOKUP($C20,'[4]Breakdown non-EU havens'!$K$4:$M$31,3,0)/E106</f>
        <v>3.6556603773584908</v>
      </c>
      <c r="N20" s="183">
        <f>VLOOKUP($C20,'[4]Breakdown non-EU havens'!$K$4:$M$31,2,0)/E106</f>
        <v>1.179245283018868</v>
      </c>
      <c r="O20" s="196">
        <f t="shared" si="2"/>
        <v>2026.0915793449299</v>
      </c>
      <c r="P20" s="196">
        <f t="shared" si="6"/>
        <v>1637.2641509433965</v>
      </c>
      <c r="Q20" s="171">
        <f>VLOOKUP($C20,'[4]Breakdown EU havens'!$J$4:$P$31,Q$2,0)/E106</f>
        <v>310.14150943396226</v>
      </c>
      <c r="R20" s="171">
        <f>VLOOKUP($C20,'[4]Breakdown EU havens'!$J$4:$P$31,R$2,0)/E106</f>
        <v>102.59433962264151</v>
      </c>
      <c r="S20" s="171">
        <f>VLOOKUP($C20,'[4]Breakdown EU havens'!$J$4:$P$31,S$2,0)/E106</f>
        <v>413.20754716981128</v>
      </c>
      <c r="T20" s="171">
        <f>VLOOKUP($C20,'[4]Breakdown EU havens'!$J$4:$P$31,T$2,0)/E106</f>
        <v>235.84905660377359</v>
      </c>
      <c r="U20" s="171">
        <f>VLOOKUP($C20,'[4]Breakdown EU havens'!$J$4:$P$31,U$2,0)/E106</f>
        <v>48.584905660377366</v>
      </c>
      <c r="V20" s="171">
        <f>VLOOKUP($C20,'[4]Breakdown EU havens'!$J$4:$P$31,V$2,0)/E106</f>
        <v>526.88679245283026</v>
      </c>
      <c r="W20" s="196">
        <f t="shared" si="7"/>
        <v>388.82742840153344</v>
      </c>
      <c r="X20" s="178">
        <f>IFERROR(IFERROR(VLOOKUP(C20,'[4]Swiss pivot'!$E$3:$H$54,3,0),VLOOKUP($C20,'[4]Breakdown non-EU havens'!$F$4:$H$31,3,0)/$E$106),AK20*'[4]Non-EU tax havens'!$I$8)</f>
        <v>356.51610764681647</v>
      </c>
      <c r="Y20" s="177">
        <f>VLOOKUP($C20,'[4]Breakdown non-EU havens'!$F$4:$H$31,2,0)/E106</f>
        <v>32.311320754716981</v>
      </c>
      <c r="Z20" s="159"/>
      <c r="AA20" s="36">
        <f>+'[4]CDIS Table-4'!O17</f>
        <v>9.4183324614684747E-4</v>
      </c>
      <c r="AB20" s="39"/>
      <c r="AC20" s="39">
        <f t="shared" si="8"/>
        <v>0</v>
      </c>
      <c r="AD20" s="39">
        <f t="shared" si="9"/>
        <v>0</v>
      </c>
      <c r="AE20" s="39">
        <f t="shared" si="10"/>
        <v>0</v>
      </c>
      <c r="AF20" s="39"/>
      <c r="AG20" s="36">
        <f t="shared" si="18"/>
        <v>9.4183324614684747E-4</v>
      </c>
      <c r="AH20" s="39"/>
      <c r="AI20" s="39">
        <f t="shared" si="11"/>
        <v>0</v>
      </c>
      <c r="AJ20" s="39"/>
      <c r="AK20" s="39">
        <f t="shared" si="12"/>
        <v>0</v>
      </c>
      <c r="AL20" s="39"/>
      <c r="AM20" s="36">
        <f>+'[4]CDIS Table-4'!U17</f>
        <v>0</v>
      </c>
      <c r="AN20" s="39"/>
      <c r="AO20" s="39">
        <f t="shared" si="13"/>
        <v>0</v>
      </c>
      <c r="AP20" s="39">
        <f t="shared" si="14"/>
        <v>0</v>
      </c>
      <c r="AQ20" s="39">
        <f t="shared" si="15"/>
        <v>0</v>
      </c>
      <c r="AR20" s="39"/>
      <c r="AS20" s="39">
        <f t="shared" si="16"/>
        <v>0</v>
      </c>
      <c r="AT20" s="39"/>
      <c r="AU20" s="39">
        <f t="shared" si="17"/>
        <v>0</v>
      </c>
    </row>
    <row r="21" spans="1:47">
      <c r="C21" s="199" t="s">
        <v>95</v>
      </c>
      <c r="D21" s="196">
        <f t="shared" si="0"/>
        <v>1031.7216981132076</v>
      </c>
      <c r="E21" s="196">
        <f t="shared" si="4"/>
        <v>765.56603773584902</v>
      </c>
      <c r="F21" s="171">
        <f>VLOOKUP($C21,'[4]Breakdown EU havens'!$S$4:$Y$31,F$2,0)/E106</f>
        <v>2.0047169811320753</v>
      </c>
      <c r="G21" s="171">
        <f>VLOOKUP($C21,'[4]Breakdown EU havens'!$S$4:$Y$31,G$2,0)/E106</f>
        <v>0</v>
      </c>
      <c r="H21" s="171">
        <f>VLOOKUP($C21,'[4]Breakdown EU havens'!$S$4:$Y$31,H$2,0)/E106</f>
        <v>661.43867924528297</v>
      </c>
      <c r="I21" s="171">
        <f>VLOOKUP($C21,'[4]Breakdown EU havens'!$S$4:$Y$31,I$2,0)/E106</f>
        <v>24.292452830188683</v>
      </c>
      <c r="J21" s="171">
        <f>VLOOKUP($C21,'[4]Breakdown EU havens'!$S$4:$Y$31,J$2,0)/E106</f>
        <v>0</v>
      </c>
      <c r="K21" s="171">
        <f>VLOOKUP($C21,'[4]Breakdown EU havens'!$S$4:$Y$31,K$2,0)/E106</f>
        <v>77.830188679245282</v>
      </c>
      <c r="L21" s="196">
        <f t="shared" si="5"/>
        <v>266.15566037735852</v>
      </c>
      <c r="M21" s="178">
        <f>VLOOKUP($C21,'[4]Breakdown non-EU havens'!$K$4:$M$31,3,0)/E106</f>
        <v>39.740566037735853</v>
      </c>
      <c r="N21" s="183">
        <f>VLOOKUP($C21,'[4]Breakdown non-EU havens'!$K$4:$M$31,2,0)/E106</f>
        <v>226.41509433962264</v>
      </c>
      <c r="O21" s="196">
        <f t="shared" si="2"/>
        <v>4623.9502961020762</v>
      </c>
      <c r="P21" s="196">
        <f t="shared" si="6"/>
        <v>4070.4009433962265</v>
      </c>
      <c r="Q21" s="171">
        <f>VLOOKUP($C21,'[4]Breakdown EU havens'!$J$4:$P$31,Q$2,0)/E106</f>
        <v>300.70754716981133</v>
      </c>
      <c r="R21" s="171">
        <f>VLOOKUP($C21,'[4]Breakdown EU havens'!$J$4:$P$31,R$2,0)/E106</f>
        <v>1.4150943396226414</v>
      </c>
      <c r="S21" s="171">
        <f>VLOOKUP($C21,'[4]Breakdown EU havens'!$J$4:$P$31,S$2,0)/E106</f>
        <v>2652.7122641509436</v>
      </c>
      <c r="T21" s="171">
        <f>VLOOKUP($C21,'[4]Breakdown EU havens'!$J$4:$P$31,T$2,0)/E106</f>
        <v>183.49056603773585</v>
      </c>
      <c r="U21" s="171">
        <f>VLOOKUP($C21,'[4]Breakdown EU havens'!$J$4:$P$31,U$2,0)/E106</f>
        <v>14.386792452830187</v>
      </c>
      <c r="V21" s="171">
        <f>VLOOKUP($C21,'[4]Breakdown EU havens'!$J$4:$P$31,V$2,0)/E106</f>
        <v>917.68867924528308</v>
      </c>
      <c r="W21" s="196">
        <f t="shared" si="7"/>
        <v>553.54935270584997</v>
      </c>
      <c r="X21" s="178">
        <f>IFERROR(IFERROR(VLOOKUP(C21,'[4]Swiss pivot'!$E$3:$H$54,3,0),VLOOKUP($C21,'[4]Breakdown non-EU havens'!$F$4:$H$31,3,0)/$E$106),AK21*'[4]Non-EU tax havens'!$I$8)</f>
        <v>185.03520176245368</v>
      </c>
      <c r="Y21" s="177">
        <f>VLOOKUP($C21,'[4]Breakdown non-EU havens'!$F$4:$H$31,2,0)/E106</f>
        <v>368.51415094339626</v>
      </c>
      <c r="Z21" s="159"/>
      <c r="AA21" s="36">
        <f>+'[4]CDIS Table-4'!O18</f>
        <v>7.0490294335267892E-3</v>
      </c>
      <c r="AB21" s="39"/>
      <c r="AC21" s="39">
        <f t="shared" si="8"/>
        <v>0</v>
      </c>
      <c r="AD21" s="39">
        <f t="shared" si="9"/>
        <v>0</v>
      </c>
      <c r="AE21" s="39">
        <f t="shared" si="10"/>
        <v>0</v>
      </c>
      <c r="AF21" s="39"/>
      <c r="AG21" s="36">
        <f t="shared" si="18"/>
        <v>7.0490294335267892E-3</v>
      </c>
      <c r="AH21" s="39"/>
      <c r="AI21" s="39">
        <f t="shared" si="11"/>
        <v>0</v>
      </c>
      <c r="AJ21" s="39"/>
      <c r="AK21" s="39">
        <f t="shared" si="12"/>
        <v>0</v>
      </c>
      <c r="AL21" s="39"/>
      <c r="AM21" s="36">
        <f>+'[4]CDIS Table-4'!U18</f>
        <v>0</v>
      </c>
      <c r="AN21" s="39"/>
      <c r="AO21" s="39">
        <f t="shared" si="13"/>
        <v>0</v>
      </c>
      <c r="AP21" s="39">
        <f t="shared" si="14"/>
        <v>0</v>
      </c>
      <c r="AQ21" s="39">
        <f t="shared" si="15"/>
        <v>0</v>
      </c>
      <c r="AR21" s="39"/>
      <c r="AS21" s="39">
        <f t="shared" si="16"/>
        <v>0</v>
      </c>
      <c r="AT21" s="39"/>
      <c r="AU21" s="39">
        <f t="shared" si="17"/>
        <v>0</v>
      </c>
    </row>
    <row r="22" spans="1:47">
      <c r="C22" s="199" t="s">
        <v>113</v>
      </c>
      <c r="D22" s="196">
        <f t="shared" si="0"/>
        <v>23.187744030047174</v>
      </c>
      <c r="E22" s="196">
        <f t="shared" si="4"/>
        <v>2.8301886792452828</v>
      </c>
      <c r="F22" s="171">
        <f>HLOOKUP($C22,'[4]Interest shifted to EU'!$L$2:$AT$8,F$2,0)/E106</f>
        <v>0.23584905660377362</v>
      </c>
      <c r="G22" s="171">
        <f>HLOOKUP($C22,'[4]Interest shifted to EU'!$L$2:$AT$8,G$2,0)/E106</f>
        <v>0</v>
      </c>
      <c r="H22" s="171">
        <f>HLOOKUP($C22,'[4]Interest shifted to EU'!$L$2:$AT$8,H$2,0)/E106</f>
        <v>0</v>
      </c>
      <c r="I22" s="171">
        <f>HLOOKUP($C22,'[4]Interest shifted to EU'!$L$2:$AT$8,I$2,0)/E106</f>
        <v>0.82547169811320753</v>
      </c>
      <c r="J22" s="171">
        <f>HLOOKUP($C22,'[4]Interest shifted to EU'!$L$2:$AT$8,J$2,0)/E106</f>
        <v>1.7688679245283019</v>
      </c>
      <c r="K22" s="171">
        <f>HLOOKUP($C22,'[4]Interest shifted to EU'!$L$2:$AT$8,K$2,0)/E106</f>
        <v>0</v>
      </c>
      <c r="L22" s="196">
        <f t="shared" si="5"/>
        <v>20.357555350801892</v>
      </c>
      <c r="M22" s="178">
        <f>AC22*'[4]Non-EU tax havens'!$K$8</f>
        <v>2.9001886989316943</v>
      </c>
      <c r="N22" s="183">
        <f>AC22*'[4]Non-EU tax havens'!$K$13</f>
        <v>17.457366651870199</v>
      </c>
      <c r="O22" s="196">
        <f t="shared" si="2"/>
        <v>590.37890014345112</v>
      </c>
      <c r="P22" s="196">
        <f t="shared" si="6"/>
        <v>282.66509433962267</v>
      </c>
      <c r="Q22" s="171">
        <f>HLOOKUP($C22,'[4]Non EU income shifted to EU'!$B$2:$AI$9,Q$2+1,0)/E106</f>
        <v>11.79245283018868</v>
      </c>
      <c r="R22" s="171">
        <f>HLOOKUP($C22,'[4]Non EU income shifted to EU'!$B$2:$AI$9,R$2+1,0)/E106</f>
        <v>0</v>
      </c>
      <c r="S22" s="171">
        <f>HLOOKUP($C22,'[4]Non EU income shifted to EU'!$B$2:$AI$9,S$2+1,0)/E106</f>
        <v>96.816037735849051</v>
      </c>
      <c r="T22" s="171">
        <f>HLOOKUP($C22,'[4]Non EU income shifted to EU'!$B$2:$AI$9,T$2+1,0)/E106</f>
        <v>53.066037735849058</v>
      </c>
      <c r="U22" s="171">
        <f>HLOOKUP($C22,'[4]Non EU income shifted to EU'!$B$2:$AI$9,U$2+1,0)/E106</f>
        <v>0.35377358490566035</v>
      </c>
      <c r="V22" s="171">
        <f>HLOOKUP($C22,'[4]Non EU income shifted to EU'!$B$2:$AI$9,V$2+1,0)/E106</f>
        <v>120.63679245283019</v>
      </c>
      <c r="W22" s="196">
        <f t="shared" si="7"/>
        <v>307.71380580382839</v>
      </c>
      <c r="X22" s="178">
        <f>IFERROR(IFERROR(VLOOKUP(C22,'[4]Swiss pivot'!$E$3:$H$54,3,0),VLOOKUP($C22,'[4]Breakdown non-EU havens'!$F$4:$H$31,3,0)/$E$106),AK22*'[4]Non-EU tax havens'!$I$8)</f>
        <v>56.840424461356591</v>
      </c>
      <c r="Y22" s="177">
        <f>AE22*'[4]Non-EU tax havens'!$I$13</f>
        <v>250.87338134247179</v>
      </c>
      <c r="Z22" s="159"/>
      <c r="AA22" s="36">
        <f>+'[4]CDIS Table-4'!O19</f>
        <v>2.9676185886762328E-4</v>
      </c>
      <c r="AB22" s="39">
        <f>+AA22</f>
        <v>2.9676185886762328E-4</v>
      </c>
      <c r="AC22" s="39">
        <f t="shared" si="8"/>
        <v>5.9088641435387607E-4</v>
      </c>
      <c r="AD22" s="39">
        <f t="shared" si="9"/>
        <v>2.9676185886762328E-4</v>
      </c>
      <c r="AE22" s="39">
        <f t="shared" si="10"/>
        <v>7.5042504801837431E-4</v>
      </c>
      <c r="AF22" s="39"/>
      <c r="AG22" s="36">
        <f t="shared" si="18"/>
        <v>2.9676185886762328E-4</v>
      </c>
      <c r="AH22" s="39">
        <f>+AG22</f>
        <v>2.9676185886762328E-4</v>
      </c>
      <c r="AI22" s="39">
        <f t="shared" si="11"/>
        <v>5.9088641435387607E-4</v>
      </c>
      <c r="AJ22" s="39">
        <f>+AH22</f>
        <v>2.9676185886762328E-4</v>
      </c>
      <c r="AK22" s="39">
        <f t="shared" si="12"/>
        <v>1.9558741964414718E-3</v>
      </c>
      <c r="AL22" s="39"/>
      <c r="AM22" s="36">
        <f>+'[4]CDIS Table-4'!U19</f>
        <v>0</v>
      </c>
      <c r="AN22" s="39">
        <f>+AM22</f>
        <v>0</v>
      </c>
      <c r="AO22" s="39">
        <f t="shared" si="13"/>
        <v>0</v>
      </c>
      <c r="AP22" s="39">
        <f t="shared" si="14"/>
        <v>0</v>
      </c>
      <c r="AQ22" s="39">
        <f t="shared" si="15"/>
        <v>0</v>
      </c>
      <c r="AR22" s="39">
        <v>0</v>
      </c>
      <c r="AS22" s="39">
        <f t="shared" si="16"/>
        <v>0</v>
      </c>
      <c r="AT22" s="39">
        <v>0</v>
      </c>
      <c r="AU22" s="39">
        <f>+AT22/$AT$102</f>
        <v>0</v>
      </c>
    </row>
    <row r="23" spans="1:47">
      <c r="C23" s="199" t="s">
        <v>20</v>
      </c>
      <c r="D23" s="196">
        <f t="shared" si="0"/>
        <v>6623.7028301886785</v>
      </c>
      <c r="E23" s="196">
        <f t="shared" si="4"/>
        <v>6313.3254716981128</v>
      </c>
      <c r="F23" s="171">
        <f>VLOOKUP($C23,'[4]Breakdown EU havens'!$S$4:$Y$31,F$2,0)/E106</f>
        <v>122.05188679245283</v>
      </c>
      <c r="G23" s="171">
        <f>VLOOKUP($C23,'[4]Breakdown EU havens'!$S$4:$Y$31,G$2,0)/E106</f>
        <v>2.476415094339623</v>
      </c>
      <c r="H23" s="171">
        <f>VLOOKUP($C23,'[4]Breakdown EU havens'!$S$4:$Y$31,H$2,0)/E106</f>
        <v>0</v>
      </c>
      <c r="I23" s="171">
        <f>VLOOKUP($C23,'[4]Breakdown EU havens'!$S$4:$Y$31,I$2,0)/E106</f>
        <v>867.80660377358492</v>
      </c>
      <c r="J23" s="171">
        <f>VLOOKUP($C23,'[4]Breakdown EU havens'!$S$4:$Y$31,J$2,0)/E106</f>
        <v>7.3113207547169807</v>
      </c>
      <c r="K23" s="171">
        <f>VLOOKUP($C23,'[4]Breakdown EU havens'!$S$4:$Y$31,K$2,0)/E106</f>
        <v>5313.6792452830186</v>
      </c>
      <c r="L23" s="196">
        <f t="shared" si="5"/>
        <v>310.37735849056605</v>
      </c>
      <c r="M23" s="178">
        <f>VLOOKUP($C23,'[4]Breakdown non-EU havens'!$K$4:$M$31,3,0)/E106</f>
        <v>200.70754716981131</v>
      </c>
      <c r="N23" s="183">
        <f>VLOOKUP($C23,'[4]Breakdown non-EU havens'!$K$4:$M$31,2,0)/E106</f>
        <v>109.66981132075472</v>
      </c>
      <c r="O23" s="196">
        <f t="shared" si="2"/>
        <v>85715.085523140035</v>
      </c>
      <c r="P23" s="196">
        <f t="shared" si="6"/>
        <v>34860.613207547169</v>
      </c>
      <c r="Q23" s="171">
        <f>VLOOKUP($C23,'[4]Breakdown EU havens'!$J$4:$P$31,Q$2,0)/E106</f>
        <v>3570.7547169811323</v>
      </c>
      <c r="R23" s="171">
        <f>VLOOKUP($C23,'[4]Breakdown EU havens'!$J$4:$P$31,R$2,0)/E106</f>
        <v>37.382075471698116</v>
      </c>
      <c r="S23" s="171">
        <f>VLOOKUP($C23,'[4]Breakdown EU havens'!$J$4:$P$31,S$2,0)/E106</f>
        <v>0</v>
      </c>
      <c r="T23" s="171">
        <f>VLOOKUP($C23,'[4]Breakdown EU havens'!$J$4:$P$31,T$2,0)/E106</f>
        <v>1142.6886792452831</v>
      </c>
      <c r="U23" s="171">
        <f>VLOOKUP($C23,'[4]Breakdown EU havens'!$J$4:$P$31,U$2,0)/E106</f>
        <v>380.89622641509436</v>
      </c>
      <c r="V23" s="171">
        <f>VLOOKUP($C23,'[4]Breakdown EU havens'!$J$4:$P$31,V$2,0)/E106</f>
        <v>29728.891509433961</v>
      </c>
      <c r="W23" s="196">
        <f t="shared" si="7"/>
        <v>50854.472315592866</v>
      </c>
      <c r="X23" s="178">
        <f>IFERROR(IFERROR(VLOOKUP(C23,'[4]Swiss pivot'!$E$3:$H$54,3,0),VLOOKUP($C23,'[4]Breakdown non-EU havens'!$F$4:$H$31,3,0)/$E$106),AK23*'[4]Non-EU tax havens'!$I$8)</f>
        <v>5109.189296724936</v>
      </c>
      <c r="Y23" s="177">
        <f>VLOOKUP($C23,'[4]Breakdown non-EU havens'!$F$4:$H$31,2,0)/E106</f>
        <v>45745.283018867929</v>
      </c>
      <c r="Z23" s="159"/>
      <c r="AA23" s="36">
        <f>+'[4]CDIS Table-4'!O20</f>
        <v>2.9830831694854485E-2</v>
      </c>
      <c r="AB23" s="39"/>
      <c r="AC23" s="39">
        <f t="shared" si="8"/>
        <v>0</v>
      </c>
      <c r="AD23" s="39">
        <f t="shared" si="9"/>
        <v>0</v>
      </c>
      <c r="AE23" s="39">
        <f t="shared" si="10"/>
        <v>0</v>
      </c>
      <c r="AF23" s="39"/>
      <c r="AG23" s="36">
        <f t="shared" si="18"/>
        <v>2.9830831694854485E-2</v>
      </c>
      <c r="AH23" s="39"/>
      <c r="AI23" s="39">
        <f t="shared" si="11"/>
        <v>0</v>
      </c>
      <c r="AJ23" s="39"/>
      <c r="AK23" s="39">
        <f t="shared" si="12"/>
        <v>0</v>
      </c>
      <c r="AL23" s="39"/>
      <c r="AM23" s="36">
        <f>+'[4]CDIS Table-4'!U20</f>
        <v>0</v>
      </c>
      <c r="AN23" s="39"/>
      <c r="AO23" s="39">
        <f t="shared" si="13"/>
        <v>0</v>
      </c>
      <c r="AP23" s="39">
        <f t="shared" si="14"/>
        <v>0</v>
      </c>
      <c r="AQ23" s="39">
        <f t="shared" si="15"/>
        <v>0</v>
      </c>
      <c r="AR23" s="39"/>
      <c r="AS23" s="39">
        <f t="shared" si="16"/>
        <v>0</v>
      </c>
      <c r="AT23" s="39"/>
      <c r="AU23" s="39">
        <f>+AT23/$AB$102</f>
        <v>0</v>
      </c>
    </row>
    <row r="24" spans="1:47">
      <c r="C24" s="199" t="s">
        <v>114</v>
      </c>
      <c r="D24" s="196">
        <f t="shared" si="0"/>
        <v>514.58235889866251</v>
      </c>
      <c r="E24" s="196">
        <f t="shared" si="4"/>
        <v>268.6269849025752</v>
      </c>
      <c r="F24" s="171">
        <f>AS24*'[4]Interest shifted to EU'!$AU$3</f>
        <v>44.603403347992</v>
      </c>
      <c r="G24" s="171">
        <f>AS24*'[4]Interest shifted to EU'!$AU$4</f>
        <v>29.351150393076065</v>
      </c>
      <c r="H24" s="171">
        <f>AS24*'[4]Interest shifted to EU'!$AU$5</f>
        <v>-54.910207647727795</v>
      </c>
      <c r="I24" s="171">
        <f>AS24*'[4]Interest shifted to EU'!$AU$6</f>
        <v>59.153157942702094</v>
      </c>
      <c r="J24" s="171">
        <f>AS24*'[4]Interest shifted to EU'!$AU$7</f>
        <v>160.09623077585559</v>
      </c>
      <c r="K24" s="171">
        <f>AS24*'[4]Interest shifted to EU'!$AU$8</f>
        <v>30.333250090677257</v>
      </c>
      <c r="L24" s="196">
        <f t="shared" si="5"/>
        <v>245.95537399608736</v>
      </c>
      <c r="M24" s="178">
        <f>AC24*'[4]Non-EU tax havens'!$K$8</f>
        <v>35.039423143549158</v>
      </c>
      <c r="N24" s="183">
        <f>AC24*'[4]Non-EU tax havens'!$K$13</f>
        <v>210.9159508525382</v>
      </c>
      <c r="O24" s="196">
        <f t="shared" si="2"/>
        <v>5291.5391313784803</v>
      </c>
      <c r="P24" s="196">
        <f t="shared" si="6"/>
        <v>1651.5946149441324</v>
      </c>
      <c r="Q24" s="171">
        <f>AU24*'[4]Non EU income shifted to EU'!$AJ$4</f>
        <v>93.778288562397734</v>
      </c>
      <c r="R24" s="171">
        <f>AU24*'[4]Non EU income shifted to EU'!$AJ$5</f>
        <v>47.948134346583792</v>
      </c>
      <c r="S24" s="171">
        <f>AU24*'[4]Non EU income shifted to EU'!$AJ$6</f>
        <v>1093.7619867066869</v>
      </c>
      <c r="T24" s="171">
        <f>AU24*'[4]Non EU income shifted to EU'!$AJ$7</f>
        <v>70.704188193847202</v>
      </c>
      <c r="U24" s="171">
        <f>AU24*'[4]Non EU income shifted to EU'!$AJ$8</f>
        <v>-11.512585067253209</v>
      </c>
      <c r="V24" s="171">
        <f>AU24*'[4]Non EU income shifted to EU'!$AJ$9</f>
        <v>356.91460220187014</v>
      </c>
      <c r="W24" s="196">
        <f t="shared" si="7"/>
        <v>3639.9445164343483</v>
      </c>
      <c r="X24" s="178">
        <f>IFERROR(IFERROR(VLOOKUP(C24,'[4]Swiss pivot'!$E$3:$H$54,3,0),VLOOKUP($C24,'[4]Breakdown non-EU havens'!$F$4:$H$31,3,0)/$E$106),AK24*'[4]Non-EU tax havens'!$I$8)</f>
        <v>608.94913066863319</v>
      </c>
      <c r="Y24" s="177">
        <f>AE24*'[4]Non-EU tax havens'!$I$13</f>
        <v>3030.9953857657151</v>
      </c>
      <c r="Z24" s="159"/>
      <c r="AA24" s="36">
        <f>+'[4]CDIS Table-4'!O21</f>
        <v>3.5854095802659949E-3</v>
      </c>
      <c r="AB24" s="39">
        <f>+AA24</f>
        <v>3.5854095802659949E-3</v>
      </c>
      <c r="AC24" s="39">
        <f t="shared" si="8"/>
        <v>7.138955858267626E-3</v>
      </c>
      <c r="AD24" s="39">
        <f t="shared" si="9"/>
        <v>3.5854095802659949E-3</v>
      </c>
      <c r="AE24" s="39">
        <f t="shared" si="10"/>
        <v>9.0664655043721006E-3</v>
      </c>
      <c r="AF24" s="39"/>
      <c r="AG24" s="36">
        <f t="shared" si="18"/>
        <v>3.5854095802659949E-3</v>
      </c>
      <c r="AH24" s="39">
        <f>+AG24</f>
        <v>3.5854095802659949E-3</v>
      </c>
      <c r="AI24" s="39">
        <f t="shared" si="11"/>
        <v>7.138955858267626E-3</v>
      </c>
      <c r="AJ24" s="39"/>
      <c r="AK24" s="39">
        <f t="shared" si="12"/>
        <v>0</v>
      </c>
      <c r="AL24" s="39"/>
      <c r="AM24" s="36">
        <f>+'[4]CDIS Table-4'!U21</f>
        <v>0</v>
      </c>
      <c r="AN24" s="39">
        <f>+AM24</f>
        <v>0</v>
      </c>
      <c r="AO24" s="39">
        <f t="shared" si="13"/>
        <v>0</v>
      </c>
      <c r="AP24" s="39">
        <f t="shared" si="14"/>
        <v>0</v>
      </c>
      <c r="AQ24" s="39">
        <f t="shared" si="15"/>
        <v>0</v>
      </c>
      <c r="AR24" s="39">
        <f>+AB24</f>
        <v>3.5854095802659949E-3</v>
      </c>
      <c r="AS24" s="39">
        <f t="shared" si="16"/>
        <v>3.4950167174417797E-2</v>
      </c>
      <c r="AT24" s="39">
        <f>+AD24</f>
        <v>3.5854095802659949E-3</v>
      </c>
      <c r="AU24" s="39">
        <f>+AT24/$AT$102</f>
        <v>3.4950167174417797E-2</v>
      </c>
    </row>
    <row r="25" spans="1:47">
      <c r="C25" s="199" t="s">
        <v>33</v>
      </c>
      <c r="D25" s="196">
        <f t="shared" si="0"/>
        <v>2642.4528301886794</v>
      </c>
      <c r="E25" s="196">
        <f t="shared" si="4"/>
        <v>2221.1084905660377</v>
      </c>
      <c r="F25" s="171">
        <f>VLOOKUP($C25,'[4]Breakdown EU havens'!$S$4:$Y$31,F$2,0)/E106</f>
        <v>334.55188679245282</v>
      </c>
      <c r="G25" s="171">
        <f>VLOOKUP($C25,'[4]Breakdown EU havens'!$S$4:$Y$31,G$2,0)/E106</f>
        <v>1.6509433962264151</v>
      </c>
      <c r="H25" s="171">
        <f>VLOOKUP($C25,'[4]Breakdown EU havens'!$S$4:$Y$31,H$2,0)/E106</f>
        <v>183.84433962264151</v>
      </c>
      <c r="I25" s="171">
        <f>VLOOKUP($C25,'[4]Breakdown EU havens'!$S$4:$Y$31,I$2,0)/E106</f>
        <v>747.16981132075466</v>
      </c>
      <c r="J25" s="171">
        <f>VLOOKUP($C25,'[4]Breakdown EU havens'!$S$4:$Y$31,J$2,0)/E106</f>
        <v>4.5990566037735849</v>
      </c>
      <c r="K25" s="171">
        <f>VLOOKUP($C25,'[4]Breakdown EU havens'!$S$4:$Y$31,K$2,0)/E106</f>
        <v>949.29245283018872</v>
      </c>
      <c r="L25" s="196">
        <f t="shared" si="5"/>
        <v>421.34433962264154</v>
      </c>
      <c r="M25" s="178">
        <f>VLOOKUP($C25,'[4]Breakdown non-EU havens'!$K$4:$M$31,3,0)/E106</f>
        <v>377.83018867924534</v>
      </c>
      <c r="N25" s="183">
        <f>VLOOKUP($C25,'[4]Breakdown non-EU havens'!$K$4:$M$31,2,0)/E106</f>
        <v>43.514150943396231</v>
      </c>
      <c r="O25" s="196">
        <f t="shared" si="2"/>
        <v>25182.812758340096</v>
      </c>
      <c r="P25" s="196">
        <f t="shared" si="6"/>
        <v>21835.49528301887</v>
      </c>
      <c r="Q25" s="171">
        <f>VLOOKUP($C25,'[4]Breakdown EU havens'!$J$4:$P$31,Q$2,0)/E106</f>
        <v>1753.5377358490566</v>
      </c>
      <c r="R25" s="171">
        <f>VLOOKUP($C25,'[4]Breakdown EU havens'!$J$4:$P$31,R$2,0)/E106</f>
        <v>47.169811320754718</v>
      </c>
      <c r="S25" s="171">
        <f>VLOOKUP($C25,'[4]Breakdown EU havens'!$J$4:$P$31,S$2,0)/E106</f>
        <v>6016.5094339622647</v>
      </c>
      <c r="T25" s="171">
        <f>VLOOKUP($C25,'[4]Breakdown EU havens'!$J$4:$P$31,T$2,0)/E106</f>
        <v>9938.6792452830196</v>
      </c>
      <c r="U25" s="171">
        <f>VLOOKUP($C25,'[4]Breakdown EU havens'!$J$4:$P$31,U$2,0)/E106</f>
        <v>232.07547169811323</v>
      </c>
      <c r="V25" s="171">
        <f>VLOOKUP($C25,'[4]Breakdown EU havens'!$J$4:$P$31,V$2,0)/E106</f>
        <v>3847.5235849056603</v>
      </c>
      <c r="W25" s="196">
        <f t="shared" si="7"/>
        <v>3347.3174753212247</v>
      </c>
      <c r="X25" s="178">
        <f>IFERROR(IFERROR(VLOOKUP(C25,'[4]Swiss pivot'!$E$3:$H$54,3,0),VLOOKUP($C25,'[4]Breakdown non-EU havens'!$F$4:$H$31,3,0)/$E$106),AK25*'[4]Non-EU tax havens'!$I$8)</f>
        <v>2241.892947019338</v>
      </c>
      <c r="Y25" s="177">
        <f>VLOOKUP($C25,'[4]Breakdown non-EU havens'!$F$4:$H$31,2,0)/E106</f>
        <v>1105.4245283018868</v>
      </c>
      <c r="Z25" s="159"/>
      <c r="AA25" s="36">
        <f>+'[4]CDIS Table-4'!O22</f>
        <v>1.1975697569500557E-2</v>
      </c>
      <c r="AB25" s="39"/>
      <c r="AC25" s="39">
        <f t="shared" si="8"/>
        <v>0</v>
      </c>
      <c r="AD25" s="39">
        <f t="shared" si="9"/>
        <v>0</v>
      </c>
      <c r="AE25" s="39">
        <f t="shared" si="10"/>
        <v>0</v>
      </c>
      <c r="AF25" s="39"/>
      <c r="AG25" s="36">
        <f t="shared" si="18"/>
        <v>1.1975697569500557E-2</v>
      </c>
      <c r="AH25" s="39"/>
      <c r="AI25" s="39">
        <f t="shared" si="11"/>
        <v>0</v>
      </c>
      <c r="AJ25" s="39"/>
      <c r="AK25" s="39">
        <f t="shared" si="12"/>
        <v>0</v>
      </c>
      <c r="AL25" s="39"/>
      <c r="AM25" s="36">
        <f>+'[4]CDIS Table-4'!U22</f>
        <v>0</v>
      </c>
      <c r="AN25" s="39"/>
      <c r="AO25" s="39">
        <f t="shared" si="13"/>
        <v>0</v>
      </c>
      <c r="AP25" s="39">
        <f t="shared" si="14"/>
        <v>0</v>
      </c>
      <c r="AQ25" s="39">
        <f t="shared" si="15"/>
        <v>0</v>
      </c>
      <c r="AR25" s="39"/>
      <c r="AS25" s="39">
        <f t="shared" si="16"/>
        <v>0</v>
      </c>
      <c r="AT25" s="39"/>
      <c r="AU25" s="39">
        <f t="shared" ref="AU25:AU46" si="19">+AT25/$AB$102</f>
        <v>0</v>
      </c>
    </row>
    <row r="26" spans="1:47">
      <c r="C26" s="199" t="s">
        <v>31</v>
      </c>
      <c r="D26" s="196">
        <f t="shared" si="0"/>
        <v>736.25576722695394</v>
      </c>
      <c r="E26" s="196">
        <f t="shared" si="4"/>
        <v>344.69339622641508</v>
      </c>
      <c r="F26" s="171">
        <f>HLOOKUP($C26,'[4]Interest shifted to EU'!$L$2:$AT$8,F$2,0)/E106</f>
        <v>17.688679245283019</v>
      </c>
      <c r="G26" s="171">
        <f>HLOOKUP($C26,'[4]Interest shifted to EU'!$L$2:$AT$8,G$2,0)/E106</f>
        <v>0</v>
      </c>
      <c r="H26" s="171">
        <f>HLOOKUP($C26,'[4]Interest shifted to EU'!$L$2:$AT$8,H$2,0)/E106</f>
        <v>0</v>
      </c>
      <c r="I26" s="171">
        <f>HLOOKUP($C26,'[4]Interest shifted to EU'!$L$2:$AT$8,I$2,0)/E106</f>
        <v>0</v>
      </c>
      <c r="J26" s="171">
        <f>HLOOKUP($C26,'[4]Interest shifted to EU'!$L$2:$AT$8,J$2,0)/E106</f>
        <v>32.193396226415096</v>
      </c>
      <c r="K26" s="171">
        <f>HLOOKUP($C26,'[4]Interest shifted to EU'!$L$2:$AT$8,K$2,0)/E106</f>
        <v>294.81132075471697</v>
      </c>
      <c r="L26" s="196">
        <f t="shared" si="5"/>
        <v>391.56237100053886</v>
      </c>
      <c r="M26" s="178">
        <f>AC26*'[4]Non-EU tax havens'!$K$8</f>
        <v>55.782963314302378</v>
      </c>
      <c r="N26" s="183">
        <f>AC26*'[4]Non-EU tax havens'!$K$13</f>
        <v>335.77940768623648</v>
      </c>
      <c r="O26" s="196">
        <f t="shared" si="2"/>
        <v>17264.97583681755</v>
      </c>
      <c r="P26" s="196">
        <f t="shared" si="6"/>
        <v>10525.943396226414</v>
      </c>
      <c r="Q26" s="171">
        <f>HLOOKUP($C26,'[4]Non EU income shifted to EU'!$B$2:$AI$9,Q$2+1,0)/E106</f>
        <v>1446.933962264151</v>
      </c>
      <c r="R26" s="171">
        <f>HLOOKUP($C26,'[4]Non EU income shifted to EU'!$B$2:$AI$9,R$2+1,0)/E106</f>
        <v>7.0754716981132075</v>
      </c>
      <c r="S26" s="171">
        <f>HLOOKUP($C26,'[4]Non EU income shifted to EU'!$B$2:$AI$9,S$2+1,0)/E106</f>
        <v>5917.4528301886794</v>
      </c>
      <c r="T26" s="171">
        <f>HLOOKUP($C26,'[4]Non EU income shifted to EU'!$B$2:$AI$9,T$2+1,0)/E106</f>
        <v>1074.5283018867926</v>
      </c>
      <c r="U26" s="171">
        <f>HLOOKUP($C26,'[4]Non EU income shifted to EU'!$B$2:$AI$9,U$2+1,0)/E106</f>
        <v>2.358490566037736</v>
      </c>
      <c r="V26" s="171">
        <f>HLOOKUP($C26,'[4]Non EU income shifted to EU'!$B$2:$AI$9,V$2+1,0)/E106</f>
        <v>2077.5943396226417</v>
      </c>
      <c r="W26" s="196">
        <f t="shared" si="7"/>
        <v>6739.0324405911369</v>
      </c>
      <c r="X26" s="178">
        <f>IFERROR(IFERROR(VLOOKUP(C26,'[4]Swiss pivot'!$E$3:$H$54,3,0),VLOOKUP($C26,'[4]Breakdown non-EU havens'!$F$4:$H$31,3,0)/$E$106),AK26*'[4]Non-EU tax havens'!$I$8)</f>
        <v>1913.6703415259778</v>
      </c>
      <c r="Y26" s="177">
        <f>AE26*'[4]Non-EU tax havens'!$I$13</f>
        <v>4825.3620990651589</v>
      </c>
      <c r="Z26" s="159"/>
      <c r="AA26" s="36">
        <f>+'[4]CDIS Table-4'!O23</f>
        <v>5.7079926876463898E-3</v>
      </c>
      <c r="AB26" s="39">
        <f>+AA26</f>
        <v>5.7079926876463898E-3</v>
      </c>
      <c r="AC26" s="39">
        <f t="shared" si="8"/>
        <v>1.1365258814698338E-2</v>
      </c>
      <c r="AD26" s="39">
        <f t="shared" si="9"/>
        <v>5.7079926876463898E-3</v>
      </c>
      <c r="AE26" s="39">
        <f t="shared" si="10"/>
        <v>1.4433865265098905E-2</v>
      </c>
      <c r="AF26" s="39"/>
      <c r="AG26" s="36">
        <f t="shared" si="18"/>
        <v>5.7079926876463898E-3</v>
      </c>
      <c r="AH26" s="39">
        <f>+AG26</f>
        <v>5.7079926876463898E-3</v>
      </c>
      <c r="AI26" s="39">
        <f t="shared" si="11"/>
        <v>1.1365258814698338E-2</v>
      </c>
      <c r="AJ26" s="39"/>
      <c r="AK26" s="39">
        <f t="shared" si="12"/>
        <v>0</v>
      </c>
      <c r="AL26" s="39"/>
      <c r="AM26" s="36">
        <f>+'[4]CDIS Table-4'!U23</f>
        <v>0</v>
      </c>
      <c r="AN26" s="39">
        <f>+AM26</f>
        <v>0</v>
      </c>
      <c r="AO26" s="39">
        <f t="shared" si="13"/>
        <v>0</v>
      </c>
      <c r="AP26" s="39">
        <f t="shared" si="14"/>
        <v>0</v>
      </c>
      <c r="AQ26" s="39">
        <f t="shared" si="15"/>
        <v>0</v>
      </c>
      <c r="AR26" s="39"/>
      <c r="AS26" s="39">
        <f t="shared" si="16"/>
        <v>0</v>
      </c>
      <c r="AT26" s="39"/>
      <c r="AU26" s="39">
        <f t="shared" si="19"/>
        <v>0</v>
      </c>
    </row>
    <row r="27" spans="1:47">
      <c r="A27" s="203" t="s">
        <v>361</v>
      </c>
      <c r="B27" s="146" t="s">
        <v>362</v>
      </c>
      <c r="C27" s="199" t="s">
        <v>48</v>
      </c>
      <c r="D27" s="196">
        <f t="shared" si="0"/>
        <v>453.72747522418956</v>
      </c>
      <c r="E27" s="196">
        <f t="shared" si="4"/>
        <v>43.75</v>
      </c>
      <c r="F27" s="171">
        <f>HLOOKUP($B27,'[4]Interest shifted to EU'!$L$2:$AT$8,F$2,0)/E106</f>
        <v>5.3066037735849054</v>
      </c>
      <c r="G27" s="171">
        <f>HLOOKUP($B27,'[4]Interest shifted to EU'!$L$2:$AT$8,G$2,0)/E106</f>
        <v>0</v>
      </c>
      <c r="H27" s="171">
        <f>HLOOKUP($B27,'[4]Interest shifted to EU'!$L$2:$AT$8,H$2,0)/E106</f>
        <v>0</v>
      </c>
      <c r="I27" s="171">
        <f>HLOOKUP($B27,'[4]Interest shifted to EU'!$L$2:$AT$8,I$2,0)/E106</f>
        <v>14.504716981132077</v>
      </c>
      <c r="J27" s="171">
        <f>HLOOKUP($B27,'[4]Interest shifted to EU'!$L$2:$AT$8,J$2,0)/E106</f>
        <v>3.891509433962264</v>
      </c>
      <c r="K27" s="171">
        <f>HLOOKUP($B27,'[4]Interest shifted to EU'!$L$2:$AT$8,K$2,0)/E106</f>
        <v>20.047169811320757</v>
      </c>
      <c r="L27" s="196">
        <f t="shared" si="5"/>
        <v>409.97747522418956</v>
      </c>
      <c r="M27" s="178">
        <f>AC27*'[4]Non-EU tax havens'!$K$8</f>
        <v>58.406425524708567</v>
      </c>
      <c r="N27" s="183">
        <f>AC27*'[4]Non-EU tax havens'!$K$13</f>
        <v>351.57104969948097</v>
      </c>
      <c r="O27" s="196">
        <f t="shared" si="2"/>
        <v>8414.9224988912574</v>
      </c>
      <c r="P27" s="196">
        <f t="shared" si="6"/>
        <v>2217.9245283018868</v>
      </c>
      <c r="Q27" s="171">
        <f>HLOOKUP($B27,'[4]Non EU income shifted to EU'!$B$2:$AI$9,Q$2+1,0)/E106</f>
        <v>194.5754716981132</v>
      </c>
      <c r="R27" s="171">
        <f>HLOOKUP($B27,'[4]Non EU income shifted to EU'!$B$2:$AI$9,R$2+1,0)/E106</f>
        <v>23.584905660377359</v>
      </c>
      <c r="S27" s="171">
        <f>HLOOKUP($B27,'[4]Non EU income shifted to EU'!$B$2:$AI$9,S$2+1,0)/E106</f>
        <v>860.37735849056605</v>
      </c>
      <c r="T27" s="171">
        <f>HLOOKUP($B27,'[4]Non EU income shifted to EU'!$B$2:$AI$9,T$2+1,0)/E106</f>
        <v>167.45283018867926</v>
      </c>
      <c r="U27" s="171">
        <f>HLOOKUP($B27,'[4]Non EU income shifted to EU'!$B$2:$AI$9,U$2+1,0)/E106</f>
        <v>0</v>
      </c>
      <c r="V27" s="171">
        <f>HLOOKUP($B27,'[4]Non EU income shifted to EU'!$B$2:$AI$9,V$2+1,0)/E106</f>
        <v>971.93396226415098</v>
      </c>
      <c r="W27" s="196">
        <f t="shared" si="7"/>
        <v>6196.9979705893702</v>
      </c>
      <c r="X27" s="178">
        <f>IFERROR(IFERROR(VLOOKUP(C27,'[4]Swiss pivot'!$E$3:$H$54,3,0),VLOOKUP($C27,'[4]Breakdown non-EU havens'!$F$4:$H$31,3,0)/$E$106),AK27*'[4]Non-EU tax havens'!$I$8)</f>
        <v>1144.7000049748267</v>
      </c>
      <c r="Y27" s="177">
        <f>AE27*'[4]Non-EU tax havens'!$I$13</f>
        <v>5052.2979656145435</v>
      </c>
      <c r="Z27" s="159"/>
      <c r="AA27" s="36">
        <f>+'[4]CDIS Table-4'!O24</f>
        <v>5.9764385037810045E-3</v>
      </c>
      <c r="AB27" s="39">
        <f>+AA27</f>
        <v>5.9764385037810045E-3</v>
      </c>
      <c r="AC27" s="39">
        <f t="shared" si="8"/>
        <v>1.1899764786420393E-2</v>
      </c>
      <c r="AD27" s="39">
        <f t="shared" si="9"/>
        <v>5.9764385037810045E-3</v>
      </c>
      <c r="AE27" s="39">
        <f t="shared" si="10"/>
        <v>1.5112687217595875E-2</v>
      </c>
      <c r="AF27" s="39"/>
      <c r="AG27" s="36">
        <f t="shared" si="18"/>
        <v>5.9764385037810045E-3</v>
      </c>
      <c r="AH27" s="39">
        <f>+AG27</f>
        <v>5.9764385037810045E-3</v>
      </c>
      <c r="AI27" s="39">
        <f t="shared" si="11"/>
        <v>1.1899764786420393E-2</v>
      </c>
      <c r="AJ27" s="39">
        <f>+AH27</f>
        <v>5.9764385037810045E-3</v>
      </c>
      <c r="AK27" s="39">
        <f t="shared" si="12"/>
        <v>3.9389030318005711E-2</v>
      </c>
      <c r="AL27" s="39"/>
      <c r="AM27" s="36">
        <f>+'[4]CDIS Table-4'!U24</f>
        <v>0</v>
      </c>
      <c r="AN27" s="39">
        <f>+AM27</f>
        <v>0</v>
      </c>
      <c r="AO27" s="39">
        <f t="shared" si="13"/>
        <v>0</v>
      </c>
      <c r="AP27" s="39">
        <f t="shared" si="14"/>
        <v>0</v>
      </c>
      <c r="AQ27" s="39">
        <f t="shared" si="15"/>
        <v>0</v>
      </c>
      <c r="AR27" s="39"/>
      <c r="AS27" s="39">
        <f t="shared" si="16"/>
        <v>0</v>
      </c>
      <c r="AT27" s="39"/>
      <c r="AU27" s="39">
        <f t="shared" si="19"/>
        <v>0</v>
      </c>
    </row>
    <row r="28" spans="1:47">
      <c r="C28" s="185" t="s">
        <v>96</v>
      </c>
      <c r="D28" s="196">
        <f t="shared" si="0"/>
        <v>2.1226415094339623</v>
      </c>
      <c r="E28" s="196">
        <f t="shared" si="4"/>
        <v>2.1226415094339623</v>
      </c>
      <c r="F28" s="171">
        <f>VLOOKUP($C28,'[4]Breakdown EU havens'!$S$4:$Y$31,F$2,0)/E106</f>
        <v>0.94339622641509446</v>
      </c>
      <c r="G28" s="171">
        <f>VLOOKUP($C28,'[4]Breakdown EU havens'!$S$4:$Y$31,G$2,0)/E106</f>
        <v>0</v>
      </c>
      <c r="H28" s="171">
        <f>VLOOKUP($C28,'[4]Breakdown EU havens'!$S$4:$Y$31,H$2,0)/E106</f>
        <v>0</v>
      </c>
      <c r="I28" s="171"/>
      <c r="J28" s="171">
        <f>VLOOKUP($C28,'[4]Breakdown EU havens'!$S$4:$Y$31,J$2,0)/E106</f>
        <v>0</v>
      </c>
      <c r="K28" s="171">
        <f>VLOOKUP($C28,'[4]Breakdown EU havens'!$S$4:$Y$31,K$2,0)/E106</f>
        <v>1.179245283018868</v>
      </c>
      <c r="L28" s="196">
        <f t="shared" si="5"/>
        <v>0</v>
      </c>
      <c r="M28" s="178">
        <f>VLOOKUP($C28,'[4]Breakdown non-EU havens'!$K$4:$M$31,3,0)/E106</f>
        <v>0</v>
      </c>
      <c r="N28" s="183">
        <f>VLOOKUP($C28,'[4]Breakdown non-EU havens'!$K$4:$M$31,2,0)/E106</f>
        <v>0</v>
      </c>
      <c r="O28" s="196">
        <f t="shared" si="2"/>
        <v>371.69811320754724</v>
      </c>
      <c r="P28" s="196">
        <f t="shared" si="6"/>
        <v>275.00000000000006</v>
      </c>
      <c r="Q28" s="171">
        <f>VLOOKUP($C28,'[4]Breakdown EU havens'!$J$4:$P$31,Q$2,0)/E106</f>
        <v>43.514150943396224</v>
      </c>
      <c r="R28" s="171">
        <f>VLOOKUP($C28,'[4]Breakdown EU havens'!$J$4:$P$31,R$2,0)/E106</f>
        <v>2.358490566037736</v>
      </c>
      <c r="S28" s="171">
        <f>VLOOKUP($C28,'[4]Breakdown EU havens'!$J$4:$P$31,S$2,0)/E106</f>
        <v>84.905660377358487</v>
      </c>
      <c r="T28" s="171">
        <f>VLOOKUP($C28,'[4]Breakdown EU havens'!$J$4:$P$31,T$2,0)/E106</f>
        <v>82.547169811320757</v>
      </c>
      <c r="U28" s="171">
        <f>VLOOKUP($C28,'[4]Breakdown EU havens'!$J$4:$P$31,U$2,0)/E106</f>
        <v>3.7735849056603779</v>
      </c>
      <c r="V28" s="171">
        <f>VLOOKUP($C28,'[4]Breakdown EU havens'!$J$4:$P$31,V$2,0)/E106</f>
        <v>57.900943396226417</v>
      </c>
      <c r="W28" s="196">
        <f t="shared" si="7"/>
        <v>96.698113207547181</v>
      </c>
      <c r="X28" s="178">
        <f>IFERROR(IFERROR(VLOOKUP(C28,'[4]Swiss pivot'!$E$3:$H$54,3,0),VLOOKUP($C28,'[4]Breakdown non-EU havens'!$F$4:$H$31,3,0)/$E$106),AK28*'[4]Non-EU tax havens'!$I$8)</f>
        <v>37.735849056603776</v>
      </c>
      <c r="Y28" s="177">
        <f>VLOOKUP($C28,'[4]Breakdown non-EU havens'!$F$4:$H$31,2,0)/E106</f>
        <v>58.962264150943398</v>
      </c>
      <c r="Z28" s="159"/>
      <c r="AA28" s="36">
        <f>+'[4]CDIS Table-4'!O25</f>
        <v>4.9674600230274215E-4</v>
      </c>
      <c r="AB28" s="39"/>
      <c r="AC28" s="39">
        <f t="shared" si="8"/>
        <v>0</v>
      </c>
      <c r="AD28" s="39">
        <f t="shared" si="9"/>
        <v>0</v>
      </c>
      <c r="AE28" s="39">
        <f t="shared" si="10"/>
        <v>0</v>
      </c>
      <c r="AF28" s="39"/>
      <c r="AG28" s="36">
        <f t="shared" si="18"/>
        <v>4.9674600230274215E-4</v>
      </c>
      <c r="AH28" s="39"/>
      <c r="AI28" s="39">
        <f t="shared" si="11"/>
        <v>0</v>
      </c>
      <c r="AJ28" s="39"/>
      <c r="AK28" s="39">
        <f t="shared" si="12"/>
        <v>0</v>
      </c>
      <c r="AL28" s="39"/>
      <c r="AM28" s="36">
        <f>+'[4]CDIS Table-4'!U25</f>
        <v>0</v>
      </c>
      <c r="AN28" s="39"/>
      <c r="AO28" s="39">
        <f t="shared" si="13"/>
        <v>0</v>
      </c>
      <c r="AP28" s="39">
        <f t="shared" si="14"/>
        <v>0</v>
      </c>
      <c r="AQ28" s="39">
        <f t="shared" si="15"/>
        <v>0</v>
      </c>
      <c r="AR28" s="39"/>
      <c r="AS28" s="39">
        <f t="shared" si="16"/>
        <v>0</v>
      </c>
      <c r="AT28" s="39"/>
      <c r="AU28" s="39">
        <f t="shared" si="19"/>
        <v>0</v>
      </c>
    </row>
    <row r="29" spans="1:47">
      <c r="C29" s="185" t="s">
        <v>19</v>
      </c>
      <c r="D29" s="196">
        <f t="shared" si="0"/>
        <v>14109.198113207547</v>
      </c>
      <c r="E29" s="196">
        <f t="shared" si="4"/>
        <v>3697.0518867924529</v>
      </c>
      <c r="F29" s="171">
        <f>VLOOKUP($C29,'[4]Breakdown EU havens'!$S$4:$Y$31,F$2,0)/E106</f>
        <v>431.6037735849057</v>
      </c>
      <c r="G29" s="171">
        <f>VLOOKUP($C29,'[4]Breakdown EU havens'!$S$4:$Y$31,G$2,0)/E106</f>
        <v>0</v>
      </c>
      <c r="H29" s="171">
        <f>VLOOKUP($C29,'[4]Breakdown EU havens'!$S$4:$Y$31,H$2,0)/E106</f>
        <v>2016.0377358490566</v>
      </c>
      <c r="I29" s="171">
        <f>VLOOKUP($C29,'[4]Breakdown EU havens'!$S$4:$Y$31,I$2,0)/E106</f>
        <v>0</v>
      </c>
      <c r="J29" s="171">
        <f>VLOOKUP($C29,'[4]Breakdown EU havens'!$S$4:$Y$31,J$2,0)/E106</f>
        <v>1.7688679245283019</v>
      </c>
      <c r="K29" s="171">
        <f>VLOOKUP($C29,'[4]Breakdown EU havens'!$S$4:$Y$31,K$2,0)/E106</f>
        <v>1247.6415094339623</v>
      </c>
      <c r="L29" s="196">
        <f t="shared" si="5"/>
        <v>10412.146226415094</v>
      </c>
      <c r="M29" s="178">
        <f>VLOOKUP($C29,'[4]Breakdown non-EU havens'!$K$4:$M$31,3,0)/E106</f>
        <v>1277.7122641509434</v>
      </c>
      <c r="N29" s="183">
        <f>VLOOKUP($C29,'[4]Breakdown non-EU havens'!$K$4:$M$31,2,0)/E106</f>
        <v>9134.433962264151</v>
      </c>
      <c r="O29" s="196">
        <f t="shared" si="2"/>
        <v>18596.440757446668</v>
      </c>
      <c r="P29" s="196">
        <f t="shared" si="6"/>
        <v>7347.8773584905666</v>
      </c>
      <c r="Q29" s="171">
        <f>VLOOKUP($C29,'[4]Breakdown EU havens'!$J$4:$P$31,Q$2,0)/E106</f>
        <v>4911.5566037735853</v>
      </c>
      <c r="R29" s="171">
        <f>VLOOKUP($C29,'[4]Breakdown EU havens'!$J$4:$P$31,R$2,0)/E106</f>
        <v>141.50943396226415</v>
      </c>
      <c r="S29" s="171">
        <f>VLOOKUP($C29,'[4]Breakdown EU havens'!$J$4:$P$31,S$2,0)/E106</f>
        <v>-942.21698113207549</v>
      </c>
      <c r="T29" s="171">
        <f>VLOOKUP($C29,'[4]Breakdown EU havens'!$J$4:$P$31,T$2,0)/E106</f>
        <v>0</v>
      </c>
      <c r="U29" s="171">
        <f>VLOOKUP($C29,'[4]Breakdown EU havens'!$J$4:$P$31,U$2,0)/E106</f>
        <v>247.64150943396228</v>
      </c>
      <c r="V29" s="171">
        <f>VLOOKUP($C29,'[4]Breakdown EU havens'!$J$4:$P$31,V$2,0)/E106</f>
        <v>2989.3867924528304</v>
      </c>
      <c r="W29" s="196">
        <f t="shared" si="7"/>
        <v>11248.563398956099</v>
      </c>
      <c r="X29" s="178">
        <f>IFERROR(IFERROR(VLOOKUP(C29,'[4]Swiss pivot'!$E$3:$H$54,3,0),VLOOKUP($C29,'[4]Breakdown non-EU havens'!$F$4:$H$31,3,0)/$E$106),AK29*'[4]Non-EU tax havens'!$I$8)</f>
        <v>2839.3652857485513</v>
      </c>
      <c r="Y29" s="177">
        <f>VLOOKUP($C29,'[4]Breakdown non-EU havens'!$F$4:$H$31,2,0)/E106</f>
        <v>8409.1981132075471</v>
      </c>
      <c r="Z29" s="159"/>
      <c r="AA29" s="36">
        <f>+'[4]CDIS Table-4'!O26</f>
        <v>0.11891862183622122</v>
      </c>
      <c r="AB29" s="39"/>
      <c r="AC29" s="39">
        <f t="shared" si="8"/>
        <v>0</v>
      </c>
      <c r="AD29" s="39">
        <f t="shared" si="9"/>
        <v>0</v>
      </c>
      <c r="AE29" s="39">
        <f t="shared" si="10"/>
        <v>0</v>
      </c>
      <c r="AF29" s="39"/>
      <c r="AG29" s="36">
        <f t="shared" si="18"/>
        <v>0.11891862183622122</v>
      </c>
      <c r="AH29" s="39"/>
      <c r="AI29" s="39">
        <f t="shared" si="11"/>
        <v>0</v>
      </c>
      <c r="AJ29" s="39"/>
      <c r="AK29" s="39">
        <f t="shared" si="12"/>
        <v>0</v>
      </c>
      <c r="AL29" s="39"/>
      <c r="AM29" s="36">
        <f>+'[4]CDIS Table-4'!U26</f>
        <v>0</v>
      </c>
      <c r="AN29" s="39"/>
      <c r="AO29" s="39">
        <f t="shared" si="13"/>
        <v>0</v>
      </c>
      <c r="AP29" s="39">
        <f t="shared" si="14"/>
        <v>0</v>
      </c>
      <c r="AQ29" s="39">
        <f t="shared" si="15"/>
        <v>0</v>
      </c>
      <c r="AR29" s="39"/>
      <c r="AS29" s="39">
        <f t="shared" si="16"/>
        <v>0</v>
      </c>
      <c r="AT29" s="39"/>
      <c r="AU29" s="39">
        <f t="shared" si="19"/>
        <v>0</v>
      </c>
    </row>
    <row r="30" spans="1:47">
      <c r="C30" s="185" t="s">
        <v>38</v>
      </c>
      <c r="D30" s="196">
        <f t="shared" si="0"/>
        <v>2951.0197835494641</v>
      </c>
      <c r="E30" s="196">
        <f t="shared" si="4"/>
        <v>1991.7452830188679</v>
      </c>
      <c r="F30" s="171">
        <f>HLOOKUP($C30,'[4]Interest shifted to EU'!$L$2:$AT$8,F$2,0)/E106</f>
        <v>88.915094339622655</v>
      </c>
      <c r="G30" s="171">
        <f>HLOOKUP($C30,'[4]Interest shifted to EU'!$L$2:$AT$8,G$2,0)/E106</f>
        <v>0</v>
      </c>
      <c r="H30" s="171">
        <f>HLOOKUP($C30,'[4]Interest shifted to EU'!$L$2:$AT$8,H$2,0)/E106</f>
        <v>48.349056603773583</v>
      </c>
      <c r="I30" s="171">
        <f>HLOOKUP($C30,'[4]Interest shifted to EU'!$L$2:$AT$8,I$2,0)/E106</f>
        <v>195.16509433962264</v>
      </c>
      <c r="J30" s="171">
        <f>HLOOKUP($C30,'[4]Interest shifted to EU'!$L$2:$AT$8,J$2,0)/E106</f>
        <v>89.740566037735846</v>
      </c>
      <c r="K30" s="171">
        <f>HLOOKUP($C30,'[4]Interest shifted to EU'!$L$2:$AT$8,K$2,0)/E106</f>
        <v>1569.5754716981132</v>
      </c>
      <c r="L30" s="196">
        <f t="shared" si="5"/>
        <v>959.27450053059624</v>
      </c>
      <c r="M30" s="178">
        <f>AC30*'[4]Non-EU tax havens'!$K$8</f>
        <v>136.6606656679233</v>
      </c>
      <c r="N30" s="183">
        <f>AC30*'[4]Non-EU tax havens'!$K$13</f>
        <v>822.61383486267289</v>
      </c>
      <c r="O30" s="196">
        <f t="shared" si="2"/>
        <v>15518.666100852543</v>
      </c>
      <c r="P30" s="196">
        <f t="shared" si="6"/>
        <v>2909.1981132075471</v>
      </c>
      <c r="Q30" s="171">
        <f>HLOOKUP($C30,'[4]Non EU income shifted to EU'!$B$2:$AI$9,Q$2+1,0)/E106</f>
        <v>472.75943396226415</v>
      </c>
      <c r="R30" s="171">
        <f>HLOOKUP($C30,'[4]Non EU income shifted to EU'!$B$2:$AI$9,R$2+1,0)/E106</f>
        <v>0</v>
      </c>
      <c r="S30" s="171">
        <f>HLOOKUP($C30,'[4]Non EU income shifted to EU'!$B$2:$AI$9,S$2+1,0)/E106</f>
        <v>611.79245283018861</v>
      </c>
      <c r="T30" s="171">
        <f>HLOOKUP($C30,'[4]Non EU income shifted to EU'!$B$2:$AI$9,T$2+1,0)/E106</f>
        <v>152.12264150943398</v>
      </c>
      <c r="U30" s="171">
        <f>HLOOKUP($C30,'[4]Non EU income shifted to EU'!$B$2:$AI$9,U$2+1,0)/E106</f>
        <v>0.35377358490566035</v>
      </c>
      <c r="V30" s="171">
        <f>HLOOKUP($C30,'[4]Non EU income shifted to EU'!$B$2:$AI$9,V$2+1,0)/E106</f>
        <v>1672.1698113207547</v>
      </c>
      <c r="W30" s="196">
        <f t="shared" si="7"/>
        <v>12609.467987644995</v>
      </c>
      <c r="X30" s="178">
        <f>IFERROR(IFERROR(VLOOKUP(C30,'[4]Swiss pivot'!$E$3:$H$54,3,0),VLOOKUP($C30,'[4]Breakdown non-EU havens'!$F$4:$H$31,3,0)/$E$106),AK30*'[4]Non-EU tax havens'!$I$8)</f>
        <v>787.98778352796205</v>
      </c>
      <c r="Y30" s="177">
        <f>AE30*'[4]Non-EU tax havens'!$I$13</f>
        <v>11821.480204117033</v>
      </c>
      <c r="Z30" s="159"/>
      <c r="AA30" s="36">
        <f>+'[4]CDIS Table-4'!O27</f>
        <v>1.3983804982289147E-2</v>
      </c>
      <c r="AB30" s="39">
        <f>+AA30</f>
        <v>1.3983804982289147E-2</v>
      </c>
      <c r="AC30" s="39">
        <f t="shared" si="8"/>
        <v>2.7843336797180904E-2</v>
      </c>
      <c r="AD30" s="39">
        <f t="shared" si="9"/>
        <v>1.3983804982289147E-2</v>
      </c>
      <c r="AE30" s="39">
        <f t="shared" si="10"/>
        <v>3.5361004831806528E-2</v>
      </c>
      <c r="AF30" s="39"/>
      <c r="AG30" s="36">
        <f t="shared" si="18"/>
        <v>1.3983804982289147E-2</v>
      </c>
      <c r="AH30" s="39">
        <f>+AG30</f>
        <v>1.3983804982289147E-2</v>
      </c>
      <c r="AI30" s="39">
        <f t="shared" si="11"/>
        <v>2.7843336797180904E-2</v>
      </c>
      <c r="AJ30" s="39"/>
      <c r="AK30" s="39">
        <f t="shared" si="12"/>
        <v>0</v>
      </c>
      <c r="AL30" s="39"/>
      <c r="AM30" s="36">
        <f>+'[4]CDIS Table-4'!U27</f>
        <v>0</v>
      </c>
      <c r="AN30" s="39">
        <f>+AM30</f>
        <v>0</v>
      </c>
      <c r="AO30" s="39">
        <f t="shared" si="13"/>
        <v>0</v>
      </c>
      <c r="AP30" s="39">
        <f t="shared" si="14"/>
        <v>0</v>
      </c>
      <c r="AQ30" s="39">
        <f t="shared" si="15"/>
        <v>0</v>
      </c>
      <c r="AR30" s="39"/>
      <c r="AS30" s="39">
        <f t="shared" si="16"/>
        <v>0</v>
      </c>
      <c r="AT30" s="39"/>
      <c r="AU30" s="39">
        <f t="shared" si="19"/>
        <v>0</v>
      </c>
    </row>
    <row r="31" spans="1:47">
      <c r="C31" s="185" t="s">
        <v>23</v>
      </c>
      <c r="D31" s="196">
        <f t="shared" si="0"/>
        <v>17919.221698113208</v>
      </c>
      <c r="E31" s="196">
        <f t="shared" si="4"/>
        <v>5360.2594339622638</v>
      </c>
      <c r="F31" s="171">
        <f>VLOOKUP($C31,'[4]Breakdown EU havens'!$S$4:$Y$31,F$2,0)/E106</f>
        <v>304.48113207547169</v>
      </c>
      <c r="G31" s="171">
        <f>VLOOKUP($C31,'[4]Breakdown EU havens'!$S$4:$Y$31,G$2,0)/E106</f>
        <v>0.70754716981132071</v>
      </c>
      <c r="H31" s="171">
        <f>VLOOKUP($C31,'[4]Breakdown EU havens'!$S$4:$Y$31,H$2,0)/E106</f>
        <v>4419.8113207547167</v>
      </c>
      <c r="I31" s="171">
        <f>VLOOKUP($C31,'[4]Breakdown EU havens'!$S$4:$Y$31,I$2,0)/E106</f>
        <v>632.66509433962267</v>
      </c>
      <c r="J31" s="171">
        <f>VLOOKUP($C31,'[4]Breakdown EU havens'!$S$4:$Y$31,J$2,0)/E106</f>
        <v>2.5943396226415096</v>
      </c>
      <c r="K31" s="171">
        <f>VLOOKUP($C31,'[4]Breakdown EU havens'!$S$4:$Y$31,K$2,0)/E106</f>
        <v>0</v>
      </c>
      <c r="L31" s="196">
        <f t="shared" si="5"/>
        <v>12558.962264150945</v>
      </c>
      <c r="M31" s="178">
        <f>VLOOKUP($C31,'[4]Breakdown non-EU havens'!$K$4:$M$31,3,0)/E106</f>
        <v>2198.1132075471701</v>
      </c>
      <c r="N31" s="183">
        <f>VLOOKUP($C31,'[4]Breakdown non-EU havens'!$K$4:$M$31,2,0)/E106</f>
        <v>10360.849056603774</v>
      </c>
      <c r="O31" s="196">
        <f t="shared" si="2"/>
        <v>53842.641632815561</v>
      </c>
      <c r="P31" s="196">
        <f t="shared" si="6"/>
        <v>18814.976415094341</v>
      </c>
      <c r="Q31" s="171">
        <f>VLOOKUP($C31,'[4]Breakdown EU havens'!$J$4:$P$31,Q$2,0)/E106</f>
        <v>9409.1981132075471</v>
      </c>
      <c r="R31" s="171">
        <f>VLOOKUP($C31,'[4]Breakdown EU havens'!$J$4:$P$31,R$2,0)/E106</f>
        <v>45.990566037735853</v>
      </c>
      <c r="S31" s="171">
        <f>VLOOKUP($C31,'[4]Breakdown EU havens'!$J$4:$P$31,S$2,0)/E106</f>
        <v>6228.7735849056608</v>
      </c>
      <c r="T31" s="171">
        <f>VLOOKUP($C31,'[4]Breakdown EU havens'!$J$4:$P$31,T$2,0)/E106</f>
        <v>2784.316037735849</v>
      </c>
      <c r="U31" s="171">
        <f>VLOOKUP($C31,'[4]Breakdown EU havens'!$J$4:$P$31,U$2,0)/E106</f>
        <v>346.69811320754718</v>
      </c>
      <c r="V31" s="171">
        <f>VLOOKUP($C31,'[4]Breakdown EU havens'!$J$4:$P$31,V$2,0)/E106</f>
        <v>0</v>
      </c>
      <c r="W31" s="196">
        <f t="shared" si="7"/>
        <v>35027.665217721216</v>
      </c>
      <c r="X31" s="178">
        <f>IFERROR(IFERROR(VLOOKUP(C31,'[4]Swiss pivot'!$E$3:$H$54,3,0),VLOOKUP($C31,'[4]Breakdown non-EU havens'!$F$4:$H$31,3,0)/$E$106),AK31*'[4]Non-EU tax havens'!$I$8)</f>
        <v>2375.7784252683828</v>
      </c>
      <c r="Y31" s="177">
        <f>VLOOKUP($C31,'[4]Breakdown non-EU havens'!$F$4:$H$31,2,0)/E106</f>
        <v>32651.886792452831</v>
      </c>
      <c r="Z31" s="159"/>
      <c r="AA31" s="36">
        <f>+'[4]CDIS Table-4'!O28</f>
        <v>0.13981874897109201</v>
      </c>
      <c r="AB31" s="39"/>
      <c r="AC31" s="39"/>
      <c r="AD31" s="39"/>
      <c r="AE31" s="39"/>
      <c r="AF31" s="39"/>
      <c r="AG31" s="36">
        <f t="shared" si="18"/>
        <v>0.13981874897109201</v>
      </c>
      <c r="AH31" s="39"/>
      <c r="AI31" s="39"/>
      <c r="AJ31" s="39"/>
      <c r="AK31" s="39">
        <f t="shared" si="12"/>
        <v>0</v>
      </c>
      <c r="AL31" s="39"/>
      <c r="AM31" s="36">
        <f>+'[4]CDIS Table-4'!U28</f>
        <v>0</v>
      </c>
      <c r="AN31" s="39"/>
      <c r="AO31" s="39"/>
      <c r="AP31" s="39"/>
      <c r="AQ31" s="39"/>
      <c r="AR31" s="39"/>
      <c r="AS31" s="39">
        <f t="shared" si="16"/>
        <v>0</v>
      </c>
      <c r="AT31" s="39"/>
      <c r="AU31" s="39">
        <f t="shared" si="19"/>
        <v>0</v>
      </c>
    </row>
    <row r="32" spans="1:47">
      <c r="C32" s="185" t="s">
        <v>116</v>
      </c>
      <c r="D32" s="196">
        <f t="shared" si="0"/>
        <v>204.12001915211184</v>
      </c>
      <c r="E32" s="196">
        <f t="shared" si="4"/>
        <v>58.490566037735853</v>
      </c>
      <c r="F32" s="171">
        <f>HLOOKUP($C32,'[4]Interest shifted to EU'!$L$2:$AT$8,F$2,0)/E106</f>
        <v>22.169811320754718</v>
      </c>
      <c r="G32" s="171">
        <f>HLOOKUP($C32,'[4]Interest shifted to EU'!$L$2:$AT$8,G$2,0)/E106</f>
        <v>0</v>
      </c>
      <c r="H32" s="171">
        <f>HLOOKUP($C32,'[4]Interest shifted to EU'!$L$2:$AT$8,H$2,0)/E106</f>
        <v>0</v>
      </c>
      <c r="I32" s="171">
        <f>HLOOKUP($C32,'[4]Interest shifted to EU'!$L$2:$AT$8,I$2,0)/E106</f>
        <v>0</v>
      </c>
      <c r="J32" s="171">
        <f>HLOOKUP($C32,'[4]Interest shifted to EU'!$L$2:$AT$8,J$2,0)/E106</f>
        <v>4.4811320754716979</v>
      </c>
      <c r="K32" s="171">
        <f>HLOOKUP($C32,'[4]Interest shifted to EU'!$L$2:$AT$8,K$2,0)/E106</f>
        <v>31.839622641509436</v>
      </c>
      <c r="L32" s="196">
        <f t="shared" si="5"/>
        <v>145.62945311437599</v>
      </c>
      <c r="M32" s="178">
        <f>AC32*'[4]Non-EU tax havens'!$K$8</f>
        <v>20.746739324831534</v>
      </c>
      <c r="N32" s="183">
        <f>AC32*'[4]Non-EU tax havens'!$K$13</f>
        <v>124.88271378954445</v>
      </c>
      <c r="O32" s="196">
        <f t="shared" si="2"/>
        <v>2585.6751915831037</v>
      </c>
      <c r="P32" s="196">
        <f t="shared" si="6"/>
        <v>635.02358490566041</v>
      </c>
      <c r="Q32" s="171">
        <f>HLOOKUP($C32,'[4]Non EU income shifted to EU'!$B$2:$AI$9,Q$2+1,0)/E106</f>
        <v>101.41509433962264</v>
      </c>
      <c r="R32" s="171">
        <f>HLOOKUP($C32,'[4]Non EU income shifted to EU'!$B$2:$AI$9,R$2+1,0)/E106</f>
        <v>0</v>
      </c>
      <c r="S32" s="171">
        <f>HLOOKUP($C32,'[4]Non EU income shifted to EU'!$B$2:$AI$9,S$2+1,0)/E106</f>
        <v>159.19811320754718</v>
      </c>
      <c r="T32" s="171">
        <f>HLOOKUP($C32,'[4]Non EU income shifted to EU'!$B$2:$AI$9,T$2+1,0)/E106</f>
        <v>122.64150943396227</v>
      </c>
      <c r="U32" s="171">
        <f>HLOOKUP($C32,'[4]Non EU income shifted to EU'!$B$2:$AI$9,U$2+1,0)/E106</f>
        <v>1.4150943396226414</v>
      </c>
      <c r="V32" s="171">
        <f>HLOOKUP($C32,'[4]Non EU income shifted to EU'!$B$2:$AI$9,V$2+1,0)/E106</f>
        <v>250.35377358490567</v>
      </c>
      <c r="W32" s="196">
        <f t="shared" si="7"/>
        <v>1950.6516066774434</v>
      </c>
      <c r="X32" s="178">
        <f>IFERROR(IFERROR(VLOOKUP(C32,'[4]Swiss pivot'!$E$3:$H$54,3,0),VLOOKUP($C32,'[4]Breakdown non-EU havens'!$F$4:$H$31,3,0)/$E$106),AE32*'[4]Non-EU tax havens'!$I$8)</f>
        <v>156.00815876367685</v>
      </c>
      <c r="Y32" s="177">
        <f>AE32*'[4]Non-EU tax havens'!$I$13</f>
        <v>1794.6434479137665</v>
      </c>
      <c r="Z32" s="159"/>
      <c r="AA32" s="36">
        <f>+'[4]CDIS Table-4'!O29</f>
        <v>2.1229104608768879E-3</v>
      </c>
      <c r="AB32" s="39">
        <f>+AA32</f>
        <v>2.1229104608768879E-3</v>
      </c>
      <c r="AC32" s="39">
        <f t="shared" ref="AC32:AC63" si="20">+AB32/$AB$102</f>
        <v>4.2269547542544183E-3</v>
      </c>
      <c r="AD32" s="39">
        <f t="shared" ref="AD32:AD42" si="21">+AB32</f>
        <v>2.1229104608768879E-3</v>
      </c>
      <c r="AE32" s="39">
        <f t="shared" ref="AE32:AE63" si="22">+AD32/$AD$102</f>
        <v>5.3682275431927258E-3</v>
      </c>
      <c r="AF32" s="39"/>
      <c r="AG32" s="36">
        <f t="shared" si="18"/>
        <v>2.1229104608768879E-3</v>
      </c>
      <c r="AH32" s="39">
        <f>+AG32</f>
        <v>2.1229104608768879E-3</v>
      </c>
      <c r="AI32" s="39">
        <f t="shared" ref="AI32:AI63" si="23">+AH32/$AB$102</f>
        <v>4.2269547542544183E-3</v>
      </c>
      <c r="AJ32" s="39"/>
      <c r="AK32" s="39">
        <f t="shared" si="12"/>
        <v>0</v>
      </c>
      <c r="AL32" s="39"/>
      <c r="AM32" s="36">
        <f>+'[4]CDIS Table-4'!U29</f>
        <v>0</v>
      </c>
      <c r="AN32" s="39">
        <f>+AM32</f>
        <v>0</v>
      </c>
      <c r="AO32" s="39">
        <f t="shared" ref="AO32:AO63" si="24">+AN32/$AB$102</f>
        <v>0</v>
      </c>
      <c r="AP32" s="39">
        <f t="shared" ref="AP32:AP42" si="25">+AN32</f>
        <v>0</v>
      </c>
      <c r="AQ32" s="39">
        <f t="shared" ref="AQ32:AQ63" si="26">+AP32/$AD$102</f>
        <v>0</v>
      </c>
      <c r="AR32" s="39"/>
      <c r="AS32" s="39">
        <f t="shared" si="16"/>
        <v>0</v>
      </c>
      <c r="AT32" s="39"/>
      <c r="AU32" s="39">
        <f t="shared" si="19"/>
        <v>0</v>
      </c>
    </row>
    <row r="33" spans="1:47">
      <c r="C33" s="185" t="s">
        <v>117</v>
      </c>
      <c r="D33" s="196">
        <f t="shared" si="0"/>
        <v>583.27829701498536</v>
      </c>
      <c r="E33" s="196">
        <f t="shared" si="4"/>
        <v>295.99056603773585</v>
      </c>
      <c r="F33" s="171">
        <f>HLOOKUP($C33,'[4]Interest shifted to EU'!$L$2:$AT$8,F$2,0)/E106</f>
        <v>30.54245283018868</v>
      </c>
      <c r="G33" s="171">
        <f>HLOOKUP($C33,'[4]Interest shifted to EU'!$L$2:$AT$8,G$2,0)/E106</f>
        <v>0</v>
      </c>
      <c r="H33" s="171">
        <f>HLOOKUP($C33,'[4]Interest shifted to EU'!$L$2:$AT$8,H$2,0)/E106</f>
        <v>0</v>
      </c>
      <c r="I33" s="171">
        <f>HLOOKUP($C33,'[4]Interest shifted to EU'!$L$2:$AT$8,I$2,0)/E106</f>
        <v>0</v>
      </c>
      <c r="J33" s="171">
        <f>HLOOKUP($C33,'[4]Interest shifted to EU'!$L$2:$AT$8,J$2,0)/E106</f>
        <v>63.561320754716981</v>
      </c>
      <c r="K33" s="171">
        <f>HLOOKUP($C33,'[4]Interest shifted to EU'!$L$2:$AT$8,K$2,0)/E106</f>
        <v>201.88679245283018</v>
      </c>
      <c r="L33" s="196">
        <f t="shared" si="5"/>
        <v>287.28773097724951</v>
      </c>
      <c r="M33" s="178">
        <f>AC33*'[4]Non-EU tax havens'!$K$8</f>
        <v>40.927735003757618</v>
      </c>
      <c r="N33" s="183">
        <f>AC33*'[4]Non-EU tax havens'!$K$13</f>
        <v>246.35999597349189</v>
      </c>
      <c r="O33" s="196">
        <f t="shared" si="2"/>
        <v>7205.7695400561661</v>
      </c>
      <c r="P33" s="196">
        <f t="shared" si="6"/>
        <v>3355.4245283018868</v>
      </c>
      <c r="Q33" s="171">
        <f>HLOOKUP($C33,'[4]Non EU income shifted to EU'!$B$2:$AI$9,Q$2+1,0)/E106</f>
        <v>352.59433962264154</v>
      </c>
      <c r="R33" s="171">
        <f>HLOOKUP($C33,'[4]Non EU income shifted to EU'!$B$2:$AI$9,R$2+1,0)/E106</f>
        <v>4.716981132075472</v>
      </c>
      <c r="S33" s="171">
        <f>HLOOKUP($C33,'[4]Non EU income shifted to EU'!$B$2:$AI$9,S$2+1,0)/E106</f>
        <v>1751.1792452830189</v>
      </c>
      <c r="T33" s="171">
        <f>HLOOKUP($C33,'[4]Non EU income shifted to EU'!$B$2:$AI$9,T$2+1,0)/E106</f>
        <v>291.27358490566041</v>
      </c>
      <c r="U33" s="171">
        <f>HLOOKUP($C33,'[4]Non EU income shifted to EU'!$B$2:$AI$9,U$2+1,0)/E106</f>
        <v>181.4858490566038</v>
      </c>
      <c r="V33" s="171">
        <f>HLOOKUP($C33,'[4]Non EU income shifted to EU'!$B$2:$AI$9,V$2+1,0)/E106</f>
        <v>774.17452830188677</v>
      </c>
      <c r="W33" s="196">
        <f t="shared" si="7"/>
        <v>3850.3450117542789</v>
      </c>
      <c r="X33" s="178">
        <f>IFERROR(IFERROR(VLOOKUP(C33,'[4]Swiss pivot'!$E$3:$H$54,3,0),VLOOKUP($C33,'[4]Breakdown non-EU havens'!$F$4:$H$31,3,0)/$E$106),AK33*'[4]Non-EU tax havens'!$I$8)</f>
        <v>309.99631828357855</v>
      </c>
      <c r="Y33" s="177">
        <f>AE33*'[4]Non-EU tax havens'!$I$13</f>
        <v>3540.3486934707003</v>
      </c>
      <c r="Z33" s="159"/>
      <c r="AA33" s="36">
        <f>+'[4]CDIS Table-4'!O30</f>
        <v>4.1879311933842762E-3</v>
      </c>
      <c r="AB33" s="39">
        <f>+AA33</f>
        <v>4.1879311933842762E-3</v>
      </c>
      <c r="AC33" s="39">
        <f t="shared" si="20"/>
        <v>8.338644514029098E-3</v>
      </c>
      <c r="AD33" s="39">
        <f t="shared" si="21"/>
        <v>4.1879311933842762E-3</v>
      </c>
      <c r="AE33" s="39">
        <f t="shared" si="22"/>
        <v>1.0590068679597137E-2</v>
      </c>
      <c r="AF33" s="39"/>
      <c r="AG33" s="36">
        <f t="shared" si="18"/>
        <v>4.1879311933842762E-3</v>
      </c>
      <c r="AH33" s="39">
        <f>+AG33</f>
        <v>4.1879311933842762E-3</v>
      </c>
      <c r="AI33" s="39">
        <f t="shared" si="23"/>
        <v>8.338644514029098E-3</v>
      </c>
      <c r="AJ33" s="39"/>
      <c r="AK33" s="39">
        <f t="shared" si="12"/>
        <v>0</v>
      </c>
      <c r="AL33" s="39"/>
      <c r="AM33" s="36">
        <f>+'[4]CDIS Table-4'!U30</f>
        <v>0</v>
      </c>
      <c r="AN33" s="39">
        <f>+AM33</f>
        <v>0</v>
      </c>
      <c r="AO33" s="39">
        <f t="shared" si="24"/>
        <v>0</v>
      </c>
      <c r="AP33" s="39">
        <f t="shared" si="25"/>
        <v>0</v>
      </c>
      <c r="AQ33" s="39">
        <f t="shared" si="26"/>
        <v>0</v>
      </c>
      <c r="AR33" s="39"/>
      <c r="AS33" s="39">
        <f t="shared" si="16"/>
        <v>0</v>
      </c>
      <c r="AT33" s="39"/>
      <c r="AU33" s="39">
        <f t="shared" si="19"/>
        <v>0</v>
      </c>
    </row>
    <row r="34" spans="1:47">
      <c r="C34" s="185" t="s">
        <v>97</v>
      </c>
      <c r="D34" s="196">
        <f t="shared" si="0"/>
        <v>703.30188679245282</v>
      </c>
      <c r="E34" s="196">
        <f t="shared" si="4"/>
        <v>623.46698113207549</v>
      </c>
      <c r="F34" s="171">
        <f>VLOOKUP($C34,'[4]Breakdown EU havens'!$S$4:$Y$31,F$2,0)/E106</f>
        <v>100.35377358490565</v>
      </c>
      <c r="G34" s="171">
        <f>VLOOKUP($C34,'[4]Breakdown EU havens'!$S$4:$Y$31,G$2,0)/E106</f>
        <v>0</v>
      </c>
      <c r="H34" s="171">
        <f>VLOOKUP($C34,'[4]Breakdown EU havens'!$S$4:$Y$31,H$2,0)/E106</f>
        <v>35.023584905660378</v>
      </c>
      <c r="I34" s="171">
        <f>VLOOKUP($C34,'[4]Breakdown EU havens'!$S$4:$Y$31,I$2,0)/E106</f>
        <v>237.14622641509433</v>
      </c>
      <c r="J34" s="171">
        <f>VLOOKUP($C34,'[4]Breakdown EU havens'!$S$4:$Y$31,J$2,0)/E106</f>
        <v>0.94339622641509446</v>
      </c>
      <c r="K34" s="171">
        <f>VLOOKUP($C34,'[4]Breakdown EU havens'!$S$4:$Y$31,K$2,0)/E106</f>
        <v>250</v>
      </c>
      <c r="L34" s="196">
        <f t="shared" si="5"/>
        <v>79.834905660377359</v>
      </c>
      <c r="M34" s="178">
        <f>VLOOKUP($C34,'[4]Breakdown non-EU havens'!$K$4:$M$31,3,0)/E106</f>
        <v>66.627358490566039</v>
      </c>
      <c r="N34" s="183">
        <f>VLOOKUP($C34,'[4]Breakdown non-EU havens'!$K$4:$M$31,2,0)/E106</f>
        <v>13.207547169811322</v>
      </c>
      <c r="O34" s="196">
        <f t="shared" si="2"/>
        <v>4713.6700675120865</v>
      </c>
      <c r="P34" s="196">
        <f t="shared" si="6"/>
        <v>3959.9056603773588</v>
      </c>
      <c r="Q34" s="171">
        <f>VLOOKUP($C34,'[4]Breakdown EU havens'!$J$4:$P$31,Q$2,0)/E106</f>
        <v>411.55660377358492</v>
      </c>
      <c r="R34" s="171">
        <f>VLOOKUP($C34,'[4]Breakdown EU havens'!$J$4:$P$31,R$2,0)/E106</f>
        <v>8.2547169811320753</v>
      </c>
      <c r="S34" s="171">
        <f>VLOOKUP($C34,'[4]Breakdown EU havens'!$J$4:$P$31,S$2,0)/E106</f>
        <v>1417.4528301886792</v>
      </c>
      <c r="T34" s="171">
        <f>VLOOKUP($C34,'[4]Breakdown EU havens'!$J$4:$P$31,T$2,0)/E106</f>
        <v>643.86792452830196</v>
      </c>
      <c r="U34" s="171">
        <f>VLOOKUP($C34,'[4]Breakdown EU havens'!$J$4:$P$31,U$2,0)/E106</f>
        <v>165.68396226415095</v>
      </c>
      <c r="V34" s="171">
        <f>VLOOKUP($C34,'[4]Breakdown EU havens'!$J$4:$P$31,V$2,0)/E106</f>
        <v>1313.0896226415095</v>
      </c>
      <c r="W34" s="196">
        <f t="shared" si="7"/>
        <v>753.764407134728</v>
      </c>
      <c r="X34" s="178">
        <f>IFERROR(IFERROR(VLOOKUP(C34,'[4]Swiss pivot'!$E$3:$H$54,3,0),VLOOKUP($C34,'[4]Breakdown non-EU havens'!$F$4:$H$31,3,0)/$E$106),AK34*'[4]Non-EU tax havens'!$I$8)</f>
        <v>584.30685996491673</v>
      </c>
      <c r="Y34" s="177">
        <f>VLOOKUP($C34,'[4]Breakdown non-EU havens'!$F$4:$H$31,2,0)/E106</f>
        <v>169.45754716981131</v>
      </c>
      <c r="Z34" s="159"/>
      <c r="AA34" s="36">
        <f>+'[4]CDIS Table-4'!O31</f>
        <v>6.8099108675849793E-3</v>
      </c>
      <c r="AB34" s="39"/>
      <c r="AC34" s="39">
        <f t="shared" si="20"/>
        <v>0</v>
      </c>
      <c r="AD34" s="39">
        <f t="shared" si="21"/>
        <v>0</v>
      </c>
      <c r="AE34" s="39">
        <f t="shared" si="22"/>
        <v>0</v>
      </c>
      <c r="AF34" s="39"/>
      <c r="AG34" s="36">
        <f t="shared" si="18"/>
        <v>6.8099108675849793E-3</v>
      </c>
      <c r="AH34" s="39"/>
      <c r="AI34" s="39">
        <f t="shared" si="23"/>
        <v>0</v>
      </c>
      <c r="AJ34" s="39"/>
      <c r="AK34" s="39">
        <f t="shared" si="12"/>
        <v>0</v>
      </c>
      <c r="AL34" s="39"/>
      <c r="AM34" s="36">
        <f>+'[4]CDIS Table-4'!U31</f>
        <v>0</v>
      </c>
      <c r="AN34" s="39"/>
      <c r="AO34" s="39">
        <f t="shared" si="24"/>
        <v>0</v>
      </c>
      <c r="AP34" s="39">
        <f t="shared" si="25"/>
        <v>0</v>
      </c>
      <c r="AQ34" s="39">
        <f t="shared" si="26"/>
        <v>0</v>
      </c>
      <c r="AR34" s="39"/>
      <c r="AS34" s="39">
        <f t="shared" si="16"/>
        <v>0</v>
      </c>
      <c r="AT34" s="39"/>
      <c r="AU34" s="39">
        <f t="shared" si="19"/>
        <v>0</v>
      </c>
    </row>
    <row r="35" spans="1:47">
      <c r="C35" s="185" t="s">
        <v>42</v>
      </c>
      <c r="D35" s="196">
        <f t="shared" si="0"/>
        <v>756.48584905660368</v>
      </c>
      <c r="E35" s="196">
        <f t="shared" si="4"/>
        <v>716.2735849056603</v>
      </c>
      <c r="F35" s="171">
        <f>VLOOKUP($C35,'[4]Breakdown EU havens'!$S$4:$Y$31,F$2,0)/E106</f>
        <v>34.669811320754718</v>
      </c>
      <c r="G35" s="171">
        <f>VLOOKUP($C35,'[4]Breakdown EU havens'!$S$4:$Y$31,G$2,0)/E106</f>
        <v>0</v>
      </c>
      <c r="H35" s="171">
        <f>VLOOKUP($C35,'[4]Breakdown EU havens'!$S$4:$Y$31,H$2,0)/E106</f>
        <v>58.962264150943398</v>
      </c>
      <c r="I35" s="171">
        <f>VLOOKUP($C35,'[4]Breakdown EU havens'!$S$4:$Y$31,I$2,0)/E106</f>
        <v>140.33018867924528</v>
      </c>
      <c r="J35" s="171">
        <f>VLOOKUP($C35,'[4]Breakdown EU havens'!$S$4:$Y$31,J$2,0)/E106</f>
        <v>0</v>
      </c>
      <c r="K35" s="171">
        <f>VLOOKUP($C35,'[4]Breakdown EU havens'!$S$4:$Y$31,K$2,0)/E106</f>
        <v>482.31132075471697</v>
      </c>
      <c r="L35" s="196">
        <f t="shared" si="5"/>
        <v>40.212264150943398</v>
      </c>
      <c r="M35" s="178">
        <f>VLOOKUP($C35,'[4]Breakdown non-EU havens'!$K$4:$M$31,3,0)/E106</f>
        <v>40.212264150943398</v>
      </c>
      <c r="N35" s="183">
        <f>VLOOKUP($C35,'[4]Breakdown non-EU havens'!$K$4:$M$31,2,0)/E106</f>
        <v>0</v>
      </c>
      <c r="O35" s="196">
        <f t="shared" si="2"/>
        <v>2662.3363003749919</v>
      </c>
      <c r="P35" s="196">
        <f t="shared" si="6"/>
        <v>2295.8726415094338</v>
      </c>
      <c r="Q35" s="171">
        <f>VLOOKUP($C35,'[4]Breakdown EU havens'!$J$4:$P$31,Q$2,0)/E106</f>
        <v>344.33962264150944</v>
      </c>
      <c r="R35" s="171">
        <f>VLOOKUP($C35,'[4]Breakdown EU havens'!$J$4:$P$31,R$2,0)/E106</f>
        <v>2.358490566037736</v>
      </c>
      <c r="S35" s="171">
        <f>VLOOKUP($C35,'[4]Breakdown EU havens'!$J$4:$P$31,S$2,0)/E106</f>
        <v>748.82075471698113</v>
      </c>
      <c r="T35" s="171">
        <f>VLOOKUP($C35,'[4]Breakdown EU havens'!$J$4:$P$31,T$2,0)/E106</f>
        <v>482.78301886792451</v>
      </c>
      <c r="U35" s="171">
        <f>VLOOKUP($C35,'[4]Breakdown EU havens'!$J$4:$P$31,U$2,0)/E106</f>
        <v>38.915094339622641</v>
      </c>
      <c r="V35" s="171">
        <f>VLOOKUP($C35,'[4]Breakdown EU havens'!$J$4:$P$31,V$2,0)/E106</f>
        <v>678.65566037735846</v>
      </c>
      <c r="W35" s="196">
        <f t="shared" si="7"/>
        <v>366.46365886555787</v>
      </c>
      <c r="X35" s="178">
        <f>IFERROR(IFERROR(VLOOKUP(C35,'[4]Swiss pivot'!$E$3:$H$54,3,0),VLOOKUP($C35,'[4]Breakdown non-EU havens'!$F$4:$H$31,3,0)/$E$106),AK35*'[4]Non-EU tax havens'!$I$8)</f>
        <v>259.1523381108409</v>
      </c>
      <c r="Y35" s="177">
        <f>VLOOKUP($C35,'[4]Breakdown non-EU havens'!$F$4:$H$31,2,0)/E106</f>
        <v>107.31132075471699</v>
      </c>
      <c r="Z35" s="159"/>
      <c r="AA35" s="36">
        <f>+'[4]CDIS Table-4'!O32</f>
        <v>4.6623666764422506E-3</v>
      </c>
      <c r="AB35" s="39"/>
      <c r="AC35" s="39">
        <f t="shared" si="20"/>
        <v>0</v>
      </c>
      <c r="AD35" s="39">
        <f t="shared" si="21"/>
        <v>0</v>
      </c>
      <c r="AE35" s="39">
        <f t="shared" si="22"/>
        <v>0</v>
      </c>
      <c r="AF35" s="39"/>
      <c r="AG35" s="36">
        <f t="shared" si="18"/>
        <v>4.6623666764422506E-3</v>
      </c>
      <c r="AH35" s="39"/>
      <c r="AI35" s="39">
        <f t="shared" si="23"/>
        <v>0</v>
      </c>
      <c r="AJ35" s="39"/>
      <c r="AK35" s="39">
        <f t="shared" si="12"/>
        <v>0</v>
      </c>
      <c r="AL35" s="39"/>
      <c r="AM35" s="36">
        <f>+'[4]CDIS Table-4'!U32</f>
        <v>0</v>
      </c>
      <c r="AN35" s="39"/>
      <c r="AO35" s="39">
        <f t="shared" si="24"/>
        <v>0</v>
      </c>
      <c r="AP35" s="39">
        <f t="shared" si="25"/>
        <v>0</v>
      </c>
      <c r="AQ35" s="39">
        <f t="shared" si="26"/>
        <v>0</v>
      </c>
      <c r="AR35" s="39"/>
      <c r="AS35" s="39">
        <f t="shared" si="16"/>
        <v>0</v>
      </c>
      <c r="AT35" s="39"/>
      <c r="AU35" s="39">
        <f t="shared" si="19"/>
        <v>0</v>
      </c>
    </row>
    <row r="36" spans="1:47">
      <c r="C36" s="185" t="s">
        <v>98</v>
      </c>
      <c r="D36" s="196">
        <f t="shared" si="0"/>
        <v>162.85377358490567</v>
      </c>
      <c r="E36" s="196">
        <f t="shared" si="4"/>
        <v>141.03773584905662</v>
      </c>
      <c r="F36" s="171">
        <f>VLOOKUP($C36,'[4]Breakdown EU havens'!$S$4:$Y$31,F$2,0)/E106</f>
        <v>20.165094339622645</v>
      </c>
      <c r="G36" s="171">
        <f>VLOOKUP($C36,'[4]Breakdown EU havens'!$S$4:$Y$31,G$2,0)/E106</f>
        <v>0</v>
      </c>
      <c r="H36" s="171">
        <f>VLOOKUP($C36,'[4]Breakdown EU havens'!$S$4:$Y$31,H$2,0)/E106</f>
        <v>25.943396226415096</v>
      </c>
      <c r="I36" s="171">
        <f>VLOOKUP($C36,'[4]Breakdown EU havens'!$S$4:$Y$31,I$2,0)/E106</f>
        <v>61.910377358490571</v>
      </c>
      <c r="J36" s="171">
        <f>VLOOKUP($C36,'[4]Breakdown EU havens'!$S$4:$Y$31,J$2,0)/E106</f>
        <v>0</v>
      </c>
      <c r="K36" s="171">
        <f>VLOOKUP($C36,'[4]Breakdown EU havens'!$S$4:$Y$31,K$2,0)/E106</f>
        <v>33.018867924528301</v>
      </c>
      <c r="L36" s="196">
        <f t="shared" si="5"/>
        <v>21.816037735849058</v>
      </c>
      <c r="M36" s="178">
        <f>VLOOKUP($C36,'[4]Breakdown non-EU havens'!$K$4:$M$31,3,0)/E106</f>
        <v>18.514150943396228</v>
      </c>
      <c r="N36" s="183">
        <f>VLOOKUP($C36,'[4]Breakdown non-EU havens'!$K$4:$M$31,2,0)/E106</f>
        <v>3.3018867924528301</v>
      </c>
      <c r="O36" s="196">
        <f t="shared" si="2"/>
        <v>883.01886792452831</v>
      </c>
      <c r="P36" s="196">
        <f t="shared" si="6"/>
        <v>766.15566037735846</v>
      </c>
      <c r="Q36" s="171">
        <f>VLOOKUP($C36,'[4]Breakdown EU havens'!$J$4:$P$31,Q$2,0)/E106</f>
        <v>239.38679245283021</v>
      </c>
      <c r="R36" s="171">
        <f>VLOOKUP($C36,'[4]Breakdown EU havens'!$J$4:$P$31,R$2,0)/E106</f>
        <v>4.716981132075472</v>
      </c>
      <c r="S36" s="171">
        <f>VLOOKUP($C36,'[4]Breakdown EU havens'!$J$4:$P$31,S$2,0)/E106</f>
        <v>117.9245283018868</v>
      </c>
      <c r="T36" s="171">
        <f>VLOOKUP($C36,'[4]Breakdown EU havens'!$J$4:$P$31,T$2,0)/E106</f>
        <v>205.18867924528303</v>
      </c>
      <c r="U36" s="171">
        <f>VLOOKUP($C36,'[4]Breakdown EU havens'!$J$4:$P$31,U$2,0)/E106</f>
        <v>11.674528301886793</v>
      </c>
      <c r="V36" s="171">
        <f>VLOOKUP($C36,'[4]Breakdown EU havens'!$J$4:$P$31,V$2,0)/E106</f>
        <v>187.26415094339623</v>
      </c>
      <c r="W36" s="196">
        <f t="shared" si="7"/>
        <v>116.86320754716982</v>
      </c>
      <c r="X36" s="178">
        <f>IFERROR(IFERROR(VLOOKUP(C36,'[4]Swiss pivot'!$E$3:$H$54,3,0),VLOOKUP($C36,'[4]Breakdown non-EU havens'!$F$4:$H$31,3,0)/$E$106),AK36*'[4]Non-EU tax havens'!$I$8)</f>
        <v>85.84905660377359</v>
      </c>
      <c r="Y36" s="177">
        <f>VLOOKUP($C36,'[4]Breakdown non-EU havens'!$F$4:$H$31,2,0)/E106</f>
        <v>31.014150943396228</v>
      </c>
      <c r="Z36" s="159"/>
      <c r="AA36" s="36">
        <f>+'[4]CDIS Table-4'!O33</f>
        <v>1.6779028100662903E-3</v>
      </c>
      <c r="AB36" s="39"/>
      <c r="AC36" s="39">
        <f t="shared" si="20"/>
        <v>0</v>
      </c>
      <c r="AD36" s="39">
        <f t="shared" si="21"/>
        <v>0</v>
      </c>
      <c r="AE36" s="39">
        <f t="shared" si="22"/>
        <v>0</v>
      </c>
      <c r="AF36" s="39"/>
      <c r="AG36" s="36">
        <f t="shared" si="18"/>
        <v>1.6779028100662903E-3</v>
      </c>
      <c r="AH36" s="39"/>
      <c r="AI36" s="39">
        <f t="shared" si="23"/>
        <v>0</v>
      </c>
      <c r="AJ36" s="39"/>
      <c r="AK36" s="39">
        <f t="shared" si="12"/>
        <v>0</v>
      </c>
      <c r="AL36" s="39"/>
      <c r="AM36" s="36">
        <f>+'[4]CDIS Table-4'!U33</f>
        <v>0</v>
      </c>
      <c r="AN36" s="39"/>
      <c r="AO36" s="39">
        <f t="shared" si="24"/>
        <v>0</v>
      </c>
      <c r="AP36" s="39">
        <f t="shared" si="25"/>
        <v>0</v>
      </c>
      <c r="AQ36" s="39">
        <f t="shared" si="26"/>
        <v>0</v>
      </c>
      <c r="AR36" s="39"/>
      <c r="AS36" s="39">
        <f t="shared" si="16"/>
        <v>0</v>
      </c>
      <c r="AT36" s="39"/>
      <c r="AU36" s="39">
        <f t="shared" si="19"/>
        <v>0</v>
      </c>
    </row>
    <row r="37" spans="1:47">
      <c r="C37" s="185" t="s">
        <v>99</v>
      </c>
      <c r="D37" s="196">
        <f t="shared" si="0"/>
        <v>36.084905660377359</v>
      </c>
      <c r="E37" s="196">
        <f t="shared" si="4"/>
        <v>29.834905660377359</v>
      </c>
      <c r="F37" s="171">
        <f>VLOOKUP($C37,'[4]Breakdown EU havens'!$S$4:$Y$31,F$2,0)/E106</f>
        <v>5.3066037735849054</v>
      </c>
      <c r="G37" s="171">
        <f>VLOOKUP($C37,'[4]Breakdown EU havens'!$S$4:$Y$31,G$2,0)/E106</f>
        <v>0</v>
      </c>
      <c r="H37" s="171">
        <f>VLOOKUP($C37,'[4]Breakdown EU havens'!$S$4:$Y$31,H$2,0)/E106</f>
        <v>0.23584905660377362</v>
      </c>
      <c r="I37" s="171">
        <f>VLOOKUP($C37,'[4]Breakdown EU havens'!$S$4:$Y$31,I$2,0)/E106</f>
        <v>20.754716981132077</v>
      </c>
      <c r="J37" s="171">
        <f>VLOOKUP($C37,'[4]Breakdown EU havens'!$S$4:$Y$31,J$2,0)/E106</f>
        <v>0</v>
      </c>
      <c r="K37" s="171">
        <f>VLOOKUP($C37,'[4]Breakdown EU havens'!$S$4:$Y$31,K$2,0)/E106</f>
        <v>3.5377358490566038</v>
      </c>
      <c r="L37" s="196">
        <f t="shared" si="5"/>
        <v>6.2500000000000009</v>
      </c>
      <c r="M37" s="178">
        <f>VLOOKUP($C37,'[4]Breakdown non-EU havens'!$K$4:$M$31,3,0)/E106</f>
        <v>3.7735849056603779</v>
      </c>
      <c r="N37" s="183">
        <f>VLOOKUP($C37,'[4]Breakdown non-EU havens'!$K$4:$M$31,2,0)/E106</f>
        <v>2.476415094339623</v>
      </c>
      <c r="O37" s="196">
        <f t="shared" si="2"/>
        <v>408.40734759175075</v>
      </c>
      <c r="P37" s="196">
        <f t="shared" si="6"/>
        <v>314.50471698113211</v>
      </c>
      <c r="Q37" s="171">
        <f>VLOOKUP($C37,'[4]Breakdown EU havens'!$J$4:$P$31,Q$2,0)/E106</f>
        <v>61.320754716981135</v>
      </c>
      <c r="R37" s="171">
        <f>VLOOKUP($C37,'[4]Breakdown EU havens'!$J$4:$P$31,R$2,0)/E106</f>
        <v>4.716981132075472</v>
      </c>
      <c r="S37" s="171">
        <f>VLOOKUP($C37,'[4]Breakdown EU havens'!$J$4:$P$31,S$2,0)/E106</f>
        <v>109.66981132075472</v>
      </c>
      <c r="T37" s="171">
        <f>VLOOKUP($C37,'[4]Breakdown EU havens'!$J$4:$P$31,T$2,0)/E106</f>
        <v>37.735849056603776</v>
      </c>
      <c r="U37" s="171">
        <f>VLOOKUP($C36,'[4]Breakdown EU havens'!$J$4:$P$31,U$2,0)/E106</f>
        <v>11.674528301886793</v>
      </c>
      <c r="V37" s="171">
        <f>VLOOKUP($C37,'[4]Breakdown EU havens'!$J$4:$P$31,V$2,0)/E106</f>
        <v>89.386792452830193</v>
      </c>
      <c r="W37" s="196">
        <f t="shared" si="7"/>
        <v>93.902630610618615</v>
      </c>
      <c r="X37" s="178">
        <f>IFERROR(IFERROR(VLOOKUP(C37,'[4]Swiss pivot'!$E$3:$H$54,3,0),VLOOKUP($C37,'[4]Breakdown non-EU havens'!$F$4:$H$31,3,0)/$E$106),AK37*'[4]Non-EU tax havens'!$I$8)</f>
        <v>57.935649478543134</v>
      </c>
      <c r="Y37" s="177">
        <f>VLOOKUP($C37,'[4]Breakdown non-EU havens'!$F$4:$H$31,2,0)/E106</f>
        <v>35.966981132075475</v>
      </c>
      <c r="Z37" s="159"/>
      <c r="AA37" s="36">
        <f>+'[4]CDIS Table-4'!O34</f>
        <v>4.7078495384529563E-4</v>
      </c>
      <c r="AB37" s="39"/>
      <c r="AC37" s="39">
        <f t="shared" si="20"/>
        <v>0</v>
      </c>
      <c r="AD37" s="39">
        <f t="shared" si="21"/>
        <v>0</v>
      </c>
      <c r="AE37" s="39">
        <f t="shared" si="22"/>
        <v>0</v>
      </c>
      <c r="AF37" s="39"/>
      <c r="AG37" s="36">
        <f t="shared" si="18"/>
        <v>4.7078495384529563E-4</v>
      </c>
      <c r="AH37" s="39"/>
      <c r="AI37" s="39">
        <f t="shared" si="23"/>
        <v>0</v>
      </c>
      <c r="AJ37" s="39"/>
      <c r="AK37" s="39">
        <f t="shared" si="12"/>
        <v>0</v>
      </c>
      <c r="AL37" s="39"/>
      <c r="AM37" s="36">
        <f>+'[4]CDIS Table-4'!U34</f>
        <v>0</v>
      </c>
      <c r="AN37" s="39"/>
      <c r="AO37" s="39">
        <f t="shared" si="24"/>
        <v>0</v>
      </c>
      <c r="AP37" s="39">
        <f t="shared" si="25"/>
        <v>0</v>
      </c>
      <c r="AQ37" s="39">
        <f t="shared" si="26"/>
        <v>0</v>
      </c>
      <c r="AR37" s="39"/>
      <c r="AS37" s="39">
        <f t="shared" si="16"/>
        <v>0</v>
      </c>
      <c r="AT37" s="39"/>
      <c r="AU37" s="39">
        <f t="shared" si="19"/>
        <v>0</v>
      </c>
    </row>
    <row r="38" spans="1:47">
      <c r="C38" s="185" t="s">
        <v>30</v>
      </c>
      <c r="D38" s="196">
        <f t="shared" si="0"/>
        <v>4449.4103773584911</v>
      </c>
      <c r="E38" s="196">
        <f t="shared" si="4"/>
        <v>4046.1084905660382</v>
      </c>
      <c r="F38" s="171">
        <f>VLOOKUP($C38,'[4]Breakdown EU havens'!$S$4:$Y$31,F$2,0)/E106</f>
        <v>268.8679245283019</v>
      </c>
      <c r="G38" s="171">
        <f>VLOOKUP($C38,'[4]Breakdown EU havens'!$S$4:$Y$31,G$2,0)/E106</f>
        <v>4.2452830188679247</v>
      </c>
      <c r="H38" s="171">
        <f>VLOOKUP($C38,'[4]Breakdown EU havens'!$S$4:$Y$31,H$2,0)/E106</f>
        <v>419.81132075471697</v>
      </c>
      <c r="I38" s="171">
        <f>VLOOKUP($C38,'[4]Breakdown EU havens'!$S$4:$Y$31,I$2,0)/E106</f>
        <v>796.2264150943397</v>
      </c>
      <c r="J38" s="171">
        <f>VLOOKUP($C38,'[4]Breakdown EU havens'!$S$4:$Y$31,J$2,0)/E106</f>
        <v>9.7877358490566024</v>
      </c>
      <c r="K38" s="171">
        <f>VLOOKUP($C38,'[4]Breakdown EU havens'!$S$4:$Y$31,K$2,0)/E106</f>
        <v>2547.1698113207549</v>
      </c>
      <c r="L38" s="196">
        <f t="shared" si="5"/>
        <v>403.30188679245293</v>
      </c>
      <c r="M38" s="178">
        <f>VLOOKUP($C38,'[4]Breakdown non-EU havens'!$K$4:$M$31,3,0)/E106</f>
        <v>372.87735849056611</v>
      </c>
      <c r="N38" s="183">
        <f>VLOOKUP($C38,'[4]Breakdown non-EU havens'!$K$4:$M$31,2,0)/E106</f>
        <v>30.424528301886795</v>
      </c>
      <c r="O38" s="196">
        <f t="shared" si="2"/>
        <v>16083.187685563444</v>
      </c>
      <c r="P38" s="196">
        <f t="shared" si="6"/>
        <v>12859.198113207549</v>
      </c>
      <c r="Q38" s="171">
        <f>VLOOKUP($C38,'[4]Breakdown EU havens'!$J$4:$P$31,Q$2,0)/E106</f>
        <v>1279.4811320754718</v>
      </c>
      <c r="R38" s="171">
        <f>VLOOKUP($C38,'[4]Breakdown EU havens'!$J$4:$P$31,R$2,0)/E106</f>
        <v>27.122641509433961</v>
      </c>
      <c r="S38" s="171">
        <f>VLOOKUP($C38,'[4]Breakdown EU havens'!$J$4:$P$31,S$2,0)/E106</f>
        <v>3167.4528301886794</v>
      </c>
      <c r="T38" s="171">
        <f>VLOOKUP($C38,'[4]Breakdown EU havens'!$J$4:$P$31,T$2,0)/E106</f>
        <v>4240.566037735849</v>
      </c>
      <c r="U38" s="171">
        <f>VLOOKUP($C38,'[4]Breakdown EU havens'!$J$4:$P$31,U$2,0)/E106</f>
        <v>242.9245283018868</v>
      </c>
      <c r="V38" s="171">
        <f>VLOOKUP($C38,'[4]Breakdown EU havens'!$J$4:$P$31,V$2,0)/E106</f>
        <v>3901.6509433962265</v>
      </c>
      <c r="W38" s="196">
        <f t="shared" si="7"/>
        <v>3223.9895723558948</v>
      </c>
      <c r="X38" s="178">
        <f>IFERROR(IFERROR(VLOOKUP(C38,'[4]Swiss pivot'!$E$3:$H$54,3,0),VLOOKUP($C38,'[4]Breakdown non-EU havens'!$F$4:$H$31,3,0)/$E$106),AK38*'[4]Non-EU tax havens'!$I$8)</f>
        <v>1447.574478016272</v>
      </c>
      <c r="Y38" s="177">
        <f>VLOOKUP($C38,'[4]Breakdown non-EU havens'!$F$4:$H$31,2,0)/E106</f>
        <v>1776.4150943396228</v>
      </c>
      <c r="Z38" s="159"/>
      <c r="AA38" s="36">
        <f>+'[4]CDIS Table-4'!O35</f>
        <v>2.0109826911602034E-2</v>
      </c>
      <c r="AB38" s="39"/>
      <c r="AC38" s="39">
        <f t="shared" si="20"/>
        <v>0</v>
      </c>
      <c r="AD38" s="39">
        <f t="shared" si="21"/>
        <v>0</v>
      </c>
      <c r="AE38" s="39">
        <f t="shared" si="22"/>
        <v>0</v>
      </c>
      <c r="AF38" s="39"/>
      <c r="AG38" s="36">
        <f t="shared" si="18"/>
        <v>2.0109826911602034E-2</v>
      </c>
      <c r="AH38" s="39"/>
      <c r="AI38" s="39">
        <f t="shared" si="23"/>
        <v>0</v>
      </c>
      <c r="AJ38" s="39"/>
      <c r="AK38" s="39">
        <f t="shared" si="12"/>
        <v>0</v>
      </c>
      <c r="AL38" s="39"/>
      <c r="AM38" s="36">
        <f>+'[4]CDIS Table-4'!U35</f>
        <v>0</v>
      </c>
      <c r="AN38" s="39"/>
      <c r="AO38" s="39">
        <f t="shared" si="24"/>
        <v>0</v>
      </c>
      <c r="AP38" s="39">
        <f t="shared" si="25"/>
        <v>0</v>
      </c>
      <c r="AQ38" s="39">
        <f t="shared" si="26"/>
        <v>0</v>
      </c>
      <c r="AR38" s="39"/>
      <c r="AS38" s="39">
        <f t="shared" si="16"/>
        <v>0</v>
      </c>
      <c r="AT38" s="39"/>
      <c r="AU38" s="39">
        <f t="shared" si="19"/>
        <v>0</v>
      </c>
    </row>
    <row r="39" spans="1:47">
      <c r="C39" s="185" t="s">
        <v>100</v>
      </c>
      <c r="D39" s="196">
        <f t="shared" si="0"/>
        <v>965.09433962264154</v>
      </c>
      <c r="E39" s="196">
        <f t="shared" si="4"/>
        <v>929.48113207547169</v>
      </c>
      <c r="F39" s="171">
        <f>VLOOKUP($C39,'[4]Breakdown EU havens'!$S$4:$Y$31,F$2,0)/E106</f>
        <v>79.009433962264154</v>
      </c>
      <c r="G39" s="171">
        <f>VLOOKUP($C39,'[4]Breakdown EU havens'!$S$4:$Y$31,G$2,0)/E106</f>
        <v>0</v>
      </c>
      <c r="H39" s="171">
        <f>VLOOKUP($C39,'[4]Breakdown EU havens'!$S$4:$Y$31,H$2,0)/E106</f>
        <v>19.693396226415093</v>
      </c>
      <c r="I39" s="171">
        <f>VLOOKUP($C39,'[4]Breakdown EU havens'!$S$4:$Y$31,I$2,0)/E106</f>
        <v>426.41509433962261</v>
      </c>
      <c r="J39" s="171">
        <f>VLOOKUP($C39,'[4]Breakdown EU havens'!$S$4:$Y$31,J$2,0)/E106</f>
        <v>2.2405660377358489</v>
      </c>
      <c r="K39" s="171">
        <f>VLOOKUP($C39,'[4]Breakdown EU havens'!$S$4:$Y$31,K$2,0)/E106</f>
        <v>402.12264150943395</v>
      </c>
      <c r="L39" s="196">
        <f t="shared" si="5"/>
        <v>35.613207547169807</v>
      </c>
      <c r="M39" s="178">
        <f>VLOOKUP($C39,'[4]Breakdown non-EU havens'!$K$4:$M$31,3,0)/E106</f>
        <v>16.15566037735849</v>
      </c>
      <c r="N39" s="183">
        <f>VLOOKUP($C39,'[4]Breakdown non-EU havens'!$K$4:$M$31,2,0)/E106</f>
        <v>19.45754716981132</v>
      </c>
      <c r="O39" s="196">
        <f t="shared" si="2"/>
        <v>11547.35256758835</v>
      </c>
      <c r="P39" s="196">
        <f t="shared" si="6"/>
        <v>9529.2452830188686</v>
      </c>
      <c r="Q39" s="171">
        <f>VLOOKUP($C39,'[4]Breakdown EU havens'!$J$4:$P$31,Q$2,0)/E106</f>
        <v>1330.1886792452831</v>
      </c>
      <c r="R39" s="171">
        <f>VLOOKUP($C39,'[4]Breakdown EU havens'!$J$4:$P$31,R$2,0)/E106</f>
        <v>150.9433962264151</v>
      </c>
      <c r="S39" s="171">
        <f>VLOOKUP($C39,'[4]Breakdown EU havens'!$J$4:$P$31,S$2,0)/E106</f>
        <v>3575.4716981132078</v>
      </c>
      <c r="T39" s="171">
        <f>VLOOKUP($C39,'[4]Breakdown EU havens'!$J$4:$P$31,T$2,0)/E106</f>
        <v>2037.7358490566039</v>
      </c>
      <c r="U39" s="171">
        <f>VLOOKUP($C39,'[4]Breakdown EU havens'!$J$4:$P$31,U$2,0)/E106</f>
        <v>234.78773584905662</v>
      </c>
      <c r="V39" s="171">
        <f>VLOOKUP($C39,'[4]Breakdown EU havens'!$J$4:$P$31,V$2,0)/E106</f>
        <v>2200.117924528302</v>
      </c>
      <c r="W39" s="196">
        <f t="shared" si="7"/>
        <v>2018.1072845694812</v>
      </c>
      <c r="X39" s="178">
        <f>IFERROR(IFERROR(VLOOKUP(C39,'[4]Swiss pivot'!$E$3:$H$54,3,0),VLOOKUP($C39,'[4]Breakdown non-EU havens'!$F$4:$H$31,3,0)/$E$106),AK39*'[4]Non-EU tax havens'!$I$8)</f>
        <v>625.89030343740569</v>
      </c>
      <c r="Y39" s="177">
        <f>VLOOKUP($C39,'[4]Breakdown non-EU havens'!$F$4:$H$31,2,0)/E106</f>
        <v>1392.2169811320755</v>
      </c>
      <c r="Z39" s="159"/>
      <c r="AA39" s="36">
        <f>+'[4]CDIS Table-4'!O36</f>
        <v>1.0367762926519983E-2</v>
      </c>
      <c r="AB39" s="202"/>
      <c r="AC39" s="39">
        <f t="shared" si="20"/>
        <v>0</v>
      </c>
      <c r="AD39" s="39">
        <f t="shared" si="21"/>
        <v>0</v>
      </c>
      <c r="AE39" s="39">
        <f t="shared" si="22"/>
        <v>0</v>
      </c>
      <c r="AF39" s="202"/>
      <c r="AG39" s="36">
        <f t="shared" si="18"/>
        <v>1.0367762926519983E-2</v>
      </c>
      <c r="AH39" s="202"/>
      <c r="AI39" s="39">
        <f t="shared" si="23"/>
        <v>0</v>
      </c>
      <c r="AJ39" s="39"/>
      <c r="AK39" s="39">
        <f t="shared" si="12"/>
        <v>0</v>
      </c>
      <c r="AL39" s="202"/>
      <c r="AM39" s="36">
        <f>+'[4]CDIS Table-4'!U36</f>
        <v>0</v>
      </c>
      <c r="AN39" s="202"/>
      <c r="AO39" s="39">
        <f t="shared" si="24"/>
        <v>0</v>
      </c>
      <c r="AP39" s="39">
        <f t="shared" si="25"/>
        <v>0</v>
      </c>
      <c r="AQ39" s="39">
        <f t="shared" si="26"/>
        <v>0</v>
      </c>
      <c r="AR39" s="202"/>
      <c r="AS39" s="39">
        <f t="shared" si="16"/>
        <v>0</v>
      </c>
      <c r="AT39" s="202"/>
      <c r="AU39" s="39">
        <f t="shared" si="19"/>
        <v>0</v>
      </c>
    </row>
    <row r="40" spans="1:47">
      <c r="C40" s="185" t="s">
        <v>21</v>
      </c>
      <c r="D40" s="200"/>
      <c r="E40" s="200">
        <f t="shared" si="4"/>
        <v>4169.9292452830186</v>
      </c>
      <c r="F40" s="201">
        <f>HLOOKUP($C40,'[4]Interest shifted to EU'!$L$2:$AT$8,F$2,0)/E106</f>
        <v>288.44339622641508</v>
      </c>
      <c r="G40" s="201">
        <f>HLOOKUP($C40,'[4]Interest shifted to EU'!$L$2:$AT$8,G$2,0)/E106</f>
        <v>7.5471698113207539</v>
      </c>
      <c r="H40" s="201">
        <f>HLOOKUP($C40,'[4]Interest shifted to EU'!$L$2:$AT$8,H$2,0)/E106</f>
        <v>178.65566037735849</v>
      </c>
      <c r="I40" s="201">
        <f>HLOOKUP($C40,'[4]Interest shifted to EU'!$L$2:$AT$8,I$2,0)/E106</f>
        <v>721.93396226415098</v>
      </c>
      <c r="J40" s="201">
        <f>HLOOKUP($C40,'[4]Interest shifted to EU'!$L$2:$AT$8,J$2,0)/E106</f>
        <v>931.72169811320759</v>
      </c>
      <c r="K40" s="201">
        <f>HLOOKUP($C40,'[4]Interest shifted to EU'!$L$2:$AT$8,K$2,0)/E106</f>
        <v>2041.6273584905659</v>
      </c>
      <c r="L40" s="200"/>
      <c r="M40" s="178">
        <v>0</v>
      </c>
      <c r="N40" s="183"/>
      <c r="O40" s="200"/>
      <c r="P40" s="200">
        <f t="shared" si="6"/>
        <v>19824.41037735849</v>
      </c>
      <c r="Q40" s="201">
        <f>HLOOKUP($C40,'[4]Non EU income shifted to EU'!$B$2:$AI$9,Q$2+1,0)/E106</f>
        <v>3975.2358490566039</v>
      </c>
      <c r="R40" s="201">
        <f>HLOOKUP($C40,'[4]Non EU income shifted to EU'!$B$2:$AI$9,R$2+1,0)/E106</f>
        <v>8.2547169811320753</v>
      </c>
      <c r="S40" s="201">
        <f>HLOOKUP($C40,'[4]Non EU income shifted to EU'!$B$2:$AI$9,S$2+1,0)/E106</f>
        <v>3201.7688679245284</v>
      </c>
      <c r="T40" s="201">
        <f>HLOOKUP($C40,'[4]Non EU income shifted to EU'!$B$2:$AI$9,T$2+1,0)/E106</f>
        <v>7285.3773584905666</v>
      </c>
      <c r="U40" s="201">
        <f>HLOOKUP($C40,'[4]Non EU income shifted to EU'!$B$2:$AI$9,U$2+1,0)/E106</f>
        <v>133.25471698113208</v>
      </c>
      <c r="V40" s="201">
        <f>HLOOKUP($C40,'[4]Non EU income shifted to EU'!$B$2:$AI$9,V$2+1,0)/E106</f>
        <v>5220.5188679245284</v>
      </c>
      <c r="W40" s="200"/>
      <c r="X40" s="178">
        <f>IFERROR(IFERROR(VLOOKUP(C40,'[4]Swiss pivot'!$E$3:$H$54,3,0),VLOOKUP($C40,'[4]Breakdown non-EU havens'!$F$4:$H$31,3,0)/$E$106),AK40*'[4]Non-EU tax havens'!$I$8)</f>
        <v>0</v>
      </c>
      <c r="Y40" s="177"/>
      <c r="Z40" s="159"/>
      <c r="AA40" s="36">
        <f>+'[4]CDIS Table-4'!O37</f>
        <v>4.0242172386703134E-2</v>
      </c>
      <c r="AB40" s="39">
        <v>0</v>
      </c>
      <c r="AC40" s="39">
        <f t="shared" si="20"/>
        <v>0</v>
      </c>
      <c r="AD40" s="39">
        <f t="shared" si="21"/>
        <v>0</v>
      </c>
      <c r="AE40" s="39">
        <f t="shared" si="22"/>
        <v>0</v>
      </c>
      <c r="AF40" s="39"/>
      <c r="AG40" s="36">
        <f t="shared" si="18"/>
        <v>4.0242172386703134E-2</v>
      </c>
      <c r="AH40" s="39">
        <v>0</v>
      </c>
      <c r="AI40" s="39">
        <f t="shared" si="23"/>
        <v>0</v>
      </c>
      <c r="AJ40" s="39"/>
      <c r="AK40" s="39">
        <f t="shared" si="12"/>
        <v>0</v>
      </c>
      <c r="AL40" s="39"/>
      <c r="AM40" s="36">
        <f>+'[4]CDIS Table-4'!U37</f>
        <v>0</v>
      </c>
      <c r="AN40" s="39">
        <v>0</v>
      </c>
      <c r="AO40" s="39">
        <f t="shared" si="24"/>
        <v>0</v>
      </c>
      <c r="AP40" s="39">
        <f t="shared" si="25"/>
        <v>0</v>
      </c>
      <c r="AQ40" s="39">
        <f t="shared" si="26"/>
        <v>0</v>
      </c>
      <c r="AR40" s="39"/>
      <c r="AS40" s="39">
        <f t="shared" si="16"/>
        <v>0</v>
      </c>
      <c r="AT40" s="39"/>
      <c r="AU40" s="39">
        <f t="shared" si="19"/>
        <v>0</v>
      </c>
    </row>
    <row r="41" spans="1:47">
      <c r="C41" s="185" t="s">
        <v>44</v>
      </c>
      <c r="D41" s="196">
        <f t="shared" ref="D41:D51" si="27">+E41+L41</f>
        <v>513.43032321335613</v>
      </c>
      <c r="E41" s="196">
        <f t="shared" si="4"/>
        <v>287.85377358490564</v>
      </c>
      <c r="F41" s="171">
        <f>HLOOKUP($C41,'[4]Interest shifted to EU'!$L$2:$AT$8,F$2,0)/E106</f>
        <v>52.004716981132077</v>
      </c>
      <c r="G41" s="171">
        <f>HLOOKUP($C41,'[4]Interest shifted to EU'!$L$2:$AT$8,G$2,0)/E106</f>
        <v>0</v>
      </c>
      <c r="H41" s="171">
        <f>HLOOKUP($C41,'[4]Interest shifted to EU'!$L$2:$AT$8,H$2,0)/E106</f>
        <v>0</v>
      </c>
      <c r="I41" s="171">
        <f>HLOOKUP($C41,'[4]Interest shifted to EU'!$L$2:$AT$8,I$2,0)/E106</f>
        <v>30.54245283018868</v>
      </c>
      <c r="J41" s="171">
        <f>HLOOKUP($C41,'[4]Interest shifted to EU'!$L$2:$AT$8,J$2,0)/E106</f>
        <v>7.1933962264150937</v>
      </c>
      <c r="K41" s="171">
        <f>HLOOKUP($C41,'[4]Interest shifted to EU'!$L$2:$AT$8,K$2,0)/E106</f>
        <v>198.11320754716982</v>
      </c>
      <c r="L41" s="196">
        <f>SUM(M41:N41)</f>
        <v>225.57654962845055</v>
      </c>
      <c r="M41" s="178">
        <f>AC41*'[4]Non-EU tax havens'!$K$8</f>
        <v>32.136204406815821</v>
      </c>
      <c r="N41" s="183">
        <f>AC41*'[4]Non-EU tax havens'!$K$13</f>
        <v>193.44034522163474</v>
      </c>
      <c r="O41" s="196">
        <f t="shared" ref="O41:O51" si="28">+P41+W41</f>
        <v>5093.0748001625207</v>
      </c>
      <c r="P41" s="196">
        <f t="shared" si="6"/>
        <v>1822.4056603773586</v>
      </c>
      <c r="Q41" s="171">
        <f>HLOOKUP($C41,'[4]Non EU income shifted to EU'!$B$2:$AI$9,Q$2+1,0)/E106</f>
        <v>436.91037735849056</v>
      </c>
      <c r="R41" s="171">
        <f>HLOOKUP($C41,'[4]Non EU income shifted to EU'!$B$2:$AI$9,R$2+1,0)/E106</f>
        <v>2.2405660377358489</v>
      </c>
      <c r="S41" s="171">
        <f>HLOOKUP($C41,'[4]Non EU income shifted to EU'!$B$2:$AI$9,S$2+1,0)/E106</f>
        <v>608.96226415094338</v>
      </c>
      <c r="T41" s="171">
        <f>HLOOKUP($C41,'[4]Non EU income shifted to EU'!$B$2:$AI$9,T$2+1,0)/E106</f>
        <v>181.60377358490567</v>
      </c>
      <c r="U41" s="171">
        <f>HLOOKUP($C41,'[4]Non EU income shifted to EU'!$B$2:$AI$9,U$2+1,0)/E106</f>
        <v>55.54245283018868</v>
      </c>
      <c r="V41" s="171">
        <f>HLOOKUP($C41,'[4]Non EU income shifted to EU'!$B$2:$AI$9,V$2+1,0)/E106</f>
        <v>537.14622641509436</v>
      </c>
      <c r="W41" s="196">
        <f>SUM(X41:Y41)</f>
        <v>3270.6691397851619</v>
      </c>
      <c r="X41" s="178">
        <f>IFERROR(IFERROR(VLOOKUP(C41,'[4]Swiss pivot'!$E$3:$H$54,3,0),VLOOKUP($C41,'[4]Breakdown non-EU havens'!$F$4:$H$31,3,0)/$E$106),AK41*'[4]Non-EU tax havens'!$I$8)</f>
        <v>490.80924100669074</v>
      </c>
      <c r="Y41" s="177">
        <f>AE41*'[4]Non-EU tax havens'!$I$13</f>
        <v>2779.8598987784712</v>
      </c>
      <c r="Z41" s="159"/>
      <c r="AA41" s="36">
        <f>+'[4]CDIS Table-4'!O38</f>
        <v>3.2883376727278189E-3</v>
      </c>
      <c r="AB41" s="39">
        <f>+AA41</f>
        <v>3.2883376727278189E-3</v>
      </c>
      <c r="AC41" s="39">
        <f t="shared" si="20"/>
        <v>6.5474521019550595E-3</v>
      </c>
      <c r="AD41" s="39">
        <f t="shared" si="21"/>
        <v>3.2883376727278189E-3</v>
      </c>
      <c r="AE41" s="39">
        <f t="shared" si="22"/>
        <v>8.3152564327956605E-3</v>
      </c>
      <c r="AF41" s="39"/>
      <c r="AG41" s="36">
        <f t="shared" si="18"/>
        <v>3.2883376727278189E-3</v>
      </c>
      <c r="AH41" s="39">
        <f>+AG41</f>
        <v>3.2883376727278189E-3</v>
      </c>
      <c r="AI41" s="39">
        <f t="shared" si="23"/>
        <v>6.5474521019550595E-3</v>
      </c>
      <c r="AJ41" s="39"/>
      <c r="AK41" s="39">
        <f t="shared" ref="AK41:AK72" si="29">+AJ41/$AJ$102</f>
        <v>0</v>
      </c>
      <c r="AL41" s="39"/>
      <c r="AM41" s="36">
        <f>+'[4]CDIS Table-4'!U38</f>
        <v>0</v>
      </c>
      <c r="AN41" s="39">
        <f>+AM41</f>
        <v>0</v>
      </c>
      <c r="AO41" s="39">
        <f t="shared" si="24"/>
        <v>0</v>
      </c>
      <c r="AP41" s="39">
        <f t="shared" si="25"/>
        <v>0</v>
      </c>
      <c r="AQ41" s="39">
        <f t="shared" si="26"/>
        <v>0</v>
      </c>
      <c r="AR41" s="39"/>
      <c r="AS41" s="39">
        <f t="shared" ref="AS41:AS72" si="30">+AR41/$AR$102</f>
        <v>0</v>
      </c>
      <c r="AT41" s="39"/>
      <c r="AU41" s="39">
        <f t="shared" si="19"/>
        <v>0</v>
      </c>
    </row>
    <row r="42" spans="1:47">
      <c r="C42" s="185" t="s">
        <v>28</v>
      </c>
      <c r="D42" s="196">
        <f t="shared" si="27"/>
        <v>11560.495283018867</v>
      </c>
      <c r="E42" s="196">
        <f t="shared" si="4"/>
        <v>10558.018867924528</v>
      </c>
      <c r="F42" s="171">
        <f>VLOOKUP($C42,'[4]Breakdown EU havens'!$S$4:$Y$31,F$2,0)/E106</f>
        <v>2904.4811320754716</v>
      </c>
      <c r="G42" s="171">
        <f>VLOOKUP($C42,'[4]Breakdown EU havens'!$S$4:$Y$31,G$2,0)/E106</f>
        <v>13.089622641509434</v>
      </c>
      <c r="H42" s="171">
        <f>VLOOKUP($C42,'[4]Breakdown EU havens'!$S$4:$Y$31,H$2,0)/E106</f>
        <v>719.33962264150944</v>
      </c>
      <c r="I42" s="171">
        <f>VLOOKUP($C42,'[4]Breakdown EU havens'!$S$4:$Y$31,I$2,0)/E106</f>
        <v>2821.2264150943397</v>
      </c>
      <c r="J42" s="171">
        <f>VLOOKUP($C42,'[4]Breakdown EU havens'!$S$4:$Y$31,J$2,0)/E106</f>
        <v>30.306603773584911</v>
      </c>
      <c r="K42" s="171">
        <f>VLOOKUP($C42,'[4]Breakdown EU havens'!$S$4:$Y$31,K$2,0)/E106</f>
        <v>4069.5754716981132</v>
      </c>
      <c r="L42" s="196">
        <f>SUM(M42:N42)</f>
        <v>1002.4764150943397</v>
      </c>
      <c r="M42" s="178">
        <f>VLOOKUP($C42,'[4]Breakdown non-EU havens'!$K$4:$M$31,3,0)/E106</f>
        <v>513.08962264150944</v>
      </c>
      <c r="N42" s="183">
        <f>VLOOKUP($C42,'[4]Breakdown non-EU havens'!$K$4:$M$31,2,0)/E106</f>
        <v>489.38679245283021</v>
      </c>
      <c r="O42" s="196">
        <f t="shared" si="28"/>
        <v>97485.969465389979</v>
      </c>
      <c r="P42" s="196">
        <f t="shared" si="6"/>
        <v>70788.325471698103</v>
      </c>
      <c r="Q42" s="171">
        <f>VLOOKUP($C42,'[4]Breakdown EU havens'!$J$4:$P$31,Q$2,0)/E106</f>
        <v>6961.0849056603774</v>
      </c>
      <c r="R42" s="171">
        <f>VLOOKUP($C42,'[4]Breakdown EU havens'!$J$4:$P$31,R$2,0)/E106</f>
        <v>389.97641509433964</v>
      </c>
      <c r="S42" s="171">
        <f>VLOOKUP($C42,'[4]Breakdown EU havens'!$J$4:$P$31,S$2,0)/E106</f>
        <v>25193.396226415094</v>
      </c>
      <c r="T42" s="171">
        <f>VLOOKUP($C42,'[4]Breakdown EU havens'!$J$4:$P$31,T$2,0)/E106</f>
        <v>15873.113207547171</v>
      </c>
      <c r="U42" s="171">
        <f>VLOOKUP($C42,'[4]Breakdown EU havens'!$J$4:$P$31,U$2,0)/E106</f>
        <v>1069.1037735849056</v>
      </c>
      <c r="V42" s="171">
        <f>VLOOKUP($C42,'[4]Breakdown EU havens'!$J$4:$P$31,V$2,0)/E106</f>
        <v>21301.650943396227</v>
      </c>
      <c r="W42" s="196">
        <f>SUM(X42:Y42)</f>
        <v>26697.64399369188</v>
      </c>
      <c r="X42" s="178">
        <f>IFERROR(IFERROR(VLOOKUP(C42,'[4]Swiss pivot'!$E$3:$H$54,3,0),VLOOKUP($C42,'[4]Breakdown non-EU havens'!$F$4:$H$31,3,0)/$E$106),AK42*'[4]Non-EU tax havens'!$I$8)</f>
        <v>8234.5543710503698</v>
      </c>
      <c r="Y42" s="177">
        <f>VLOOKUP($C42,'[4]Breakdown non-EU havens'!$F$4:$H$31,2,0)/E106</f>
        <v>18463.08962264151</v>
      </c>
      <c r="Z42" s="159"/>
      <c r="AA42" s="36">
        <f>+'[4]CDIS Table-4'!O39</f>
        <v>4.5338525604610186E-2</v>
      </c>
      <c r="AB42" s="39"/>
      <c r="AC42" s="39">
        <f t="shared" si="20"/>
        <v>0</v>
      </c>
      <c r="AD42" s="39">
        <f t="shared" si="21"/>
        <v>0</v>
      </c>
      <c r="AE42" s="39">
        <f t="shared" si="22"/>
        <v>0</v>
      </c>
      <c r="AF42" s="39"/>
      <c r="AG42" s="36">
        <f t="shared" si="18"/>
        <v>4.5338525604610186E-2</v>
      </c>
      <c r="AH42" s="39"/>
      <c r="AI42" s="39">
        <f t="shared" si="23"/>
        <v>0</v>
      </c>
      <c r="AJ42" s="39"/>
      <c r="AK42" s="39">
        <f t="shared" si="29"/>
        <v>0</v>
      </c>
      <c r="AL42" s="39"/>
      <c r="AM42" s="36">
        <f>+'[4]CDIS Table-4'!U39</f>
        <v>0</v>
      </c>
      <c r="AN42" s="39"/>
      <c r="AO42" s="39">
        <f t="shared" si="24"/>
        <v>0</v>
      </c>
      <c r="AP42" s="39">
        <f t="shared" si="25"/>
        <v>0</v>
      </c>
      <c r="AQ42" s="39">
        <f t="shared" si="26"/>
        <v>0</v>
      </c>
      <c r="AR42" s="39"/>
      <c r="AS42" s="39">
        <f t="shared" si="30"/>
        <v>0</v>
      </c>
      <c r="AT42" s="39"/>
      <c r="AU42" s="39">
        <f t="shared" si="19"/>
        <v>0</v>
      </c>
    </row>
    <row r="43" spans="1:47">
      <c r="C43" s="185" t="s">
        <v>11</v>
      </c>
      <c r="D43" s="196">
        <f t="shared" si="27"/>
        <v>14183.49907707612</v>
      </c>
      <c r="E43" s="196">
        <f t="shared" si="4"/>
        <v>6858.9622641509432</v>
      </c>
      <c r="F43" s="171">
        <f>HLOOKUP($C43,'[4]Interest shifted to EU'!$L$2:$AT$8,F$2,0)/E106</f>
        <v>-4.8349056603773581</v>
      </c>
      <c r="G43" s="171">
        <f>HLOOKUP($C43,'[4]Interest shifted to EU'!$L$2:$AT$8,G$2,0)/E106</f>
        <v>-0.23584905660377362</v>
      </c>
      <c r="H43" s="171">
        <f>HLOOKUP($C43,'[4]Interest shifted to EU'!$L$2:$AT$8,H$2,0)/E106</f>
        <v>-5.1886792452830193</v>
      </c>
      <c r="I43" s="171">
        <f>HLOOKUP($C43,'[4]Interest shifted to EU'!$L$2:$AT$8,I$2,0)/E106</f>
        <v>-20.754716981132077</v>
      </c>
      <c r="J43" s="171">
        <f>HLOOKUP($C43,'[4]Interest shifted to EU'!$L$2:$AT$8,J$2,0)/E106</f>
        <v>-0.35377358490566035</v>
      </c>
      <c r="K43" s="171">
        <f>HLOOKUP($C43,'[4]Interest shifted to EU'!$L$2:$AT$8,K$2,0)/E106</f>
        <v>6890.3301886792451</v>
      </c>
      <c r="L43" s="196">
        <f>SUM(M43:N43)</f>
        <v>7324.5368129251765</v>
      </c>
      <c r="M43" s="178">
        <f>AC43*'[4]Non-EU tax havens'!$K$8</f>
        <v>1043.4719947313326</v>
      </c>
      <c r="N43" s="183">
        <f>AC43*'[4]Non-EU tax havens'!$K$13</f>
        <v>6281.0648181938441</v>
      </c>
      <c r="O43" s="196">
        <f t="shared" si="28"/>
        <v>150496.78260309351</v>
      </c>
      <c r="P43" s="196">
        <f t="shared" si="6"/>
        <v>47033.844339622636</v>
      </c>
      <c r="Q43" s="171">
        <f>HLOOKUP($C43,'[4]Non EU income shifted to EU'!$B$2:$AI$9,Q$2+1,0)/E106</f>
        <v>9679.3632075471705</v>
      </c>
      <c r="R43" s="171">
        <f>HLOOKUP($C43,'[4]Non EU income shifted to EU'!$B$2:$AI$9,R$2+1,0)/E106</f>
        <v>388.79716981132077</v>
      </c>
      <c r="S43" s="171">
        <f>HLOOKUP($C43,'[4]Non EU income shifted to EU'!$B$2:$AI$9,S$2+1,0)/E106</f>
        <v>18341.981132075471</v>
      </c>
      <c r="T43" s="171">
        <f>HLOOKUP($C43,'[4]Non EU income shifted to EU'!$B$2:$AI$9,T$2+1,0)/E106</f>
        <v>5488.2075471698117</v>
      </c>
      <c r="U43" s="171">
        <f>HLOOKUP($C43,'[4]Non EU income shifted to EU'!$B$2:$AI$9,U$2+1,0)/E106</f>
        <v>70.99056603773586</v>
      </c>
      <c r="V43" s="171">
        <f>HLOOKUP($C43,'[4]Non EU income shifted to EU'!$B$2:$AI$9,V$2+1,0)/E106</f>
        <v>13064.504716981133</v>
      </c>
      <c r="W43" s="196">
        <f>SUM(X43:Y43)</f>
        <v>103462.93826347087</v>
      </c>
      <c r="X43" s="178">
        <f>+'[4]Swiss pivot'!$G$53</f>
        <v>14693.997542362997</v>
      </c>
      <c r="Y43" s="177">
        <f>+'[4]Non-EU tax havens'!$H$13</f>
        <v>88768.94072110788</v>
      </c>
      <c r="Z43" s="159"/>
      <c r="AA43" s="36">
        <f>+'[4]CDIS Table-4'!O40</f>
        <v>0.1067732899403558</v>
      </c>
      <c r="AB43" s="39">
        <f>+AA43</f>
        <v>0.1067732899403558</v>
      </c>
      <c r="AC43" s="39">
        <f t="shared" si="20"/>
        <v>0.21259769258207342</v>
      </c>
      <c r="AD43" s="39"/>
      <c r="AE43" s="39">
        <f t="shared" si="22"/>
        <v>0</v>
      </c>
      <c r="AF43" s="39"/>
      <c r="AG43" s="36">
        <f t="shared" si="18"/>
        <v>0.1067732899403558</v>
      </c>
      <c r="AH43" s="39">
        <f>+AG43</f>
        <v>0.1067732899403558</v>
      </c>
      <c r="AI43" s="39">
        <f t="shared" si="23"/>
        <v>0.21259769258207342</v>
      </c>
      <c r="AJ43" s="39"/>
      <c r="AK43" s="39">
        <f t="shared" si="29"/>
        <v>0</v>
      </c>
      <c r="AL43" s="39"/>
      <c r="AM43" s="36">
        <f>+'[4]CDIS Table-4'!U40</f>
        <v>0</v>
      </c>
      <c r="AN43" s="39">
        <f>+AM43</f>
        <v>0</v>
      </c>
      <c r="AO43" s="39">
        <f t="shared" si="24"/>
        <v>0</v>
      </c>
      <c r="AP43" s="39"/>
      <c r="AQ43" s="39">
        <f t="shared" si="26"/>
        <v>0</v>
      </c>
      <c r="AR43" s="39"/>
      <c r="AS43" s="39">
        <f t="shared" si="30"/>
        <v>0</v>
      </c>
      <c r="AT43" s="39"/>
      <c r="AU43" s="39">
        <f t="shared" si="19"/>
        <v>0</v>
      </c>
    </row>
    <row r="44" spans="1:47" ht="31">
      <c r="C44" s="195" t="s">
        <v>77</v>
      </c>
      <c r="D44" s="192">
        <f t="shared" si="27"/>
        <v>15166.719362668304</v>
      </c>
      <c r="E44" s="192">
        <f t="shared" ref="E44:N44" si="31">+SUM(E45:E51)</f>
        <v>6541.9839793889487</v>
      </c>
      <c r="F44" s="161">
        <f t="shared" si="31"/>
        <v>1043.4690833082877</v>
      </c>
      <c r="G44" s="161">
        <f t="shared" si="31"/>
        <v>179.84052843497489</v>
      </c>
      <c r="H44" s="161">
        <f t="shared" si="31"/>
        <v>-48.356556679757972</v>
      </c>
      <c r="I44" s="161">
        <f t="shared" si="31"/>
        <v>590.74021447016435</v>
      </c>
      <c r="J44" s="161">
        <f t="shared" si="31"/>
        <v>1919.069527019253</v>
      </c>
      <c r="K44" s="161">
        <f t="shared" si="31"/>
        <v>2857.2211828360269</v>
      </c>
      <c r="L44" s="192">
        <f t="shared" si="31"/>
        <v>8624.7353832793542</v>
      </c>
      <c r="M44" s="161">
        <f t="shared" si="31"/>
        <v>1228.7015635636142</v>
      </c>
      <c r="N44" s="164">
        <f t="shared" si="31"/>
        <v>7396.0338197157416</v>
      </c>
      <c r="O44" s="192">
        <f t="shared" si="28"/>
        <v>134484.79191119492</v>
      </c>
      <c r="P44" s="192">
        <f t="shared" ref="P44:Y44" si="32">+SUM(P45:P51)</f>
        <v>22971.410548264546</v>
      </c>
      <c r="Q44" s="171">
        <f t="shared" si="32"/>
        <v>1377.9934600899226</v>
      </c>
      <c r="R44" s="171">
        <f t="shared" si="32"/>
        <v>683.87811250829998</v>
      </c>
      <c r="S44" s="171">
        <f t="shared" si="32"/>
        <v>12161.769603183684</v>
      </c>
      <c r="T44" s="171">
        <f t="shared" si="32"/>
        <v>1389.327290825524</v>
      </c>
      <c r="U44" s="171">
        <f t="shared" si="32"/>
        <v>10.870834845594903</v>
      </c>
      <c r="V44" s="171">
        <f t="shared" si="32"/>
        <v>7347.5712468115216</v>
      </c>
      <c r="W44" s="192">
        <f t="shared" si="32"/>
        <v>111513.38136293036</v>
      </c>
      <c r="X44" s="161">
        <f t="shared" si="32"/>
        <v>5227.7055289643176</v>
      </c>
      <c r="Y44" s="160">
        <f t="shared" si="32"/>
        <v>106285.67583396604</v>
      </c>
      <c r="Z44" s="159"/>
      <c r="AA44" s="36"/>
      <c r="AB44" s="39"/>
      <c r="AC44" s="39">
        <f t="shared" si="20"/>
        <v>0</v>
      </c>
      <c r="AD44" s="39"/>
      <c r="AE44" s="39">
        <f t="shared" si="22"/>
        <v>0</v>
      </c>
      <c r="AF44" s="39"/>
      <c r="AG44" s="36"/>
      <c r="AH44" s="39"/>
      <c r="AI44" s="39">
        <f t="shared" si="23"/>
        <v>0</v>
      </c>
      <c r="AJ44" s="39"/>
      <c r="AK44" s="39">
        <f t="shared" si="29"/>
        <v>0</v>
      </c>
      <c r="AL44" s="39"/>
      <c r="AM44" s="36"/>
      <c r="AN44" s="39"/>
      <c r="AO44" s="39">
        <f t="shared" si="24"/>
        <v>0</v>
      </c>
      <c r="AP44" s="39"/>
      <c r="AQ44" s="39">
        <f t="shared" si="26"/>
        <v>0</v>
      </c>
      <c r="AR44" s="39"/>
      <c r="AS44" s="39">
        <f t="shared" si="30"/>
        <v>0</v>
      </c>
      <c r="AT44" s="39"/>
      <c r="AU44" s="39">
        <f t="shared" si="19"/>
        <v>0</v>
      </c>
    </row>
    <row r="45" spans="1:47">
      <c r="C45" s="199" t="s">
        <v>37</v>
      </c>
      <c r="D45" s="196">
        <f t="shared" si="27"/>
        <v>4854.8749782301338</v>
      </c>
      <c r="E45" s="196">
        <f t="shared" ref="E45:E51" si="33">SUM(F45:K45)</f>
        <v>3626.4150943396226</v>
      </c>
      <c r="F45" s="171">
        <f>HLOOKUP($C45,'[4]Interest shifted to EU'!$L$2:$AT$8,F$2,0)/E$106</f>
        <v>535.49528301886801</v>
      </c>
      <c r="G45" s="171">
        <f>HLOOKUP($C45,'[4]Interest shifted to EU'!$L$2:$AT$8,G$2,0)/E$106</f>
        <v>0</v>
      </c>
      <c r="H45" s="171">
        <f>HLOOKUP($C45,'[4]Interest shifted to EU'!$L$2:$AT$8,H$2,0)/E$106</f>
        <v>0</v>
      </c>
      <c r="I45" s="171">
        <f>HLOOKUP($C45,'[4]Interest shifted to EU'!$L$2:$AT$8,I$2,0)/E$106</f>
        <v>387.6179245283019</v>
      </c>
      <c r="J45" s="171">
        <f>HLOOKUP($C45,'[4]Interest shifted to EU'!$L$2:$AT$8,J$2,0)/E$106</f>
        <v>923.82075471698113</v>
      </c>
      <c r="K45" s="171">
        <f>HLOOKUP($C45,'[4]Interest shifted to EU'!$L$2:$AT$8,K$2,0)/E$106</f>
        <v>1779.4811320754718</v>
      </c>
      <c r="L45" s="196">
        <f t="shared" ref="L45:L51" si="34">SUM(M45:N45)</f>
        <v>1228.4598838905113</v>
      </c>
      <c r="M45" s="178">
        <f>AC45*'[4]Non-EU tax havens'!$K$8</f>
        <v>175.0094945565192</v>
      </c>
      <c r="N45" s="183">
        <f>AC45*'[4]Non-EU tax havens'!$K$13</f>
        <v>1053.450389333992</v>
      </c>
      <c r="O45" s="196">
        <f t="shared" si="28"/>
        <v>18811.813327531883</v>
      </c>
      <c r="P45" s="196">
        <f t="shared" ref="P45:P51" si="35">SUM(Q45:V45)</f>
        <v>3301.8867924528304</v>
      </c>
      <c r="Q45" s="171">
        <f>HLOOKUP($C45,'[4]Non EU income shifted to EU'!$B$2:$AI$9,Q$2+1,0)/E$106</f>
        <v>178.06603773584905</v>
      </c>
      <c r="R45" s="171">
        <f>HLOOKUP($C45,'[4]Non EU income shifted to EU'!$B$2:$AI$9,R$2+1,0)/E$106</f>
        <v>0.70754716981132071</v>
      </c>
      <c r="S45" s="171">
        <f>HLOOKUP($C45,'[4]Non EU income shifted to EU'!$B$2:$AI$9,S$2+1,0)/E$106</f>
        <v>1370.2830188679245</v>
      </c>
      <c r="T45" s="171">
        <f>HLOOKUP($C45,'[4]Non EU income shifted to EU'!$B$2:$AI$9,T$2+1,0)/E$106</f>
        <v>181.60377358490567</v>
      </c>
      <c r="U45" s="171">
        <f>HLOOKUP($C45,'[4]Non EU income shifted to EU'!$B$2:$AI$9,U$2+1,0)/E$106</f>
        <v>0</v>
      </c>
      <c r="V45" s="171">
        <f>HLOOKUP($C45,'[4]Non EU income shifted to EU'!$B$2:$AI$9,V$2+1,0)/E$106</f>
        <v>1571.2264150943397</v>
      </c>
      <c r="W45" s="196">
        <f t="shared" ref="W45:W51" si="36">SUM(X45:Y45)</f>
        <v>15509.926535079054</v>
      </c>
      <c r="X45" s="178">
        <f>IFERROR(IFERROR(VLOOKUP(C45,'[4]Swiss pivot'!$E$3:$H$54,3,0),VLOOKUP($C45,'[4]Breakdown non-EU havens'!$F$4:$H$31,3,0)/$E$106),AK45*'[4]Non-EU tax havens'!$I$8)</f>
        <v>371.17929335520495</v>
      </c>
      <c r="Y45" s="177">
        <f>AE45*'[4]Non-EU tax havens'!$I$13</f>
        <v>15138.74724172385</v>
      </c>
      <c r="Z45" s="159"/>
      <c r="AA45" s="36">
        <f>+'[4]CDIS Table-4'!O42</f>
        <v>1.7907849562756685E-2</v>
      </c>
      <c r="AB45" s="39">
        <f t="shared" ref="AB45:AB51" si="37">+AA45</f>
        <v>1.7907849562756685E-2</v>
      </c>
      <c r="AC45" s="39">
        <f t="shared" si="20"/>
        <v>3.5656553228580579E-2</v>
      </c>
      <c r="AD45" s="39">
        <f t="shared" ref="AD45:AD51" si="38">+AB45</f>
        <v>1.7907849562756685E-2</v>
      </c>
      <c r="AE45" s="39">
        <f t="shared" si="22"/>
        <v>4.5283780467327596E-2</v>
      </c>
      <c r="AF45" s="39"/>
      <c r="AG45" s="36">
        <f>+AA45</f>
        <v>1.7907849562756685E-2</v>
      </c>
      <c r="AH45" s="39">
        <f t="shared" ref="AH45:AH88" si="39">+AG45</f>
        <v>1.7907849562756685E-2</v>
      </c>
      <c r="AI45" s="39">
        <f t="shared" si="23"/>
        <v>3.5656553228580579E-2</v>
      </c>
      <c r="AJ45" s="39"/>
      <c r="AK45" s="39">
        <f t="shared" si="29"/>
        <v>0</v>
      </c>
      <c r="AL45" s="39"/>
      <c r="AM45" s="36">
        <f>+'[4]CDIS Table-4'!U42</f>
        <v>0</v>
      </c>
      <c r="AN45" s="39">
        <f t="shared" ref="AN45:AN88" si="40">+AM45</f>
        <v>0</v>
      </c>
      <c r="AO45" s="39">
        <f t="shared" si="24"/>
        <v>0</v>
      </c>
      <c r="AP45" s="39">
        <f t="shared" ref="AP45:AP88" si="41">+AN45</f>
        <v>0</v>
      </c>
      <c r="AQ45" s="39">
        <f t="shared" si="26"/>
        <v>0</v>
      </c>
      <c r="AR45" s="39">
        <f>+AF45</f>
        <v>0</v>
      </c>
      <c r="AS45" s="39">
        <f t="shared" si="30"/>
        <v>0</v>
      </c>
      <c r="AT45" s="39">
        <f>+AS45</f>
        <v>0</v>
      </c>
      <c r="AU45" s="39">
        <f t="shared" si="19"/>
        <v>0</v>
      </c>
    </row>
    <row r="46" spans="1:47">
      <c r="A46" s="198" t="s">
        <v>171</v>
      </c>
      <c r="B46" s="197" t="s">
        <v>363</v>
      </c>
      <c r="C46" s="185" t="s">
        <v>47</v>
      </c>
      <c r="D46" s="196">
        <f t="shared" si="27"/>
        <v>5785.0724800735861</v>
      </c>
      <c r="E46" s="196">
        <f t="shared" si="33"/>
        <v>585.0235849056603</v>
      </c>
      <c r="F46" s="171">
        <f>HLOOKUP($B46,'[4]Interest shifted to EU'!$L$2:$AT$8,F$2,0)/E106</f>
        <v>44.811320754716981</v>
      </c>
      <c r="G46" s="171">
        <f>HLOOKUP($B46,'[4]Interest shifted to EU'!$L$2:$AT$8,G$2,0)/E106</f>
        <v>0</v>
      </c>
      <c r="H46" s="171">
        <f>HLOOKUP($B46,'[4]Interest shifted to EU'!$L$2:$AT$8,H$2,0)/E106</f>
        <v>0</v>
      </c>
      <c r="I46" s="171">
        <f>HLOOKUP($B46,'[4]Interest shifted to EU'!$L$2:$AT$8,I$2,0)/E106</f>
        <v>32.193396226415096</v>
      </c>
      <c r="J46" s="171">
        <f>HLOOKUP($B46,'[4]Interest shifted to EU'!$L$2:$AT$8,J$2,0)/E106</f>
        <v>56.367924528301884</v>
      </c>
      <c r="K46" s="171">
        <f>HLOOKUP($B46,'[4]Interest shifted to EU'!$L$2:$AT$8,K$2,0)/E106</f>
        <v>451.65094339622641</v>
      </c>
      <c r="L46" s="196">
        <f t="shared" si="34"/>
        <v>5200.0488951679254</v>
      </c>
      <c r="M46" s="178">
        <f>AC46*'[4]Non-EU tax havens'!$K$8</f>
        <v>740.81208572345645</v>
      </c>
      <c r="N46" s="183">
        <f>AC46*'[4]Non-EU tax havens'!$K$13</f>
        <v>4459.2368094444691</v>
      </c>
      <c r="O46" s="196">
        <f t="shared" si="28"/>
        <v>73858.233388130742</v>
      </c>
      <c r="P46" s="196">
        <f t="shared" si="35"/>
        <v>7515.566037735849</v>
      </c>
      <c r="Q46" s="171">
        <f>HLOOKUP($B46,'[4]Non EU income shifted to EU'!$B$2:$AI$9,Q$2+1,0)/E106</f>
        <v>633.25471698113211</v>
      </c>
      <c r="R46" s="171">
        <f>HLOOKUP($B46,'[4]Non EU income shifted to EU'!$B$2:$AI$9,R$2+1,0)/E106</f>
        <v>17.688679245283019</v>
      </c>
      <c r="S46" s="171">
        <f>HLOOKUP($B46,'[4]Non EU income shifted to EU'!$B$2:$AI$9,S$2+1,0)/E106</f>
        <v>4502.3584905660382</v>
      </c>
      <c r="T46" s="171">
        <f>HLOOKUP($B46,'[4]Non EU income shifted to EU'!$B$2:$AI$9,T$2+1,0)/E106</f>
        <v>459.55188679245282</v>
      </c>
      <c r="U46" s="171">
        <f>HLOOKUP($B46,'[4]Non EU income shifted to EU'!$B$2:$AI$9,U$2+1,0)/E106</f>
        <v>1.5330188679245285</v>
      </c>
      <c r="V46" s="171">
        <f>HLOOKUP($B46,'[4]Non EU income shifted to EU'!$B$2:$AI$9,V$2+1,0)/E106</f>
        <v>1901.1792452830189</v>
      </c>
      <c r="W46" s="196">
        <f t="shared" si="36"/>
        <v>66342.667350394899</v>
      </c>
      <c r="X46" s="178">
        <f>IFERROR(IFERROR(VLOOKUP(C46,'[4]Swiss pivot'!$E$3:$H$54,3,0),VLOOKUP($C46,'[4]Breakdown non-EU havens'!$F$4:$H$31,3,0)/$E$106),AK46*'[4]Non-EU tax havens'!$I$8)</f>
        <v>2260.6188432506087</v>
      </c>
      <c r="Y46" s="177">
        <f>AE46*'[4]Non-EU tax havens'!$I$13</f>
        <v>64082.048507144296</v>
      </c>
      <c r="Z46" s="159"/>
      <c r="AA46" s="36">
        <f>+'[4]CDIS Table-4'!O43</f>
        <v>7.58036095071591E-2</v>
      </c>
      <c r="AB46" s="39">
        <f t="shared" si="37"/>
        <v>7.58036095071591E-2</v>
      </c>
      <c r="AC46" s="39">
        <f t="shared" si="20"/>
        <v>0.15093355725590979</v>
      </c>
      <c r="AD46" s="39">
        <f t="shared" si="38"/>
        <v>7.58036095071591E-2</v>
      </c>
      <c r="AE46" s="39">
        <f t="shared" si="22"/>
        <v>0.191685439366892</v>
      </c>
      <c r="AF46" s="39"/>
      <c r="AG46" s="36">
        <f t="shared" ref="AG46:AG79" si="42">+AA46</f>
        <v>7.58036095071591E-2</v>
      </c>
      <c r="AH46" s="39">
        <f t="shared" si="39"/>
        <v>7.58036095071591E-2</v>
      </c>
      <c r="AI46" s="39">
        <f t="shared" si="23"/>
        <v>0.15093355725590979</v>
      </c>
      <c r="AJ46" s="39"/>
      <c r="AK46" s="39">
        <f t="shared" si="29"/>
        <v>0</v>
      </c>
      <c r="AL46" s="39"/>
      <c r="AM46" s="36">
        <f>+'[4]CDIS Table-4'!U43</f>
        <v>0</v>
      </c>
      <c r="AN46" s="39">
        <f t="shared" si="40"/>
        <v>0</v>
      </c>
      <c r="AO46" s="39">
        <f t="shared" si="24"/>
        <v>0</v>
      </c>
      <c r="AP46" s="39">
        <f t="shared" si="41"/>
        <v>0</v>
      </c>
      <c r="AQ46" s="39">
        <f t="shared" si="26"/>
        <v>0</v>
      </c>
      <c r="AR46" s="39">
        <f>+AF46</f>
        <v>0</v>
      </c>
      <c r="AS46" s="39">
        <f t="shared" si="30"/>
        <v>0</v>
      </c>
      <c r="AT46" s="39">
        <f>+AS46</f>
        <v>0</v>
      </c>
      <c r="AU46" s="39">
        <f t="shared" si="19"/>
        <v>0</v>
      </c>
    </row>
    <row r="47" spans="1:47">
      <c r="C47" s="185" t="s">
        <v>121</v>
      </c>
      <c r="D47" s="196">
        <f t="shared" si="27"/>
        <v>171.86636020592556</v>
      </c>
      <c r="E47" s="196">
        <f t="shared" si="33"/>
        <v>89.719247754837312</v>
      </c>
      <c r="F47" s="171">
        <f>AS47*'[4]Interest shifted to EU'!$AU$3</f>
        <v>14.897177203320762</v>
      </c>
      <c r="G47" s="171">
        <f>AS47*'[4]Interest shifted to EU'!$AU$4</f>
        <v>9.8030476534624462</v>
      </c>
      <c r="H47" s="171">
        <f>AS47*'[4]Interest shifted to EU'!$AU$5</f>
        <v>-18.339566763937661</v>
      </c>
      <c r="I47" s="171">
        <f>AS47*'[4]Interest shifted to EU'!$AU$6</f>
        <v>19.756677963187883</v>
      </c>
      <c r="J47" s="171">
        <f>AS47*'[4]Interest shifted to EU'!$AU$7</f>
        <v>53.470850662318917</v>
      </c>
      <c r="K47" s="171">
        <f>AS47*'[4]Interest shifted to EU'!$AU$8</f>
        <v>10.131061036484962</v>
      </c>
      <c r="L47" s="196">
        <f t="shared" si="34"/>
        <v>82.147112451088262</v>
      </c>
      <c r="M47" s="178">
        <f>AC47*'[4]Non-EU tax havens'!$K$8</f>
        <v>11.702884903178356</v>
      </c>
      <c r="N47" s="183">
        <f>AC47*'[4]Non-EU tax havens'!$K$13</f>
        <v>70.444227547909904</v>
      </c>
      <c r="O47" s="196">
        <f t="shared" si="28"/>
        <v>1793.310650013017</v>
      </c>
      <c r="P47" s="196">
        <f t="shared" si="35"/>
        <v>551.61928911374685</v>
      </c>
      <c r="Q47" s="171">
        <f>AU47*'[4]Non EU income shifted to EU'!$AJ$4</f>
        <v>31.321192502703507</v>
      </c>
      <c r="R47" s="171">
        <f>AU47*'[4]Non EU income shifted to EU'!$AJ$5</f>
        <v>16.014290397457888</v>
      </c>
      <c r="S47" s="171">
        <f>AU47*'[4]Non EU income shifted to EU'!$AJ$6</f>
        <v>365.30768755696795</v>
      </c>
      <c r="T47" s="171">
        <f>AU47*'[4]Non EU income shifted to EU'!$AJ$7</f>
        <v>23.61462896279415</v>
      </c>
      <c r="U47" s="171">
        <f>AU47*'[4]Non EU income shifted to EU'!$AJ$8</f>
        <v>-3.8451106180644512</v>
      </c>
      <c r="V47" s="171">
        <f>AU47*'[4]Non EU income shifted to EU'!$AJ$9</f>
        <v>119.20660031188775</v>
      </c>
      <c r="W47" s="196">
        <f t="shared" si="36"/>
        <v>1241.6913608992702</v>
      </c>
      <c r="X47" s="178">
        <f>IFERROR(IFERROR(VLOOKUP(C47,'[4]Swiss pivot'!$E$3:$H$54,3,0),VLOOKUP($C47,'[4]Breakdown non-EU havens'!$F$4:$H$31,3,0)/$E$106),AK47*'[4]Non-EU tax havens'!$I$8)</f>
        <v>229.36333265628198</v>
      </c>
      <c r="Y47" s="177">
        <f>AE47*'[4]Non-EU tax havens'!$I$13</f>
        <v>1012.3280282429881</v>
      </c>
      <c r="Z47" s="159"/>
      <c r="AA47" s="36">
        <v>1.1974979004850091E-3</v>
      </c>
      <c r="AB47" s="39">
        <f t="shared" si="37"/>
        <v>1.1974979004850091E-3</v>
      </c>
      <c r="AC47" s="39">
        <f t="shared" si="20"/>
        <v>2.3843537148401364E-3</v>
      </c>
      <c r="AD47" s="39">
        <f t="shared" si="38"/>
        <v>1.1974979004850091E-3</v>
      </c>
      <c r="AE47" s="39">
        <f t="shared" si="22"/>
        <v>3.0281264004152863E-3</v>
      </c>
      <c r="AF47" s="39"/>
      <c r="AG47" s="36">
        <f t="shared" si="42"/>
        <v>1.1974979004850091E-3</v>
      </c>
      <c r="AH47" s="39">
        <f t="shared" si="39"/>
        <v>1.1974979004850091E-3</v>
      </c>
      <c r="AI47" s="39">
        <f t="shared" si="23"/>
        <v>2.3843537148401364E-3</v>
      </c>
      <c r="AJ47" s="39">
        <f t="shared" ref="AJ47:AJ88" si="43">+AH47</f>
        <v>1.1974979004850091E-3</v>
      </c>
      <c r="AK47" s="39">
        <f t="shared" si="29"/>
        <v>7.8923728702489145E-3</v>
      </c>
      <c r="AL47" s="39"/>
      <c r="AM47" s="36">
        <f>+'[4]CDIS Table-4'!U44</f>
        <v>0</v>
      </c>
      <c r="AN47" s="39">
        <f t="shared" si="40"/>
        <v>0</v>
      </c>
      <c r="AO47" s="39">
        <f t="shared" si="24"/>
        <v>0</v>
      </c>
      <c r="AP47" s="39">
        <f t="shared" si="41"/>
        <v>0</v>
      </c>
      <c r="AQ47" s="39">
        <f t="shared" si="26"/>
        <v>0</v>
      </c>
      <c r="AR47" s="39">
        <f>+AB47</f>
        <v>1.1974979004850091E-3</v>
      </c>
      <c r="AS47" s="39">
        <f t="shared" si="30"/>
        <v>1.1673074128914558E-2</v>
      </c>
      <c r="AT47" s="39">
        <f>+AD47</f>
        <v>1.1974979004850091E-3</v>
      </c>
      <c r="AU47" s="39">
        <f>+AT47/$AT$102</f>
        <v>1.1673074128914558E-2</v>
      </c>
    </row>
    <row r="48" spans="1:47">
      <c r="C48" s="185" t="s">
        <v>122</v>
      </c>
      <c r="D48" s="196">
        <f t="shared" si="27"/>
        <v>148.68615498281378</v>
      </c>
      <c r="E48" s="196">
        <f t="shared" si="33"/>
        <v>77.618505219017678</v>
      </c>
      <c r="F48" s="178">
        <f>AS48*'[4]Interest shifted to EU'!$AU$3</f>
        <v>12.887943840815817</v>
      </c>
      <c r="G48" s="178">
        <f>AS48*'[4]Interest shifted to EU'!$AU$4</f>
        <v>8.4808770079275355</v>
      </c>
      <c r="H48" s="178">
        <f>AS48*'[4]Interest shifted to EU'!$AU$5</f>
        <v>-15.866046519593892</v>
      </c>
      <c r="I48" s="178">
        <f>AS48*'[4]Interest shifted to EU'!$AU$6</f>
        <v>17.092027073014226</v>
      </c>
      <c r="J48" s="178">
        <f>AS48*'[4]Interest shifted to EU'!$AU$7</f>
        <v>46.259053715424699</v>
      </c>
      <c r="K48" s="178">
        <f>AS48*'[4]Interest shifted to EU'!$AU$8</f>
        <v>8.764650101429293</v>
      </c>
      <c r="L48" s="196">
        <f t="shared" si="34"/>
        <v>71.067649763796084</v>
      </c>
      <c r="M48" s="178">
        <f>AC48*'[4]Non-EU tax havens'!$K$8</f>
        <v>10.124476694421874</v>
      </c>
      <c r="N48" s="183">
        <f>AC48*'[4]Non-EU tax havens'!$K$13</f>
        <v>60.943173069374211</v>
      </c>
      <c r="O48" s="196">
        <f t="shared" si="28"/>
        <v>1551.4406945063865</v>
      </c>
      <c r="P48" s="196">
        <f t="shared" si="35"/>
        <v>477.22050443381829</v>
      </c>
      <c r="Q48" s="171">
        <f>AU48*'[4]Non EU income shifted to EU'!$AJ$4</f>
        <v>27.096795889105906</v>
      </c>
      <c r="R48" s="171">
        <f>AU48*'[4]Non EU income shifted to EU'!$AJ$5</f>
        <v>13.854388148577984</v>
      </c>
      <c r="S48" s="171">
        <f>AU48*'[4]Non EU income shifted to EU'!$AJ$6</f>
        <v>316.03738732482884</v>
      </c>
      <c r="T48" s="171">
        <f>AU48*'[4]Non EU income shifted to EU'!$AJ$7</f>
        <v>20.429642994805196</v>
      </c>
      <c r="U48" s="171">
        <f>AU48*'[4]Non EU income shifted to EU'!$AJ$8</f>
        <v>-3.326507366529325</v>
      </c>
      <c r="V48" s="171">
        <f>AU48*'[4]Non EU income shifted to EU'!$AJ$9</f>
        <v>103.1287974430297</v>
      </c>
      <c r="W48" s="196">
        <f t="shared" si="36"/>
        <v>1074.2201900725681</v>
      </c>
      <c r="X48" s="178">
        <f>IFERROR(IFERROR(VLOOKUP(C48,'[4]Swiss pivot'!$E$3:$H$54,3,0),VLOOKUP($C48,'[4]Breakdown non-EU havens'!$F$4:$H$31,3,0)/$E$106),AK48*'[4]Non-EU tax havens'!$I$8)</f>
        <v>198.42831363767257</v>
      </c>
      <c r="Y48" s="177">
        <f>AE48*'[4]Non-EU tax havens'!$I$13</f>
        <v>875.79187643489547</v>
      </c>
      <c r="Z48" s="159"/>
      <c r="AA48" s="36">
        <f>+'[4]CDIS Table-4'!O45</f>
        <v>1.0359872531760833E-3</v>
      </c>
      <c r="AB48" s="39">
        <f t="shared" si="37"/>
        <v>1.0359872531760833E-3</v>
      </c>
      <c r="AC48" s="39">
        <f t="shared" si="20"/>
        <v>2.0627677548636721E-3</v>
      </c>
      <c r="AD48" s="39">
        <f t="shared" si="38"/>
        <v>1.0359872531760833E-3</v>
      </c>
      <c r="AE48" s="39">
        <f t="shared" si="22"/>
        <v>2.6197126112418477E-3</v>
      </c>
      <c r="AF48" s="39"/>
      <c r="AG48" s="36">
        <f t="shared" si="42"/>
        <v>1.0359872531760833E-3</v>
      </c>
      <c r="AH48" s="39">
        <f t="shared" si="39"/>
        <v>1.0359872531760833E-3</v>
      </c>
      <c r="AI48" s="39">
        <f t="shared" si="23"/>
        <v>2.0627677548636721E-3</v>
      </c>
      <c r="AJ48" s="39">
        <f t="shared" si="43"/>
        <v>1.0359872531760833E-3</v>
      </c>
      <c r="AK48" s="39">
        <f t="shared" si="29"/>
        <v>6.8279014832335148E-3</v>
      </c>
      <c r="AL48" s="39"/>
      <c r="AM48" s="36">
        <f>+'[4]CDIS Table-4'!U45</f>
        <v>0</v>
      </c>
      <c r="AN48" s="39">
        <f t="shared" si="40"/>
        <v>0</v>
      </c>
      <c r="AO48" s="39">
        <f t="shared" si="24"/>
        <v>0</v>
      </c>
      <c r="AP48" s="39">
        <f t="shared" si="41"/>
        <v>0</v>
      </c>
      <c r="AQ48" s="39">
        <f t="shared" si="26"/>
        <v>0</v>
      </c>
      <c r="AR48" s="39">
        <f>+AB48</f>
        <v>1.0359872531760833E-3</v>
      </c>
      <c r="AS48" s="39">
        <f t="shared" si="30"/>
        <v>1.0098686601485515E-2</v>
      </c>
      <c r="AT48" s="39">
        <f>+AD48</f>
        <v>1.0359872531760833E-3</v>
      </c>
      <c r="AU48" s="39">
        <f>+AT48/$AT$102</f>
        <v>1.0098686601485515E-2</v>
      </c>
    </row>
    <row r="49" spans="2:47">
      <c r="C49" s="185" t="s">
        <v>45</v>
      </c>
      <c r="D49" s="196">
        <f t="shared" si="27"/>
        <v>1026.7568299491297</v>
      </c>
      <c r="E49" s="196">
        <f t="shared" si="33"/>
        <v>139.38679245283021</v>
      </c>
      <c r="F49" s="171">
        <f>HLOOKUP($C49,'[4]Interest shifted to EU'!$L$2:$AT$8,F$2,0)/E106</f>
        <v>8.8443396226415096</v>
      </c>
      <c r="G49" s="171">
        <f>HLOOKUP($C49,'[4]Interest shifted to EU'!$L$2:$AT$8,G$2,0)/E106</f>
        <v>0</v>
      </c>
      <c r="H49" s="171">
        <f>HLOOKUP($C49,'[4]Interest shifted to EU'!$L$2:$AT$8,H$2,0)/E106</f>
        <v>0</v>
      </c>
      <c r="I49" s="171">
        <f>HLOOKUP($C49,'[4]Interest shifted to EU'!$L$2:$AT$8,I$2,0)/E106</f>
        <v>20.990566037735849</v>
      </c>
      <c r="J49" s="171">
        <f>HLOOKUP($C49,'[4]Interest shifted to EU'!$L$2:$AT$8,J$2,0)/E106</f>
        <v>8.1367924528301891</v>
      </c>
      <c r="K49" s="171">
        <f>HLOOKUP($C49,'[4]Interest shifted to EU'!$L$2:$AT$8,K$2,0)/E106</f>
        <v>101.41509433962264</v>
      </c>
      <c r="L49" s="196">
        <f t="shared" si="34"/>
        <v>887.37003749629946</v>
      </c>
      <c r="M49" s="178">
        <f>AC49*'[4]Non-EU tax havens'!$K$8</f>
        <v>126.41697444364256</v>
      </c>
      <c r="N49" s="183">
        <f>AC49*'[4]Non-EU tax havens'!$K$13</f>
        <v>760.95306305265694</v>
      </c>
      <c r="O49" s="196">
        <f t="shared" si="28"/>
        <v>15863.700645696341</v>
      </c>
      <c r="P49" s="196">
        <f t="shared" si="35"/>
        <v>4512.617924528302</v>
      </c>
      <c r="Q49" s="171">
        <f>HLOOKUP($C49,'[4]Non EU income shifted to EU'!$B$2:$AI$9,Q$2+1,0)/E106</f>
        <v>187.5</v>
      </c>
      <c r="R49" s="171">
        <f>HLOOKUP($C49,'[4]Non EU income shifted to EU'!$B$2:$AI$9,R$2+1,0)/E106</f>
        <v>12.971698113207548</v>
      </c>
      <c r="S49" s="171">
        <f>HLOOKUP($C49,'[4]Non EU income shifted to EU'!$B$2:$AI$9,S$2+1,0)/E106</f>
        <v>3176.8867924528304</v>
      </c>
      <c r="T49" s="171">
        <f>HLOOKUP($C49,'[4]Non EU income shifted to EU'!$B$2:$AI$9,T$2+1,0)/E106</f>
        <v>244.10377358490567</v>
      </c>
      <c r="U49" s="171">
        <f>HLOOKUP($C49,'[4]Non EU income shifted to EU'!$B$2:$AI$9,U$2+1,0)/E106</f>
        <v>3.3018867924528301</v>
      </c>
      <c r="V49" s="171">
        <f>HLOOKUP($C49,'[4]Non EU income shifted to EU'!$B$2:$AI$9,V$2+1,0)/E106</f>
        <v>887.85377358490564</v>
      </c>
      <c r="W49" s="196">
        <f t="shared" si="36"/>
        <v>11351.082721168039</v>
      </c>
      <c r="X49" s="178">
        <f>IFERROR(IFERROR(VLOOKUP(C49,'[4]Swiss pivot'!$E$3:$H$54,3,0),VLOOKUP($C49,'[4]Breakdown non-EU havens'!$F$4:$H$31,3,0)/$E$106),AK49*'[4]Non-EU tax havens'!$I$8)</f>
        <v>415.7067404796897</v>
      </c>
      <c r="Y49" s="177">
        <f>AE49*'[4]Non-EU tax havens'!$I$13</f>
        <v>10935.37598068835</v>
      </c>
      <c r="Z49" s="159"/>
      <c r="AA49" s="36">
        <f>+'[4]CDIS Table-4'!O46</f>
        <v>1.2935619100279711E-2</v>
      </c>
      <c r="AB49" s="39">
        <f t="shared" si="37"/>
        <v>1.2935619100279711E-2</v>
      </c>
      <c r="AC49" s="39">
        <f t="shared" si="20"/>
        <v>2.5756280193073338E-2</v>
      </c>
      <c r="AD49" s="39">
        <f t="shared" si="38"/>
        <v>1.2935619100279711E-2</v>
      </c>
      <c r="AE49" s="39">
        <f t="shared" si="22"/>
        <v>3.2710445410725451E-2</v>
      </c>
      <c r="AF49" s="39"/>
      <c r="AG49" s="36">
        <f t="shared" si="42"/>
        <v>1.2935619100279711E-2</v>
      </c>
      <c r="AH49" s="39">
        <f t="shared" si="39"/>
        <v>1.2935619100279711E-2</v>
      </c>
      <c r="AI49" s="39">
        <f t="shared" si="23"/>
        <v>2.5756280193073338E-2</v>
      </c>
      <c r="AJ49" s="39"/>
      <c r="AK49" s="39">
        <f t="shared" si="29"/>
        <v>0</v>
      </c>
      <c r="AL49" s="39"/>
      <c r="AM49" s="36">
        <f>+'[4]CDIS Table-4'!U46</f>
        <v>0</v>
      </c>
      <c r="AN49" s="39">
        <f t="shared" si="40"/>
        <v>0</v>
      </c>
      <c r="AO49" s="39">
        <f t="shared" si="24"/>
        <v>0</v>
      </c>
      <c r="AP49" s="39">
        <f t="shared" si="41"/>
        <v>0</v>
      </c>
      <c r="AQ49" s="39">
        <f t="shared" si="26"/>
        <v>0</v>
      </c>
      <c r="AR49" s="39">
        <f t="shared" ref="AR49:AR88" si="44">+AF49</f>
        <v>0</v>
      </c>
      <c r="AS49" s="39">
        <f t="shared" si="30"/>
        <v>0</v>
      </c>
      <c r="AT49" s="39">
        <f>+AS49</f>
        <v>0</v>
      </c>
      <c r="AU49" s="39">
        <f t="shared" ref="AU49:AU88" si="45">+AT49/$AB$102</f>
        <v>0</v>
      </c>
    </row>
    <row r="50" spans="2:47">
      <c r="B50" s="146" t="s">
        <v>172</v>
      </c>
      <c r="C50" s="185" t="s">
        <v>46</v>
      </c>
      <c r="D50" s="196">
        <f t="shared" si="27"/>
        <v>2635.4160510233069</v>
      </c>
      <c r="E50" s="196">
        <f t="shared" si="33"/>
        <v>1782.1933962264152</v>
      </c>
      <c r="F50" s="171">
        <f>HLOOKUP($C50,'[4]Interest shifted to EU'!$L$2:$AT$8,F$2,0)/E106</f>
        <v>408.49056603773585</v>
      </c>
      <c r="G50" s="171">
        <f>HLOOKUP($C50,'[4]Interest shifted to EU'!$L$2:$AT$8,G$2,0)/E106</f>
        <v>161.5566037735849</v>
      </c>
      <c r="H50" s="171">
        <f>HLOOKUP($C50,'[4]Interest shifted to EU'!$L$2:$AT$8,H$2,0)/E106</f>
        <v>-14.150943396226415</v>
      </c>
      <c r="I50" s="171">
        <f>HLOOKUP($C50,'[4]Interest shifted to EU'!$L$2:$AT$8,I$2,0)/E106</f>
        <v>41.037735849056602</v>
      </c>
      <c r="J50" s="171">
        <f>HLOOKUP($C50,'[4]Interest shifted to EU'!$L$2:$AT$8,J$2,0)/E106</f>
        <v>829.24528301886801</v>
      </c>
      <c r="K50" s="171">
        <f>HLOOKUP($C50,'[4]Interest shifted to EU'!$L$2:$AT$8,K$2,0)/E106</f>
        <v>356.0141509433962</v>
      </c>
      <c r="L50" s="196">
        <f t="shared" si="34"/>
        <v>853.22265479689156</v>
      </c>
      <c r="M50" s="178">
        <f>AC50*'[4]Non-EU tax havens'!$K$8</f>
        <v>121.55225214784795</v>
      </c>
      <c r="N50" s="183">
        <f>AC50*'[4]Non-EU tax havens'!$K$13</f>
        <v>731.67040264904358</v>
      </c>
      <c r="O50" s="196">
        <f t="shared" si="28"/>
        <v>16221.763288757051</v>
      </c>
      <c r="P50" s="196">
        <f t="shared" si="35"/>
        <v>4799.1745283018863</v>
      </c>
      <c r="Q50" s="171">
        <f>HLOOKUP($C50,'[4]Non EU income shifted to EU'!$B$2:$AI$9,Q$2+1,0)/E106</f>
        <v>174.52830188679246</v>
      </c>
      <c r="R50" s="171">
        <f>HLOOKUP($C50,'[4]Non EU income shifted to EU'!$B$2:$AI$9,R$2+1,0)/E106</f>
        <v>614.38679245283015</v>
      </c>
      <c r="S50" s="171">
        <f>HLOOKUP($C50,'[4]Non EU income shifted to EU'!$B$2:$AI$9,S$2+1,0)/E106</f>
        <v>1532.0754716981132</v>
      </c>
      <c r="T50" s="171">
        <f>HLOOKUP($C50,'[4]Non EU income shifted to EU'!$B$2:$AI$9,T$2+1,0)/E106</f>
        <v>193.51415094339623</v>
      </c>
      <c r="U50" s="171">
        <f>HLOOKUP($C50,'[4]Non EU income shifted to EU'!$B$2:$AI$9,U$2+1,0)/E106</f>
        <v>6.25</v>
      </c>
      <c r="V50" s="171">
        <f>HLOOKUP($C50,'[4]Non EU income shifted to EU'!$B$2:$AI$9,V$2+1,0)/E106</f>
        <v>2278.4198113207549</v>
      </c>
      <c r="W50" s="196">
        <f t="shared" si="36"/>
        <v>11422.588760455164</v>
      </c>
      <c r="X50" s="178">
        <f>IFERROR(IFERROR(VLOOKUP(C50,'[4]Swiss pivot'!$E$3:$H$54,3,0),VLOOKUP($C50,'[4]Breakdown non-EU havens'!$F$4:$H$31,3,0)/$E$106),AK50*'[4]Non-EU tax havens'!$I$8)</f>
        <v>908.02309879455902</v>
      </c>
      <c r="Y50" s="177">
        <f>AE50*'[4]Non-EU tax havens'!$I$13</f>
        <v>10514.565661660605</v>
      </c>
      <c r="Z50" s="159"/>
      <c r="AA50" s="36">
        <f>+'[4]CDIS Table-4'!O47</f>
        <v>1.2437836307075061E-2</v>
      </c>
      <c r="AB50" s="39">
        <f t="shared" si="37"/>
        <v>1.2437836307075061E-2</v>
      </c>
      <c r="AC50" s="39">
        <f t="shared" si="20"/>
        <v>2.4765138370043592E-2</v>
      </c>
      <c r="AD50" s="39">
        <f t="shared" si="38"/>
        <v>1.2437836307075061E-2</v>
      </c>
      <c r="AE50" s="39">
        <f t="shared" si="22"/>
        <v>3.1451696466643829E-2</v>
      </c>
      <c r="AF50" s="39"/>
      <c r="AG50" s="36">
        <f t="shared" si="42"/>
        <v>1.2437836307075061E-2</v>
      </c>
      <c r="AH50" s="39">
        <f t="shared" si="39"/>
        <v>1.2437836307075061E-2</v>
      </c>
      <c r="AI50" s="39">
        <f t="shared" si="23"/>
        <v>2.4765138370043592E-2</v>
      </c>
      <c r="AJ50" s="39"/>
      <c r="AK50" s="39">
        <f t="shared" si="29"/>
        <v>0</v>
      </c>
      <c r="AL50" s="39"/>
      <c r="AM50" s="36">
        <f>+'[4]CDIS Table-4'!U47</f>
        <v>0</v>
      </c>
      <c r="AN50" s="39">
        <f t="shared" si="40"/>
        <v>0</v>
      </c>
      <c r="AO50" s="39">
        <f t="shared" si="24"/>
        <v>0</v>
      </c>
      <c r="AP50" s="39">
        <f t="shared" si="41"/>
        <v>0</v>
      </c>
      <c r="AQ50" s="39">
        <f t="shared" si="26"/>
        <v>0</v>
      </c>
      <c r="AR50" s="39">
        <f t="shared" si="44"/>
        <v>0</v>
      </c>
      <c r="AS50" s="39">
        <f t="shared" si="30"/>
        <v>0</v>
      </c>
      <c r="AT50" s="39">
        <f>+AS50</f>
        <v>0</v>
      </c>
      <c r="AU50" s="39">
        <f t="shared" si="45"/>
        <v>0</v>
      </c>
    </row>
    <row r="51" spans="2:47">
      <c r="C51" s="185" t="s">
        <v>39</v>
      </c>
      <c r="D51" s="196">
        <f t="shared" si="27"/>
        <v>544.04650820340964</v>
      </c>
      <c r="E51" s="196">
        <f t="shared" si="33"/>
        <v>241.62735849056605</v>
      </c>
      <c r="F51" s="171">
        <f>HLOOKUP($C51,'[4]Interest shifted to EU'!$L$2:$AT$8,F$2,0)/E106</f>
        <v>18.04245283018868</v>
      </c>
      <c r="G51" s="171">
        <f>HLOOKUP($C51,'[4]Interest shifted to EU'!$L$2:$AT$8,G$2,0)/E106</f>
        <v>0</v>
      </c>
      <c r="H51" s="171">
        <f>HLOOKUP($C51,'[4]Interest shifted to EU'!$L$2:$AT$8,H$2,0)/E106</f>
        <v>0</v>
      </c>
      <c r="I51" s="171">
        <f>HLOOKUP($C51,'[4]Interest shifted to EU'!$L$2:$AT$8,I$2,0)/E106</f>
        <v>72.051886792452834</v>
      </c>
      <c r="J51" s="171">
        <f>HLOOKUP($C51,'[4]Interest shifted to EU'!$L$2:$AT$8,J$2,0)/E106</f>
        <v>1.7688679245283019</v>
      </c>
      <c r="K51" s="171">
        <f>HLOOKUP($C51,'[4]Interest shifted to EU'!$L$2:$AT$8,K$2,0)/E106</f>
        <v>149.76415094339623</v>
      </c>
      <c r="L51" s="196">
        <f t="shared" si="34"/>
        <v>302.41914971284359</v>
      </c>
      <c r="M51" s="178">
        <f>AC51*'[4]Non-EU tax havens'!$K$8</f>
        <v>43.083395094547683</v>
      </c>
      <c r="N51" s="183">
        <f>AC51*'[4]Non-EU tax havens'!$K$13</f>
        <v>259.33575461829594</v>
      </c>
      <c r="O51" s="196">
        <f t="shared" si="28"/>
        <v>6384.529916559477</v>
      </c>
      <c r="P51" s="196">
        <f t="shared" si="35"/>
        <v>1813.3254716981132</v>
      </c>
      <c r="Q51" s="171">
        <f>HLOOKUP($C51,'[4]Non EU income shifted to EU'!$B$2:$AI$9,Q$2+1,0)/E106</f>
        <v>146.22641509433961</v>
      </c>
      <c r="R51" s="171">
        <f>HLOOKUP($C51,'[4]Non EU income shifted to EU'!$B$2:$AI$9,R$2+1,0)/E106</f>
        <v>8.2547169811320753</v>
      </c>
      <c r="S51" s="171">
        <f>HLOOKUP($C51,'[4]Non EU income shifted to EU'!$B$2:$AI$9,S$2+1,0)/E106</f>
        <v>898.82075471698124</v>
      </c>
      <c r="T51" s="171">
        <f>HLOOKUP($C51,'[4]Non EU income shifted to EU'!$B$2:$AI$9,T$2+1,0)/E106</f>
        <v>266.50943396226415</v>
      </c>
      <c r="U51" s="171">
        <f>HLOOKUP($C51,'[4]Non EU income shifted to EU'!$B$2:$AI$9,U$2+1,0)/E106</f>
        <v>6.9575471698113214</v>
      </c>
      <c r="V51" s="171">
        <f>HLOOKUP($C51,'[4]Non EU income shifted to EU'!$B$2:$AI$9,V$2+1,0)/E106</f>
        <v>486.55660377358492</v>
      </c>
      <c r="W51" s="196">
        <f t="shared" si="36"/>
        <v>4571.2044448613633</v>
      </c>
      <c r="X51" s="178">
        <f>IFERROR(IFERROR(VLOOKUP(C51,'[4]Swiss pivot'!$E$3:$H$54,3,0),VLOOKUP($C51,'[4]Breakdown non-EU havens'!$F$4:$H$31,3,0)/$E$106),AK51*'[4]Non-EU tax havens'!$I$8)</f>
        <v>844.38590679029994</v>
      </c>
      <c r="Y51" s="177">
        <f>AE51*'[4]Non-EU tax havens'!$I$13</f>
        <v>3726.8185380710638</v>
      </c>
      <c r="Z51" s="159"/>
      <c r="AA51" s="36">
        <f>+'[4]CDIS Table-4'!O48</f>
        <v>4.4085091495239077E-3</v>
      </c>
      <c r="AB51" s="39">
        <f t="shared" si="37"/>
        <v>4.4085091495239077E-3</v>
      </c>
      <c r="AC51" s="39">
        <f t="shared" si="20"/>
        <v>8.7778401643265735E-3</v>
      </c>
      <c r="AD51" s="39">
        <f t="shared" si="38"/>
        <v>4.4085091495239077E-3</v>
      </c>
      <c r="AE51" s="39">
        <f t="shared" si="22"/>
        <v>1.1147846636506736E-2</v>
      </c>
      <c r="AF51" s="39"/>
      <c r="AG51" s="36">
        <f t="shared" si="42"/>
        <v>4.4085091495239077E-3</v>
      </c>
      <c r="AH51" s="39">
        <f t="shared" si="39"/>
        <v>4.4085091495239077E-3</v>
      </c>
      <c r="AI51" s="39">
        <f t="shared" si="23"/>
        <v>8.7778401643265735E-3</v>
      </c>
      <c r="AJ51" s="39">
        <f t="shared" si="43"/>
        <v>4.4085091495239077E-3</v>
      </c>
      <c r="AK51" s="39">
        <f t="shared" si="29"/>
        <v>2.9055247609081021E-2</v>
      </c>
      <c r="AL51" s="39"/>
      <c r="AM51" s="36">
        <f>+'[4]CDIS Table-4'!U48</f>
        <v>0</v>
      </c>
      <c r="AN51" s="39">
        <f t="shared" si="40"/>
        <v>0</v>
      </c>
      <c r="AO51" s="39">
        <f t="shared" si="24"/>
        <v>0</v>
      </c>
      <c r="AP51" s="39">
        <f t="shared" si="41"/>
        <v>0</v>
      </c>
      <c r="AQ51" s="39">
        <f t="shared" si="26"/>
        <v>0</v>
      </c>
      <c r="AR51" s="39">
        <f t="shared" si="44"/>
        <v>0</v>
      </c>
      <c r="AS51" s="39">
        <f t="shared" si="30"/>
        <v>0</v>
      </c>
      <c r="AT51" s="39">
        <f>+AS51</f>
        <v>0</v>
      </c>
      <c r="AU51" s="39">
        <f t="shared" si="45"/>
        <v>0</v>
      </c>
    </row>
    <row r="52" spans="2:47" ht="40" customHeight="1">
      <c r="C52" s="195" t="s">
        <v>124</v>
      </c>
      <c r="D52" s="193"/>
      <c r="E52" s="181"/>
      <c r="F52" s="161"/>
      <c r="G52" s="161"/>
      <c r="H52" s="161"/>
      <c r="I52" s="191"/>
      <c r="J52" s="191"/>
      <c r="K52" s="191"/>
      <c r="L52" s="192"/>
      <c r="M52" s="191"/>
      <c r="N52" s="194"/>
      <c r="O52" s="193"/>
      <c r="P52" s="181"/>
      <c r="Q52" s="161"/>
      <c r="R52" s="161"/>
      <c r="S52" s="161"/>
      <c r="T52" s="191"/>
      <c r="U52" s="191"/>
      <c r="V52" s="191"/>
      <c r="W52" s="192"/>
      <c r="X52" s="191"/>
      <c r="Y52" s="190"/>
      <c r="Z52" s="159"/>
      <c r="AA52" s="36">
        <f>+'[4]CDIS Table-4'!O49</f>
        <v>0</v>
      </c>
      <c r="AB52" s="39">
        <f t="shared" ref="AB52:AB88" si="46">+AA52</f>
        <v>0</v>
      </c>
      <c r="AC52" s="39">
        <f t="shared" si="20"/>
        <v>0</v>
      </c>
      <c r="AD52" s="39">
        <f t="shared" ref="AD52:AD88" si="47">+AB52</f>
        <v>0</v>
      </c>
      <c r="AE52" s="39">
        <f t="shared" si="22"/>
        <v>0</v>
      </c>
      <c r="AF52" s="39"/>
      <c r="AG52" s="36">
        <f t="shared" si="42"/>
        <v>0</v>
      </c>
      <c r="AH52" s="39">
        <f t="shared" si="39"/>
        <v>0</v>
      </c>
      <c r="AI52" s="39">
        <f t="shared" si="23"/>
        <v>0</v>
      </c>
      <c r="AJ52" s="39">
        <f t="shared" si="43"/>
        <v>0</v>
      </c>
      <c r="AK52" s="39">
        <f t="shared" si="29"/>
        <v>0</v>
      </c>
      <c r="AL52" s="39"/>
      <c r="AM52" s="36">
        <f>+'[4]CDIS Table-4'!U49</f>
        <v>0</v>
      </c>
      <c r="AN52" s="39">
        <f t="shared" si="40"/>
        <v>0</v>
      </c>
      <c r="AO52" s="39">
        <f t="shared" si="24"/>
        <v>0</v>
      </c>
      <c r="AP52" s="39">
        <f t="shared" si="41"/>
        <v>0</v>
      </c>
      <c r="AQ52" s="39">
        <f t="shared" si="26"/>
        <v>0</v>
      </c>
      <c r="AR52" s="39">
        <f t="shared" si="44"/>
        <v>0</v>
      </c>
      <c r="AS52" s="39">
        <f t="shared" si="30"/>
        <v>0</v>
      </c>
      <c r="AT52" s="39">
        <f t="shared" ref="AT52:AT88" si="48">+AS52</f>
        <v>0</v>
      </c>
      <c r="AU52" s="39">
        <f t="shared" si="45"/>
        <v>0</v>
      </c>
    </row>
    <row r="53" spans="2:47" ht="14" customHeight="1">
      <c r="C53" s="185" t="s">
        <v>173</v>
      </c>
      <c r="D53" s="182"/>
      <c r="E53" s="181"/>
      <c r="F53" s="180"/>
      <c r="G53" s="180"/>
      <c r="H53" s="180"/>
      <c r="I53" s="178"/>
      <c r="J53" s="178"/>
      <c r="K53" s="178"/>
      <c r="L53" s="184"/>
      <c r="M53" s="178"/>
      <c r="N53" s="183"/>
      <c r="O53" s="182"/>
      <c r="P53" s="181"/>
      <c r="Q53" s="180"/>
      <c r="R53" s="180"/>
      <c r="S53" s="180"/>
      <c r="T53" s="178"/>
      <c r="U53" s="178"/>
      <c r="V53" s="178"/>
      <c r="W53" s="179"/>
      <c r="X53" s="178"/>
      <c r="Y53" s="177"/>
      <c r="Z53" s="159"/>
      <c r="AA53" s="36">
        <f>+'[4]CDIS Table-4'!O50</f>
        <v>0</v>
      </c>
      <c r="AB53" s="39">
        <f t="shared" si="46"/>
        <v>0</v>
      </c>
      <c r="AC53" s="39">
        <f t="shared" si="20"/>
        <v>0</v>
      </c>
      <c r="AD53" s="39">
        <f t="shared" si="47"/>
        <v>0</v>
      </c>
      <c r="AE53" s="39">
        <f t="shared" si="22"/>
        <v>0</v>
      </c>
      <c r="AF53" s="39"/>
      <c r="AG53" s="36">
        <f t="shared" si="42"/>
        <v>0</v>
      </c>
      <c r="AH53" s="39">
        <f t="shared" si="39"/>
        <v>0</v>
      </c>
      <c r="AI53" s="39">
        <f t="shared" si="23"/>
        <v>0</v>
      </c>
      <c r="AJ53" s="39">
        <f t="shared" si="43"/>
        <v>0</v>
      </c>
      <c r="AK53" s="39">
        <f t="shared" si="29"/>
        <v>0</v>
      </c>
      <c r="AL53" s="39"/>
      <c r="AM53" s="36">
        <f>+'[4]CDIS Table-4'!U50</f>
        <v>0</v>
      </c>
      <c r="AN53" s="39">
        <f t="shared" si="40"/>
        <v>0</v>
      </c>
      <c r="AO53" s="39">
        <f t="shared" si="24"/>
        <v>0</v>
      </c>
      <c r="AP53" s="39">
        <f t="shared" si="41"/>
        <v>0</v>
      </c>
      <c r="AQ53" s="39">
        <f t="shared" si="26"/>
        <v>0</v>
      </c>
      <c r="AR53" s="39">
        <f t="shared" si="44"/>
        <v>0</v>
      </c>
      <c r="AS53" s="39">
        <f t="shared" si="30"/>
        <v>0</v>
      </c>
      <c r="AT53" s="39">
        <f t="shared" si="48"/>
        <v>0</v>
      </c>
      <c r="AU53" s="39">
        <f t="shared" si="45"/>
        <v>0</v>
      </c>
    </row>
    <row r="54" spans="2:47" ht="14" customHeight="1">
      <c r="C54" s="185" t="s">
        <v>174</v>
      </c>
      <c r="D54" s="182"/>
      <c r="E54" s="181"/>
      <c r="F54" s="180"/>
      <c r="G54" s="180"/>
      <c r="H54" s="180"/>
      <c r="I54" s="178"/>
      <c r="J54" s="178"/>
      <c r="K54" s="178"/>
      <c r="L54" s="184"/>
      <c r="M54" s="178"/>
      <c r="N54" s="183"/>
      <c r="O54" s="182"/>
      <c r="P54" s="181"/>
      <c r="Q54" s="180"/>
      <c r="R54" s="180"/>
      <c r="S54" s="180"/>
      <c r="T54" s="178"/>
      <c r="U54" s="178"/>
      <c r="V54" s="178"/>
      <c r="W54" s="179"/>
      <c r="X54" s="178"/>
      <c r="Y54" s="177"/>
      <c r="Z54" s="159"/>
      <c r="AA54" s="36">
        <f>+'[4]CDIS Table-4'!O51</f>
        <v>0</v>
      </c>
      <c r="AB54" s="39">
        <f t="shared" si="46"/>
        <v>0</v>
      </c>
      <c r="AC54" s="39">
        <f t="shared" si="20"/>
        <v>0</v>
      </c>
      <c r="AD54" s="39">
        <f t="shared" si="47"/>
        <v>0</v>
      </c>
      <c r="AE54" s="39">
        <f t="shared" si="22"/>
        <v>0</v>
      </c>
      <c r="AF54" s="39"/>
      <c r="AG54" s="36">
        <f t="shared" si="42"/>
        <v>0</v>
      </c>
      <c r="AH54" s="39">
        <f t="shared" si="39"/>
        <v>0</v>
      </c>
      <c r="AI54" s="39">
        <f t="shared" si="23"/>
        <v>0</v>
      </c>
      <c r="AJ54" s="39">
        <f t="shared" si="43"/>
        <v>0</v>
      </c>
      <c r="AK54" s="39">
        <f t="shared" si="29"/>
        <v>0</v>
      </c>
      <c r="AL54" s="39"/>
      <c r="AM54" s="36">
        <f>+'[4]CDIS Table-4'!U51</f>
        <v>0</v>
      </c>
      <c r="AN54" s="39">
        <f t="shared" si="40"/>
        <v>0</v>
      </c>
      <c r="AO54" s="39">
        <f t="shared" si="24"/>
        <v>0</v>
      </c>
      <c r="AP54" s="39">
        <f t="shared" si="41"/>
        <v>0</v>
      </c>
      <c r="AQ54" s="39">
        <f t="shared" si="26"/>
        <v>0</v>
      </c>
      <c r="AR54" s="39">
        <f t="shared" si="44"/>
        <v>0</v>
      </c>
      <c r="AS54" s="39">
        <f t="shared" si="30"/>
        <v>0</v>
      </c>
      <c r="AT54" s="39">
        <f t="shared" si="48"/>
        <v>0</v>
      </c>
      <c r="AU54" s="39">
        <f t="shared" si="45"/>
        <v>0</v>
      </c>
    </row>
    <row r="55" spans="2:47" ht="14" customHeight="1">
      <c r="C55" s="185" t="s">
        <v>175</v>
      </c>
      <c r="D55" s="182"/>
      <c r="E55" s="181"/>
      <c r="F55" s="180"/>
      <c r="G55" s="180"/>
      <c r="H55" s="180"/>
      <c r="I55" s="178"/>
      <c r="J55" s="178"/>
      <c r="K55" s="178"/>
      <c r="L55" s="184"/>
      <c r="M55" s="178"/>
      <c r="N55" s="183"/>
      <c r="O55" s="182"/>
      <c r="P55" s="181"/>
      <c r="Q55" s="180"/>
      <c r="R55" s="180"/>
      <c r="S55" s="180"/>
      <c r="T55" s="178"/>
      <c r="U55" s="178"/>
      <c r="V55" s="178"/>
      <c r="W55" s="179"/>
      <c r="X55" s="178"/>
      <c r="Y55" s="177"/>
      <c r="Z55" s="159"/>
      <c r="AA55" s="36">
        <f>+'[4]CDIS Table-4'!O52</f>
        <v>0</v>
      </c>
      <c r="AB55" s="39">
        <f t="shared" si="46"/>
        <v>0</v>
      </c>
      <c r="AC55" s="39">
        <f t="shared" si="20"/>
        <v>0</v>
      </c>
      <c r="AD55" s="39">
        <f t="shared" si="47"/>
        <v>0</v>
      </c>
      <c r="AE55" s="39">
        <f t="shared" si="22"/>
        <v>0</v>
      </c>
      <c r="AF55" s="39"/>
      <c r="AG55" s="36">
        <f t="shared" si="42"/>
        <v>0</v>
      </c>
      <c r="AH55" s="39">
        <f t="shared" si="39"/>
        <v>0</v>
      </c>
      <c r="AI55" s="39">
        <f t="shared" si="23"/>
        <v>0</v>
      </c>
      <c r="AJ55" s="39">
        <f t="shared" si="43"/>
        <v>0</v>
      </c>
      <c r="AK55" s="39">
        <f t="shared" si="29"/>
        <v>0</v>
      </c>
      <c r="AL55" s="39"/>
      <c r="AM55" s="36">
        <f>+'[4]CDIS Table-4'!U52</f>
        <v>0</v>
      </c>
      <c r="AN55" s="39">
        <f t="shared" si="40"/>
        <v>0</v>
      </c>
      <c r="AO55" s="39">
        <f t="shared" si="24"/>
        <v>0</v>
      </c>
      <c r="AP55" s="39">
        <f t="shared" si="41"/>
        <v>0</v>
      </c>
      <c r="AQ55" s="39">
        <f t="shared" si="26"/>
        <v>0</v>
      </c>
      <c r="AR55" s="39">
        <f t="shared" si="44"/>
        <v>0</v>
      </c>
      <c r="AS55" s="39">
        <f t="shared" si="30"/>
        <v>0</v>
      </c>
      <c r="AT55" s="39">
        <f t="shared" si="48"/>
        <v>0</v>
      </c>
      <c r="AU55" s="39">
        <f t="shared" si="45"/>
        <v>0</v>
      </c>
    </row>
    <row r="56" spans="2:47" ht="14" customHeight="1">
      <c r="C56" s="185" t="s">
        <v>176</v>
      </c>
      <c r="D56" s="182"/>
      <c r="E56" s="181"/>
      <c r="F56" s="180"/>
      <c r="G56" s="180"/>
      <c r="H56" s="180"/>
      <c r="I56" s="178"/>
      <c r="J56" s="178"/>
      <c r="K56" s="178"/>
      <c r="L56" s="184"/>
      <c r="M56" s="178"/>
      <c r="N56" s="183"/>
      <c r="O56" s="182"/>
      <c r="P56" s="181"/>
      <c r="Q56" s="180"/>
      <c r="R56" s="180"/>
      <c r="S56" s="180"/>
      <c r="T56" s="178"/>
      <c r="U56" s="178"/>
      <c r="V56" s="178"/>
      <c r="W56" s="179"/>
      <c r="X56" s="178"/>
      <c r="Y56" s="177"/>
      <c r="Z56" s="159"/>
      <c r="AA56" s="36">
        <f>+'[4]CDIS Table-4'!O53</f>
        <v>0</v>
      </c>
      <c r="AB56" s="39">
        <f t="shared" si="46"/>
        <v>0</v>
      </c>
      <c r="AC56" s="39">
        <f t="shared" si="20"/>
        <v>0</v>
      </c>
      <c r="AD56" s="39">
        <f t="shared" si="47"/>
        <v>0</v>
      </c>
      <c r="AE56" s="39">
        <f t="shared" si="22"/>
        <v>0</v>
      </c>
      <c r="AF56" s="39"/>
      <c r="AG56" s="36">
        <f t="shared" si="42"/>
        <v>0</v>
      </c>
      <c r="AH56" s="39">
        <f t="shared" si="39"/>
        <v>0</v>
      </c>
      <c r="AI56" s="39">
        <f t="shared" si="23"/>
        <v>0</v>
      </c>
      <c r="AJ56" s="39">
        <f t="shared" si="43"/>
        <v>0</v>
      </c>
      <c r="AK56" s="39">
        <f t="shared" si="29"/>
        <v>0</v>
      </c>
      <c r="AL56" s="39"/>
      <c r="AM56" s="36">
        <f>+'[4]CDIS Table-4'!U53</f>
        <v>0</v>
      </c>
      <c r="AN56" s="39">
        <f t="shared" si="40"/>
        <v>0</v>
      </c>
      <c r="AO56" s="39">
        <f t="shared" si="24"/>
        <v>0</v>
      </c>
      <c r="AP56" s="39">
        <f t="shared" si="41"/>
        <v>0</v>
      </c>
      <c r="AQ56" s="39">
        <f t="shared" si="26"/>
        <v>0</v>
      </c>
      <c r="AR56" s="39">
        <f t="shared" si="44"/>
        <v>0</v>
      </c>
      <c r="AS56" s="39">
        <f t="shared" si="30"/>
        <v>0</v>
      </c>
      <c r="AT56" s="39">
        <f t="shared" si="48"/>
        <v>0</v>
      </c>
      <c r="AU56" s="39">
        <f t="shared" si="45"/>
        <v>0</v>
      </c>
    </row>
    <row r="57" spans="2:47" ht="14" customHeight="1">
      <c r="C57" s="185" t="s">
        <v>178</v>
      </c>
      <c r="D57" s="182"/>
      <c r="E57" s="181"/>
      <c r="F57" s="180"/>
      <c r="G57" s="180"/>
      <c r="H57" s="180"/>
      <c r="I57" s="178"/>
      <c r="J57" s="178"/>
      <c r="K57" s="178"/>
      <c r="L57" s="184"/>
      <c r="M57" s="178"/>
      <c r="N57" s="183"/>
      <c r="O57" s="182"/>
      <c r="P57" s="181"/>
      <c r="Q57" s="180"/>
      <c r="R57" s="180"/>
      <c r="S57" s="180"/>
      <c r="T57" s="178"/>
      <c r="U57" s="178"/>
      <c r="V57" s="178"/>
      <c r="W57" s="179"/>
      <c r="X57" s="178"/>
      <c r="Y57" s="177"/>
      <c r="Z57" s="159"/>
      <c r="AA57" s="36">
        <f>+'[4]CDIS Table-4'!O54</f>
        <v>0</v>
      </c>
      <c r="AB57" s="39">
        <f t="shared" si="46"/>
        <v>0</v>
      </c>
      <c r="AC57" s="39">
        <f t="shared" si="20"/>
        <v>0</v>
      </c>
      <c r="AD57" s="39">
        <f t="shared" si="47"/>
        <v>0</v>
      </c>
      <c r="AE57" s="39">
        <f t="shared" si="22"/>
        <v>0</v>
      </c>
      <c r="AF57" s="39"/>
      <c r="AG57" s="36">
        <f t="shared" si="42"/>
        <v>0</v>
      </c>
      <c r="AH57" s="39">
        <f t="shared" si="39"/>
        <v>0</v>
      </c>
      <c r="AI57" s="39">
        <f t="shared" si="23"/>
        <v>0</v>
      </c>
      <c r="AJ57" s="39">
        <f t="shared" si="43"/>
        <v>0</v>
      </c>
      <c r="AK57" s="39">
        <f t="shared" si="29"/>
        <v>0</v>
      </c>
      <c r="AL57" s="39"/>
      <c r="AM57" s="36">
        <f>+'[4]CDIS Table-4'!U54</f>
        <v>0</v>
      </c>
      <c r="AN57" s="39">
        <f t="shared" si="40"/>
        <v>0</v>
      </c>
      <c r="AO57" s="39">
        <f t="shared" si="24"/>
        <v>0</v>
      </c>
      <c r="AP57" s="39">
        <f t="shared" si="41"/>
        <v>0</v>
      </c>
      <c r="AQ57" s="39">
        <f t="shared" si="26"/>
        <v>0</v>
      </c>
      <c r="AR57" s="39">
        <f t="shared" si="44"/>
        <v>0</v>
      </c>
      <c r="AS57" s="39">
        <f t="shared" si="30"/>
        <v>0</v>
      </c>
      <c r="AT57" s="39">
        <f t="shared" si="48"/>
        <v>0</v>
      </c>
      <c r="AU57" s="39">
        <f t="shared" si="45"/>
        <v>0</v>
      </c>
    </row>
    <row r="58" spans="2:47" ht="14" customHeight="1">
      <c r="C58" s="185" t="s">
        <v>180</v>
      </c>
      <c r="D58" s="182"/>
      <c r="E58" s="181"/>
      <c r="F58" s="180"/>
      <c r="G58" s="180"/>
      <c r="H58" s="180"/>
      <c r="I58" s="178"/>
      <c r="J58" s="178"/>
      <c r="K58" s="178"/>
      <c r="L58" s="184"/>
      <c r="M58" s="178"/>
      <c r="N58" s="183"/>
      <c r="O58" s="182"/>
      <c r="P58" s="181"/>
      <c r="Q58" s="180"/>
      <c r="R58" s="180"/>
      <c r="S58" s="180"/>
      <c r="T58" s="178"/>
      <c r="U58" s="178"/>
      <c r="V58" s="178"/>
      <c r="W58" s="179"/>
      <c r="X58" s="178"/>
      <c r="Y58" s="177"/>
      <c r="Z58" s="159"/>
      <c r="AA58" s="36">
        <f>+'[4]CDIS Table-4'!O55</f>
        <v>0</v>
      </c>
      <c r="AB58" s="39">
        <f t="shared" si="46"/>
        <v>0</v>
      </c>
      <c r="AC58" s="39">
        <f t="shared" si="20"/>
        <v>0</v>
      </c>
      <c r="AD58" s="39">
        <f t="shared" si="47"/>
        <v>0</v>
      </c>
      <c r="AE58" s="39">
        <f t="shared" si="22"/>
        <v>0</v>
      </c>
      <c r="AF58" s="39"/>
      <c r="AG58" s="36">
        <f t="shared" si="42"/>
        <v>0</v>
      </c>
      <c r="AH58" s="39">
        <f t="shared" si="39"/>
        <v>0</v>
      </c>
      <c r="AI58" s="39">
        <f t="shared" si="23"/>
        <v>0</v>
      </c>
      <c r="AJ58" s="39">
        <f t="shared" si="43"/>
        <v>0</v>
      </c>
      <c r="AK58" s="39">
        <f t="shared" si="29"/>
        <v>0</v>
      </c>
      <c r="AL58" s="39"/>
      <c r="AM58" s="36">
        <f>+'[4]CDIS Table-4'!U55</f>
        <v>0</v>
      </c>
      <c r="AN58" s="39">
        <f t="shared" si="40"/>
        <v>0</v>
      </c>
      <c r="AO58" s="39">
        <f t="shared" si="24"/>
        <v>0</v>
      </c>
      <c r="AP58" s="39">
        <f t="shared" si="41"/>
        <v>0</v>
      </c>
      <c r="AQ58" s="39">
        <f t="shared" si="26"/>
        <v>0</v>
      </c>
      <c r="AR58" s="39">
        <f t="shared" si="44"/>
        <v>0</v>
      </c>
      <c r="AS58" s="39">
        <f t="shared" si="30"/>
        <v>0</v>
      </c>
      <c r="AT58" s="39">
        <f t="shared" si="48"/>
        <v>0</v>
      </c>
      <c r="AU58" s="39">
        <f t="shared" si="45"/>
        <v>0</v>
      </c>
    </row>
    <row r="59" spans="2:47" ht="14" customHeight="1">
      <c r="C59" s="185" t="s">
        <v>181</v>
      </c>
      <c r="D59" s="182"/>
      <c r="E59" s="181"/>
      <c r="F59" s="180"/>
      <c r="G59" s="180"/>
      <c r="H59" s="180"/>
      <c r="I59" s="178"/>
      <c r="J59" s="178"/>
      <c r="K59" s="178"/>
      <c r="L59" s="184"/>
      <c r="M59" s="178"/>
      <c r="N59" s="183"/>
      <c r="O59" s="182"/>
      <c r="P59" s="181"/>
      <c r="Q59" s="180"/>
      <c r="R59" s="180"/>
      <c r="S59" s="180"/>
      <c r="T59" s="178"/>
      <c r="U59" s="178"/>
      <c r="V59" s="178"/>
      <c r="W59" s="179"/>
      <c r="X59" s="178"/>
      <c r="Y59" s="177"/>
      <c r="Z59" s="159"/>
      <c r="AA59" s="36">
        <f>+'[4]CDIS Table-4'!O56</f>
        <v>0</v>
      </c>
      <c r="AB59" s="39">
        <f t="shared" si="46"/>
        <v>0</v>
      </c>
      <c r="AC59" s="39">
        <f t="shared" si="20"/>
        <v>0</v>
      </c>
      <c r="AD59" s="39">
        <f t="shared" si="47"/>
        <v>0</v>
      </c>
      <c r="AE59" s="39">
        <f t="shared" si="22"/>
        <v>0</v>
      </c>
      <c r="AF59" s="39"/>
      <c r="AG59" s="36">
        <f t="shared" si="42"/>
        <v>0</v>
      </c>
      <c r="AH59" s="39">
        <f t="shared" si="39"/>
        <v>0</v>
      </c>
      <c r="AI59" s="39">
        <f t="shared" si="23"/>
        <v>0</v>
      </c>
      <c r="AJ59" s="39">
        <f t="shared" si="43"/>
        <v>0</v>
      </c>
      <c r="AK59" s="39">
        <f t="shared" si="29"/>
        <v>0</v>
      </c>
      <c r="AL59" s="39"/>
      <c r="AM59" s="36">
        <f>+'[4]CDIS Table-4'!U56</f>
        <v>0</v>
      </c>
      <c r="AN59" s="39">
        <f t="shared" si="40"/>
        <v>0</v>
      </c>
      <c r="AO59" s="39">
        <f t="shared" si="24"/>
        <v>0</v>
      </c>
      <c r="AP59" s="39">
        <f t="shared" si="41"/>
        <v>0</v>
      </c>
      <c r="AQ59" s="39">
        <f t="shared" si="26"/>
        <v>0</v>
      </c>
      <c r="AR59" s="39">
        <f t="shared" si="44"/>
        <v>0</v>
      </c>
      <c r="AS59" s="39">
        <f t="shared" si="30"/>
        <v>0</v>
      </c>
      <c r="AT59" s="39">
        <f t="shared" si="48"/>
        <v>0</v>
      </c>
      <c r="AU59" s="39">
        <f t="shared" si="45"/>
        <v>0</v>
      </c>
    </row>
    <row r="60" spans="2:47" ht="14" customHeight="1">
      <c r="C60" s="185" t="s">
        <v>182</v>
      </c>
      <c r="D60" s="182"/>
      <c r="E60" s="181"/>
      <c r="F60" s="180"/>
      <c r="G60" s="180"/>
      <c r="H60" s="180"/>
      <c r="I60" s="178"/>
      <c r="J60" s="178"/>
      <c r="K60" s="178"/>
      <c r="L60" s="184"/>
      <c r="M60" s="178"/>
      <c r="N60" s="183"/>
      <c r="O60" s="182"/>
      <c r="P60" s="181"/>
      <c r="Q60" s="180"/>
      <c r="R60" s="180"/>
      <c r="S60" s="180"/>
      <c r="T60" s="178"/>
      <c r="U60" s="178"/>
      <c r="V60" s="178"/>
      <c r="W60" s="179"/>
      <c r="X60" s="178"/>
      <c r="Y60" s="177"/>
      <c r="Z60" s="159"/>
      <c r="AA60" s="36">
        <f>+'[4]CDIS Table-4'!O57</f>
        <v>0</v>
      </c>
      <c r="AB60" s="39">
        <f t="shared" si="46"/>
        <v>0</v>
      </c>
      <c r="AC60" s="39">
        <f t="shared" si="20"/>
        <v>0</v>
      </c>
      <c r="AD60" s="39">
        <f t="shared" si="47"/>
        <v>0</v>
      </c>
      <c r="AE60" s="39">
        <f t="shared" si="22"/>
        <v>0</v>
      </c>
      <c r="AF60" s="39"/>
      <c r="AG60" s="36">
        <f t="shared" si="42"/>
        <v>0</v>
      </c>
      <c r="AH60" s="39">
        <f t="shared" si="39"/>
        <v>0</v>
      </c>
      <c r="AI60" s="39">
        <f t="shared" si="23"/>
        <v>0</v>
      </c>
      <c r="AJ60" s="39">
        <f t="shared" si="43"/>
        <v>0</v>
      </c>
      <c r="AK60" s="39">
        <f t="shared" si="29"/>
        <v>0</v>
      </c>
      <c r="AL60" s="39"/>
      <c r="AM60" s="36">
        <f>+'[4]CDIS Table-4'!U57</f>
        <v>0</v>
      </c>
      <c r="AN60" s="39">
        <f t="shared" si="40"/>
        <v>0</v>
      </c>
      <c r="AO60" s="39">
        <f t="shared" si="24"/>
        <v>0</v>
      </c>
      <c r="AP60" s="39">
        <f t="shared" si="41"/>
        <v>0</v>
      </c>
      <c r="AQ60" s="39">
        <f t="shared" si="26"/>
        <v>0</v>
      </c>
      <c r="AR60" s="39">
        <f t="shared" si="44"/>
        <v>0</v>
      </c>
      <c r="AS60" s="39">
        <f t="shared" si="30"/>
        <v>0</v>
      </c>
      <c r="AT60" s="39">
        <f t="shared" si="48"/>
        <v>0</v>
      </c>
      <c r="AU60" s="39">
        <f t="shared" si="45"/>
        <v>0</v>
      </c>
    </row>
    <row r="61" spans="2:47" ht="14" customHeight="1">
      <c r="C61" s="185" t="s">
        <v>89</v>
      </c>
      <c r="D61" s="182"/>
      <c r="E61" s="181"/>
      <c r="F61" s="180"/>
      <c r="G61" s="180"/>
      <c r="H61" s="180"/>
      <c r="I61" s="178"/>
      <c r="J61" s="178"/>
      <c r="K61" s="178"/>
      <c r="L61" s="184"/>
      <c r="M61" s="178"/>
      <c r="N61" s="183"/>
      <c r="O61" s="182"/>
      <c r="P61" s="181"/>
      <c r="Q61" s="180"/>
      <c r="R61" s="180"/>
      <c r="S61" s="180"/>
      <c r="T61" s="178"/>
      <c r="U61" s="178"/>
      <c r="V61" s="178"/>
      <c r="W61" s="179"/>
      <c r="X61" s="178"/>
      <c r="Y61" s="177"/>
      <c r="Z61" s="159"/>
      <c r="AA61" s="36">
        <f>+'[4]CDIS Table-4'!O58</f>
        <v>0</v>
      </c>
      <c r="AB61" s="39">
        <f t="shared" si="46"/>
        <v>0</v>
      </c>
      <c r="AC61" s="39">
        <f t="shared" si="20"/>
        <v>0</v>
      </c>
      <c r="AD61" s="39">
        <f t="shared" si="47"/>
        <v>0</v>
      </c>
      <c r="AE61" s="39">
        <f t="shared" si="22"/>
        <v>0</v>
      </c>
      <c r="AF61" s="39"/>
      <c r="AG61" s="36">
        <f t="shared" si="42"/>
        <v>0</v>
      </c>
      <c r="AH61" s="39">
        <f t="shared" si="39"/>
        <v>0</v>
      </c>
      <c r="AI61" s="39">
        <f t="shared" si="23"/>
        <v>0</v>
      </c>
      <c r="AJ61" s="39">
        <f t="shared" si="43"/>
        <v>0</v>
      </c>
      <c r="AK61" s="39">
        <f t="shared" si="29"/>
        <v>0</v>
      </c>
      <c r="AL61" s="39"/>
      <c r="AM61" s="36">
        <f>+'[4]CDIS Table-4'!U58</f>
        <v>0</v>
      </c>
      <c r="AN61" s="39">
        <f t="shared" si="40"/>
        <v>0</v>
      </c>
      <c r="AO61" s="39">
        <f t="shared" si="24"/>
        <v>0</v>
      </c>
      <c r="AP61" s="39">
        <f t="shared" si="41"/>
        <v>0</v>
      </c>
      <c r="AQ61" s="39">
        <f t="shared" si="26"/>
        <v>0</v>
      </c>
      <c r="AR61" s="39">
        <f t="shared" si="44"/>
        <v>0</v>
      </c>
      <c r="AS61" s="39">
        <f t="shared" si="30"/>
        <v>0</v>
      </c>
      <c r="AT61" s="39">
        <f t="shared" si="48"/>
        <v>0</v>
      </c>
      <c r="AU61" s="39">
        <f t="shared" si="45"/>
        <v>0</v>
      </c>
    </row>
    <row r="62" spans="2:47" ht="14" customHeight="1">
      <c r="C62" s="185" t="s">
        <v>183</v>
      </c>
      <c r="D62" s="182"/>
      <c r="E62" s="181"/>
      <c r="F62" s="180"/>
      <c r="G62" s="180"/>
      <c r="H62" s="180"/>
      <c r="I62" s="178"/>
      <c r="J62" s="178"/>
      <c r="K62" s="178"/>
      <c r="L62" s="184"/>
      <c r="M62" s="178"/>
      <c r="N62" s="183"/>
      <c r="O62" s="182"/>
      <c r="P62" s="181"/>
      <c r="Q62" s="180"/>
      <c r="R62" s="180"/>
      <c r="S62" s="180"/>
      <c r="T62" s="178"/>
      <c r="U62" s="178"/>
      <c r="V62" s="178"/>
      <c r="W62" s="179"/>
      <c r="X62" s="178"/>
      <c r="Y62" s="177"/>
      <c r="Z62" s="159"/>
      <c r="AA62" s="36">
        <f>+'[4]CDIS Table-4'!O59</f>
        <v>0</v>
      </c>
      <c r="AB62" s="39">
        <f t="shared" si="46"/>
        <v>0</v>
      </c>
      <c r="AC62" s="39">
        <f t="shared" si="20"/>
        <v>0</v>
      </c>
      <c r="AD62" s="39">
        <f t="shared" si="47"/>
        <v>0</v>
      </c>
      <c r="AE62" s="39">
        <f t="shared" si="22"/>
        <v>0</v>
      </c>
      <c r="AF62" s="39"/>
      <c r="AG62" s="36">
        <f t="shared" si="42"/>
        <v>0</v>
      </c>
      <c r="AH62" s="39">
        <f t="shared" si="39"/>
        <v>0</v>
      </c>
      <c r="AI62" s="39">
        <f t="shared" si="23"/>
        <v>0</v>
      </c>
      <c r="AJ62" s="39">
        <f t="shared" si="43"/>
        <v>0</v>
      </c>
      <c r="AK62" s="39">
        <f t="shared" si="29"/>
        <v>0</v>
      </c>
      <c r="AL62" s="39"/>
      <c r="AM62" s="36">
        <f>+'[4]CDIS Table-4'!U59</f>
        <v>0</v>
      </c>
      <c r="AN62" s="39">
        <f t="shared" si="40"/>
        <v>0</v>
      </c>
      <c r="AO62" s="39">
        <f t="shared" si="24"/>
        <v>0</v>
      </c>
      <c r="AP62" s="39">
        <f t="shared" si="41"/>
        <v>0</v>
      </c>
      <c r="AQ62" s="39">
        <f t="shared" si="26"/>
        <v>0</v>
      </c>
      <c r="AR62" s="39">
        <f t="shared" si="44"/>
        <v>0</v>
      </c>
      <c r="AS62" s="39">
        <f t="shared" si="30"/>
        <v>0</v>
      </c>
      <c r="AT62" s="39">
        <f t="shared" si="48"/>
        <v>0</v>
      </c>
      <c r="AU62" s="39">
        <f t="shared" si="45"/>
        <v>0</v>
      </c>
    </row>
    <row r="63" spans="2:47" ht="14" customHeight="1">
      <c r="C63" s="185" t="s">
        <v>364</v>
      </c>
      <c r="D63" s="182"/>
      <c r="E63" s="181"/>
      <c r="F63" s="180"/>
      <c r="G63" s="180"/>
      <c r="H63" s="180"/>
      <c r="I63" s="178"/>
      <c r="J63" s="178"/>
      <c r="K63" s="178"/>
      <c r="L63" s="184"/>
      <c r="M63" s="178"/>
      <c r="N63" s="183"/>
      <c r="O63" s="182"/>
      <c r="P63" s="181"/>
      <c r="Q63" s="180"/>
      <c r="R63" s="180"/>
      <c r="S63" s="180"/>
      <c r="T63" s="178"/>
      <c r="U63" s="178"/>
      <c r="V63" s="178"/>
      <c r="W63" s="179"/>
      <c r="X63" s="178"/>
      <c r="Y63" s="177"/>
      <c r="Z63" s="159"/>
      <c r="AA63" s="36">
        <f>+'[4]CDIS Table-4'!O60</f>
        <v>0</v>
      </c>
      <c r="AB63" s="39">
        <f t="shared" si="46"/>
        <v>0</v>
      </c>
      <c r="AC63" s="39">
        <f t="shared" si="20"/>
        <v>0</v>
      </c>
      <c r="AD63" s="39">
        <f t="shared" si="47"/>
        <v>0</v>
      </c>
      <c r="AE63" s="39">
        <f t="shared" si="22"/>
        <v>0</v>
      </c>
      <c r="AF63" s="39"/>
      <c r="AG63" s="36">
        <f t="shared" si="42"/>
        <v>0</v>
      </c>
      <c r="AH63" s="39">
        <f t="shared" si="39"/>
        <v>0</v>
      </c>
      <c r="AI63" s="39">
        <f t="shared" si="23"/>
        <v>0</v>
      </c>
      <c r="AJ63" s="39">
        <f t="shared" si="43"/>
        <v>0</v>
      </c>
      <c r="AK63" s="39">
        <f t="shared" si="29"/>
        <v>0</v>
      </c>
      <c r="AL63" s="39"/>
      <c r="AM63" s="36">
        <f>+'[4]CDIS Table-4'!U60</f>
        <v>0</v>
      </c>
      <c r="AN63" s="39">
        <f t="shared" si="40"/>
        <v>0</v>
      </c>
      <c r="AO63" s="39">
        <f t="shared" si="24"/>
        <v>0</v>
      </c>
      <c r="AP63" s="39">
        <f t="shared" si="41"/>
        <v>0</v>
      </c>
      <c r="AQ63" s="39">
        <f t="shared" si="26"/>
        <v>0</v>
      </c>
      <c r="AR63" s="39">
        <f t="shared" si="44"/>
        <v>0</v>
      </c>
      <c r="AS63" s="39">
        <f t="shared" si="30"/>
        <v>0</v>
      </c>
      <c r="AT63" s="39">
        <f t="shared" si="48"/>
        <v>0</v>
      </c>
      <c r="AU63" s="39">
        <f t="shared" si="45"/>
        <v>0</v>
      </c>
    </row>
    <row r="64" spans="2:47" ht="14" customHeight="1">
      <c r="C64" s="189" t="s">
        <v>185</v>
      </c>
      <c r="D64" s="188"/>
      <c r="E64" s="181"/>
      <c r="F64" s="180"/>
      <c r="G64" s="180"/>
      <c r="H64" s="180"/>
      <c r="I64" s="178"/>
      <c r="J64" s="178"/>
      <c r="K64" s="178"/>
      <c r="L64" s="184"/>
      <c r="M64" s="178"/>
      <c r="N64" s="183"/>
      <c r="O64" s="188"/>
      <c r="P64" s="181"/>
      <c r="Q64" s="180"/>
      <c r="R64" s="180"/>
      <c r="S64" s="180"/>
      <c r="T64" s="178"/>
      <c r="U64" s="178"/>
      <c r="V64" s="178"/>
      <c r="W64" s="179"/>
      <c r="X64" s="178"/>
      <c r="Y64" s="177"/>
      <c r="Z64" s="159"/>
      <c r="AA64" s="36">
        <f>+'[4]CDIS Table-4'!O61</f>
        <v>0</v>
      </c>
      <c r="AB64" s="39">
        <f t="shared" si="46"/>
        <v>0</v>
      </c>
      <c r="AC64" s="39">
        <f t="shared" ref="AC64:AC88" si="49">+AB64/$AB$102</f>
        <v>0</v>
      </c>
      <c r="AD64" s="39">
        <f t="shared" si="47"/>
        <v>0</v>
      </c>
      <c r="AE64" s="39">
        <f t="shared" ref="AE64:AE88" si="50">+AD64/$AD$102</f>
        <v>0</v>
      </c>
      <c r="AF64" s="39"/>
      <c r="AG64" s="36">
        <f t="shared" si="42"/>
        <v>0</v>
      </c>
      <c r="AH64" s="39">
        <f t="shared" si="39"/>
        <v>0</v>
      </c>
      <c r="AI64" s="39">
        <f t="shared" ref="AI64:AI88" si="51">+AH64/$AB$102</f>
        <v>0</v>
      </c>
      <c r="AJ64" s="39">
        <f t="shared" si="43"/>
        <v>0</v>
      </c>
      <c r="AK64" s="39">
        <f t="shared" si="29"/>
        <v>0</v>
      </c>
      <c r="AL64" s="39"/>
      <c r="AM64" s="36">
        <f>+'[4]CDIS Table-4'!U61</f>
        <v>0</v>
      </c>
      <c r="AN64" s="39">
        <f t="shared" si="40"/>
        <v>0</v>
      </c>
      <c r="AO64" s="39">
        <f t="shared" ref="AO64:AO88" si="52">+AN64/$AB$102</f>
        <v>0</v>
      </c>
      <c r="AP64" s="39">
        <f t="shared" si="41"/>
        <v>0</v>
      </c>
      <c r="AQ64" s="39">
        <f t="shared" ref="AQ64:AQ88" si="53">+AP64/$AD$102</f>
        <v>0</v>
      </c>
      <c r="AR64" s="39">
        <f t="shared" si="44"/>
        <v>0</v>
      </c>
      <c r="AS64" s="39">
        <f t="shared" si="30"/>
        <v>0</v>
      </c>
      <c r="AT64" s="39">
        <f t="shared" si="48"/>
        <v>0</v>
      </c>
      <c r="AU64" s="39">
        <f t="shared" si="45"/>
        <v>0</v>
      </c>
    </row>
    <row r="65" spans="3:47" ht="14" customHeight="1">
      <c r="C65" s="185" t="s">
        <v>186</v>
      </c>
      <c r="D65" s="182"/>
      <c r="E65" s="181"/>
      <c r="F65" s="180"/>
      <c r="G65" s="180"/>
      <c r="H65" s="180"/>
      <c r="I65" s="178"/>
      <c r="J65" s="178"/>
      <c r="K65" s="178"/>
      <c r="L65" s="184"/>
      <c r="M65" s="178"/>
      <c r="N65" s="183"/>
      <c r="O65" s="182"/>
      <c r="P65" s="181"/>
      <c r="Q65" s="180"/>
      <c r="R65" s="180"/>
      <c r="S65" s="180"/>
      <c r="T65" s="178"/>
      <c r="U65" s="178"/>
      <c r="V65" s="178"/>
      <c r="W65" s="179"/>
      <c r="X65" s="178"/>
      <c r="Y65" s="177"/>
      <c r="Z65" s="159"/>
      <c r="AA65" s="36">
        <f>+'[4]CDIS Table-4'!O62</f>
        <v>0</v>
      </c>
      <c r="AB65" s="39">
        <f t="shared" si="46"/>
        <v>0</v>
      </c>
      <c r="AC65" s="39">
        <f t="shared" si="49"/>
        <v>0</v>
      </c>
      <c r="AD65" s="39">
        <f t="shared" si="47"/>
        <v>0</v>
      </c>
      <c r="AE65" s="39">
        <f t="shared" si="50"/>
        <v>0</v>
      </c>
      <c r="AF65" s="39"/>
      <c r="AG65" s="36">
        <f t="shared" si="42"/>
        <v>0</v>
      </c>
      <c r="AH65" s="39">
        <f t="shared" si="39"/>
        <v>0</v>
      </c>
      <c r="AI65" s="39">
        <f t="shared" si="51"/>
        <v>0</v>
      </c>
      <c r="AJ65" s="39">
        <f t="shared" si="43"/>
        <v>0</v>
      </c>
      <c r="AK65" s="39">
        <f t="shared" si="29"/>
        <v>0</v>
      </c>
      <c r="AL65" s="39"/>
      <c r="AM65" s="36">
        <f>+'[4]CDIS Table-4'!U62</f>
        <v>0</v>
      </c>
      <c r="AN65" s="39">
        <f t="shared" si="40"/>
        <v>0</v>
      </c>
      <c r="AO65" s="39">
        <f t="shared" si="52"/>
        <v>0</v>
      </c>
      <c r="AP65" s="39">
        <f t="shared" si="41"/>
        <v>0</v>
      </c>
      <c r="AQ65" s="39">
        <f t="shared" si="53"/>
        <v>0</v>
      </c>
      <c r="AR65" s="39">
        <f t="shared" si="44"/>
        <v>0</v>
      </c>
      <c r="AS65" s="39">
        <f t="shared" si="30"/>
        <v>0</v>
      </c>
      <c r="AT65" s="39">
        <f t="shared" si="48"/>
        <v>0</v>
      </c>
      <c r="AU65" s="39">
        <f t="shared" si="45"/>
        <v>0</v>
      </c>
    </row>
    <row r="66" spans="3:47" ht="14" customHeight="1">
      <c r="C66" s="185" t="s">
        <v>187</v>
      </c>
      <c r="D66" s="182"/>
      <c r="E66" s="181"/>
      <c r="F66" s="180"/>
      <c r="G66" s="180"/>
      <c r="H66" s="180"/>
      <c r="I66" s="178"/>
      <c r="J66" s="178"/>
      <c r="K66" s="178"/>
      <c r="L66" s="184"/>
      <c r="M66" s="178"/>
      <c r="N66" s="183"/>
      <c r="O66" s="182"/>
      <c r="P66" s="181"/>
      <c r="Q66" s="180"/>
      <c r="R66" s="180"/>
      <c r="S66" s="180"/>
      <c r="T66" s="178"/>
      <c r="U66" s="178"/>
      <c r="V66" s="178"/>
      <c r="W66" s="179"/>
      <c r="X66" s="178"/>
      <c r="Y66" s="177"/>
      <c r="Z66" s="159"/>
      <c r="AA66" s="36">
        <f>+'[4]CDIS Table-4'!O63</f>
        <v>1.2679959886447819E-2</v>
      </c>
      <c r="AB66" s="39">
        <f t="shared" si="46"/>
        <v>1.2679959886447819E-2</v>
      </c>
      <c r="AC66" s="39">
        <f t="shared" si="49"/>
        <v>2.5247233792251855E-2</v>
      </c>
      <c r="AD66" s="39">
        <f t="shared" si="47"/>
        <v>1.2679959886447819E-2</v>
      </c>
      <c r="AE66" s="39">
        <f t="shared" si="50"/>
        <v>3.2063957083188328E-2</v>
      </c>
      <c r="AF66" s="39"/>
      <c r="AG66" s="36">
        <f t="shared" si="42"/>
        <v>1.2679959886447819E-2</v>
      </c>
      <c r="AH66" s="39">
        <f t="shared" si="39"/>
        <v>1.2679959886447819E-2</v>
      </c>
      <c r="AI66" s="39">
        <f t="shared" si="51"/>
        <v>2.5247233792251855E-2</v>
      </c>
      <c r="AJ66" s="39">
        <f t="shared" si="43"/>
        <v>1.2679959886447819E-2</v>
      </c>
      <c r="AK66" s="39">
        <f t="shared" si="29"/>
        <v>8.3570060008550356E-2</v>
      </c>
      <c r="AL66" s="39"/>
      <c r="AM66" s="36">
        <f>+'[4]CDIS Table-4'!U63</f>
        <v>0</v>
      </c>
      <c r="AN66" s="39">
        <f t="shared" si="40"/>
        <v>0</v>
      </c>
      <c r="AO66" s="39">
        <f t="shared" si="52"/>
        <v>0</v>
      </c>
      <c r="AP66" s="39">
        <f t="shared" si="41"/>
        <v>0</v>
      </c>
      <c r="AQ66" s="39">
        <f t="shared" si="53"/>
        <v>0</v>
      </c>
      <c r="AR66" s="39">
        <f t="shared" si="44"/>
        <v>0</v>
      </c>
      <c r="AS66" s="39">
        <f t="shared" si="30"/>
        <v>0</v>
      </c>
      <c r="AT66" s="39">
        <f t="shared" si="48"/>
        <v>0</v>
      </c>
      <c r="AU66" s="39">
        <f t="shared" si="45"/>
        <v>0</v>
      </c>
    </row>
    <row r="67" spans="3:47" ht="14" customHeight="1">
      <c r="C67" s="185" t="s">
        <v>188</v>
      </c>
      <c r="D67" s="182"/>
      <c r="E67" s="181"/>
      <c r="F67" s="180"/>
      <c r="G67" s="180"/>
      <c r="H67" s="180"/>
      <c r="I67" s="178"/>
      <c r="J67" s="178"/>
      <c r="K67" s="178"/>
      <c r="L67" s="184"/>
      <c r="M67" s="178"/>
      <c r="N67" s="183"/>
      <c r="O67" s="182"/>
      <c r="P67" s="181"/>
      <c r="Q67" s="180"/>
      <c r="R67" s="180"/>
      <c r="S67" s="180"/>
      <c r="T67" s="178"/>
      <c r="U67" s="178"/>
      <c r="V67" s="178"/>
      <c r="W67" s="179"/>
      <c r="X67" s="178"/>
      <c r="Y67" s="177"/>
      <c r="Z67" s="159"/>
      <c r="AA67" s="36">
        <f>+'[4]CDIS Table-4'!O64</f>
        <v>0</v>
      </c>
      <c r="AB67" s="39">
        <f t="shared" si="46"/>
        <v>0</v>
      </c>
      <c r="AC67" s="39">
        <f t="shared" si="49"/>
        <v>0</v>
      </c>
      <c r="AD67" s="39">
        <f t="shared" si="47"/>
        <v>0</v>
      </c>
      <c r="AE67" s="39">
        <f t="shared" si="50"/>
        <v>0</v>
      </c>
      <c r="AF67" s="39"/>
      <c r="AG67" s="36">
        <f t="shared" si="42"/>
        <v>0</v>
      </c>
      <c r="AH67" s="39">
        <f t="shared" si="39"/>
        <v>0</v>
      </c>
      <c r="AI67" s="39">
        <f t="shared" si="51"/>
        <v>0</v>
      </c>
      <c r="AJ67" s="39">
        <f t="shared" si="43"/>
        <v>0</v>
      </c>
      <c r="AK67" s="39">
        <f t="shared" si="29"/>
        <v>0</v>
      </c>
      <c r="AL67" s="39"/>
      <c r="AM67" s="36">
        <f>+'[4]CDIS Table-4'!U64</f>
        <v>0</v>
      </c>
      <c r="AN67" s="39">
        <f t="shared" si="40"/>
        <v>0</v>
      </c>
      <c r="AO67" s="39">
        <f t="shared" si="52"/>
        <v>0</v>
      </c>
      <c r="AP67" s="39">
        <f t="shared" si="41"/>
        <v>0</v>
      </c>
      <c r="AQ67" s="39">
        <f t="shared" si="53"/>
        <v>0</v>
      </c>
      <c r="AR67" s="39">
        <f t="shared" si="44"/>
        <v>0</v>
      </c>
      <c r="AS67" s="39">
        <f t="shared" si="30"/>
        <v>0</v>
      </c>
      <c r="AT67" s="39">
        <f t="shared" si="48"/>
        <v>0</v>
      </c>
      <c r="AU67" s="39">
        <f t="shared" si="45"/>
        <v>0</v>
      </c>
    </row>
    <row r="68" spans="3:47" ht="14" customHeight="1">
      <c r="C68" s="185" t="s">
        <v>189</v>
      </c>
      <c r="D68" s="182"/>
      <c r="E68" s="181"/>
      <c r="F68" s="180"/>
      <c r="G68" s="180"/>
      <c r="H68" s="180"/>
      <c r="I68" s="178"/>
      <c r="J68" s="178"/>
      <c r="K68" s="178"/>
      <c r="L68" s="184"/>
      <c r="M68" s="178"/>
      <c r="N68" s="183"/>
      <c r="O68" s="182"/>
      <c r="P68" s="181"/>
      <c r="Q68" s="180"/>
      <c r="R68" s="180"/>
      <c r="S68" s="180"/>
      <c r="T68" s="178"/>
      <c r="U68" s="178"/>
      <c r="V68" s="178"/>
      <c r="W68" s="179"/>
      <c r="X68" s="178"/>
      <c r="Y68" s="177"/>
      <c r="Z68" s="159"/>
      <c r="AA68" s="36">
        <f>+'[4]CDIS Table-4'!O65</f>
        <v>0</v>
      </c>
      <c r="AB68" s="39">
        <f t="shared" si="46"/>
        <v>0</v>
      </c>
      <c r="AC68" s="39">
        <f t="shared" si="49"/>
        <v>0</v>
      </c>
      <c r="AD68" s="39">
        <f t="shared" si="47"/>
        <v>0</v>
      </c>
      <c r="AE68" s="39">
        <f t="shared" si="50"/>
        <v>0</v>
      </c>
      <c r="AF68" s="39"/>
      <c r="AG68" s="36">
        <f t="shared" si="42"/>
        <v>0</v>
      </c>
      <c r="AH68" s="39">
        <f t="shared" si="39"/>
        <v>0</v>
      </c>
      <c r="AI68" s="39">
        <f t="shared" si="51"/>
        <v>0</v>
      </c>
      <c r="AJ68" s="39">
        <f t="shared" si="43"/>
        <v>0</v>
      </c>
      <c r="AK68" s="39">
        <f t="shared" si="29"/>
        <v>0</v>
      </c>
      <c r="AL68" s="39"/>
      <c r="AM68" s="36">
        <f>+'[4]CDIS Table-4'!U65</f>
        <v>0</v>
      </c>
      <c r="AN68" s="39">
        <f t="shared" si="40"/>
        <v>0</v>
      </c>
      <c r="AO68" s="39">
        <f t="shared" si="52"/>
        <v>0</v>
      </c>
      <c r="AP68" s="39">
        <f t="shared" si="41"/>
        <v>0</v>
      </c>
      <c r="AQ68" s="39">
        <f t="shared" si="53"/>
        <v>0</v>
      </c>
      <c r="AR68" s="39">
        <f t="shared" si="44"/>
        <v>0</v>
      </c>
      <c r="AS68" s="39">
        <f t="shared" si="30"/>
        <v>0</v>
      </c>
      <c r="AT68" s="39">
        <f t="shared" si="48"/>
        <v>0</v>
      </c>
      <c r="AU68" s="39">
        <f t="shared" si="45"/>
        <v>0</v>
      </c>
    </row>
    <row r="69" spans="3:47" ht="14" customHeight="1">
      <c r="C69" s="185" t="s">
        <v>190</v>
      </c>
      <c r="D69" s="182"/>
      <c r="E69" s="181"/>
      <c r="F69" s="180"/>
      <c r="G69" s="180"/>
      <c r="H69" s="180"/>
      <c r="I69" s="178"/>
      <c r="J69" s="178"/>
      <c r="K69" s="178"/>
      <c r="L69" s="184"/>
      <c r="M69" s="178"/>
      <c r="N69" s="183"/>
      <c r="O69" s="182"/>
      <c r="P69" s="181"/>
      <c r="Q69" s="180"/>
      <c r="R69" s="180"/>
      <c r="S69" s="180"/>
      <c r="T69" s="178"/>
      <c r="U69" s="178"/>
      <c r="V69" s="178"/>
      <c r="W69" s="179"/>
      <c r="X69" s="178"/>
      <c r="Y69" s="177"/>
      <c r="Z69" s="159"/>
      <c r="AA69" s="36">
        <f>+'[4]CDIS Table-4'!O66</f>
        <v>0</v>
      </c>
      <c r="AB69" s="39">
        <f t="shared" si="46"/>
        <v>0</v>
      </c>
      <c r="AC69" s="39">
        <f t="shared" si="49"/>
        <v>0</v>
      </c>
      <c r="AD69" s="39">
        <f t="shared" si="47"/>
        <v>0</v>
      </c>
      <c r="AE69" s="39">
        <f t="shared" si="50"/>
        <v>0</v>
      </c>
      <c r="AF69" s="39"/>
      <c r="AG69" s="36">
        <f t="shared" si="42"/>
        <v>0</v>
      </c>
      <c r="AH69" s="39">
        <f t="shared" si="39"/>
        <v>0</v>
      </c>
      <c r="AI69" s="39">
        <f t="shared" si="51"/>
        <v>0</v>
      </c>
      <c r="AJ69" s="39">
        <f t="shared" si="43"/>
        <v>0</v>
      </c>
      <c r="AK69" s="39">
        <f t="shared" si="29"/>
        <v>0</v>
      </c>
      <c r="AL69" s="39"/>
      <c r="AM69" s="36">
        <f>+'[4]CDIS Table-4'!U66</f>
        <v>0</v>
      </c>
      <c r="AN69" s="39">
        <f t="shared" si="40"/>
        <v>0</v>
      </c>
      <c r="AO69" s="39">
        <f t="shared" si="52"/>
        <v>0</v>
      </c>
      <c r="AP69" s="39">
        <f t="shared" si="41"/>
        <v>0</v>
      </c>
      <c r="AQ69" s="39">
        <f t="shared" si="53"/>
        <v>0</v>
      </c>
      <c r="AR69" s="39">
        <f t="shared" si="44"/>
        <v>0</v>
      </c>
      <c r="AS69" s="39">
        <f t="shared" si="30"/>
        <v>0</v>
      </c>
      <c r="AT69" s="39">
        <f t="shared" si="48"/>
        <v>0</v>
      </c>
      <c r="AU69" s="39">
        <f t="shared" si="45"/>
        <v>0</v>
      </c>
    </row>
    <row r="70" spans="3:47" ht="14" customHeight="1">
      <c r="C70" s="185" t="s">
        <v>365</v>
      </c>
      <c r="D70" s="182"/>
      <c r="E70" s="181"/>
      <c r="F70" s="180"/>
      <c r="G70" s="180"/>
      <c r="H70" s="180"/>
      <c r="I70" s="178"/>
      <c r="J70" s="178"/>
      <c r="K70" s="178"/>
      <c r="L70" s="184"/>
      <c r="M70" s="178"/>
      <c r="N70" s="183"/>
      <c r="O70" s="182"/>
      <c r="P70" s="181"/>
      <c r="Q70" s="180"/>
      <c r="R70" s="180"/>
      <c r="S70" s="180"/>
      <c r="T70" s="178"/>
      <c r="U70" s="178"/>
      <c r="V70" s="178"/>
      <c r="W70" s="179"/>
      <c r="X70" s="178"/>
      <c r="Y70" s="177"/>
      <c r="Z70" s="159"/>
      <c r="AA70" s="36">
        <f>+'[4]CDIS Table-4'!O67</f>
        <v>0</v>
      </c>
      <c r="AB70" s="39">
        <f t="shared" si="46"/>
        <v>0</v>
      </c>
      <c r="AC70" s="39">
        <f t="shared" si="49"/>
        <v>0</v>
      </c>
      <c r="AD70" s="39">
        <f t="shared" si="47"/>
        <v>0</v>
      </c>
      <c r="AE70" s="39">
        <f t="shared" si="50"/>
        <v>0</v>
      </c>
      <c r="AF70" s="39"/>
      <c r="AG70" s="36">
        <f t="shared" si="42"/>
        <v>0</v>
      </c>
      <c r="AH70" s="39">
        <f t="shared" si="39"/>
        <v>0</v>
      </c>
      <c r="AI70" s="39">
        <f t="shared" si="51"/>
        <v>0</v>
      </c>
      <c r="AJ70" s="39">
        <f t="shared" si="43"/>
        <v>0</v>
      </c>
      <c r="AK70" s="39">
        <f t="shared" si="29"/>
        <v>0</v>
      </c>
      <c r="AL70" s="39"/>
      <c r="AM70" s="36">
        <f>+'[4]CDIS Table-4'!U67</f>
        <v>0</v>
      </c>
      <c r="AN70" s="39">
        <f t="shared" si="40"/>
        <v>0</v>
      </c>
      <c r="AO70" s="39">
        <f t="shared" si="52"/>
        <v>0</v>
      </c>
      <c r="AP70" s="39">
        <f t="shared" si="41"/>
        <v>0</v>
      </c>
      <c r="AQ70" s="39">
        <f t="shared" si="53"/>
        <v>0</v>
      </c>
      <c r="AR70" s="39">
        <f t="shared" si="44"/>
        <v>0</v>
      </c>
      <c r="AS70" s="39">
        <f t="shared" si="30"/>
        <v>0</v>
      </c>
      <c r="AT70" s="39">
        <f t="shared" si="48"/>
        <v>0</v>
      </c>
      <c r="AU70" s="39">
        <f t="shared" si="45"/>
        <v>0</v>
      </c>
    </row>
    <row r="71" spans="3:47" ht="14" customHeight="1">
      <c r="C71" s="185" t="s">
        <v>24</v>
      </c>
      <c r="D71" s="182"/>
      <c r="E71" s="181"/>
      <c r="F71" s="180"/>
      <c r="G71" s="180"/>
      <c r="H71" s="180"/>
      <c r="I71" s="178"/>
      <c r="J71" s="178"/>
      <c r="K71" s="178"/>
      <c r="L71" s="184"/>
      <c r="M71" s="178"/>
      <c r="N71" s="183"/>
      <c r="O71" s="182"/>
      <c r="P71" s="181"/>
      <c r="Q71" s="180"/>
      <c r="R71" s="180"/>
      <c r="S71" s="180"/>
      <c r="T71" s="178"/>
      <c r="U71" s="178"/>
      <c r="V71" s="178"/>
      <c r="W71" s="179"/>
      <c r="X71" s="178"/>
      <c r="Y71" s="177"/>
      <c r="Z71" s="159"/>
      <c r="AA71" s="36">
        <f>+'[4]CDIS Table-4'!O68</f>
        <v>0</v>
      </c>
      <c r="AB71" s="39">
        <f t="shared" si="46"/>
        <v>0</v>
      </c>
      <c r="AC71" s="39">
        <f t="shared" si="49"/>
        <v>0</v>
      </c>
      <c r="AD71" s="39">
        <f t="shared" si="47"/>
        <v>0</v>
      </c>
      <c r="AE71" s="39">
        <f t="shared" si="50"/>
        <v>0</v>
      </c>
      <c r="AF71" s="39"/>
      <c r="AG71" s="36">
        <f t="shared" si="42"/>
        <v>0</v>
      </c>
      <c r="AH71" s="39">
        <f t="shared" si="39"/>
        <v>0</v>
      </c>
      <c r="AI71" s="39">
        <f t="shared" si="51"/>
        <v>0</v>
      </c>
      <c r="AJ71" s="39">
        <f t="shared" si="43"/>
        <v>0</v>
      </c>
      <c r="AK71" s="39">
        <f t="shared" si="29"/>
        <v>0</v>
      </c>
      <c r="AL71" s="39"/>
      <c r="AM71" s="36">
        <f>+'[4]CDIS Table-4'!U68</f>
        <v>0</v>
      </c>
      <c r="AN71" s="39">
        <f t="shared" si="40"/>
        <v>0</v>
      </c>
      <c r="AO71" s="39">
        <f t="shared" si="52"/>
        <v>0</v>
      </c>
      <c r="AP71" s="39">
        <f t="shared" si="41"/>
        <v>0</v>
      </c>
      <c r="AQ71" s="39">
        <f t="shared" si="53"/>
        <v>0</v>
      </c>
      <c r="AR71" s="39">
        <f t="shared" si="44"/>
        <v>0</v>
      </c>
      <c r="AS71" s="39">
        <f t="shared" si="30"/>
        <v>0</v>
      </c>
      <c r="AT71" s="39">
        <f t="shared" si="48"/>
        <v>0</v>
      </c>
      <c r="AU71" s="39">
        <f t="shared" si="45"/>
        <v>0</v>
      </c>
    </row>
    <row r="72" spans="3:47" ht="14" customHeight="1">
      <c r="C72" s="185" t="s">
        <v>193</v>
      </c>
      <c r="D72" s="182"/>
      <c r="E72" s="181"/>
      <c r="F72" s="180"/>
      <c r="G72" s="180"/>
      <c r="H72" s="180"/>
      <c r="I72" s="178"/>
      <c r="J72" s="178"/>
      <c r="K72" s="178"/>
      <c r="L72" s="184"/>
      <c r="M72" s="178"/>
      <c r="N72" s="183"/>
      <c r="O72" s="182"/>
      <c r="P72" s="181"/>
      <c r="Q72" s="180"/>
      <c r="R72" s="180"/>
      <c r="S72" s="180"/>
      <c r="T72" s="178"/>
      <c r="U72" s="178"/>
      <c r="V72" s="178"/>
      <c r="W72" s="179"/>
      <c r="X72" s="178"/>
      <c r="Y72" s="177"/>
      <c r="Z72" s="159"/>
      <c r="AA72" s="36">
        <f>+'[4]CDIS Table-4'!O69</f>
        <v>0</v>
      </c>
      <c r="AB72" s="39">
        <f t="shared" si="46"/>
        <v>0</v>
      </c>
      <c r="AC72" s="39">
        <f t="shared" si="49"/>
        <v>0</v>
      </c>
      <c r="AD72" s="39">
        <f t="shared" si="47"/>
        <v>0</v>
      </c>
      <c r="AE72" s="39">
        <f t="shared" si="50"/>
        <v>0</v>
      </c>
      <c r="AF72" s="39"/>
      <c r="AG72" s="36">
        <f t="shared" si="42"/>
        <v>0</v>
      </c>
      <c r="AH72" s="39">
        <f t="shared" si="39"/>
        <v>0</v>
      </c>
      <c r="AI72" s="39">
        <f t="shared" si="51"/>
        <v>0</v>
      </c>
      <c r="AJ72" s="39">
        <f t="shared" si="43"/>
        <v>0</v>
      </c>
      <c r="AK72" s="39">
        <f t="shared" si="29"/>
        <v>0</v>
      </c>
      <c r="AL72" s="39"/>
      <c r="AM72" s="36">
        <f>+'[4]CDIS Table-4'!U69</f>
        <v>0</v>
      </c>
      <c r="AN72" s="39">
        <f t="shared" si="40"/>
        <v>0</v>
      </c>
      <c r="AO72" s="39">
        <f t="shared" si="52"/>
        <v>0</v>
      </c>
      <c r="AP72" s="39">
        <f t="shared" si="41"/>
        <v>0</v>
      </c>
      <c r="AQ72" s="39">
        <f t="shared" si="53"/>
        <v>0</v>
      </c>
      <c r="AR72" s="39">
        <f t="shared" si="44"/>
        <v>0</v>
      </c>
      <c r="AS72" s="39">
        <f t="shared" si="30"/>
        <v>0</v>
      </c>
      <c r="AT72" s="39">
        <f t="shared" si="48"/>
        <v>0</v>
      </c>
      <c r="AU72" s="39">
        <f t="shared" si="45"/>
        <v>0</v>
      </c>
    </row>
    <row r="73" spans="3:47" ht="14" customHeight="1">
      <c r="C73" s="185" t="s">
        <v>194</v>
      </c>
      <c r="D73" s="182"/>
      <c r="E73" s="181"/>
      <c r="F73" s="180"/>
      <c r="G73" s="180"/>
      <c r="H73" s="180"/>
      <c r="I73" s="178"/>
      <c r="J73" s="178"/>
      <c r="K73" s="178"/>
      <c r="L73" s="184"/>
      <c r="M73" s="178"/>
      <c r="N73" s="183"/>
      <c r="O73" s="182"/>
      <c r="P73" s="181"/>
      <c r="Q73" s="180"/>
      <c r="R73" s="180"/>
      <c r="S73" s="180"/>
      <c r="T73" s="178"/>
      <c r="U73" s="178"/>
      <c r="V73" s="178"/>
      <c r="W73" s="179"/>
      <c r="X73" s="178"/>
      <c r="Y73" s="177"/>
      <c r="Z73" s="159"/>
      <c r="AA73" s="36">
        <f>+'[4]CDIS Table-4'!O70</f>
        <v>6.1404860170618039E-5</v>
      </c>
      <c r="AB73" s="39">
        <f t="shared" si="46"/>
        <v>6.1404860170618039E-5</v>
      </c>
      <c r="AC73" s="39">
        <f t="shared" si="49"/>
        <v>1.2226401933377343E-4</v>
      </c>
      <c r="AD73" s="39">
        <f t="shared" si="47"/>
        <v>6.1404860170618039E-5</v>
      </c>
      <c r="AE73" s="39">
        <f t="shared" si="50"/>
        <v>1.5527516008265879E-4</v>
      </c>
      <c r="AF73" s="39"/>
      <c r="AG73" s="36">
        <f t="shared" si="42"/>
        <v>6.1404860170618039E-5</v>
      </c>
      <c r="AH73" s="39">
        <f t="shared" si="39"/>
        <v>6.1404860170618039E-5</v>
      </c>
      <c r="AI73" s="39">
        <f t="shared" si="51"/>
        <v>1.2226401933377343E-4</v>
      </c>
      <c r="AJ73" s="39">
        <f t="shared" si="43"/>
        <v>6.1404860170618039E-5</v>
      </c>
      <c r="AK73" s="39">
        <f t="shared" ref="AK73:AK88" si="54">+AJ73/$AJ$102</f>
        <v>4.0470221477276045E-4</v>
      </c>
      <c r="AL73" s="39"/>
      <c r="AM73" s="36">
        <f>+'[4]CDIS Table-4'!U70</f>
        <v>0</v>
      </c>
      <c r="AN73" s="39">
        <f t="shared" si="40"/>
        <v>0</v>
      </c>
      <c r="AO73" s="39">
        <f t="shared" si="52"/>
        <v>0</v>
      </c>
      <c r="AP73" s="39">
        <f t="shared" si="41"/>
        <v>0</v>
      </c>
      <c r="AQ73" s="39">
        <f t="shared" si="53"/>
        <v>0</v>
      </c>
      <c r="AR73" s="39">
        <f t="shared" si="44"/>
        <v>0</v>
      </c>
      <c r="AS73" s="39">
        <f t="shared" ref="AS73:AS88" si="55">+AR73/$AR$102</f>
        <v>0</v>
      </c>
      <c r="AT73" s="39">
        <f t="shared" si="48"/>
        <v>0</v>
      </c>
      <c r="AU73" s="39">
        <f t="shared" si="45"/>
        <v>0</v>
      </c>
    </row>
    <row r="74" spans="3:47" ht="14" customHeight="1">
      <c r="C74" s="185" t="s">
        <v>195</v>
      </c>
      <c r="D74" s="182"/>
      <c r="E74" s="181"/>
      <c r="F74" s="180"/>
      <c r="G74" s="180"/>
      <c r="H74" s="180"/>
      <c r="I74" s="178"/>
      <c r="J74" s="178"/>
      <c r="K74" s="178"/>
      <c r="L74" s="184"/>
      <c r="M74" s="178"/>
      <c r="N74" s="183"/>
      <c r="O74" s="182"/>
      <c r="P74" s="181"/>
      <c r="Q74" s="180"/>
      <c r="R74" s="180"/>
      <c r="S74" s="180"/>
      <c r="T74" s="178"/>
      <c r="U74" s="178"/>
      <c r="V74" s="178"/>
      <c r="W74" s="179"/>
      <c r="X74" s="178"/>
      <c r="Y74" s="177"/>
      <c r="Z74" s="159"/>
      <c r="AA74" s="36">
        <f>+'[4]CDIS Table-4'!O71</f>
        <v>0</v>
      </c>
      <c r="AB74" s="39">
        <f t="shared" si="46"/>
        <v>0</v>
      </c>
      <c r="AC74" s="39">
        <f t="shared" si="49"/>
        <v>0</v>
      </c>
      <c r="AD74" s="39">
        <f t="shared" si="47"/>
        <v>0</v>
      </c>
      <c r="AE74" s="39">
        <f t="shared" si="50"/>
        <v>0</v>
      </c>
      <c r="AF74" s="39"/>
      <c r="AG74" s="36">
        <f t="shared" si="42"/>
        <v>0</v>
      </c>
      <c r="AH74" s="39">
        <f t="shared" si="39"/>
        <v>0</v>
      </c>
      <c r="AI74" s="39">
        <f t="shared" si="51"/>
        <v>0</v>
      </c>
      <c r="AJ74" s="39">
        <f t="shared" si="43"/>
        <v>0</v>
      </c>
      <c r="AK74" s="39">
        <f t="shared" si="54"/>
        <v>0</v>
      </c>
      <c r="AL74" s="39"/>
      <c r="AM74" s="36">
        <f>+'[4]CDIS Table-4'!U71</f>
        <v>0</v>
      </c>
      <c r="AN74" s="39">
        <f t="shared" si="40"/>
        <v>0</v>
      </c>
      <c r="AO74" s="39">
        <f t="shared" si="52"/>
        <v>0</v>
      </c>
      <c r="AP74" s="39">
        <f t="shared" si="41"/>
        <v>0</v>
      </c>
      <c r="AQ74" s="39">
        <f t="shared" si="53"/>
        <v>0</v>
      </c>
      <c r="AR74" s="39">
        <f t="shared" si="44"/>
        <v>0</v>
      </c>
      <c r="AS74" s="39">
        <f t="shared" si="55"/>
        <v>0</v>
      </c>
      <c r="AT74" s="39">
        <f t="shared" si="48"/>
        <v>0</v>
      </c>
      <c r="AU74" s="39">
        <f t="shared" si="45"/>
        <v>0</v>
      </c>
    </row>
    <row r="75" spans="3:47" ht="14" customHeight="1">
      <c r="C75" s="185" t="s">
        <v>197</v>
      </c>
      <c r="D75" s="182"/>
      <c r="E75" s="181"/>
      <c r="F75" s="180"/>
      <c r="G75" s="180"/>
      <c r="H75" s="180"/>
      <c r="I75" s="178"/>
      <c r="J75" s="178"/>
      <c r="K75" s="178"/>
      <c r="L75" s="184"/>
      <c r="M75" s="178"/>
      <c r="N75" s="183"/>
      <c r="O75" s="182"/>
      <c r="P75" s="181"/>
      <c r="Q75" s="180"/>
      <c r="R75" s="180"/>
      <c r="S75" s="180"/>
      <c r="T75" s="178"/>
      <c r="U75" s="178"/>
      <c r="V75" s="178"/>
      <c r="W75" s="179"/>
      <c r="X75" s="178"/>
      <c r="Y75" s="177"/>
      <c r="Z75" s="159"/>
      <c r="AA75" s="36">
        <f>+'[4]CDIS Table-4'!O72</f>
        <v>0</v>
      </c>
      <c r="AB75" s="39">
        <f t="shared" si="46"/>
        <v>0</v>
      </c>
      <c r="AC75" s="39">
        <f t="shared" si="49"/>
        <v>0</v>
      </c>
      <c r="AD75" s="39">
        <f t="shared" si="47"/>
        <v>0</v>
      </c>
      <c r="AE75" s="39">
        <f t="shared" si="50"/>
        <v>0</v>
      </c>
      <c r="AF75" s="39"/>
      <c r="AG75" s="36">
        <f t="shared" si="42"/>
        <v>0</v>
      </c>
      <c r="AH75" s="39">
        <f t="shared" si="39"/>
        <v>0</v>
      </c>
      <c r="AI75" s="39">
        <f t="shared" si="51"/>
        <v>0</v>
      </c>
      <c r="AJ75" s="39">
        <f t="shared" si="43"/>
        <v>0</v>
      </c>
      <c r="AK75" s="39">
        <f t="shared" si="54"/>
        <v>0</v>
      </c>
      <c r="AL75" s="39"/>
      <c r="AM75" s="36">
        <f>+'[4]CDIS Table-4'!U72</f>
        <v>0</v>
      </c>
      <c r="AN75" s="39">
        <f t="shared" si="40"/>
        <v>0</v>
      </c>
      <c r="AO75" s="39">
        <f t="shared" si="52"/>
        <v>0</v>
      </c>
      <c r="AP75" s="39">
        <f t="shared" si="41"/>
        <v>0</v>
      </c>
      <c r="AQ75" s="39">
        <f t="shared" si="53"/>
        <v>0</v>
      </c>
      <c r="AR75" s="39">
        <f t="shared" si="44"/>
        <v>0</v>
      </c>
      <c r="AS75" s="39">
        <f t="shared" si="55"/>
        <v>0</v>
      </c>
      <c r="AT75" s="39">
        <f t="shared" si="48"/>
        <v>0</v>
      </c>
      <c r="AU75" s="39">
        <f t="shared" si="45"/>
        <v>0</v>
      </c>
    </row>
    <row r="76" spans="3:47" ht="14" customHeight="1">
      <c r="C76" s="185" t="s">
        <v>87</v>
      </c>
      <c r="D76" s="182"/>
      <c r="E76" s="181"/>
      <c r="F76" s="180"/>
      <c r="G76" s="180"/>
      <c r="H76" s="180"/>
      <c r="I76" s="178"/>
      <c r="J76" s="178"/>
      <c r="K76" s="178"/>
      <c r="L76" s="184"/>
      <c r="M76" s="178"/>
      <c r="N76" s="187"/>
      <c r="O76" s="182"/>
      <c r="P76" s="181"/>
      <c r="Q76" s="180"/>
      <c r="R76" s="180"/>
      <c r="S76" s="180"/>
      <c r="T76" s="178"/>
      <c r="U76" s="178"/>
      <c r="V76" s="178"/>
      <c r="W76" s="179"/>
      <c r="X76" s="178"/>
      <c r="Y76" s="186"/>
      <c r="Z76" s="159"/>
      <c r="AA76" s="36">
        <f>+'[4]CDIS Table-4'!O73</f>
        <v>5.7392741433931783E-3</v>
      </c>
      <c r="AB76" s="39">
        <f t="shared" si="46"/>
        <v>5.7392741433931783E-3</v>
      </c>
      <c r="AC76" s="39">
        <f t="shared" si="49"/>
        <v>1.1427543729924706E-2</v>
      </c>
      <c r="AD76" s="39">
        <f t="shared" si="47"/>
        <v>5.7392741433931783E-3</v>
      </c>
      <c r="AE76" s="39">
        <f t="shared" si="50"/>
        <v>1.4512967033838465E-2</v>
      </c>
      <c r="AF76" s="39"/>
      <c r="AG76" s="36">
        <f t="shared" si="42"/>
        <v>5.7392741433931783E-3</v>
      </c>
      <c r="AH76" s="39">
        <f t="shared" si="39"/>
        <v>5.7392741433931783E-3</v>
      </c>
      <c r="AI76" s="39">
        <f t="shared" si="51"/>
        <v>1.1427543729924706E-2</v>
      </c>
      <c r="AJ76" s="39">
        <f t="shared" si="43"/>
        <v>5.7392741433931783E-3</v>
      </c>
      <c r="AK76" s="39">
        <f t="shared" si="54"/>
        <v>3.7825946522237301E-2</v>
      </c>
      <c r="AL76" s="39"/>
      <c r="AM76" s="36">
        <f>+'[4]CDIS Table-4'!U73</f>
        <v>0</v>
      </c>
      <c r="AN76" s="39">
        <f t="shared" si="40"/>
        <v>0</v>
      </c>
      <c r="AO76" s="39">
        <f t="shared" si="52"/>
        <v>0</v>
      </c>
      <c r="AP76" s="39">
        <f t="shared" si="41"/>
        <v>0</v>
      </c>
      <c r="AQ76" s="39">
        <f t="shared" si="53"/>
        <v>0</v>
      </c>
      <c r="AR76" s="39">
        <f t="shared" si="44"/>
        <v>0</v>
      </c>
      <c r="AS76" s="39">
        <f t="shared" si="55"/>
        <v>0</v>
      </c>
      <c r="AT76" s="39">
        <f t="shared" si="48"/>
        <v>0</v>
      </c>
      <c r="AU76" s="39">
        <f t="shared" si="45"/>
        <v>0</v>
      </c>
    </row>
    <row r="77" spans="3:47" ht="14" customHeight="1">
      <c r="C77" s="185" t="s">
        <v>134</v>
      </c>
      <c r="D77" s="182"/>
      <c r="E77" s="181"/>
      <c r="F77" s="180"/>
      <c r="G77" s="180"/>
      <c r="H77" s="180"/>
      <c r="I77" s="178"/>
      <c r="J77" s="178"/>
      <c r="K77" s="178"/>
      <c r="L77" s="184"/>
      <c r="M77" s="178"/>
      <c r="N77" s="183"/>
      <c r="O77" s="182"/>
      <c r="P77" s="181"/>
      <c r="Q77" s="180"/>
      <c r="R77" s="180"/>
      <c r="S77" s="180"/>
      <c r="T77" s="178"/>
      <c r="U77" s="178"/>
      <c r="V77" s="178"/>
      <c r="W77" s="179"/>
      <c r="X77" s="178"/>
      <c r="Y77" s="177"/>
      <c r="Z77" s="159"/>
      <c r="AA77" s="36">
        <f>+'[4]CDIS Table-4'!O74</f>
        <v>0</v>
      </c>
      <c r="AB77" s="39">
        <f t="shared" si="46"/>
        <v>0</v>
      </c>
      <c r="AC77" s="39">
        <f t="shared" si="49"/>
        <v>0</v>
      </c>
      <c r="AD77" s="39">
        <f t="shared" si="47"/>
        <v>0</v>
      </c>
      <c r="AE77" s="39">
        <f t="shared" si="50"/>
        <v>0</v>
      </c>
      <c r="AF77" s="39"/>
      <c r="AG77" s="36">
        <f t="shared" si="42"/>
        <v>0</v>
      </c>
      <c r="AH77" s="39">
        <f t="shared" si="39"/>
        <v>0</v>
      </c>
      <c r="AI77" s="39">
        <f t="shared" si="51"/>
        <v>0</v>
      </c>
      <c r="AJ77" s="39">
        <f t="shared" si="43"/>
        <v>0</v>
      </c>
      <c r="AK77" s="39">
        <f t="shared" si="54"/>
        <v>0</v>
      </c>
      <c r="AL77" s="39"/>
      <c r="AM77" s="36">
        <f>+'[4]CDIS Table-4'!U74</f>
        <v>0</v>
      </c>
      <c r="AN77" s="39">
        <f t="shared" si="40"/>
        <v>0</v>
      </c>
      <c r="AO77" s="39">
        <f t="shared" si="52"/>
        <v>0</v>
      </c>
      <c r="AP77" s="39">
        <f t="shared" si="41"/>
        <v>0</v>
      </c>
      <c r="AQ77" s="39">
        <f t="shared" si="53"/>
        <v>0</v>
      </c>
      <c r="AR77" s="39">
        <f t="shared" si="44"/>
        <v>0</v>
      </c>
      <c r="AS77" s="39">
        <f t="shared" si="55"/>
        <v>0</v>
      </c>
      <c r="AT77" s="39">
        <f t="shared" si="48"/>
        <v>0</v>
      </c>
      <c r="AU77" s="39">
        <f t="shared" si="45"/>
        <v>0</v>
      </c>
    </row>
    <row r="78" spans="3:47" ht="14" customHeight="1">
      <c r="C78" s="185" t="s">
        <v>199</v>
      </c>
      <c r="D78" s="182"/>
      <c r="E78" s="181"/>
      <c r="F78" s="180"/>
      <c r="G78" s="180"/>
      <c r="H78" s="180"/>
      <c r="I78" s="178"/>
      <c r="J78" s="178"/>
      <c r="K78" s="178"/>
      <c r="L78" s="184"/>
      <c r="M78" s="178"/>
      <c r="N78" s="183"/>
      <c r="O78" s="182"/>
      <c r="P78" s="181"/>
      <c r="Q78" s="180"/>
      <c r="R78" s="180"/>
      <c r="S78" s="180"/>
      <c r="T78" s="178"/>
      <c r="U78" s="178"/>
      <c r="V78" s="178"/>
      <c r="W78" s="179"/>
      <c r="X78" s="178"/>
      <c r="Y78" s="177"/>
      <c r="Z78" s="159"/>
      <c r="AA78" s="36">
        <f>+'[4]CDIS Table-4'!O75</f>
        <v>0</v>
      </c>
      <c r="AB78" s="39">
        <f t="shared" si="46"/>
        <v>0</v>
      </c>
      <c r="AC78" s="39">
        <f t="shared" si="49"/>
        <v>0</v>
      </c>
      <c r="AD78" s="39">
        <f t="shared" si="47"/>
        <v>0</v>
      </c>
      <c r="AE78" s="39">
        <f t="shared" si="50"/>
        <v>0</v>
      </c>
      <c r="AF78" s="39"/>
      <c r="AG78" s="36">
        <f t="shared" si="42"/>
        <v>0</v>
      </c>
      <c r="AH78" s="39">
        <f t="shared" si="39"/>
        <v>0</v>
      </c>
      <c r="AI78" s="39">
        <f t="shared" si="51"/>
        <v>0</v>
      </c>
      <c r="AJ78" s="39">
        <f t="shared" si="43"/>
        <v>0</v>
      </c>
      <c r="AK78" s="39">
        <f t="shared" si="54"/>
        <v>0</v>
      </c>
      <c r="AL78" s="39"/>
      <c r="AM78" s="36">
        <f>+'[4]CDIS Table-4'!U75</f>
        <v>0</v>
      </c>
      <c r="AN78" s="39">
        <f t="shared" si="40"/>
        <v>0</v>
      </c>
      <c r="AO78" s="39">
        <f t="shared" si="52"/>
        <v>0</v>
      </c>
      <c r="AP78" s="39">
        <f t="shared" si="41"/>
        <v>0</v>
      </c>
      <c r="AQ78" s="39">
        <f t="shared" si="53"/>
        <v>0</v>
      </c>
      <c r="AR78" s="39">
        <f t="shared" si="44"/>
        <v>0</v>
      </c>
      <c r="AS78" s="39">
        <f t="shared" si="55"/>
        <v>0</v>
      </c>
      <c r="AT78" s="39">
        <f t="shared" si="48"/>
        <v>0</v>
      </c>
      <c r="AU78" s="39">
        <f t="shared" si="45"/>
        <v>0</v>
      </c>
    </row>
    <row r="79" spans="3:47" ht="14" customHeight="1">
      <c r="C79" s="185" t="s">
        <v>200</v>
      </c>
      <c r="D79" s="182"/>
      <c r="E79" s="181"/>
      <c r="F79" s="180"/>
      <c r="G79" s="180"/>
      <c r="H79" s="180"/>
      <c r="I79" s="178"/>
      <c r="J79" s="178"/>
      <c r="K79" s="178"/>
      <c r="L79" s="184"/>
      <c r="M79" s="178"/>
      <c r="N79" s="183"/>
      <c r="O79" s="182"/>
      <c r="P79" s="181"/>
      <c r="Q79" s="180"/>
      <c r="R79" s="180"/>
      <c r="S79" s="180"/>
      <c r="T79" s="178"/>
      <c r="U79" s="178"/>
      <c r="V79" s="178"/>
      <c r="W79" s="179"/>
      <c r="X79" s="178"/>
      <c r="Y79" s="177"/>
      <c r="Z79" s="159"/>
      <c r="AA79" s="36">
        <f>+'[4]CDIS Table-4'!O76</f>
        <v>0</v>
      </c>
      <c r="AB79" s="39">
        <f t="shared" si="46"/>
        <v>0</v>
      </c>
      <c r="AC79" s="39">
        <f t="shared" si="49"/>
        <v>0</v>
      </c>
      <c r="AD79" s="39">
        <f t="shared" si="47"/>
        <v>0</v>
      </c>
      <c r="AE79" s="39">
        <f t="shared" si="50"/>
        <v>0</v>
      </c>
      <c r="AF79" s="39"/>
      <c r="AG79" s="36">
        <f t="shared" si="42"/>
        <v>0</v>
      </c>
      <c r="AH79" s="39">
        <f t="shared" si="39"/>
        <v>0</v>
      </c>
      <c r="AI79" s="39">
        <f t="shared" si="51"/>
        <v>0</v>
      </c>
      <c r="AJ79" s="39">
        <f t="shared" si="43"/>
        <v>0</v>
      </c>
      <c r="AK79" s="39">
        <f t="shared" si="54"/>
        <v>0</v>
      </c>
      <c r="AL79" s="39"/>
      <c r="AM79" s="36">
        <f>+'[4]CDIS Table-4'!U76</f>
        <v>0</v>
      </c>
      <c r="AN79" s="39">
        <f t="shared" si="40"/>
        <v>0</v>
      </c>
      <c r="AO79" s="39">
        <f t="shared" si="52"/>
        <v>0</v>
      </c>
      <c r="AP79" s="39">
        <f t="shared" si="41"/>
        <v>0</v>
      </c>
      <c r="AQ79" s="39">
        <f t="shared" si="53"/>
        <v>0</v>
      </c>
      <c r="AR79" s="39">
        <f t="shared" si="44"/>
        <v>0</v>
      </c>
      <c r="AS79" s="39">
        <f t="shared" si="55"/>
        <v>0</v>
      </c>
      <c r="AT79" s="39">
        <f t="shared" si="48"/>
        <v>0</v>
      </c>
      <c r="AU79" s="39">
        <f t="shared" si="45"/>
        <v>0</v>
      </c>
    </row>
    <row r="80" spans="3:47" ht="14" customHeight="1">
      <c r="C80" s="185" t="s">
        <v>201</v>
      </c>
      <c r="D80" s="182"/>
      <c r="E80" s="181"/>
      <c r="F80" s="180"/>
      <c r="G80" s="180"/>
      <c r="H80" s="180"/>
      <c r="I80" s="178"/>
      <c r="J80" s="178"/>
      <c r="K80" s="178"/>
      <c r="L80" s="184"/>
      <c r="M80" s="178"/>
      <c r="N80" s="183"/>
      <c r="O80" s="182"/>
      <c r="P80" s="181"/>
      <c r="Q80" s="180"/>
      <c r="R80" s="180"/>
      <c r="S80" s="180"/>
      <c r="T80" s="178"/>
      <c r="U80" s="178"/>
      <c r="V80" s="178"/>
      <c r="W80" s="179"/>
      <c r="X80" s="178"/>
      <c r="Y80" s="177"/>
      <c r="Z80" s="159"/>
      <c r="AA80" s="36">
        <f>+'[4]CDIS Table-4'!O77</f>
        <v>9.3447437214016892E-3</v>
      </c>
      <c r="AB80" s="39">
        <f t="shared" si="46"/>
        <v>9.3447437214016892E-3</v>
      </c>
      <c r="AC80" s="39">
        <f t="shared" si="49"/>
        <v>1.8606441311779222E-2</v>
      </c>
      <c r="AD80" s="39">
        <f t="shared" si="47"/>
        <v>9.3447437214016892E-3</v>
      </c>
      <c r="AE80" s="39">
        <f t="shared" si="50"/>
        <v>2.3630158479969444E-2</v>
      </c>
      <c r="AF80" s="39"/>
      <c r="AG80" s="36">
        <f>+'[4]CDIS Table-4'!U77</f>
        <v>0</v>
      </c>
      <c r="AH80" s="39">
        <f t="shared" si="39"/>
        <v>0</v>
      </c>
      <c r="AI80" s="39">
        <f t="shared" si="51"/>
        <v>0</v>
      </c>
      <c r="AJ80" s="39">
        <f t="shared" si="43"/>
        <v>0</v>
      </c>
      <c r="AK80" s="39">
        <f t="shared" si="54"/>
        <v>0</v>
      </c>
      <c r="AL80" s="39"/>
      <c r="AM80" s="36">
        <f>+'[4]CDIS Table-4'!U77</f>
        <v>0</v>
      </c>
      <c r="AN80" s="39">
        <f t="shared" si="40"/>
        <v>0</v>
      </c>
      <c r="AO80" s="39">
        <f t="shared" si="52"/>
        <v>0</v>
      </c>
      <c r="AP80" s="39">
        <f t="shared" si="41"/>
        <v>0</v>
      </c>
      <c r="AQ80" s="39">
        <f t="shared" si="53"/>
        <v>0</v>
      </c>
      <c r="AR80" s="39">
        <f t="shared" si="44"/>
        <v>0</v>
      </c>
      <c r="AS80" s="39">
        <f t="shared" si="55"/>
        <v>0</v>
      </c>
      <c r="AT80" s="39">
        <f t="shared" si="48"/>
        <v>0</v>
      </c>
      <c r="AU80" s="39">
        <f t="shared" si="45"/>
        <v>0</v>
      </c>
    </row>
    <row r="81" spans="3:47" ht="14" customHeight="1">
      <c r="C81" s="185" t="s">
        <v>202</v>
      </c>
      <c r="D81" s="182"/>
      <c r="E81" s="181"/>
      <c r="F81" s="180"/>
      <c r="G81" s="180"/>
      <c r="H81" s="180"/>
      <c r="I81" s="178"/>
      <c r="J81" s="178"/>
      <c r="K81" s="178"/>
      <c r="L81" s="184"/>
      <c r="M81" s="178"/>
      <c r="N81" s="183"/>
      <c r="O81" s="182"/>
      <c r="P81" s="181"/>
      <c r="Q81" s="180"/>
      <c r="R81" s="180"/>
      <c r="S81" s="180"/>
      <c r="T81" s="178"/>
      <c r="U81" s="178"/>
      <c r="V81" s="178"/>
      <c r="W81" s="179"/>
      <c r="X81" s="178"/>
      <c r="Y81" s="177"/>
      <c r="Z81" s="159"/>
      <c r="AA81" s="36">
        <f>+'[4]CDIS Table-4'!O78</f>
        <v>2.3627280581392267E-5</v>
      </c>
      <c r="AB81" s="39">
        <f t="shared" si="46"/>
        <v>2.3627280581392267E-5</v>
      </c>
      <c r="AC81" s="39">
        <f t="shared" si="49"/>
        <v>4.7044587053552091E-5</v>
      </c>
      <c r="AD81" s="39">
        <f t="shared" si="47"/>
        <v>2.3627280581392267E-5</v>
      </c>
      <c r="AE81" s="39">
        <f t="shared" si="50"/>
        <v>5.9746569968561721E-5</v>
      </c>
      <c r="AF81" s="39"/>
      <c r="AG81" s="36">
        <f>+'[4]CDIS Table-4'!U78</f>
        <v>0</v>
      </c>
      <c r="AH81" s="39">
        <f t="shared" si="39"/>
        <v>0</v>
      </c>
      <c r="AI81" s="39">
        <f t="shared" si="51"/>
        <v>0</v>
      </c>
      <c r="AJ81" s="39">
        <f t="shared" si="43"/>
        <v>0</v>
      </c>
      <c r="AK81" s="39">
        <f t="shared" si="54"/>
        <v>0</v>
      </c>
      <c r="AL81" s="39"/>
      <c r="AM81" s="36">
        <f>+'[4]CDIS Table-4'!U78</f>
        <v>0</v>
      </c>
      <c r="AN81" s="39">
        <f t="shared" si="40"/>
        <v>0</v>
      </c>
      <c r="AO81" s="39">
        <f t="shared" si="52"/>
        <v>0</v>
      </c>
      <c r="AP81" s="39">
        <f t="shared" si="41"/>
        <v>0</v>
      </c>
      <c r="AQ81" s="39">
        <f t="shared" si="53"/>
        <v>0</v>
      </c>
      <c r="AR81" s="39">
        <f t="shared" si="44"/>
        <v>0</v>
      </c>
      <c r="AS81" s="39">
        <f t="shared" si="55"/>
        <v>0</v>
      </c>
      <c r="AT81" s="39">
        <f t="shared" si="48"/>
        <v>0</v>
      </c>
      <c r="AU81" s="39">
        <f t="shared" si="45"/>
        <v>0</v>
      </c>
    </row>
    <row r="82" spans="3:47">
      <c r="C82" s="185" t="s">
        <v>22</v>
      </c>
      <c r="D82" s="182"/>
      <c r="E82" s="181"/>
      <c r="F82" s="180"/>
      <c r="G82" s="180"/>
      <c r="H82" s="180"/>
      <c r="I82" s="178"/>
      <c r="J82" s="178"/>
      <c r="K82" s="178"/>
      <c r="L82" s="184"/>
      <c r="M82" s="178"/>
      <c r="N82" s="183"/>
      <c r="O82" s="182"/>
      <c r="P82" s="181"/>
      <c r="Q82" s="180"/>
      <c r="R82" s="180"/>
      <c r="S82" s="180"/>
      <c r="T82" s="178"/>
      <c r="U82" s="178"/>
      <c r="V82" s="178"/>
      <c r="W82" s="179"/>
      <c r="X82" s="178"/>
      <c r="Y82" s="177"/>
      <c r="Z82" s="159"/>
      <c r="AA82" s="36">
        <f>+'[4]CDIS Table-4'!O79</f>
        <v>3.3093466817703553E-2</v>
      </c>
      <c r="AB82" s="39">
        <f t="shared" si="46"/>
        <v>3.3093466817703553E-2</v>
      </c>
      <c r="AC82" s="39">
        <f t="shared" si="49"/>
        <v>6.5892834143401524E-2</v>
      </c>
      <c r="AD82" s="39">
        <f t="shared" si="47"/>
        <v>3.3093466817703553E-2</v>
      </c>
      <c r="AE82" s="39">
        <f t="shared" si="50"/>
        <v>8.3683821500954589E-2</v>
      </c>
      <c r="AF82" s="39"/>
      <c r="AG82" s="36">
        <f>+'[4]CDIS Table-4'!U79</f>
        <v>0</v>
      </c>
      <c r="AH82" s="39">
        <f t="shared" si="39"/>
        <v>0</v>
      </c>
      <c r="AI82" s="39">
        <f t="shared" si="51"/>
        <v>0</v>
      </c>
      <c r="AJ82" s="39">
        <f t="shared" si="43"/>
        <v>0</v>
      </c>
      <c r="AK82" s="39">
        <f t="shared" si="54"/>
        <v>0</v>
      </c>
      <c r="AL82" s="39"/>
      <c r="AM82" s="36">
        <f>+'[4]CDIS Table-4'!U79</f>
        <v>0</v>
      </c>
      <c r="AN82" s="39">
        <f t="shared" si="40"/>
        <v>0</v>
      </c>
      <c r="AO82" s="39">
        <f t="shared" si="52"/>
        <v>0</v>
      </c>
      <c r="AP82" s="39">
        <f t="shared" si="41"/>
        <v>0</v>
      </c>
      <c r="AQ82" s="39">
        <f t="shared" si="53"/>
        <v>0</v>
      </c>
      <c r="AR82" s="39">
        <f t="shared" si="44"/>
        <v>0</v>
      </c>
      <c r="AS82" s="39">
        <f t="shared" si="55"/>
        <v>0</v>
      </c>
      <c r="AT82" s="39">
        <f t="shared" si="48"/>
        <v>0</v>
      </c>
      <c r="AU82" s="39">
        <f t="shared" si="45"/>
        <v>0</v>
      </c>
    </row>
    <row r="83" spans="3:47">
      <c r="C83" s="185" t="s">
        <v>524</v>
      </c>
      <c r="D83" s="182"/>
      <c r="E83" s="181"/>
      <c r="F83" s="180"/>
      <c r="G83" s="180"/>
      <c r="H83" s="180"/>
      <c r="I83" s="178"/>
      <c r="J83" s="178"/>
      <c r="K83" s="178"/>
      <c r="L83" s="184"/>
      <c r="M83" s="178"/>
      <c r="N83" s="183"/>
      <c r="O83" s="182"/>
      <c r="P83" s="181"/>
      <c r="Q83" s="180"/>
      <c r="R83" s="180"/>
      <c r="S83" s="180"/>
      <c r="T83" s="178"/>
      <c r="U83" s="178"/>
      <c r="V83" s="178"/>
      <c r="W83" s="179"/>
      <c r="X83" s="178"/>
      <c r="Y83" s="177"/>
      <c r="Z83" s="159"/>
      <c r="AA83" s="36">
        <f>+'[4]CDIS Table-4'!O80</f>
        <v>0</v>
      </c>
      <c r="AB83" s="39">
        <f t="shared" si="46"/>
        <v>0</v>
      </c>
      <c r="AC83" s="39">
        <f t="shared" si="49"/>
        <v>0</v>
      </c>
      <c r="AD83" s="39">
        <f t="shared" si="47"/>
        <v>0</v>
      </c>
      <c r="AE83" s="39">
        <f t="shared" si="50"/>
        <v>0</v>
      </c>
      <c r="AF83" s="39"/>
      <c r="AG83" s="36">
        <f>+'[4]CDIS Table-4'!U80</f>
        <v>0</v>
      </c>
      <c r="AH83" s="39">
        <f t="shared" si="39"/>
        <v>0</v>
      </c>
      <c r="AI83" s="39">
        <f t="shared" si="51"/>
        <v>0</v>
      </c>
      <c r="AJ83" s="39">
        <f t="shared" si="43"/>
        <v>0</v>
      </c>
      <c r="AK83" s="39">
        <f t="shared" si="54"/>
        <v>0</v>
      </c>
      <c r="AL83" s="39"/>
      <c r="AM83" s="36">
        <f>+'[4]CDIS Table-4'!U80</f>
        <v>0</v>
      </c>
      <c r="AN83" s="39">
        <f t="shared" si="40"/>
        <v>0</v>
      </c>
      <c r="AO83" s="39">
        <f t="shared" si="52"/>
        <v>0</v>
      </c>
      <c r="AP83" s="39">
        <f t="shared" si="41"/>
        <v>0</v>
      </c>
      <c r="AQ83" s="39">
        <f t="shared" si="53"/>
        <v>0</v>
      </c>
      <c r="AR83" s="39">
        <f t="shared" si="44"/>
        <v>0</v>
      </c>
      <c r="AS83" s="39">
        <f t="shared" si="55"/>
        <v>0</v>
      </c>
      <c r="AT83" s="39">
        <f t="shared" si="48"/>
        <v>0</v>
      </c>
      <c r="AU83" s="39">
        <f t="shared" si="45"/>
        <v>0</v>
      </c>
    </row>
    <row r="84" spans="3:47">
      <c r="C84" s="185" t="s">
        <v>523</v>
      </c>
      <c r="D84" s="182"/>
      <c r="E84" s="181"/>
      <c r="F84" s="180"/>
      <c r="G84" s="180"/>
      <c r="H84" s="180"/>
      <c r="I84" s="178"/>
      <c r="J84" s="178"/>
      <c r="K84" s="178"/>
      <c r="L84" s="184"/>
      <c r="M84" s="178"/>
      <c r="N84" s="183"/>
      <c r="O84" s="182"/>
      <c r="P84" s="181"/>
      <c r="Q84" s="180"/>
      <c r="R84" s="180"/>
      <c r="S84" s="180"/>
      <c r="T84" s="178"/>
      <c r="U84" s="178"/>
      <c r="V84" s="178"/>
      <c r="W84" s="179"/>
      <c r="X84" s="178"/>
      <c r="Y84" s="177"/>
      <c r="Z84" s="159"/>
      <c r="AA84" s="36">
        <f>+'[4]CDIS Table-4'!O81</f>
        <v>0</v>
      </c>
      <c r="AB84" s="39">
        <f t="shared" si="46"/>
        <v>0</v>
      </c>
      <c r="AC84" s="39">
        <f t="shared" si="49"/>
        <v>0</v>
      </c>
      <c r="AD84" s="39">
        <f t="shared" si="47"/>
        <v>0</v>
      </c>
      <c r="AE84" s="39">
        <f t="shared" si="50"/>
        <v>0</v>
      </c>
      <c r="AF84" s="39"/>
      <c r="AG84" s="36">
        <f>+'[4]CDIS Table-4'!U81</f>
        <v>0</v>
      </c>
      <c r="AH84" s="39">
        <f t="shared" si="39"/>
        <v>0</v>
      </c>
      <c r="AI84" s="39">
        <f t="shared" si="51"/>
        <v>0</v>
      </c>
      <c r="AJ84" s="39">
        <f t="shared" si="43"/>
        <v>0</v>
      </c>
      <c r="AK84" s="39">
        <f t="shared" si="54"/>
        <v>0</v>
      </c>
      <c r="AL84" s="39"/>
      <c r="AM84" s="36">
        <f>+'[4]CDIS Table-4'!U81</f>
        <v>0</v>
      </c>
      <c r="AN84" s="39">
        <f t="shared" si="40"/>
        <v>0</v>
      </c>
      <c r="AO84" s="39">
        <f t="shared" si="52"/>
        <v>0</v>
      </c>
      <c r="AP84" s="39">
        <f t="shared" si="41"/>
        <v>0</v>
      </c>
      <c r="AQ84" s="39">
        <f t="shared" si="53"/>
        <v>0</v>
      </c>
      <c r="AR84" s="39">
        <f t="shared" si="44"/>
        <v>0</v>
      </c>
      <c r="AS84" s="39">
        <f t="shared" si="55"/>
        <v>0</v>
      </c>
      <c r="AT84" s="39">
        <f t="shared" si="48"/>
        <v>0</v>
      </c>
      <c r="AU84" s="39">
        <f t="shared" si="45"/>
        <v>0</v>
      </c>
    </row>
    <row r="85" spans="3:47">
      <c r="C85" s="185" t="s">
        <v>522</v>
      </c>
      <c r="D85" s="182"/>
      <c r="E85" s="181"/>
      <c r="F85" s="180"/>
      <c r="G85" s="180"/>
      <c r="H85" s="180"/>
      <c r="I85" s="178"/>
      <c r="J85" s="178"/>
      <c r="K85" s="178"/>
      <c r="L85" s="184"/>
      <c r="M85" s="178"/>
      <c r="N85" s="183"/>
      <c r="O85" s="182"/>
      <c r="P85" s="181"/>
      <c r="Q85" s="180"/>
      <c r="R85" s="180"/>
      <c r="S85" s="180"/>
      <c r="T85" s="178"/>
      <c r="U85" s="178"/>
      <c r="V85" s="178"/>
      <c r="W85" s="179"/>
      <c r="X85" s="178"/>
      <c r="Y85" s="177"/>
      <c r="Z85" s="159"/>
      <c r="AA85" s="36">
        <f>+'[4]CDIS Table-4'!O82</f>
        <v>0</v>
      </c>
      <c r="AB85" s="39">
        <f t="shared" si="46"/>
        <v>0</v>
      </c>
      <c r="AC85" s="39">
        <f t="shared" si="49"/>
        <v>0</v>
      </c>
      <c r="AD85" s="39">
        <f t="shared" si="47"/>
        <v>0</v>
      </c>
      <c r="AE85" s="39">
        <f t="shared" si="50"/>
        <v>0</v>
      </c>
      <c r="AF85" s="39"/>
      <c r="AG85" s="36">
        <f>+'[4]CDIS Table-4'!U82</f>
        <v>0</v>
      </c>
      <c r="AH85" s="39">
        <f t="shared" si="39"/>
        <v>0</v>
      </c>
      <c r="AI85" s="39">
        <f t="shared" si="51"/>
        <v>0</v>
      </c>
      <c r="AJ85" s="39">
        <f t="shared" si="43"/>
        <v>0</v>
      </c>
      <c r="AK85" s="39">
        <f t="shared" si="54"/>
        <v>0</v>
      </c>
      <c r="AL85" s="39"/>
      <c r="AM85" s="36">
        <f>+'[4]CDIS Table-4'!U82</f>
        <v>0</v>
      </c>
      <c r="AN85" s="39">
        <f t="shared" si="40"/>
        <v>0</v>
      </c>
      <c r="AO85" s="39">
        <f t="shared" si="52"/>
        <v>0</v>
      </c>
      <c r="AP85" s="39">
        <f t="shared" si="41"/>
        <v>0</v>
      </c>
      <c r="AQ85" s="39">
        <f t="shared" si="53"/>
        <v>0</v>
      </c>
      <c r="AR85" s="39">
        <f t="shared" si="44"/>
        <v>0</v>
      </c>
      <c r="AS85" s="39">
        <f t="shared" si="55"/>
        <v>0</v>
      </c>
      <c r="AT85" s="39">
        <f t="shared" si="48"/>
        <v>0</v>
      </c>
      <c r="AU85" s="39">
        <f t="shared" si="45"/>
        <v>0</v>
      </c>
    </row>
    <row r="86" spans="3:47">
      <c r="C86" s="185" t="s">
        <v>206</v>
      </c>
      <c r="D86" s="182"/>
      <c r="E86" s="181"/>
      <c r="F86" s="180"/>
      <c r="G86" s="180"/>
      <c r="H86" s="180"/>
      <c r="I86" s="178"/>
      <c r="J86" s="178"/>
      <c r="K86" s="178"/>
      <c r="L86" s="184"/>
      <c r="M86" s="178"/>
      <c r="N86" s="183"/>
      <c r="O86" s="182"/>
      <c r="P86" s="181"/>
      <c r="Q86" s="180"/>
      <c r="R86" s="180"/>
      <c r="S86" s="180"/>
      <c r="T86" s="178"/>
      <c r="U86" s="178"/>
      <c r="V86" s="178"/>
      <c r="W86" s="179"/>
      <c r="X86" s="178"/>
      <c r="Y86" s="177"/>
      <c r="Z86" s="159"/>
      <c r="AA86" s="36">
        <f>+'[4]CDIS Table-4'!O83</f>
        <v>0</v>
      </c>
      <c r="AB86" s="39">
        <f t="shared" si="46"/>
        <v>0</v>
      </c>
      <c r="AC86" s="39">
        <f t="shared" si="49"/>
        <v>0</v>
      </c>
      <c r="AD86" s="39">
        <f t="shared" si="47"/>
        <v>0</v>
      </c>
      <c r="AE86" s="39">
        <f t="shared" si="50"/>
        <v>0</v>
      </c>
      <c r="AF86" s="39"/>
      <c r="AG86" s="36">
        <f>+'[4]CDIS Table-4'!U83</f>
        <v>0</v>
      </c>
      <c r="AH86" s="39">
        <f t="shared" si="39"/>
        <v>0</v>
      </c>
      <c r="AI86" s="39">
        <f t="shared" si="51"/>
        <v>0</v>
      </c>
      <c r="AJ86" s="39">
        <f t="shared" si="43"/>
        <v>0</v>
      </c>
      <c r="AK86" s="39">
        <f t="shared" si="54"/>
        <v>0</v>
      </c>
      <c r="AL86" s="39"/>
      <c r="AM86" s="36">
        <f>+'[4]CDIS Table-4'!U83</f>
        <v>0</v>
      </c>
      <c r="AN86" s="39">
        <f t="shared" si="40"/>
        <v>0</v>
      </c>
      <c r="AO86" s="39">
        <f t="shared" si="52"/>
        <v>0</v>
      </c>
      <c r="AP86" s="39">
        <f t="shared" si="41"/>
        <v>0</v>
      </c>
      <c r="AQ86" s="39">
        <f t="shared" si="53"/>
        <v>0</v>
      </c>
      <c r="AR86" s="39">
        <f t="shared" si="44"/>
        <v>0</v>
      </c>
      <c r="AS86" s="39">
        <f t="shared" si="55"/>
        <v>0</v>
      </c>
      <c r="AT86" s="39">
        <f t="shared" si="48"/>
        <v>0</v>
      </c>
      <c r="AU86" s="39">
        <f t="shared" si="45"/>
        <v>0</v>
      </c>
    </row>
    <row r="87" spans="3:47">
      <c r="C87" s="185" t="s">
        <v>207</v>
      </c>
      <c r="D87" s="182"/>
      <c r="E87" s="181"/>
      <c r="F87" s="180"/>
      <c r="G87" s="180"/>
      <c r="H87" s="180"/>
      <c r="I87" s="178"/>
      <c r="J87" s="178"/>
      <c r="K87" s="178"/>
      <c r="L87" s="184"/>
      <c r="M87" s="178"/>
      <c r="N87" s="183"/>
      <c r="O87" s="182"/>
      <c r="P87" s="181"/>
      <c r="Q87" s="180"/>
      <c r="R87" s="180"/>
      <c r="S87" s="180"/>
      <c r="T87" s="178"/>
      <c r="U87" s="178"/>
      <c r="V87" s="178"/>
      <c r="W87" s="179"/>
      <c r="X87" s="178"/>
      <c r="Y87" s="177"/>
      <c r="Z87" s="159"/>
      <c r="AA87" s="36">
        <f>+'[4]CDIS Table-4'!O84</f>
        <v>1.3851704795761202E-3</v>
      </c>
      <c r="AB87" s="39">
        <f t="shared" si="46"/>
        <v>1.3851704795761202E-3</v>
      </c>
      <c r="AC87" s="39">
        <f t="shared" si="49"/>
        <v>2.7580310389910038E-3</v>
      </c>
      <c r="AD87" s="39">
        <f t="shared" si="47"/>
        <v>1.3851704795761202E-3</v>
      </c>
      <c r="AE87" s="39">
        <f t="shared" si="50"/>
        <v>3.5026961605373282E-3</v>
      </c>
      <c r="AF87" s="39"/>
      <c r="AG87" s="36">
        <f>+'[4]CDIS Table-4'!U84</f>
        <v>0</v>
      </c>
      <c r="AH87" s="39">
        <f t="shared" si="39"/>
        <v>0</v>
      </c>
      <c r="AI87" s="39">
        <f t="shared" si="51"/>
        <v>0</v>
      </c>
      <c r="AJ87" s="39">
        <f t="shared" si="43"/>
        <v>0</v>
      </c>
      <c r="AK87" s="39">
        <f t="shared" si="54"/>
        <v>0</v>
      </c>
      <c r="AL87" s="39"/>
      <c r="AM87" s="36">
        <f>+'[4]CDIS Table-4'!U84</f>
        <v>0</v>
      </c>
      <c r="AN87" s="39">
        <f t="shared" si="40"/>
        <v>0</v>
      </c>
      <c r="AO87" s="39">
        <f t="shared" si="52"/>
        <v>0</v>
      </c>
      <c r="AP87" s="39">
        <f t="shared" si="41"/>
        <v>0</v>
      </c>
      <c r="AQ87" s="39">
        <f t="shared" si="53"/>
        <v>0</v>
      </c>
      <c r="AR87" s="39">
        <f t="shared" si="44"/>
        <v>0</v>
      </c>
      <c r="AS87" s="39">
        <f t="shared" si="55"/>
        <v>0</v>
      </c>
      <c r="AT87" s="39">
        <f t="shared" si="48"/>
        <v>0</v>
      </c>
      <c r="AU87" s="39">
        <f t="shared" si="45"/>
        <v>0</v>
      </c>
    </row>
    <row r="88" spans="3:47">
      <c r="C88" s="185" t="s">
        <v>18</v>
      </c>
      <c r="D88" s="182"/>
      <c r="E88" s="181"/>
      <c r="F88" s="180"/>
      <c r="G88" s="180"/>
      <c r="H88" s="180"/>
      <c r="I88" s="178"/>
      <c r="J88" s="178"/>
      <c r="K88" s="178"/>
      <c r="L88" s="184"/>
      <c r="M88" s="178"/>
      <c r="N88" s="183"/>
      <c r="O88" s="182"/>
      <c r="P88" s="181"/>
      <c r="Q88" s="180"/>
      <c r="R88" s="180"/>
      <c r="S88" s="180"/>
      <c r="T88" s="178"/>
      <c r="U88" s="178"/>
      <c r="V88" s="178"/>
      <c r="W88" s="179"/>
      <c r="X88" s="178"/>
      <c r="Y88" s="177"/>
      <c r="Z88" s="159"/>
      <c r="AA88" s="36">
        <f>+'[4]CDIS Table-4'!O85</f>
        <v>0</v>
      </c>
      <c r="AB88" s="39">
        <f t="shared" si="46"/>
        <v>0</v>
      </c>
      <c r="AC88" s="39">
        <f t="shared" si="49"/>
        <v>0</v>
      </c>
      <c r="AD88" s="39">
        <f t="shared" si="47"/>
        <v>0</v>
      </c>
      <c r="AE88" s="39">
        <f t="shared" si="50"/>
        <v>0</v>
      </c>
      <c r="AF88" s="39"/>
      <c r="AG88" s="36">
        <f>+'[4]CDIS Table-4'!U85</f>
        <v>0</v>
      </c>
      <c r="AH88" s="39">
        <f t="shared" si="39"/>
        <v>0</v>
      </c>
      <c r="AI88" s="39">
        <f t="shared" si="51"/>
        <v>0</v>
      </c>
      <c r="AJ88" s="39">
        <f t="shared" si="43"/>
        <v>0</v>
      </c>
      <c r="AK88" s="39">
        <f t="shared" si="54"/>
        <v>0</v>
      </c>
      <c r="AL88" s="39"/>
      <c r="AM88" s="36">
        <f>+'[4]CDIS Table-4'!U85</f>
        <v>0</v>
      </c>
      <c r="AN88" s="39">
        <f t="shared" si="40"/>
        <v>0</v>
      </c>
      <c r="AO88" s="39">
        <f t="shared" si="52"/>
        <v>0</v>
      </c>
      <c r="AP88" s="39">
        <f t="shared" si="41"/>
        <v>0</v>
      </c>
      <c r="AQ88" s="39">
        <f t="shared" si="53"/>
        <v>0</v>
      </c>
      <c r="AR88" s="39">
        <f t="shared" si="44"/>
        <v>0</v>
      </c>
      <c r="AS88" s="39">
        <f t="shared" si="55"/>
        <v>0</v>
      </c>
      <c r="AT88" s="39">
        <f t="shared" si="48"/>
        <v>0</v>
      </c>
      <c r="AU88" s="39">
        <f t="shared" si="45"/>
        <v>0</v>
      </c>
    </row>
    <row r="89" spans="3:47" ht="46.5">
      <c r="C89" s="195" t="s">
        <v>366</v>
      </c>
      <c r="D89" s="192">
        <f t="shared" ref="D89:D98" si="56">+E89+L89</f>
        <v>2925.8087308514005</v>
      </c>
      <c r="E89" s="192">
        <f t="shared" ref="E89:L89" si="57">+SUM(E90:E97)</f>
        <v>1137.2641509433961</v>
      </c>
      <c r="F89" s="161">
        <f t="shared" si="57"/>
        <v>89.504716981132091</v>
      </c>
      <c r="G89" s="161">
        <f t="shared" si="57"/>
        <v>0</v>
      </c>
      <c r="H89" s="161">
        <f t="shared" si="57"/>
        <v>0</v>
      </c>
      <c r="I89" s="161">
        <f t="shared" si="57"/>
        <v>61.320754716981128</v>
      </c>
      <c r="J89" s="161">
        <f t="shared" si="57"/>
        <v>20.636792452830189</v>
      </c>
      <c r="K89" s="161">
        <f t="shared" si="57"/>
        <v>965.80188679245282</v>
      </c>
      <c r="L89" s="192">
        <f t="shared" si="57"/>
        <v>1788.5445799080044</v>
      </c>
      <c r="M89" s="161">
        <f t="shared" ref="M89:Y89" si="58">+SUM(M90:M97)</f>
        <v>254.80057348734687</v>
      </c>
      <c r="N89" s="164">
        <f t="shared" si="58"/>
        <v>1533.7440064206578</v>
      </c>
      <c r="O89" s="192">
        <f t="shared" si="58"/>
        <v>32236.472420158039</v>
      </c>
      <c r="P89" s="192">
        <f t="shared" si="58"/>
        <v>6148.7028301886803</v>
      </c>
      <c r="Q89" s="171">
        <f t="shared" si="58"/>
        <v>838.79716981132083</v>
      </c>
      <c r="R89" s="171">
        <f t="shared" si="58"/>
        <v>9.316037735849056</v>
      </c>
      <c r="S89" s="171">
        <f t="shared" si="58"/>
        <v>1824.4103773584907</v>
      </c>
      <c r="T89" s="171">
        <f t="shared" si="58"/>
        <v>621.4622641509435</v>
      </c>
      <c r="U89" s="171">
        <f t="shared" si="58"/>
        <v>7.665094339622641</v>
      </c>
      <c r="V89" s="171">
        <f t="shared" si="58"/>
        <v>2847.0518867924529</v>
      </c>
      <c r="W89" s="192">
        <f t="shared" si="58"/>
        <v>26087.769589969364</v>
      </c>
      <c r="X89" s="161">
        <f t="shared" si="58"/>
        <v>4046.8998140413169</v>
      </c>
      <c r="Y89" s="160">
        <f t="shared" si="58"/>
        <v>22040.869775928048</v>
      </c>
      <c r="Z89" s="159"/>
      <c r="AA89" s="36"/>
      <c r="AB89" s="39"/>
      <c r="AC89" s="39"/>
      <c r="AD89" s="39"/>
      <c r="AE89" s="39"/>
      <c r="AF89" s="39"/>
      <c r="AG89" s="36"/>
      <c r="AH89" s="39"/>
      <c r="AI89" s="39"/>
      <c r="AJ89" s="39"/>
      <c r="AK89" s="39"/>
      <c r="AL89" s="39"/>
      <c r="AM89" s="36"/>
      <c r="AN89" s="39"/>
      <c r="AO89" s="39"/>
      <c r="AP89" s="39"/>
      <c r="AQ89" s="39"/>
      <c r="AR89" s="39"/>
      <c r="AS89" s="39"/>
      <c r="AT89" s="39"/>
      <c r="AU89" s="39"/>
    </row>
    <row r="90" spans="3:47">
      <c r="C90" s="185" t="s">
        <v>78</v>
      </c>
      <c r="D90" s="196">
        <f t="shared" si="56"/>
        <v>380.34062218183738</v>
      </c>
      <c r="E90" s="196">
        <f t="shared" ref="E90:E98" si="59">SUM(F90:K90)</f>
        <v>224.8820754716981</v>
      </c>
      <c r="F90" s="171">
        <f>HLOOKUP($C90,'[4]Interest shifted to EU'!$L$2:$AT$8,F$2,0)/E$106</f>
        <v>5.8962264150943398</v>
      </c>
      <c r="G90" s="171">
        <f>HLOOKUP($C90,'[4]Interest shifted to EU'!$L$2:$AT$8,G$2,0)/E$106</f>
        <v>0</v>
      </c>
      <c r="H90" s="171">
        <f>HLOOKUP($C90,'[4]Interest shifted to EU'!$L$2:$AT$8,H$2,0)/E$106</f>
        <v>0</v>
      </c>
      <c r="I90" s="171">
        <f>HLOOKUP($C90,'[4]Interest shifted to EU'!$L$2:$AT$8,I$2,0)/E$106</f>
        <v>0</v>
      </c>
      <c r="J90" s="171">
        <f>HLOOKUP($C90,'[4]Interest shifted to EU'!$L$2:$AT$8,J$2,0)/E$106</f>
        <v>0.82547169811320753</v>
      </c>
      <c r="K90" s="171">
        <f>HLOOKUP($C90,'[4]Interest shifted to EU'!$L$2:$AT$8,K$2,0)/E$106</f>
        <v>218.16037735849056</v>
      </c>
      <c r="L90" s="196">
        <f t="shared" ref="L90:L98" si="60">SUM(M90:N90)</f>
        <v>155.4585467101393</v>
      </c>
      <c r="M90" s="178">
        <f>AC90*'[4]Non-EU tax havens'!$K$8</f>
        <v>22.147016798032745</v>
      </c>
      <c r="N90" s="183">
        <f>AC90*'[4]Non-EU tax havens'!$K$13</f>
        <v>133.31152991210655</v>
      </c>
      <c r="O90" s="196">
        <f t="shared" ref="O90:O98" si="61">+P90+W90</f>
        <v>3313.8604037668129</v>
      </c>
      <c r="P90" s="196">
        <f t="shared" ref="P90:P98" si="62">SUM(Q90:V90)</f>
        <v>964.03301886792451</v>
      </c>
      <c r="Q90" s="171">
        <f>HLOOKUP($C90,'[4]Non EU income shifted to EU'!$B$2:$AI$9,Q$2+1,0)/E$106</f>
        <v>87.028301886792448</v>
      </c>
      <c r="R90" s="171">
        <f>HLOOKUP($C90,'[4]Non EU income shifted to EU'!$B$2:$AI$9,R$2+1,0)/E$106</f>
        <v>0</v>
      </c>
      <c r="S90" s="171">
        <f>HLOOKUP($C90,'[4]Non EU income shifted to EU'!$B$2:$AI$9,S$2+1,0)/E$106</f>
        <v>179.48113207547169</v>
      </c>
      <c r="T90" s="171">
        <f>HLOOKUP($C90,'[4]Non EU income shifted to EU'!$B$2:$AI$9,T$2+1,0)/E$106</f>
        <v>100.23584905660378</v>
      </c>
      <c r="U90" s="171">
        <f>HLOOKUP($C90,'[4]Non EU income shifted to EU'!$B$2:$AI$9,U$2+1,0)/E$106</f>
        <v>0.23584905660377362</v>
      </c>
      <c r="V90" s="171">
        <f>HLOOKUP($C90,'[4]Non EU income shifted to EU'!$B$2:$AI$9,V$2+1,0)/E$106</f>
        <v>597.05188679245282</v>
      </c>
      <c r="W90" s="196">
        <f>SUM(X90:Y90)</f>
        <v>2349.8273848988883</v>
      </c>
      <c r="X90" s="178">
        <f>IFERROR(IFERROR(VLOOKUP(C90,'[4]Swiss pivot'!$E$3:$H$54,3,0),VLOOKUP($C90,'[4]Breakdown non-EU havens'!$F$4:$H$31,3,0)/$E$106),AK90*'[4]Non-EU tax havens'!$I$8)</f>
        <v>434.05652736205775</v>
      </c>
      <c r="Y90" s="177">
        <f>AE90*'[4]Non-EU tax havens'!$I$13</f>
        <v>1915.7708575368304</v>
      </c>
      <c r="AA90" s="36">
        <f>+'[4]CDIS Table-4'!O88</f>
        <v>2.2661938775837801E-3</v>
      </c>
      <c r="AB90" s="39">
        <f t="shared" ref="AB90:AB98" si="63">+AA90</f>
        <v>2.2661938775837801E-3</v>
      </c>
      <c r="AC90" s="39">
        <f t="shared" ref="AC90:AC98" si="64">+AB90/$AB$102</f>
        <v>4.5122482372423178E-3</v>
      </c>
      <c r="AD90" s="39">
        <f t="shared" ref="AD90:AD98" si="65">+AB90</f>
        <v>2.2661938775837801E-3</v>
      </c>
      <c r="AE90" s="39">
        <f t="shared" ref="AE90:AE98" si="66">+AD90/$AD$102</f>
        <v>5.730549929475086E-3</v>
      </c>
      <c r="AF90" s="39"/>
      <c r="AG90" s="36">
        <f t="shared" ref="AG90:AG98" si="67">+AA90</f>
        <v>2.2661938775837801E-3</v>
      </c>
      <c r="AH90" s="39">
        <f>+AG90</f>
        <v>2.2661938775837801E-3</v>
      </c>
      <c r="AI90" s="39">
        <f t="shared" ref="AI90:AI98" si="68">+AH90/$AB$102</f>
        <v>4.5122482372423178E-3</v>
      </c>
      <c r="AJ90" s="39">
        <f>+AH90</f>
        <v>2.2661938775837801E-3</v>
      </c>
      <c r="AK90" s="39">
        <f t="shared" ref="AK90:AK98" si="69">+AJ90/$AJ$102</f>
        <v>1.4935848380963667E-2</v>
      </c>
      <c r="AL90" s="39"/>
      <c r="AM90" s="36">
        <f>+'[4]CDIS Table-4'!U88</f>
        <v>0</v>
      </c>
      <c r="AN90" s="39">
        <f t="shared" ref="AN90:AN97" si="70">+AM90</f>
        <v>0</v>
      </c>
      <c r="AO90" s="39">
        <f t="shared" ref="AO90:AO97" si="71">+AN90/$AB$102</f>
        <v>0</v>
      </c>
      <c r="AP90" s="39">
        <f t="shared" ref="AP90:AP97" si="72">+AN90</f>
        <v>0</v>
      </c>
      <c r="AQ90" s="39">
        <f t="shared" ref="AQ90:AQ97" si="73">+AP90/$AD$102</f>
        <v>0</v>
      </c>
      <c r="AR90" s="39">
        <f t="shared" ref="AR90:AR97" si="74">+AF90</f>
        <v>0</v>
      </c>
      <c r="AS90" s="39">
        <f t="shared" ref="AS90:AS97" si="75">+AR90/$AR$102</f>
        <v>0</v>
      </c>
      <c r="AT90" s="39">
        <f t="shared" ref="AT90:AT97" si="76">+AS90</f>
        <v>0</v>
      </c>
      <c r="AU90" s="39">
        <f>+AT90/$AB$102</f>
        <v>0</v>
      </c>
    </row>
    <row r="91" spans="3:47" s="150" customFormat="1">
      <c r="C91" s="185" t="s">
        <v>79</v>
      </c>
      <c r="D91" s="196">
        <f t="shared" si="56"/>
        <v>233.29285571827512</v>
      </c>
      <c r="E91" s="196">
        <f t="shared" si="59"/>
        <v>35.377358490566039</v>
      </c>
      <c r="F91" s="171">
        <f>HLOOKUP($C91,'[4]Interest shifted to EU'!$L$2:$AT$8,F$2,0)/E$106</f>
        <v>24.764150943396228</v>
      </c>
      <c r="G91" s="171">
        <f>HLOOKUP($C91,'[4]Interest shifted to EU'!$L$2:$AT$8,G$2,0)/E$106</f>
        <v>0</v>
      </c>
      <c r="H91" s="171">
        <f>HLOOKUP($C91,'[4]Interest shifted to EU'!$L$2:$AT$8,H$2,0)/E$106</f>
        <v>0</v>
      </c>
      <c r="I91" s="171">
        <f>HLOOKUP($C91,'[4]Interest shifted to EU'!$L$2:$AT$8,I$2,0)/E$106</f>
        <v>0</v>
      </c>
      <c r="J91" s="171">
        <f>HLOOKUP($C91,'[4]Interest shifted to EU'!$L$2:$AT$8,J$2,0)/E$106</f>
        <v>0</v>
      </c>
      <c r="K91" s="171">
        <f>HLOOKUP($C91,'[4]Interest shifted to EU'!$L$2:$AT$8,K$2,0)/E$106</f>
        <v>10.613207547169811</v>
      </c>
      <c r="L91" s="196">
        <f t="shared" si="60"/>
        <v>197.9154972277091</v>
      </c>
      <c r="M91" s="178">
        <f>AC91*'[4]Non-EU tax havens'!$K$8</f>
        <v>28.195541090872641</v>
      </c>
      <c r="N91" s="183">
        <f>AC91*'[4]Non-EU tax havens'!$K$13</f>
        <v>169.71995613683646</v>
      </c>
      <c r="O91" s="196">
        <f t="shared" si="61"/>
        <v>3829.6733285453952</v>
      </c>
      <c r="P91" s="196">
        <f t="shared" si="62"/>
        <v>838.08962264150944</v>
      </c>
      <c r="Q91" s="171">
        <f>HLOOKUP($C91,'[4]Non EU income shifted to EU'!$B$2:$AI$9,Q$2+1,0)/E$106</f>
        <v>287.97169811320754</v>
      </c>
      <c r="R91" s="171">
        <f>HLOOKUP($C91,'[4]Non EU income shifted to EU'!$B$2:$AI$9,R$2+1,0)/E$106</f>
        <v>5.4245283018867925</v>
      </c>
      <c r="S91" s="171">
        <f>HLOOKUP($C91,'[4]Non EU income shifted to EU'!$B$2:$AI$9,S$2+1,0)/E$106</f>
        <v>247.52358490566039</v>
      </c>
      <c r="T91" s="171">
        <f>HLOOKUP($C91,'[4]Non EU income shifted to EU'!$B$2:$AI$9,T$2+1,0)/E$106</f>
        <v>79.009433962264154</v>
      </c>
      <c r="U91" s="171">
        <f>HLOOKUP($C91,'[4]Non EU income shifted to EU'!$B$2:$AI$9,U$2+1,0)/E$106</f>
        <v>4.4811320754716979</v>
      </c>
      <c r="V91" s="171">
        <f>HLOOKUP($C91,'[4]Non EU income shifted to EU'!$B$2:$AI$9,V$2+1,0)/E$106</f>
        <v>213.67924528301887</v>
      </c>
      <c r="W91" s="196">
        <f>SUM(X91:Y91)</f>
        <v>2991.5837059038859</v>
      </c>
      <c r="X91" s="178">
        <f>IFERROR(IFERROR(VLOOKUP(C91,'[4]Swiss pivot'!$E$3:$H$54,3,0),VLOOKUP($C91,'[4]Breakdown non-EU havens'!$F$4:$H$31,3,0)/$E$106),AK91*'[4]Non-EU tax havens'!$I$8)</f>
        <v>552.60077529202454</v>
      </c>
      <c r="Y91" s="177">
        <f>AE91*'[4]Non-EU tax havens'!$I$13</f>
        <v>2438.9829306118613</v>
      </c>
      <c r="AA91" s="36">
        <f>+'[4]CDIS Table-4'!O89</f>
        <v>2.8851092306469567E-3</v>
      </c>
      <c r="AB91" s="39">
        <f t="shared" si="63"/>
        <v>2.8851092306469567E-3</v>
      </c>
      <c r="AC91" s="39">
        <f t="shared" si="64"/>
        <v>5.744578682790563E-3</v>
      </c>
      <c r="AD91" s="39">
        <f t="shared" si="65"/>
        <v>2.8851092306469567E-3</v>
      </c>
      <c r="AE91" s="39">
        <f t="shared" si="66"/>
        <v>7.2956081391586988E-3</v>
      </c>
      <c r="AF91" s="39"/>
      <c r="AG91" s="36">
        <f t="shared" si="67"/>
        <v>2.8851092306469567E-3</v>
      </c>
      <c r="AH91" s="39">
        <f>+AG91</f>
        <v>2.8851092306469567E-3</v>
      </c>
      <c r="AI91" s="39">
        <f t="shared" si="68"/>
        <v>5.744578682790563E-3</v>
      </c>
      <c r="AJ91" s="39">
        <f>+AH91</f>
        <v>2.8851092306469567E-3</v>
      </c>
      <c r="AK91" s="39">
        <f t="shared" si="69"/>
        <v>1.9014945922193546E-2</v>
      </c>
      <c r="AL91" s="39"/>
      <c r="AM91" s="36">
        <f>+'[4]CDIS Table-4'!U89</f>
        <v>0</v>
      </c>
      <c r="AN91" s="39">
        <f t="shared" si="70"/>
        <v>0</v>
      </c>
      <c r="AO91" s="39">
        <f t="shared" si="71"/>
        <v>0</v>
      </c>
      <c r="AP91" s="39">
        <f t="shared" si="72"/>
        <v>0</v>
      </c>
      <c r="AQ91" s="39">
        <f t="shared" si="73"/>
        <v>0</v>
      </c>
      <c r="AR91" s="39">
        <f t="shared" si="74"/>
        <v>0</v>
      </c>
      <c r="AS91" s="39">
        <f t="shared" si="75"/>
        <v>0</v>
      </c>
      <c r="AT91" s="39">
        <f t="shared" si="76"/>
        <v>0</v>
      </c>
      <c r="AU91" s="39">
        <f>+AT91/$AB$102</f>
        <v>0</v>
      </c>
    </row>
    <row r="92" spans="3:47" s="150" customFormat="1">
      <c r="C92" s="185" t="s">
        <v>80</v>
      </c>
      <c r="D92" s="196">
        <f t="shared" si="56"/>
        <v>687.49359519241489</v>
      </c>
      <c r="E92" s="196">
        <f t="shared" si="59"/>
        <v>239.74056603773587</v>
      </c>
      <c r="F92" s="171">
        <f>HLOOKUP($C92,'[4]Interest shifted to EU'!$L$2:$AT$8,F$2,0)/E$106</f>
        <v>3.1839622641509435</v>
      </c>
      <c r="G92" s="171">
        <f>HLOOKUP($C92,'[4]Interest shifted to EU'!$L$2:$AT$8,G$2,0)/E$106</f>
        <v>0</v>
      </c>
      <c r="H92" s="171">
        <f>HLOOKUP($C92,'[4]Interest shifted to EU'!$L$2:$AT$8,H$2,0)/E$106</f>
        <v>0</v>
      </c>
      <c r="I92" s="171">
        <f>HLOOKUP($C92,'[4]Interest shifted to EU'!$L$2:$AT$8,I$2,0)/E$106</f>
        <v>0</v>
      </c>
      <c r="J92" s="171">
        <f>HLOOKUP($C92,'[4]Interest shifted to EU'!$L$2:$AT$8,J$2,0)/E$106</f>
        <v>6.6037735849056602</v>
      </c>
      <c r="K92" s="171">
        <f>HLOOKUP($C92,'[4]Interest shifted to EU'!$L$2:$AT$8,K$2,0)/E$106</f>
        <v>229.95283018867926</v>
      </c>
      <c r="L92" s="196">
        <f t="shared" si="60"/>
        <v>447.75302915467904</v>
      </c>
      <c r="M92" s="178">
        <f>AC92*'[4]Non-EU tax havens'!$K$8</f>
        <v>63.788026248234281</v>
      </c>
      <c r="N92" s="183">
        <f>AC92*'[4]Non-EU tax havens'!$K$13</f>
        <v>383.96500290644474</v>
      </c>
      <c r="O92" s="196">
        <f t="shared" si="61"/>
        <v>8094.5258493995907</v>
      </c>
      <c r="P92" s="196">
        <f t="shared" si="62"/>
        <v>1326.5330188679245</v>
      </c>
      <c r="Q92" s="171">
        <f>HLOOKUP($C92,'[4]Non EU income shifted to EU'!$B$2:$AI$9,Q$2+1,0)/E$106</f>
        <v>50.70754716981132</v>
      </c>
      <c r="R92" s="171">
        <f>HLOOKUP($C92,'[4]Non EU income shifted to EU'!$B$2:$AI$9,R$2+1,0)/E$106</f>
        <v>1.2971698113207548</v>
      </c>
      <c r="S92" s="171">
        <f>HLOOKUP($C92,'[4]Non EU income shifted to EU'!$B$2:$AI$9,S$2+1,0)/E$106</f>
        <v>531.83962264150944</v>
      </c>
      <c r="T92" s="171">
        <f>HLOOKUP($C92,'[4]Non EU income shifted to EU'!$B$2:$AI$9,T$2+1,0)/E$106</f>
        <v>69.575471698113205</v>
      </c>
      <c r="U92" s="171">
        <f>HLOOKUP($C92,'[4]Non EU income shifted to EU'!$B$2:$AI$9,U$2+1,0)/E$106</f>
        <v>1.0613207547169812</v>
      </c>
      <c r="V92" s="171">
        <f>HLOOKUP($C92,'[4]Non EU income shifted to EU'!$B$2:$AI$9,V$2+1,0)/E$106</f>
        <v>672.05188679245282</v>
      </c>
      <c r="W92" s="196">
        <f t="shared" ref="W92:W97" si="77">SUM(X92:Y92)</f>
        <v>6767.9928305316662</v>
      </c>
      <c r="X92" s="178">
        <f>IFERROR(IFERROR(VLOOKUP(C92,'[4]Swiss pivot'!$E$3:$H$54,3,0),VLOOKUP($C92,'[4]Breakdown non-EU havens'!$F$4:$H$31,3,0)/$E$106),AK92*'[4]Non-EU tax havens'!$I$8)</f>
        <v>1250.1733038396292</v>
      </c>
      <c r="Y92" s="177">
        <f>AE92*'[4]Non-EU tax havens'!$I$13</f>
        <v>5517.8195266920375</v>
      </c>
      <c r="AA92" s="36">
        <f>+'[4]CDIS Table-4'!O90</f>
        <v>6.5271108910588127E-3</v>
      </c>
      <c r="AB92" s="39">
        <f t="shared" si="63"/>
        <v>6.5271108910588127E-3</v>
      </c>
      <c r="AC92" s="39">
        <f t="shared" si="64"/>
        <v>1.2996215771206203E-2</v>
      </c>
      <c r="AD92" s="39">
        <f t="shared" si="65"/>
        <v>6.5271108910588127E-3</v>
      </c>
      <c r="AE92" s="39">
        <f t="shared" si="66"/>
        <v>1.6505178672670887E-2</v>
      </c>
      <c r="AF92" s="39"/>
      <c r="AG92" s="36">
        <f t="shared" si="67"/>
        <v>6.5271108910588127E-3</v>
      </c>
      <c r="AH92" s="39">
        <f t="shared" ref="AH92:AH97" si="78">+AG92</f>
        <v>6.5271108910588127E-3</v>
      </c>
      <c r="AI92" s="39">
        <f t="shared" si="68"/>
        <v>1.2996215771206203E-2</v>
      </c>
      <c r="AJ92" s="39">
        <f t="shared" ref="AJ92:AJ97" si="79">+AH92</f>
        <v>6.5271108910588127E-3</v>
      </c>
      <c r="AK92" s="39">
        <f t="shared" si="69"/>
        <v>4.3018357607837551E-2</v>
      </c>
      <c r="AL92" s="39"/>
      <c r="AM92" s="36">
        <f>+'[4]CDIS Table-4'!U90</f>
        <v>0</v>
      </c>
      <c r="AN92" s="39">
        <f t="shared" si="70"/>
        <v>0</v>
      </c>
      <c r="AO92" s="39">
        <f t="shared" si="71"/>
        <v>0</v>
      </c>
      <c r="AP92" s="39">
        <f t="shared" si="72"/>
        <v>0</v>
      </c>
      <c r="AQ92" s="39">
        <f t="shared" si="73"/>
        <v>0</v>
      </c>
      <c r="AR92" s="39">
        <f t="shared" si="74"/>
        <v>0</v>
      </c>
      <c r="AS92" s="39">
        <f t="shared" si="75"/>
        <v>0</v>
      </c>
      <c r="AT92" s="39">
        <f t="shared" si="76"/>
        <v>0</v>
      </c>
      <c r="AU92" s="39">
        <f t="shared" ref="AU92:AU97" si="80">+AT92/$AB$102</f>
        <v>0</v>
      </c>
    </row>
    <row r="93" spans="3:47" s="150" customFormat="1">
      <c r="C93" s="185" t="s">
        <v>81</v>
      </c>
      <c r="D93" s="196">
        <f t="shared" si="56"/>
        <v>406.43551965752141</v>
      </c>
      <c r="E93" s="196">
        <f t="shared" si="59"/>
        <v>122.87735849056604</v>
      </c>
      <c r="F93" s="171">
        <f>HLOOKUP($C93,'[4]Interest shifted to EU'!$L$2:$AT$8,F$2,0)/E$106</f>
        <v>10.849056603773585</v>
      </c>
      <c r="G93" s="171">
        <f>HLOOKUP($C93,'[4]Interest shifted to EU'!$L$2:$AT$8,G$2,0)/E$106</f>
        <v>0</v>
      </c>
      <c r="H93" s="171">
        <f>HLOOKUP($C93,'[4]Interest shifted to EU'!$L$2:$AT$8,H$2,0)/E$106</f>
        <v>0</v>
      </c>
      <c r="I93" s="171">
        <f>HLOOKUP($C93,'[4]Interest shifted to EU'!$L$2:$AT$8,I$2,0)/E$106</f>
        <v>41.037735849056602</v>
      </c>
      <c r="J93" s="171">
        <f>HLOOKUP($C93,'[4]Interest shifted to EU'!$L$2:$AT$8,J$2,0)/E$106</f>
        <v>2.5943396226415096</v>
      </c>
      <c r="K93" s="171">
        <f>HLOOKUP($C93,'[4]Interest shifted to EU'!$L$2:$AT$8,K$2,0)/E$106</f>
        <v>68.396226415094347</v>
      </c>
      <c r="L93" s="196">
        <f t="shared" si="60"/>
        <v>283.55816116695536</v>
      </c>
      <c r="M93" s="178">
        <f>AC93*'[4]Non-EU tax havens'!$K$8</f>
        <v>40.396411078595563</v>
      </c>
      <c r="N93" s="183">
        <f>AC93*'[4]Non-EU tax havens'!$K$13</f>
        <v>243.16175008835978</v>
      </c>
      <c r="O93" s="196">
        <f t="shared" si="61"/>
        <v>4934.8830416888886</v>
      </c>
      <c r="P93" s="196">
        <f t="shared" si="62"/>
        <v>1115.4481132075471</v>
      </c>
      <c r="Q93" s="171">
        <f>HLOOKUP($C93,'[4]Non EU income shifted to EU'!$B$2:$AI$9,Q$2+1,0)/E$106</f>
        <v>275.94339622641508</v>
      </c>
      <c r="R93" s="171">
        <f>HLOOKUP($C93,'[4]Non EU income shifted to EU'!$B$2:$AI$9,R$2+1,0)/E$106</f>
        <v>0</v>
      </c>
      <c r="S93" s="171">
        <f>HLOOKUP($C93,'[4]Non EU income shifted to EU'!$B$2:$AI$9,S$2+1,0)/E$106</f>
        <v>346.22641509433964</v>
      </c>
      <c r="T93" s="171">
        <f>HLOOKUP($C93,'[4]Non EU income shifted to EU'!$B$2:$AI$9,T$2+1,0)/E$106</f>
        <v>102.59433962264151</v>
      </c>
      <c r="U93" s="171">
        <f>HLOOKUP($C93,'[4]Non EU income shifted to EU'!$B$2:$AI$9,U$2+1,0)/E$106</f>
        <v>1.5330188679245285</v>
      </c>
      <c r="V93" s="171">
        <f>HLOOKUP($C93,'[4]Non EU income shifted to EU'!$B$2:$AI$9,V$2+1,0)/E$106</f>
        <v>389.15094339622641</v>
      </c>
      <c r="W93" s="196">
        <f t="shared" si="77"/>
        <v>3819.4349284813411</v>
      </c>
      <c r="X93" s="178">
        <f>IFERROR(IFERROR(VLOOKUP(C93,'[4]Swiss pivot'!$E$3:$H$54,3,0),VLOOKUP($C93,'[4]Breakdown non-EU havens'!$F$4:$H$31,3,0)/$E$106),AK93*'[4]Non-EU tax havens'!$I$8)</f>
        <v>325.04704774763979</v>
      </c>
      <c r="Y93" s="177">
        <f>AE93*'[4]Non-EU tax havens'!$I$13</f>
        <v>3494.3878807337014</v>
      </c>
      <c r="AA93" s="36">
        <f>+'[4]CDIS Table-4'!O91</f>
        <v>4.1335634635362092E-3</v>
      </c>
      <c r="AB93" s="39">
        <f t="shared" si="63"/>
        <v>4.1335634635362092E-3</v>
      </c>
      <c r="AC93" s="39">
        <f t="shared" si="64"/>
        <v>8.2303922168199262E-3</v>
      </c>
      <c r="AD93" s="39">
        <f t="shared" si="65"/>
        <v>4.1335634635362092E-3</v>
      </c>
      <c r="AE93" s="39">
        <f t="shared" si="66"/>
        <v>1.0452588390056004E-2</v>
      </c>
      <c r="AF93" s="39"/>
      <c r="AG93" s="36">
        <f t="shared" si="67"/>
        <v>4.1335634635362092E-3</v>
      </c>
      <c r="AH93" s="39">
        <f t="shared" si="78"/>
        <v>4.1335634635362092E-3</v>
      </c>
      <c r="AI93" s="39">
        <f t="shared" si="68"/>
        <v>8.2303922168199262E-3</v>
      </c>
      <c r="AJ93" s="39">
        <f t="shared" si="79"/>
        <v>4.1335634635362092E-3</v>
      </c>
      <c r="AK93" s="39">
        <f t="shared" si="69"/>
        <v>2.724315769059147E-2</v>
      </c>
      <c r="AL93" s="39"/>
      <c r="AM93" s="36">
        <f>+'[4]CDIS Table-4'!U91</f>
        <v>0</v>
      </c>
      <c r="AN93" s="39">
        <f t="shared" si="70"/>
        <v>0</v>
      </c>
      <c r="AO93" s="39">
        <f t="shared" si="71"/>
        <v>0</v>
      </c>
      <c r="AP93" s="39">
        <f t="shared" si="72"/>
        <v>0</v>
      </c>
      <c r="AQ93" s="39">
        <f t="shared" si="73"/>
        <v>0</v>
      </c>
      <c r="AR93" s="39">
        <f t="shared" si="74"/>
        <v>0</v>
      </c>
      <c r="AS93" s="39">
        <f t="shared" si="75"/>
        <v>0</v>
      </c>
      <c r="AT93" s="39">
        <f t="shared" si="76"/>
        <v>0</v>
      </c>
      <c r="AU93" s="39">
        <f t="shared" si="80"/>
        <v>0</v>
      </c>
    </row>
    <row r="94" spans="3:47" s="150" customFormat="1">
      <c r="C94" s="185" t="s">
        <v>82</v>
      </c>
      <c r="D94" s="196">
        <f t="shared" si="56"/>
        <v>392.51341661242486</v>
      </c>
      <c r="E94" s="196">
        <f t="shared" si="59"/>
        <v>220.51886792452831</v>
      </c>
      <c r="F94" s="171">
        <f>HLOOKUP($C94,'[4]Interest shifted to EU'!$L$2:$AT$8,F$2,0)/E$106</f>
        <v>31.839622641509436</v>
      </c>
      <c r="G94" s="171">
        <f>HLOOKUP($C94,'[4]Interest shifted to EU'!$L$2:$AT$8,G$2,0)/E$106</f>
        <v>0</v>
      </c>
      <c r="H94" s="171">
        <f>HLOOKUP($C94,'[4]Interest shifted to EU'!$L$2:$AT$8,H$2,0)/E$106</f>
        <v>0</v>
      </c>
      <c r="I94" s="171">
        <f>HLOOKUP($C94,'[4]Interest shifted to EU'!$L$2:$AT$8,I$2,0)/E$106</f>
        <v>0</v>
      </c>
      <c r="J94" s="171">
        <f>HLOOKUP($C94,'[4]Interest shifted to EU'!$L$2:$AT$8,J$2,0)/E$106</f>
        <v>0</v>
      </c>
      <c r="K94" s="171">
        <f>HLOOKUP($C94,'[4]Interest shifted to EU'!$L$2:$AT$8,K$2,0)/E$106</f>
        <v>188.67924528301887</v>
      </c>
      <c r="L94" s="196">
        <f t="shared" si="60"/>
        <v>171.99454868789653</v>
      </c>
      <c r="M94" s="178">
        <f>AC94*'[4]Non-EU tax havens'!$K$8</f>
        <v>24.502777361371436</v>
      </c>
      <c r="N94" s="183">
        <f>AC94*'[4]Non-EU tax havens'!$K$13</f>
        <v>147.49177132652508</v>
      </c>
      <c r="O94" s="196">
        <f t="shared" si="61"/>
        <v>2796.2008234413929</v>
      </c>
      <c r="P94" s="196">
        <f t="shared" si="62"/>
        <v>676.65094339622647</v>
      </c>
      <c r="Q94" s="171">
        <f>HLOOKUP($C94,'[4]Non EU income shifted to EU'!$B$2:$AI$9,Q$2+1,0)/E$106</f>
        <v>61.79245283018868</v>
      </c>
      <c r="R94" s="171">
        <f>HLOOKUP($C94,'[4]Non EU income shifted to EU'!$B$2:$AI$9,R$2+1,0)/E$106</f>
        <v>1.179245283018868</v>
      </c>
      <c r="S94" s="171">
        <f>HLOOKUP($C94,'[4]Non EU income shifted to EU'!$B$2:$AI$9,S$2+1,0)/E$106</f>
        <v>142.68867924528303</v>
      </c>
      <c r="T94" s="171">
        <f>HLOOKUP($C94,'[4]Non EU income shifted to EU'!$B$2:$AI$9,T$2+1,0)/E$106</f>
        <v>81.367924528301884</v>
      </c>
      <c r="U94" s="171">
        <f>HLOOKUP($C94,'[4]Non EU income shifted to EU'!$B$2:$AI$9,U$2+1,0)/E$106</f>
        <v>0.35377358490566035</v>
      </c>
      <c r="V94" s="171">
        <f>HLOOKUP($C94,'[4]Non EU income shifted to EU'!$B$2:$AI$9,V$2+1,0)/E$106</f>
        <v>389.26886792452837</v>
      </c>
      <c r="W94" s="196">
        <f t="shared" si="77"/>
        <v>2119.5498800451664</v>
      </c>
      <c r="X94" s="178">
        <f>IFERROR(IFERROR(VLOOKUP(C94,'[4]Swiss pivot'!$E$3:$H$54,3,0),VLOOKUP($C94,'[4]Breakdown non-EU havens'!$F$4:$H$31,3,0)/$E$106),AK94*'[4]Non-EU tax havens'!$I$8)</f>
        <v>0</v>
      </c>
      <c r="Y94" s="177">
        <f>AE94*'[4]Non-EU tax havens'!$I$13</f>
        <v>2119.5498800451664</v>
      </c>
      <c r="AA94" s="36">
        <f>+'[4]CDIS Table-4'!O93</f>
        <v>2.5072471180439433E-3</v>
      </c>
      <c r="AB94" s="39">
        <f t="shared" si="63"/>
        <v>2.5072471180439433E-3</v>
      </c>
      <c r="AC94" s="39">
        <f t="shared" si="64"/>
        <v>4.9922124936578457E-3</v>
      </c>
      <c r="AD94" s="39">
        <f t="shared" si="65"/>
        <v>2.5072471180439433E-3</v>
      </c>
      <c r="AE94" s="39">
        <f t="shared" si="66"/>
        <v>6.34010396798107E-3</v>
      </c>
      <c r="AF94" s="39"/>
      <c r="AG94" s="36">
        <f t="shared" si="67"/>
        <v>2.5072471180439433E-3</v>
      </c>
      <c r="AH94" s="39">
        <f t="shared" si="78"/>
        <v>2.5072471180439433E-3</v>
      </c>
      <c r="AI94" s="39">
        <f t="shared" si="68"/>
        <v>4.9922124936578457E-3</v>
      </c>
      <c r="AJ94" s="39"/>
      <c r="AK94" s="39">
        <f t="shared" si="69"/>
        <v>0</v>
      </c>
      <c r="AL94" s="39"/>
      <c r="AM94" s="36">
        <f>+'[4]CDIS Table-4'!U93</f>
        <v>0</v>
      </c>
      <c r="AN94" s="39">
        <f t="shared" si="70"/>
        <v>0</v>
      </c>
      <c r="AO94" s="39">
        <f t="shared" si="71"/>
        <v>0</v>
      </c>
      <c r="AP94" s="39">
        <f t="shared" si="72"/>
        <v>0</v>
      </c>
      <c r="AQ94" s="39">
        <f t="shared" si="73"/>
        <v>0</v>
      </c>
      <c r="AR94" s="39">
        <f t="shared" si="74"/>
        <v>0</v>
      </c>
      <c r="AS94" s="39">
        <f t="shared" si="75"/>
        <v>0</v>
      </c>
      <c r="AT94" s="39">
        <f t="shared" si="76"/>
        <v>0</v>
      </c>
      <c r="AU94" s="39">
        <f t="shared" si="80"/>
        <v>0</v>
      </c>
    </row>
    <row r="95" spans="3:47" s="150" customFormat="1">
      <c r="C95" s="185" t="s">
        <v>83</v>
      </c>
      <c r="D95" s="196">
        <f t="shared" si="56"/>
        <v>505.13260179321446</v>
      </c>
      <c r="E95" s="196">
        <f t="shared" si="59"/>
        <v>73.584905660377359</v>
      </c>
      <c r="F95" s="171">
        <f>HLOOKUP($C95,'[4]Interest shifted to EU'!$L$2:$AT$8,F$2,0)/E$106</f>
        <v>10.377358490566039</v>
      </c>
      <c r="G95" s="171">
        <f>HLOOKUP($C95,'[4]Interest shifted to EU'!$L$2:$AT$8,G$2,0)/E$106</f>
        <v>0</v>
      </c>
      <c r="H95" s="171">
        <f>HLOOKUP($C95,'[4]Interest shifted to EU'!$L$2:$AT$8,H$2,0)/E$106</f>
        <v>0</v>
      </c>
      <c r="I95" s="171">
        <f>HLOOKUP($C95,'[4]Interest shifted to EU'!$L$2:$AT$8,I$2,0)/E$106</f>
        <v>9.1981132075471699</v>
      </c>
      <c r="J95" s="171">
        <f>HLOOKUP($C95,'[4]Interest shifted to EU'!$L$2:$AT$8,J$2,0)/E$106</f>
        <v>8.0188679245283012</v>
      </c>
      <c r="K95" s="171">
        <f>HLOOKUP($C95,'[4]Interest shifted to EU'!$L$2:$AT$8,K$2,0)/E$106</f>
        <v>45.990566037735853</v>
      </c>
      <c r="L95" s="196">
        <f t="shared" si="60"/>
        <v>431.54769613283707</v>
      </c>
      <c r="M95" s="178">
        <f>AC95*'[4]Non-EU tax havens'!$K$8</f>
        <v>61.479373618658144</v>
      </c>
      <c r="N95" s="183">
        <f>AC95*'[4]Non-EU tax havens'!$K$13</f>
        <v>370.06832251417893</v>
      </c>
      <c r="O95" s="196">
        <f t="shared" si="61"/>
        <v>7490.8483774352026</v>
      </c>
      <c r="P95" s="196">
        <f t="shared" si="62"/>
        <v>967.80660377358492</v>
      </c>
      <c r="Q95" s="171">
        <f>HLOOKUP($C95,'[4]Non EU income shifted to EU'!$B$2:$AI$9,Q$2+1,0)/E$106</f>
        <v>57.783018867924532</v>
      </c>
      <c r="R95" s="171">
        <f>HLOOKUP($C95,'[4]Non EU income shifted to EU'!$B$2:$AI$9,R$2+1,0)/E$106</f>
        <v>1.4150943396226414</v>
      </c>
      <c r="S95" s="171">
        <f>HLOOKUP($C95,'[4]Non EU income shifted to EU'!$B$2:$AI$9,S$2+1,0)/E$106</f>
        <v>354.95283018867923</v>
      </c>
      <c r="T95" s="171">
        <f>HLOOKUP($C95,'[4]Non EU income shifted to EU'!$B$2:$AI$9,T$2+1,0)/E$106</f>
        <v>110.84905660377359</v>
      </c>
      <c r="U95" s="171">
        <f>HLOOKUP($C95,'[4]Non EU income shifted to EU'!$B$2:$AI$9,U$2+1,0)/E$106</f>
        <v>0</v>
      </c>
      <c r="V95" s="171">
        <f>HLOOKUP($C95,'[4]Non EU income shifted to EU'!$B$2:$AI$9,V$2+1,0)/E$106</f>
        <v>442.80660377358492</v>
      </c>
      <c r="W95" s="196">
        <f t="shared" si="77"/>
        <v>6523.0417736616173</v>
      </c>
      <c r="X95" s="178">
        <f>IFERROR(IFERROR(VLOOKUP(C95,'[4]Swiss pivot'!$E$3:$H$54,3,0),VLOOKUP($C95,'[4]Breakdown non-EU havens'!$F$4:$H$31,3,0)/$E$106),AK95*'[4]Non-EU tax havens'!$I$8)</f>
        <v>1204.9263185495781</v>
      </c>
      <c r="Y95" s="177">
        <f>AE95*'[4]Non-EU tax havens'!$I$13</f>
        <v>5318.1154551120389</v>
      </c>
      <c r="AA95" s="36">
        <f>+'[4]CDIS Table-4'!O94</f>
        <v>6.2908779707371073E-3</v>
      </c>
      <c r="AB95" s="39">
        <f t="shared" si="63"/>
        <v>6.2908779707371073E-3</v>
      </c>
      <c r="AC95" s="39">
        <f t="shared" si="64"/>
        <v>1.2525849317195336E-2</v>
      </c>
      <c r="AD95" s="39">
        <f t="shared" si="65"/>
        <v>6.2908779707371073E-3</v>
      </c>
      <c r="AE95" s="39">
        <f t="shared" si="66"/>
        <v>1.5907813831877737E-2</v>
      </c>
      <c r="AF95" s="39"/>
      <c r="AG95" s="36">
        <f t="shared" si="67"/>
        <v>6.2908779707371073E-3</v>
      </c>
      <c r="AH95" s="39">
        <f t="shared" si="78"/>
        <v>6.2908779707371073E-3</v>
      </c>
      <c r="AI95" s="39">
        <f t="shared" si="68"/>
        <v>1.2525849317195336E-2</v>
      </c>
      <c r="AJ95" s="39">
        <f t="shared" si="79"/>
        <v>6.2908779707371073E-3</v>
      </c>
      <c r="AK95" s="39">
        <f t="shared" si="69"/>
        <v>4.1461412672358693E-2</v>
      </c>
      <c r="AL95" s="39"/>
      <c r="AM95" s="36">
        <f>+'[4]CDIS Table-4'!U94</f>
        <v>0</v>
      </c>
      <c r="AN95" s="39">
        <f t="shared" si="70"/>
        <v>0</v>
      </c>
      <c r="AO95" s="39">
        <f t="shared" si="71"/>
        <v>0</v>
      </c>
      <c r="AP95" s="39">
        <f t="shared" si="72"/>
        <v>0</v>
      </c>
      <c r="AQ95" s="39">
        <f t="shared" si="73"/>
        <v>0</v>
      </c>
      <c r="AR95" s="39">
        <f t="shared" si="74"/>
        <v>0</v>
      </c>
      <c r="AS95" s="39">
        <f t="shared" si="75"/>
        <v>0</v>
      </c>
      <c r="AT95" s="39">
        <f t="shared" si="76"/>
        <v>0</v>
      </c>
      <c r="AU95" s="39">
        <f t="shared" si="80"/>
        <v>0</v>
      </c>
    </row>
    <row r="96" spans="3:47" s="150" customFormat="1">
      <c r="C96" s="185" t="s">
        <v>84</v>
      </c>
      <c r="D96" s="196">
        <f t="shared" si="56"/>
        <v>219.08398908690532</v>
      </c>
      <c r="E96" s="196">
        <f t="shared" si="59"/>
        <v>160.25943396226415</v>
      </c>
      <c r="F96" s="171">
        <f>HLOOKUP($C96,'[4]Interest shifted to EU'!$L$2:$AT$8,F$2,0)/E$106</f>
        <v>1.0613207547169812</v>
      </c>
      <c r="G96" s="171">
        <f>HLOOKUP($C96,'[4]Interest shifted to EU'!$L$2:$AT$8,G$2,0)/E$106</f>
        <v>0</v>
      </c>
      <c r="H96" s="171">
        <f>HLOOKUP($C96,'[4]Interest shifted to EU'!$L$2:$AT$8,H$2,0)/E$106</f>
        <v>0</v>
      </c>
      <c r="I96" s="171">
        <f>HLOOKUP($C96,'[4]Interest shifted to EU'!$L$2:$AT$8,I$2,0)/E$106</f>
        <v>4.4811320754716979</v>
      </c>
      <c r="J96" s="171">
        <f>HLOOKUP($C96,'[4]Interest shifted to EU'!$L$2:$AT$8,J$2,0)/E$106</f>
        <v>2.5943396226415096</v>
      </c>
      <c r="K96" s="171">
        <f>HLOOKUP($C96,'[4]Interest shifted to EU'!$L$2:$AT$8,K$2,0)/E$106</f>
        <v>152.12264150943398</v>
      </c>
      <c r="L96" s="196">
        <f t="shared" si="60"/>
        <v>58.824555124641158</v>
      </c>
      <c r="M96" s="178">
        <f>AC96*'[4]Non-EU tax havens'!$K$8</f>
        <v>8.3802945418713382</v>
      </c>
      <c r="N96" s="183">
        <f>AC96*'[4]Non-EU tax havens'!$K$13</f>
        <v>50.444260582769822</v>
      </c>
      <c r="O96" s="196">
        <f t="shared" si="61"/>
        <v>1058.381885581759</v>
      </c>
      <c r="P96" s="196">
        <f t="shared" si="62"/>
        <v>169.22169811320754</v>
      </c>
      <c r="Q96" s="171">
        <f>HLOOKUP($C96,'[4]Non EU income shifted to EU'!$B$2:$AI$9,Q$2+1,0)/E$106</f>
        <v>11.79245283018868</v>
      </c>
      <c r="R96" s="171">
        <f>HLOOKUP($C96,'[4]Non EU income shifted to EU'!$B$2:$AI$9,R$2+1,0)/E$106</f>
        <v>0</v>
      </c>
      <c r="S96" s="171">
        <f>HLOOKUP($C96,'[4]Non EU income shifted to EU'!$B$2:$AI$9,S$2+1,0)/E$106</f>
        <v>0.11792452830188681</v>
      </c>
      <c r="T96" s="171">
        <f>HLOOKUP($C96,'[4]Non EU income shifted to EU'!$B$2:$AI$9,T$2+1,0)/E$106</f>
        <v>63.679245283018872</v>
      </c>
      <c r="U96" s="171">
        <f>HLOOKUP($C96,'[4]Non EU income shifted to EU'!$B$2:$AI$9,U$2+1,0)/E$106</f>
        <v>0</v>
      </c>
      <c r="V96" s="171">
        <f>HLOOKUP($C96,'[4]Non EU income shifted to EU'!$B$2:$AI$9,V$2+1,0)/E$106</f>
        <v>93.632075471698116</v>
      </c>
      <c r="W96" s="196">
        <f t="shared" si="77"/>
        <v>889.16018746855138</v>
      </c>
      <c r="X96" s="178">
        <f>IFERROR(IFERROR(VLOOKUP(C96,'[4]Swiss pivot'!$E$3:$H$54,3,0),VLOOKUP($C96,'[4]Breakdown non-EU havens'!$F$4:$H$31,3,0)/$E$106),AK96*'[4]Non-EU tax havens'!$I$8)</f>
        <v>164.24431246374417</v>
      </c>
      <c r="Y96" s="177">
        <f>AE96*'[4]Non-EU tax havens'!$I$13</f>
        <v>724.91587500480728</v>
      </c>
      <c r="AA96" s="36">
        <f>+'[4]CDIS Table-4'!O96</f>
        <v>8.5751378419618787E-4</v>
      </c>
      <c r="AB96" s="39">
        <f t="shared" si="63"/>
        <v>8.5751378419618787E-4</v>
      </c>
      <c r="AC96" s="39">
        <f t="shared" si="64"/>
        <v>1.7074068990406543E-3</v>
      </c>
      <c r="AD96" s="39">
        <f t="shared" si="65"/>
        <v>8.5751378419618787E-4</v>
      </c>
      <c r="AE96" s="39">
        <f t="shared" si="66"/>
        <v>2.1684047442528265E-3</v>
      </c>
      <c r="AF96" s="39"/>
      <c r="AG96" s="36">
        <f t="shared" si="67"/>
        <v>8.5751378419618787E-4</v>
      </c>
      <c r="AH96" s="39">
        <f t="shared" si="78"/>
        <v>8.5751378419618787E-4</v>
      </c>
      <c r="AI96" s="39">
        <f t="shared" si="68"/>
        <v>1.7074068990406543E-3</v>
      </c>
      <c r="AJ96" s="39">
        <f t="shared" si="79"/>
        <v>8.5751378419618787E-4</v>
      </c>
      <c r="AK96" s="39">
        <f t="shared" si="69"/>
        <v>5.6516328951502813E-3</v>
      </c>
      <c r="AL96" s="39"/>
      <c r="AM96" s="36">
        <f>+'[4]CDIS Table-4'!U96</f>
        <v>0</v>
      </c>
      <c r="AN96" s="39">
        <f t="shared" si="70"/>
        <v>0</v>
      </c>
      <c r="AO96" s="39">
        <f t="shared" si="71"/>
        <v>0</v>
      </c>
      <c r="AP96" s="39">
        <f t="shared" si="72"/>
        <v>0</v>
      </c>
      <c r="AQ96" s="39">
        <f t="shared" si="73"/>
        <v>0</v>
      </c>
      <c r="AR96" s="39">
        <f t="shared" si="74"/>
        <v>0</v>
      </c>
      <c r="AS96" s="39">
        <f t="shared" si="75"/>
        <v>0</v>
      </c>
      <c r="AT96" s="39">
        <f t="shared" si="76"/>
        <v>0</v>
      </c>
      <c r="AU96" s="39">
        <f t="shared" si="80"/>
        <v>0</v>
      </c>
    </row>
    <row r="97" spans="3:47" s="150" customFormat="1">
      <c r="C97" s="185" t="s">
        <v>85</v>
      </c>
      <c r="D97" s="196">
        <f t="shared" si="56"/>
        <v>101.5161306088074</v>
      </c>
      <c r="E97" s="196">
        <f t="shared" si="59"/>
        <v>60.023584905660385</v>
      </c>
      <c r="F97" s="171">
        <f>HLOOKUP($C97,'[4]Interest shifted to EU'!$L$2:$AT$8,F$2,0)/E$106</f>
        <v>1.5330188679245285</v>
      </c>
      <c r="G97" s="171">
        <f>HLOOKUP($C97,'[4]Interest shifted to EU'!$L$2:$AT$8,G$2,0)/E$106</f>
        <v>0</v>
      </c>
      <c r="H97" s="171">
        <f>HLOOKUP($C97,'[4]Interest shifted to EU'!$L$2:$AT$8,H$2,0)/E$106</f>
        <v>0</v>
      </c>
      <c r="I97" s="171">
        <f>HLOOKUP($C97,'[4]Interest shifted to EU'!$L$2:$AT$8,I$2,0)/E$106</f>
        <v>6.6037735849056602</v>
      </c>
      <c r="J97" s="171">
        <f>HLOOKUP($C97,'[4]Interest shifted to EU'!$L$2:$AT$8,J$2,0)/E$106</f>
        <v>0</v>
      </c>
      <c r="K97" s="171">
        <f>HLOOKUP($C97,'[4]Interest shifted to EU'!$L$2:$AT$8,K$2,0)/E$106</f>
        <v>51.886792452830193</v>
      </c>
      <c r="L97" s="196">
        <f t="shared" si="60"/>
        <v>41.492545703147023</v>
      </c>
      <c r="M97" s="178">
        <f>AC97*'[4]Non-EU tax havens'!$K$8</f>
        <v>5.9111327497107222</v>
      </c>
      <c r="N97" s="183">
        <f>AC97*'[4]Non-EU tax havens'!$K$13</f>
        <v>35.581412953436299</v>
      </c>
      <c r="O97" s="196">
        <f t="shared" si="61"/>
        <v>718.09871029900182</v>
      </c>
      <c r="P97" s="196">
        <f t="shared" si="62"/>
        <v>90.919811320754718</v>
      </c>
      <c r="Q97" s="171">
        <f>HLOOKUP($C97,'[4]Non EU income shifted to EU'!$B$2:$AI$9,Q$2+1,0)/E$106</f>
        <v>5.7783018867924536</v>
      </c>
      <c r="R97" s="171">
        <f>HLOOKUP($C97,'[4]Non EU income shifted to EU'!$B$2:$AI$9,R$2+1,0)/E$106</f>
        <v>0</v>
      </c>
      <c r="S97" s="171">
        <f>HLOOKUP($C97,'[4]Non EU income shifted to EU'!$B$2:$AI$9,S$2+1,0)/E$106</f>
        <v>21.580188679245285</v>
      </c>
      <c r="T97" s="171">
        <f>HLOOKUP($C97,'[4]Non EU income shifted to EU'!$B$2:$AI$9,T$2+1,0)/E$106</f>
        <v>14.150943396226415</v>
      </c>
      <c r="U97" s="171">
        <f>HLOOKUP($C97,'[4]Non EU income shifted to EU'!$B$2:$AI$9,U$2+1,0)/E$106</f>
        <v>0</v>
      </c>
      <c r="V97" s="171">
        <f>HLOOKUP($C97,'[4]Non EU income shifted to EU'!$B$2:$AI$9,V$2+1,0)/E$106</f>
        <v>49.410377358490564</v>
      </c>
      <c r="W97" s="196">
        <f t="shared" si="77"/>
        <v>627.17889897824705</v>
      </c>
      <c r="X97" s="178">
        <f>IFERROR(IFERROR(VLOOKUP(C97,'[4]Swiss pivot'!$E$3:$H$54,3,0),VLOOKUP($C97,'[4]Breakdown non-EU havens'!$F$4:$H$31,3,0)/$E$106),AK97*'[4]Non-EU tax havens'!$I$8)</f>
        <v>115.8515287866435</v>
      </c>
      <c r="Y97" s="177">
        <f>AE97*'[4]Non-EU tax havens'!$I$13</f>
        <v>511.32737019160351</v>
      </c>
      <c r="AA97" s="36">
        <f>+'[4]CDIS Table-4'!O97</f>
        <v>6.0485676103200138E-4</v>
      </c>
      <c r="AB97" s="39">
        <f t="shared" si="63"/>
        <v>6.0485676103200138E-4</v>
      </c>
      <c r="AC97" s="39">
        <f t="shared" si="64"/>
        <v>1.2043381992809426E-3</v>
      </c>
      <c r="AD97" s="39">
        <f t="shared" si="65"/>
        <v>6.0485676103200138E-4</v>
      </c>
      <c r="AE97" s="39">
        <f t="shared" si="66"/>
        <v>1.5295080900007074E-3</v>
      </c>
      <c r="AF97" s="39"/>
      <c r="AG97" s="36">
        <f t="shared" si="67"/>
        <v>6.0485676103200138E-4</v>
      </c>
      <c r="AH97" s="39">
        <f t="shared" si="78"/>
        <v>6.0485676103200138E-4</v>
      </c>
      <c r="AI97" s="39">
        <f t="shared" si="68"/>
        <v>1.2043381992809426E-3</v>
      </c>
      <c r="AJ97" s="39">
        <f t="shared" si="79"/>
        <v>6.0485676103200138E-4</v>
      </c>
      <c r="AK97" s="39">
        <f t="shared" si="69"/>
        <v>3.9864413033393531E-3</v>
      </c>
      <c r="AL97" s="39"/>
      <c r="AM97" s="36">
        <f>+'[4]CDIS Table-4'!U97</f>
        <v>0</v>
      </c>
      <c r="AN97" s="39">
        <f t="shared" si="70"/>
        <v>0</v>
      </c>
      <c r="AO97" s="39">
        <f t="shared" si="71"/>
        <v>0</v>
      </c>
      <c r="AP97" s="39">
        <f t="shared" si="72"/>
        <v>0</v>
      </c>
      <c r="AQ97" s="39">
        <f t="shared" si="73"/>
        <v>0</v>
      </c>
      <c r="AR97" s="39">
        <f t="shared" si="74"/>
        <v>0</v>
      </c>
      <c r="AS97" s="39">
        <f t="shared" si="75"/>
        <v>0</v>
      </c>
      <c r="AT97" s="39">
        <f t="shared" si="76"/>
        <v>0</v>
      </c>
      <c r="AU97" s="39">
        <f t="shared" si="80"/>
        <v>0</v>
      </c>
    </row>
    <row r="98" spans="3:47" ht="40" customHeight="1">
      <c r="C98" s="176" t="s">
        <v>367</v>
      </c>
      <c r="D98" s="175">
        <f t="shared" si="56"/>
        <v>13888.181221388029</v>
      </c>
      <c r="E98" s="172">
        <f t="shared" si="59"/>
        <v>7250.0352621235706</v>
      </c>
      <c r="F98" s="488">
        <f>AS101*'[4]Interest shifted to EU'!$AU$3</f>
        <v>1203.8114756078717</v>
      </c>
      <c r="G98" s="488">
        <f>AS101*'[4]Interest shifted to EU'!$AU$4</f>
        <v>792.16492494553393</v>
      </c>
      <c r="H98" s="488">
        <f>AS101*'[4]Interest shifted to EU'!$AU$5</f>
        <v>-1481.9841790687406</v>
      </c>
      <c r="I98" s="489">
        <f>AS101*'[4]Interest shifted to EU'!$AU$6</f>
        <v>1596.4981370210951</v>
      </c>
      <c r="J98" s="489">
        <f>AS101*'[4]Interest shifted to EU'!$AU$7</f>
        <v>4320.8738648464005</v>
      </c>
      <c r="K98" s="489">
        <f>AS101*'[4]Interest shifted to EU'!$AU$8</f>
        <v>818.67103877140994</v>
      </c>
      <c r="L98" s="170">
        <f t="shared" si="60"/>
        <v>6638.1459592644578</v>
      </c>
      <c r="M98" s="169">
        <f>AC98*'[4]Non-EU tax havens'!$K$8</f>
        <v>945.68702190263389</v>
      </c>
      <c r="N98" s="174">
        <f>AC98*'[4]Non-EU tax havens'!$K$13</f>
        <v>5692.4589373618237</v>
      </c>
      <c r="O98" s="173">
        <f t="shared" si="61"/>
        <v>144913.89276985018</v>
      </c>
      <c r="P98" s="172">
        <f t="shared" si="62"/>
        <v>44575.265591508221</v>
      </c>
      <c r="Q98" s="171">
        <f>AU101*'[4]Non EU income shifted to EU'!$AJ$4</f>
        <v>2531.0037230457897</v>
      </c>
      <c r="R98" s="171">
        <f>AU101*'[4]Non EU income shifted to EU'!$AJ$5</f>
        <v>1294.0831871073808</v>
      </c>
      <c r="S98" s="171">
        <f>AU101*'[4]Non EU income shifted to EU'!$AJ$6</f>
        <v>29519.792938411494</v>
      </c>
      <c r="T98" s="171">
        <f>AU101*'[4]Non EU income shifted to EU'!$AJ$7</f>
        <v>1908.2515398485534</v>
      </c>
      <c r="U98" s="171">
        <f>AU101*'[4]Non EU income shifted to EU'!$AJ$8</f>
        <v>-310.71579694815262</v>
      </c>
      <c r="V98" s="171">
        <f>AU101*'[4]Non EU income shifted to EU'!$AJ$9</f>
        <v>9632.8500000431595</v>
      </c>
      <c r="W98" s="170">
        <f>SUM(X98:Y98)</f>
        <v>100338.62717834195</v>
      </c>
      <c r="X98" s="169">
        <f>AK98*'[4]Non-EU tax havens'!$I$8</f>
        <v>18534.398038424999</v>
      </c>
      <c r="Y98" s="168">
        <f>AE98*'[4]Non-EU tax havens'!$I$13</f>
        <v>81804.229139916948</v>
      </c>
      <c r="Z98" s="159"/>
      <c r="AA98" s="167">
        <f>+'[4]CDIS Table-4'!O110</f>
        <v>9.6767440901410859E-2</v>
      </c>
      <c r="AB98" s="39">
        <f t="shared" si="63"/>
        <v>9.6767440901410859E-2</v>
      </c>
      <c r="AC98" s="39">
        <f t="shared" si="64"/>
        <v>0.19267491583526219</v>
      </c>
      <c r="AD98" s="39">
        <f t="shared" si="65"/>
        <v>9.6767440901410859E-2</v>
      </c>
      <c r="AE98" s="39">
        <f t="shared" si="66"/>
        <v>0.24469691543969138</v>
      </c>
      <c r="AF98" s="39"/>
      <c r="AG98" s="36">
        <f t="shared" si="67"/>
        <v>9.6767440901410859E-2</v>
      </c>
      <c r="AH98" s="39">
        <f>+AG98</f>
        <v>9.6767440901410859E-2</v>
      </c>
      <c r="AI98" s="39">
        <f t="shared" si="68"/>
        <v>0.19267491583526219</v>
      </c>
      <c r="AJ98" s="39">
        <f>+AH98</f>
        <v>9.6767440901410859E-2</v>
      </c>
      <c r="AK98" s="39">
        <f t="shared" si="69"/>
        <v>0.63776706830499441</v>
      </c>
      <c r="AL98" s="39"/>
      <c r="AM98" s="36"/>
      <c r="AN98" s="39"/>
      <c r="AO98" s="39"/>
      <c r="AP98" s="39"/>
      <c r="AQ98" s="39"/>
      <c r="AR98" s="39"/>
      <c r="AS98" s="39"/>
      <c r="AT98" s="39"/>
      <c r="AU98" s="39"/>
    </row>
    <row r="99" spans="3:47" ht="40" customHeight="1">
      <c r="C99" s="166" t="s">
        <v>8</v>
      </c>
      <c r="D99" s="163">
        <f t="shared" ref="D99:Y99" si="81">SUMIF(D9:D98,"&gt;-999999")-D44</f>
        <v>140567.30425116906</v>
      </c>
      <c r="E99" s="162">
        <f t="shared" si="81"/>
        <v>84407.580188679291</v>
      </c>
      <c r="F99" s="165">
        <f t="shared" si="81"/>
        <v>8991.5301886792477</v>
      </c>
      <c r="G99" s="161">
        <f t="shared" si="81"/>
        <v>1031.3094339622642</v>
      </c>
      <c r="H99" s="161">
        <f t="shared" si="81"/>
        <v>8505.6688679245326</v>
      </c>
      <c r="I99" s="161">
        <f t="shared" si="81"/>
        <v>14785.66037735849</v>
      </c>
      <c r="J99" s="161">
        <f t="shared" si="81"/>
        <v>7892.846226415094</v>
      </c>
      <c r="K99" s="161">
        <f t="shared" si="81"/>
        <v>43200.565094339647</v>
      </c>
      <c r="L99" s="162">
        <f t="shared" si="81"/>
        <v>60329.65330777286</v>
      </c>
      <c r="M99" s="165">
        <f t="shared" si="81"/>
        <v>11435.254042744738</v>
      </c>
      <c r="N99" s="164">
        <f t="shared" si="81"/>
        <v>48894.399265028122</v>
      </c>
      <c r="O99" s="163">
        <f t="shared" si="81"/>
        <v>1070285.5748186591</v>
      </c>
      <c r="P99" s="162">
        <f t="shared" si="81"/>
        <v>482313.24716981134</v>
      </c>
      <c r="Q99" s="490">
        <f t="shared" si="81"/>
        <v>68499.827358490569</v>
      </c>
      <c r="R99" s="491">
        <f t="shared" si="81"/>
        <v>3699.4943396226413</v>
      </c>
      <c r="S99" s="491">
        <f t="shared" si="81"/>
        <v>157778.62641509433</v>
      </c>
      <c r="T99" s="491">
        <f t="shared" si="81"/>
        <v>94011.325471698103</v>
      </c>
      <c r="U99" s="491">
        <f t="shared" si="81"/>
        <v>5262.3452830188689</v>
      </c>
      <c r="V99" s="492">
        <f t="shared" si="81"/>
        <v>153061.6283018867</v>
      </c>
      <c r="W99" s="161">
        <f t="shared" si="81"/>
        <v>607796.73802620638</v>
      </c>
      <c r="X99" s="490">
        <f t="shared" si="81"/>
        <v>93096.143750922594</v>
      </c>
      <c r="Y99" s="160">
        <f t="shared" si="81"/>
        <v>514700.59427528392</v>
      </c>
      <c r="Z99" s="159"/>
      <c r="AA99" s="36"/>
      <c r="AB99" s="39"/>
      <c r="AC99" s="39"/>
      <c r="AD99" s="39"/>
      <c r="AE99" s="39"/>
      <c r="AF99" s="39"/>
      <c r="AG99" s="36"/>
      <c r="AH99" s="39"/>
      <c r="AI99" s="39"/>
      <c r="AJ99" s="39"/>
      <c r="AK99" s="39"/>
      <c r="AL99" s="39"/>
      <c r="AM99" s="36"/>
      <c r="AN99" s="39"/>
      <c r="AO99" s="39"/>
      <c r="AP99" s="39"/>
      <c r="AQ99" s="39"/>
      <c r="AR99" s="39"/>
      <c r="AS99" s="39"/>
      <c r="AT99" s="39"/>
      <c r="AU99" s="39"/>
    </row>
    <row r="100" spans="3:47" ht="40" customHeight="1" thickBot="1">
      <c r="C100" s="157" t="s">
        <v>368</v>
      </c>
      <c r="D100" s="156">
        <f>+E100+L100</f>
        <v>92901.653770598365</v>
      </c>
      <c r="E100" s="155">
        <f t="shared" ref="E100:N100" si="82">+E98+E44+E8</f>
        <v>60200.504716981144</v>
      </c>
      <c r="F100" s="152">
        <f t="shared" si="82"/>
        <v>7665.9405660377361</v>
      </c>
      <c r="G100" s="153">
        <f t="shared" si="82"/>
        <v>1020.5783018867925</v>
      </c>
      <c r="H100" s="153">
        <f t="shared" si="82"/>
        <v>1358.9707547169846</v>
      </c>
      <c r="I100" s="153">
        <f t="shared" si="82"/>
        <v>11190.495283018867</v>
      </c>
      <c r="J100" s="153">
        <f t="shared" si="82"/>
        <v>6908.1764150943391</v>
      </c>
      <c r="K100" s="153">
        <f t="shared" si="82"/>
        <v>32056.343396226417</v>
      </c>
      <c r="L100" s="155">
        <f t="shared" si="82"/>
        <v>32701.14905361722</v>
      </c>
      <c r="M100" s="152">
        <f t="shared" si="82"/>
        <v>6494.0491221851371</v>
      </c>
      <c r="N100" s="154">
        <f t="shared" si="82"/>
        <v>26207.099931432094</v>
      </c>
      <c r="O100" s="156">
        <f>+P100+W100</f>
        <v>831722.13869319332</v>
      </c>
      <c r="P100" s="155">
        <f t="shared" ref="P100:Y100" si="83">+P98+P44+P8</f>
        <v>375661.94999999995</v>
      </c>
      <c r="Q100" s="152">
        <f t="shared" si="83"/>
        <v>44955.487735849048</v>
      </c>
      <c r="R100" s="153">
        <f t="shared" si="83"/>
        <v>3432.1594339622652</v>
      </c>
      <c r="S100" s="153">
        <f t="shared" si="83"/>
        <v>143124.97075471698</v>
      </c>
      <c r="T100" s="153">
        <f t="shared" si="83"/>
        <v>76992.339622641492</v>
      </c>
      <c r="U100" s="153">
        <f t="shared" si="83"/>
        <v>4100.7886792452837</v>
      </c>
      <c r="V100" s="154">
        <f t="shared" si="83"/>
        <v>103056.20377358486</v>
      </c>
      <c r="W100" s="153">
        <f t="shared" si="83"/>
        <v>456060.18869319337</v>
      </c>
      <c r="X100" s="152">
        <f t="shared" si="83"/>
        <v>73569.63585655803</v>
      </c>
      <c r="Y100" s="151">
        <f t="shared" si="83"/>
        <v>382490.55283663527</v>
      </c>
      <c r="AA100" s="36"/>
      <c r="AB100" s="39"/>
      <c r="AC100" s="39"/>
      <c r="AD100" s="39"/>
      <c r="AE100" s="39"/>
      <c r="AF100" s="39"/>
      <c r="AG100" s="36"/>
      <c r="AH100" s="39"/>
      <c r="AI100" s="39"/>
      <c r="AJ100" s="39"/>
      <c r="AK100" s="39"/>
      <c r="AL100" s="39"/>
      <c r="AM100" s="36"/>
      <c r="AN100" s="39"/>
      <c r="AO100" s="39"/>
      <c r="AP100" s="39"/>
      <c r="AQ100" s="39"/>
      <c r="AR100" s="39"/>
      <c r="AS100" s="39"/>
      <c r="AT100" s="39"/>
      <c r="AU100" s="39"/>
    </row>
    <row r="101" spans="3:47" s="150" customFormat="1" ht="16" thickTop="1">
      <c r="C101" s="146"/>
      <c r="D101" s="146"/>
      <c r="E101" s="147"/>
      <c r="F101" s="146"/>
      <c r="G101" s="146"/>
      <c r="H101" s="146"/>
      <c r="I101" s="146"/>
      <c r="J101" s="146"/>
      <c r="K101" s="146"/>
      <c r="L101" s="146"/>
      <c r="N101" s="146"/>
      <c r="O101" s="146"/>
      <c r="P101" s="146"/>
      <c r="Q101" s="146"/>
      <c r="R101" s="146"/>
      <c r="S101" s="146"/>
      <c r="T101" s="146"/>
      <c r="U101" s="146"/>
      <c r="V101" s="146"/>
      <c r="W101" s="146"/>
      <c r="X101" s="146"/>
      <c r="Y101" s="146"/>
      <c r="AL101" s="39"/>
      <c r="AM101" s="167">
        <f>+'[4]CDIS Table-4'!U110</f>
        <v>0</v>
      </c>
      <c r="AN101" s="39">
        <f>+AM101</f>
        <v>0</v>
      </c>
      <c r="AO101" s="39">
        <f>+AN101/$AB$102</f>
        <v>0</v>
      </c>
      <c r="AP101" s="39">
        <f>+AN101</f>
        <v>0</v>
      </c>
      <c r="AQ101" s="39">
        <f>+AP101/$AD$102</f>
        <v>0</v>
      </c>
      <c r="AR101" s="39">
        <f>+AB98</f>
        <v>9.6767440901410859E-2</v>
      </c>
      <c r="AS101" s="39">
        <f>+AR101/$AR$102</f>
        <v>0.94327807209518211</v>
      </c>
      <c r="AT101" s="39">
        <f>+AD98</f>
        <v>9.6767440901410859E-2</v>
      </c>
      <c r="AU101" s="39">
        <f>+AT101/$AT$102</f>
        <v>0.94327807209518211</v>
      </c>
    </row>
    <row r="102" spans="3:47" s="150" customFormat="1">
      <c r="C102" s="146"/>
      <c r="D102" s="146"/>
      <c r="E102" s="147"/>
      <c r="F102" s="146"/>
      <c r="G102" s="146"/>
      <c r="H102" s="146"/>
      <c r="I102" s="146"/>
      <c r="J102" s="146"/>
      <c r="K102" s="146"/>
      <c r="L102" s="146"/>
      <c r="N102" s="146"/>
      <c r="O102" s="146"/>
      <c r="P102" s="146"/>
      <c r="Q102" s="146"/>
      <c r="R102" s="146"/>
      <c r="S102" s="146"/>
      <c r="T102" s="146"/>
      <c r="U102" s="146"/>
      <c r="V102" s="146"/>
      <c r="W102" s="146"/>
      <c r="X102" s="146"/>
      <c r="Y102" s="146"/>
      <c r="AA102" s="158"/>
      <c r="AB102" s="39">
        <f>+SUM(AB9:AB100)</f>
        <v>0.5022316500407733</v>
      </c>
      <c r="AC102" s="39">
        <f>+AB102/$AB$102</f>
        <v>1</v>
      </c>
      <c r="AD102" s="39">
        <f>+SUM(AD9:AD100)</f>
        <v>0.39545836010041741</v>
      </c>
      <c r="AE102" s="39">
        <f>SUM(AE9:AE100)</f>
        <v>1</v>
      </c>
      <c r="AF102" s="39"/>
      <c r="AG102" s="158"/>
      <c r="AH102" s="39">
        <f>+SUM(AH9:AH100)</f>
        <v>0.45838464174151056</v>
      </c>
      <c r="AI102" s="39">
        <f>+AH102/$AH$102</f>
        <v>1</v>
      </c>
      <c r="AJ102" s="39">
        <f>+SUM(AJ9:AJ100)</f>
        <v>0.15172850043604716</v>
      </c>
      <c r="AK102" s="39">
        <f>SUM(AK9:AK100)</f>
        <v>1</v>
      </c>
      <c r="AL102" s="39"/>
      <c r="AM102" s="158"/>
      <c r="AN102" s="39">
        <f>+SUM(AN9:AN101)</f>
        <v>0</v>
      </c>
      <c r="AO102" s="39">
        <f>+AN102/$AB$102</f>
        <v>0</v>
      </c>
      <c r="AP102" s="39">
        <f>+SUM(AP9:AP101)</f>
        <v>0</v>
      </c>
      <c r="AQ102" s="39">
        <f>SUM(AQ9:AQ101)</f>
        <v>0</v>
      </c>
      <c r="AR102" s="39">
        <f>+SUM(AR9:AR101)</f>
        <v>0.10258633563533795</v>
      </c>
      <c r="AS102" s="39">
        <f>+AR102/$AB$102</f>
        <v>0.20426099316323365</v>
      </c>
      <c r="AT102" s="39">
        <f>+SUM(AT9:AT101)</f>
        <v>0.10258633563533795</v>
      </c>
      <c r="AU102" s="39">
        <f>+SUM(AU9:AU101)</f>
        <v>1</v>
      </c>
    </row>
    <row r="103" spans="3:47" s="150" customFormat="1">
      <c r="C103" s="146"/>
      <c r="D103" s="146"/>
      <c r="E103" s="147"/>
      <c r="F103" s="146"/>
      <c r="G103" s="146"/>
      <c r="H103" s="146"/>
      <c r="I103" s="146"/>
      <c r="J103" s="146"/>
      <c r="K103" s="146"/>
      <c r="L103" s="146"/>
      <c r="N103" s="146"/>
      <c r="O103" s="146"/>
      <c r="P103" s="146"/>
      <c r="Q103" s="146"/>
      <c r="R103" s="146"/>
      <c r="S103" s="146"/>
      <c r="T103" s="146"/>
      <c r="U103" s="146"/>
      <c r="V103" s="146"/>
      <c r="W103" s="146"/>
      <c r="X103" s="146"/>
      <c r="Y103" s="146"/>
    </row>
    <row r="104" spans="3:47" s="150" customFormat="1">
      <c r="C104" s="146"/>
      <c r="D104" s="146"/>
      <c r="E104" s="147"/>
      <c r="F104" s="146"/>
      <c r="G104" s="146"/>
      <c r="H104" s="146"/>
      <c r="I104" s="146"/>
      <c r="J104" s="146"/>
      <c r="K104" s="146"/>
      <c r="L104" s="146"/>
      <c r="N104" s="146"/>
      <c r="O104" s="146"/>
      <c r="P104" s="146"/>
      <c r="Q104" s="146"/>
      <c r="R104" s="146"/>
      <c r="S104" s="146"/>
      <c r="T104" s="146"/>
      <c r="U104" s="146"/>
      <c r="V104" s="146"/>
      <c r="W104" s="146"/>
      <c r="X104" s="146"/>
      <c r="Y104" s="146"/>
    </row>
    <row r="105" spans="3:47" s="150" customFormat="1">
      <c r="C105" s="146"/>
      <c r="D105" s="146"/>
      <c r="E105" s="147"/>
      <c r="F105" s="146"/>
      <c r="G105" s="146"/>
      <c r="H105" s="146"/>
      <c r="I105" s="146"/>
      <c r="J105" s="146"/>
      <c r="K105" s="146"/>
      <c r="L105" s="146"/>
      <c r="N105" s="146"/>
      <c r="O105" s="146"/>
      <c r="P105" s="146"/>
      <c r="Q105" s="146"/>
      <c r="R105" s="146"/>
      <c r="S105" s="146"/>
      <c r="T105" s="146"/>
      <c r="U105" s="146"/>
      <c r="V105" s="146"/>
      <c r="W105" s="146"/>
      <c r="X105" s="146"/>
      <c r="Y105" s="146"/>
    </row>
    <row r="106" spans="3:47" ht="20">
      <c r="C106" s="1" t="s">
        <v>337</v>
      </c>
      <c r="D106" s="1"/>
      <c r="E106" s="341">
        <v>0.84799999999999998</v>
      </c>
    </row>
    <row r="111" spans="3:47">
      <c r="M111" s="149">
        <f>+M9+M13+M22++M12+M24+M26+M27+M30+M32+M33+M41+M43+M44+M98</f>
        <v>4044.2849712417419</v>
      </c>
    </row>
    <row r="112" spans="3:47">
      <c r="M112" s="148">
        <f>+M99-M111</f>
        <v>7390.9690715029965</v>
      </c>
    </row>
  </sheetData>
  <mergeCells count="20">
    <mergeCell ref="AT8:AU8"/>
    <mergeCell ref="AB8:AC8"/>
    <mergeCell ref="AR8:AS8"/>
    <mergeCell ref="AD8:AE8"/>
    <mergeCell ref="W6:W7"/>
    <mergeCell ref="AA6:AU6"/>
    <mergeCell ref="AN8:AO8"/>
    <mergeCell ref="AP8:AQ8"/>
    <mergeCell ref="AH8:AI8"/>
    <mergeCell ref="AJ8:AK8"/>
    <mergeCell ref="AA7:AE7"/>
    <mergeCell ref="AG7:AK7"/>
    <mergeCell ref="C3:Y3"/>
    <mergeCell ref="P6:P7"/>
    <mergeCell ref="E6:E7"/>
    <mergeCell ref="L6:L7"/>
    <mergeCell ref="D5:N5"/>
    <mergeCell ref="D6:D7"/>
    <mergeCell ref="O6:O7"/>
    <mergeCell ref="O5:Y5"/>
  </mergeCells>
  <pageMargins left="0.7" right="0.7" top="0.75" bottom="0.75" header="0.3" footer="0.3"/>
  <pageSetup scale="31" fitToHeight="0" orientation="landscape"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9" tint="0.39997558519241921"/>
    <pageSetUpPr fitToPage="1"/>
  </sheetPr>
  <dimension ref="A1:AV108"/>
  <sheetViews>
    <sheetView zoomScale="59" zoomScaleNormal="70" zoomScalePageLayoutView="70" workbookViewId="0">
      <pane xSplit="3" ySplit="7" topLeftCell="D8" activePane="bottomRight" state="frozen"/>
      <selection activeCell="B5" sqref="B5"/>
      <selection pane="topRight" activeCell="B5" sqref="B5"/>
      <selection pane="bottomLeft" activeCell="B5" sqref="B5"/>
      <selection pane="bottomRight" activeCell="O9" sqref="O9"/>
    </sheetView>
  </sheetViews>
  <sheetFormatPr defaultColWidth="10.81640625" defaultRowHeight="15.5"/>
  <cols>
    <col min="1" max="2" width="10.81640625" style="146" hidden="1" customWidth="1"/>
    <col min="3" max="3" width="19" style="146" customWidth="1"/>
    <col min="4" max="25" width="11" style="146" customWidth="1"/>
    <col min="26" max="44" width="10.81640625" style="146"/>
    <col min="45" max="45" width="16" style="146" customWidth="1"/>
    <col min="46" max="16384" width="10.81640625" style="146"/>
  </cols>
  <sheetData>
    <row r="1" spans="3:48" ht="16" thickBot="1"/>
    <row r="2" spans="3:48" ht="16" hidden="1" thickBot="1">
      <c r="F2" s="146">
        <v>2</v>
      </c>
      <c r="G2" s="146">
        <v>3</v>
      </c>
      <c r="H2" s="146">
        <v>4</v>
      </c>
      <c r="I2" s="146">
        <v>5</v>
      </c>
      <c r="J2" s="146">
        <v>6</v>
      </c>
      <c r="K2" s="146">
        <v>7</v>
      </c>
      <c r="Q2" s="146">
        <v>2</v>
      </c>
      <c r="R2" s="146">
        <v>3</v>
      </c>
      <c r="S2" s="146">
        <v>4</v>
      </c>
      <c r="T2" s="146">
        <v>5</v>
      </c>
      <c r="U2" s="146">
        <v>6</v>
      </c>
      <c r="V2" s="146">
        <v>7</v>
      </c>
    </row>
    <row r="3" spans="3:48" ht="32" customHeight="1" thickTop="1">
      <c r="C3" s="897" t="s">
        <v>369</v>
      </c>
      <c r="D3" s="898"/>
      <c r="E3" s="898"/>
      <c r="F3" s="898"/>
      <c r="G3" s="898"/>
      <c r="H3" s="898"/>
      <c r="I3" s="898"/>
      <c r="J3" s="898"/>
      <c r="K3" s="898"/>
      <c r="L3" s="898"/>
      <c r="M3" s="898"/>
      <c r="N3" s="898"/>
      <c r="O3" s="898"/>
      <c r="P3" s="898"/>
      <c r="Q3" s="898"/>
      <c r="R3" s="898"/>
      <c r="S3" s="898"/>
      <c r="T3" s="898"/>
      <c r="U3" s="898"/>
      <c r="V3" s="898"/>
      <c r="W3" s="898"/>
      <c r="X3" s="898"/>
      <c r="Y3" s="899"/>
    </row>
    <row r="4" spans="3:48" ht="32" customHeight="1">
      <c r="C4" s="210"/>
      <c r="D4" s="3" t="s">
        <v>49</v>
      </c>
      <c r="E4" s="3" t="s">
        <v>50</v>
      </c>
      <c r="F4" s="3" t="s">
        <v>51</v>
      </c>
      <c r="G4" s="3" t="s">
        <v>52</v>
      </c>
      <c r="H4" s="3" t="s">
        <v>53</v>
      </c>
      <c r="I4" s="3" t="s">
        <v>54</v>
      </c>
      <c r="J4" s="3" t="s">
        <v>55</v>
      </c>
      <c r="K4" s="3" t="s">
        <v>56</v>
      </c>
      <c r="L4" s="3" t="s">
        <v>57</v>
      </c>
      <c r="M4" s="3" t="s">
        <v>58</v>
      </c>
      <c r="N4" s="3" t="s">
        <v>59</v>
      </c>
      <c r="O4" s="3" t="s">
        <v>60</v>
      </c>
      <c r="P4" s="3" t="s">
        <v>61</v>
      </c>
      <c r="Q4" s="3" t="s">
        <v>62</v>
      </c>
      <c r="R4" s="3" t="s">
        <v>63</v>
      </c>
      <c r="S4" s="3" t="s">
        <v>102</v>
      </c>
      <c r="T4" s="3" t="s">
        <v>103</v>
      </c>
      <c r="U4" s="3" t="s">
        <v>104</v>
      </c>
      <c r="V4" s="3" t="s">
        <v>105</v>
      </c>
      <c r="W4" s="3" t="s">
        <v>106</v>
      </c>
      <c r="X4" s="3" t="s">
        <v>107</v>
      </c>
      <c r="Y4" s="209" t="s">
        <v>108</v>
      </c>
    </row>
    <row r="5" spans="3:48" ht="21" customHeight="1">
      <c r="C5" s="185"/>
      <c r="D5" s="902" t="s">
        <v>347</v>
      </c>
      <c r="E5" s="903"/>
      <c r="F5" s="903"/>
      <c r="G5" s="903"/>
      <c r="H5" s="903"/>
      <c r="I5" s="903"/>
      <c r="J5" s="903"/>
      <c r="K5" s="903"/>
      <c r="L5" s="903"/>
      <c r="M5" s="903"/>
      <c r="N5" s="904"/>
      <c r="O5" s="902" t="s">
        <v>370</v>
      </c>
      <c r="P5" s="903"/>
      <c r="Q5" s="903"/>
      <c r="R5" s="903"/>
      <c r="S5" s="903"/>
      <c r="T5" s="903"/>
      <c r="U5" s="903"/>
      <c r="V5" s="903"/>
      <c r="W5" s="903"/>
      <c r="X5" s="903"/>
      <c r="Y5" s="905"/>
    </row>
    <row r="6" spans="3:48" ht="85" customHeight="1">
      <c r="C6" s="185"/>
      <c r="D6" s="900" t="s">
        <v>349</v>
      </c>
      <c r="E6" s="900" t="s">
        <v>350</v>
      </c>
      <c r="F6" s="206" t="s">
        <v>25</v>
      </c>
      <c r="G6" s="206" t="s">
        <v>187</v>
      </c>
      <c r="H6" s="206" t="s">
        <v>20</v>
      </c>
      <c r="I6" s="208" t="s">
        <v>19</v>
      </c>
      <c r="J6" s="206" t="s">
        <v>87</v>
      </c>
      <c r="K6" s="208" t="s">
        <v>23</v>
      </c>
      <c r="L6" s="900" t="s">
        <v>351</v>
      </c>
      <c r="M6" s="208" t="s">
        <v>21</v>
      </c>
      <c r="N6" s="207" t="s">
        <v>352</v>
      </c>
      <c r="O6" s="900" t="s">
        <v>349</v>
      </c>
      <c r="P6" s="900" t="s">
        <v>350</v>
      </c>
      <c r="Q6" s="206" t="s">
        <v>25</v>
      </c>
      <c r="R6" s="206" t="s">
        <v>187</v>
      </c>
      <c r="S6" s="206" t="s">
        <v>20</v>
      </c>
      <c r="T6" s="208" t="s">
        <v>19</v>
      </c>
      <c r="U6" s="206" t="s">
        <v>87</v>
      </c>
      <c r="V6" s="206" t="s">
        <v>23</v>
      </c>
      <c r="W6" s="907" t="s">
        <v>351</v>
      </c>
      <c r="X6" s="208" t="s">
        <v>21</v>
      </c>
      <c r="Y6" s="205" t="s">
        <v>352</v>
      </c>
      <c r="AA6" s="908" t="s">
        <v>353</v>
      </c>
      <c r="AB6" s="908"/>
      <c r="AC6" s="908"/>
      <c r="AD6" s="908"/>
      <c r="AE6" s="908"/>
      <c r="AF6" s="908"/>
      <c r="AG6" s="908"/>
      <c r="AH6" s="908"/>
      <c r="AI6" s="908"/>
      <c r="AJ6" s="908"/>
      <c r="AK6" s="908"/>
      <c r="AL6" s="908"/>
      <c r="AM6" s="908"/>
      <c r="AN6" s="908"/>
      <c r="AO6" s="908"/>
      <c r="AP6" s="908"/>
      <c r="AQ6" s="908"/>
      <c r="AR6" s="908"/>
      <c r="AS6" s="908"/>
      <c r="AT6" s="908"/>
      <c r="AU6" s="908"/>
      <c r="AV6" s="908"/>
    </row>
    <row r="7" spans="3:48" ht="13.5" customHeight="1">
      <c r="C7" s="185"/>
      <c r="D7" s="900"/>
      <c r="E7" s="900"/>
      <c r="F7" s="206"/>
      <c r="G7" s="206"/>
      <c r="H7" s="206"/>
      <c r="I7" s="206"/>
      <c r="J7" s="206"/>
      <c r="K7" s="206"/>
      <c r="L7" s="901"/>
      <c r="M7" s="206"/>
      <c r="N7" s="207"/>
      <c r="O7" s="900"/>
      <c r="P7" s="900"/>
      <c r="Q7" s="206"/>
      <c r="R7" s="206"/>
      <c r="S7" s="206"/>
      <c r="T7" s="206"/>
      <c r="U7" s="206"/>
      <c r="V7" s="206"/>
      <c r="W7" s="901"/>
      <c r="X7" s="206"/>
      <c r="Y7" s="205"/>
      <c r="Z7" s="159"/>
      <c r="AB7" s="909" t="s">
        <v>354</v>
      </c>
      <c r="AC7" s="909"/>
      <c r="AD7" s="909"/>
      <c r="AE7" s="909"/>
      <c r="AG7" s="909" t="s">
        <v>355</v>
      </c>
      <c r="AH7" s="909"/>
      <c r="AI7" s="909"/>
      <c r="AJ7" s="909"/>
      <c r="AK7" s="439"/>
    </row>
    <row r="8" spans="3:48" ht="40" customHeight="1">
      <c r="C8" s="483" t="s">
        <v>76</v>
      </c>
      <c r="D8" s="484">
        <f t="shared" ref="D8:D39" si="0">+E8+L8</f>
        <v>62487.227900636841</v>
      </c>
      <c r="E8" s="484">
        <f t="shared" ref="E8:K8" si="1">SUMIF(E9:E43,"&gt;-999999999")-(E11+E23+E29+E31+E40)</f>
        <v>44320.835945679646</v>
      </c>
      <c r="F8" s="485">
        <f t="shared" si="1"/>
        <v>4980.5682081184823</v>
      </c>
      <c r="G8" s="485">
        <f t="shared" si="1"/>
        <v>31.474087036117691</v>
      </c>
      <c r="H8" s="485">
        <f t="shared" si="1"/>
        <v>2627.0911898054537</v>
      </c>
      <c r="I8" s="485">
        <f t="shared" si="1"/>
        <v>8944.8713792379858</v>
      </c>
      <c r="J8" s="485">
        <f t="shared" si="1"/>
        <v>653.54784514698383</v>
      </c>
      <c r="K8" s="485">
        <f t="shared" si="1"/>
        <v>27083.283236334613</v>
      </c>
      <c r="L8" s="484">
        <f>SUMIF(L9:L43,"&gt;-999999999")-(L11+L23+L29+L31)</f>
        <v>18166.391954957195</v>
      </c>
      <c r="M8" s="485">
        <f>SUMIF(M9:M43,"&gt;-999999999")-(M11+M23+M29+M31)</f>
        <v>4199.2691178927089</v>
      </c>
      <c r="N8" s="486">
        <f>SUMIF(N9:N43,"&gt;-999999999")-(N11+N23+N29+N31)</f>
        <v>13967.122837064482</v>
      </c>
      <c r="O8" s="484">
        <f t="shared" ref="O8:O39" si="2">+P8+W8</f>
        <v>464309.99828442035</v>
      </c>
      <c r="P8" s="484">
        <f t="shared" ref="P8:V8" si="3">SUMIF(P9:P43,"&gt;-999999999")-(P11+P23+P29+P31)-P40</f>
        <v>248479.36962817903</v>
      </c>
      <c r="Q8" s="485">
        <f t="shared" si="3"/>
        <v>23466.140713784145</v>
      </c>
      <c r="R8" s="485">
        <f t="shared" si="3"/>
        <v>862.07861437516681</v>
      </c>
      <c r="S8" s="485">
        <f t="shared" si="3"/>
        <v>89982.019215279768</v>
      </c>
      <c r="T8" s="485">
        <f t="shared" si="3"/>
        <v>71396.815877169749</v>
      </c>
      <c r="U8" s="485">
        <f t="shared" si="3"/>
        <v>3822.3846566719244</v>
      </c>
      <c r="V8" s="485">
        <f t="shared" si="3"/>
        <v>58949.930550898265</v>
      </c>
      <c r="W8" s="484">
        <f>SUMIF(W9:W43,"&gt;-999999999")-(W11+W23+W29+W31)</f>
        <v>215830.62865624134</v>
      </c>
      <c r="X8" s="485">
        <f>SUMIF(X9:X43,"&gt;-999999999")-(X11+X23+X29+X31)</f>
        <v>31689.500494112093</v>
      </c>
      <c r="Y8" s="487">
        <f>SUMIF(Y9:Y43,"&gt;-999999999")-(Y11+Y23+Y29+Y31)</f>
        <v>184141.12816212926</v>
      </c>
      <c r="Z8" s="159"/>
      <c r="AA8" s="36"/>
      <c r="AB8" s="910" t="s">
        <v>356</v>
      </c>
      <c r="AC8" s="910"/>
      <c r="AD8" s="910" t="s">
        <v>357</v>
      </c>
      <c r="AE8" s="910"/>
      <c r="AG8" s="36"/>
      <c r="AH8" s="438" t="s">
        <v>356</v>
      </c>
      <c r="AI8" s="906" t="s">
        <v>357</v>
      </c>
      <c r="AJ8" s="906"/>
      <c r="AK8" s="438"/>
      <c r="AL8" s="36"/>
      <c r="AM8" s="910" t="s">
        <v>356</v>
      </c>
      <c r="AN8" s="910"/>
      <c r="AO8" s="910" t="s">
        <v>357</v>
      </c>
      <c r="AP8" s="910"/>
      <c r="AQ8" s="910" t="s">
        <v>358</v>
      </c>
      <c r="AR8" s="910"/>
      <c r="AS8" s="910" t="s">
        <v>359</v>
      </c>
      <c r="AT8" s="910"/>
    </row>
    <row r="9" spans="3:48" ht="14" customHeight="1">
      <c r="C9" s="199" t="s">
        <v>27</v>
      </c>
      <c r="D9" s="196">
        <f t="shared" si="0"/>
        <v>2881.1613197215197</v>
      </c>
      <c r="E9" s="196">
        <f t="shared" ref="E9:E43" si="4">SUM(F9:K9)</f>
        <v>1414.3347947520697</v>
      </c>
      <c r="F9" s="171">
        <f>HLOOKUP($C9,'[4]Interest shifted to EU'!$L$12:$AT$18,F$2,0)/E106</f>
        <v>80.96807194538917</v>
      </c>
      <c r="G9" s="171">
        <f>HLOOKUP($C9,'[4]Interest shifted to EU'!$L$12:$AT$18,G$2,0)/E106</f>
        <v>0</v>
      </c>
      <c r="H9" s="171">
        <f>HLOOKUP($C9,'[4]Interest shifted to EU'!$L$12:$AT$18,H$2,0)/E106</f>
        <v>0</v>
      </c>
      <c r="I9" s="171">
        <f>HLOOKUP($C9,'[4]Interest shifted to EU'!$L$12:$AT$18,I$2,0)/E106</f>
        <v>209.22749484391051</v>
      </c>
      <c r="J9" s="171">
        <f>HLOOKUP($C9,'[4]Interest shifted to EU'!$L$12:$AT$18,J$2,0)/E106</f>
        <v>29.484528996780057</v>
      </c>
      <c r="K9" s="171">
        <f>HLOOKUP($C9,'[4]Interest shifted to EU'!$L$12:$AT$18,K$2,0)/E106</f>
        <v>1094.6546989659901</v>
      </c>
      <c r="L9" s="196">
        <f t="shared" ref="L9:L39" si="5">SUM(M9:N9)</f>
        <v>1466.82652496945</v>
      </c>
      <c r="M9" s="178">
        <f>AC9*'[4]Non-EU tax havens'!$M$8</f>
        <v>186.15949601874311</v>
      </c>
      <c r="N9" s="183">
        <f>AC9*'[4]Non-EU tax havens'!$M$13</f>
        <v>1280.6670289507069</v>
      </c>
      <c r="O9" s="196">
        <f t="shared" si="2"/>
        <v>22485.788908748749</v>
      </c>
      <c r="P9" s="196">
        <f t="shared" ref="P9:P43" si="6">SUM(Q9:V9)</f>
        <v>5041.2084607491925</v>
      </c>
      <c r="Q9" s="171">
        <f>HLOOKUP($C9,'[4]Non EU income shifted to EU'!$A$2:$AI$18,Q$2+10,0)/E106</f>
        <v>141.29808964272027</v>
      </c>
      <c r="R9" s="171">
        <f>HLOOKUP($C9,'[4]Non EU income shifted to EU'!$A$2:$AI$18,R$2+10,0)/E106</f>
        <v>0.90722990420374594</v>
      </c>
      <c r="S9" s="171">
        <f>HLOOKUP($C9,'[4]Non EU income shifted to EU'!$A$2:$AI$18,S$2+10,0)/E106</f>
        <v>3328.3556277053649</v>
      </c>
      <c r="T9" s="171">
        <f>HLOOKUP($C9,'[4]Non EU income shifted to EU'!$A$2:$AI$18,T$2+10,0)/E106</f>
        <v>400.12648663985954</v>
      </c>
      <c r="U9" s="171">
        <f>HLOOKUP($C9,'[4]Non EU income shifted to EU'!$A$2:$AI$18,U$2+10,0)/E106</f>
        <v>24.91854245756155</v>
      </c>
      <c r="V9" s="171">
        <f>HLOOKUP($C9,'[4]Non EU income shifted to EU'!$A$2:$AI$18,V$2+10,0)/E106</f>
        <v>1145.6024843994824</v>
      </c>
      <c r="W9" s="196">
        <f t="shared" ref="W9:W39" si="7">SUM(X9:Y9)</f>
        <v>17444.580447999557</v>
      </c>
      <c r="X9" s="178">
        <f>IFERROR(IFERROR(VLOOKUP(C9,'[4]Swiss pivot'!$E$3:$H$54,4,0),VLOOKUP($C9,'[4]Breakdown non-EU havens'!$F$59:$H$86,3,0)/$E$106),AJ9*'[4]Non-EU tax havens'!$I$8)</f>
        <v>684.08591442727038</v>
      </c>
      <c r="Y9" s="177">
        <f>AE9*'[4]Non-EU tax havens'!$O$13</f>
        <v>16760.494533572288</v>
      </c>
      <c r="Z9" s="159"/>
      <c r="AA9" s="36">
        <f>+'[4]CDIS Table-4'!O6</f>
        <v>1.9724959247258356E-2</v>
      </c>
      <c r="AB9" s="39">
        <f>+AA9</f>
        <v>1.9724959247258356E-2</v>
      </c>
      <c r="AC9" s="39">
        <f t="shared" ref="AC9:AC30" si="8">+AB9/$AB$104</f>
        <v>4.483923565004938E-2</v>
      </c>
      <c r="AD9" s="39">
        <f t="shared" ref="AD9:AD30" si="9">+AB9</f>
        <v>1.9724959247258356E-2</v>
      </c>
      <c r="AE9" s="39">
        <f t="shared" ref="AE9:AE30" si="10">+AD9/$AD$104</f>
        <v>5.9210869736047576E-2</v>
      </c>
      <c r="AF9" s="39"/>
      <c r="AG9" s="36">
        <f>+AA9</f>
        <v>1.9724959247258356E-2</v>
      </c>
      <c r="AH9" s="39">
        <f>+AG9</f>
        <v>1.9724959247258356E-2</v>
      </c>
      <c r="AI9" s="39"/>
      <c r="AJ9" s="39">
        <v>0</v>
      </c>
      <c r="AK9" s="39"/>
      <c r="AL9" s="36">
        <f>+'[4]CDIS Table-4'!U6</f>
        <v>0</v>
      </c>
      <c r="AM9" s="39">
        <f>+AL9</f>
        <v>0</v>
      </c>
      <c r="AN9" s="39">
        <f t="shared" ref="AN9:AN30" si="11">+AM9/$AB$104</f>
        <v>0</v>
      </c>
      <c r="AO9" s="39">
        <f t="shared" ref="AO9:AO30" si="12">+AM9</f>
        <v>0</v>
      </c>
      <c r="AP9" s="39">
        <f t="shared" ref="AP9:AP30" si="13">+AO9/$AD$104</f>
        <v>0</v>
      </c>
      <c r="AQ9" s="39"/>
      <c r="AR9" s="39">
        <f t="shared" ref="AR9:AR40" si="14">+AQ9/$AQ$99</f>
        <v>0</v>
      </c>
      <c r="AS9" s="39"/>
      <c r="AT9" s="39">
        <f t="shared" ref="AT9:AT21" si="15">+AS9/$AB$104</f>
        <v>0</v>
      </c>
    </row>
    <row r="10" spans="3:48" ht="14" customHeight="1">
      <c r="C10" s="199" t="s">
        <v>91</v>
      </c>
      <c r="D10" s="196">
        <f t="shared" si="0"/>
        <v>394.14207842377647</v>
      </c>
      <c r="E10" s="196">
        <f t="shared" si="4"/>
        <v>337.84778680629819</v>
      </c>
      <c r="F10" s="171">
        <f>VLOOKUP($C10,'[4]Breakdown EU havens'!$S$67:$Y$97,F$2,0)/E106</f>
        <v>43.466580660966024</v>
      </c>
      <c r="G10" s="171">
        <f>VLOOKUP($C10,'[4]Breakdown EU havens'!$S$67:$Y$97,G$2,0)/E106</f>
        <v>0</v>
      </c>
      <c r="H10" s="171">
        <f>VLOOKUP($C10,'[4]Breakdown EU havens'!$S$67:$Y$97,H$2,0)/E106</f>
        <v>78.7293054015922</v>
      </c>
      <c r="I10" s="171">
        <f>VLOOKUP($C10,'[4]Breakdown EU havens'!$S$67:$Y$97,I$2,0)/E106</f>
        <v>115.07392610836433</v>
      </c>
      <c r="J10" s="171">
        <f>VLOOKUP($C10,'[4]Breakdown EU havens'!$S$67:$Y$97,J$2,0)/E106</f>
        <v>0.30509306212660425</v>
      </c>
      <c r="K10" s="171">
        <f>VLOOKUP($C10,'[4]Breakdown EU havens'!$S$67:$Y$97,K$2,0)/E106</f>
        <v>100.27288157324899</v>
      </c>
      <c r="L10" s="196">
        <f t="shared" si="5"/>
        <v>56.294291617478258</v>
      </c>
      <c r="M10" s="178">
        <f>VLOOKUP($C10,'[4]Breakdown non-EU havens'!$K$59:$M$86,3,0)/E106</f>
        <v>54.592522199827549</v>
      </c>
      <c r="N10" s="183">
        <f>VLOOKUP($C10,'[4]Breakdown non-EU havens'!$K$59:$M$86,2,0)/E106</f>
        <v>1.7017694176507092</v>
      </c>
      <c r="O10" s="196">
        <f t="shared" si="2"/>
        <v>3564.2289344686524</v>
      </c>
      <c r="P10" s="196">
        <f t="shared" si="6"/>
        <v>2647.0937315445126</v>
      </c>
      <c r="Q10" s="171">
        <f>VLOOKUP($C10,'[4]Breakdown EU havens'!$J$67:$P$94,Q$2,0)/E106</f>
        <v>409.77644023283892</v>
      </c>
      <c r="R10" s="171">
        <f>VLOOKUP($C10,'[4]Breakdown EU havens'!$J$67:$P$94,R$2,0)/E106</f>
        <v>15.937325911804487</v>
      </c>
      <c r="S10" s="171">
        <f>VLOOKUP($C10,'[4]Breakdown EU havens'!$J$67:$P$94,S$2,0)/E106</f>
        <v>795.16588398131614</v>
      </c>
      <c r="T10" s="171">
        <f>VLOOKUP($C10,'[4]Breakdown EU havens'!$J$67:$P$94,T$2,0)/E106</f>
        <v>631.52899108807446</v>
      </c>
      <c r="U10" s="171">
        <f>VLOOKUP($C10,'[4]Breakdown EU havens'!$J$67:$P$94,U$2,0)/E106</f>
        <v>122.49853929750725</v>
      </c>
      <c r="V10" s="171">
        <f>VLOOKUP($C10,'[4]Breakdown EU havens'!$J$67:$P$94,V$2,0)/E106</f>
        <v>672.18655103297169</v>
      </c>
      <c r="W10" s="196">
        <f t="shared" si="7"/>
        <v>917.13520292413978</v>
      </c>
      <c r="X10" s="178">
        <f>IFERROR(IFERROR(VLOOKUP(C10,'[4]Swiss pivot'!$E$3:$H$54,4,0),VLOOKUP($C10,'[4]Breakdown non-EU havens'!$F$59:$H$86,3,0)/$E$106),AJ10*'[4]Non-EU tax havens'!$I$8)</f>
        <v>506.78149401435587</v>
      </c>
      <c r="Y10" s="177">
        <f>VLOOKUP($C10,'[4]Breakdown non-EU havens'!$F$59:$H$86,2,0)/E106</f>
        <v>410.3537089097839</v>
      </c>
      <c r="Z10" s="159"/>
      <c r="AA10" s="36">
        <f>+'[4]CDIS Table-4'!O7</f>
        <v>7.5183978411835217E-3</v>
      </c>
      <c r="AB10" s="39"/>
      <c r="AC10" s="39">
        <f t="shared" si="8"/>
        <v>0</v>
      </c>
      <c r="AD10" s="39">
        <f t="shared" si="9"/>
        <v>0</v>
      </c>
      <c r="AE10" s="39">
        <f t="shared" si="10"/>
        <v>0</v>
      </c>
      <c r="AF10" s="39"/>
      <c r="AG10" s="36">
        <f t="shared" ref="AG10:AG43" si="16">+AA10</f>
        <v>7.5183978411835217E-3</v>
      </c>
      <c r="AH10" s="39"/>
      <c r="AJ10" s="39">
        <f>+AI9/$AI$104</f>
        <v>0</v>
      </c>
      <c r="AK10" s="39"/>
      <c r="AL10" s="36">
        <f>+'[4]CDIS Table-4'!U7</f>
        <v>0</v>
      </c>
      <c r="AM10" s="39"/>
      <c r="AN10" s="39">
        <f t="shared" si="11"/>
        <v>0</v>
      </c>
      <c r="AO10" s="39">
        <f t="shared" si="12"/>
        <v>0</v>
      </c>
      <c r="AP10" s="39">
        <f t="shared" si="13"/>
        <v>0</v>
      </c>
      <c r="AQ10" s="39"/>
      <c r="AR10" s="39">
        <f t="shared" si="14"/>
        <v>0</v>
      </c>
      <c r="AS10" s="39"/>
      <c r="AT10" s="39">
        <f t="shared" si="15"/>
        <v>0</v>
      </c>
    </row>
    <row r="11" spans="3:48" ht="14" customHeight="1">
      <c r="C11" s="199" t="s">
        <v>25</v>
      </c>
      <c r="D11" s="196">
        <f t="shared" si="0"/>
        <v>3047.8158399910517</v>
      </c>
      <c r="E11" s="196">
        <f t="shared" si="4"/>
        <v>2318.6826953991545</v>
      </c>
      <c r="F11" s="171">
        <f>VLOOKUP($C11,'[4]Breakdown EU havens'!$S$67:$Y$97,F$2,0)/E106</f>
        <v>0</v>
      </c>
      <c r="G11" s="171">
        <f>VLOOKUP($C11,'[4]Breakdown EU havens'!$S$67:$Y$97,G$2,0)/E106</f>
        <v>0</v>
      </c>
      <c r="H11" s="171">
        <f>VLOOKUP($C11,'[4]Breakdown EU havens'!$S$67:$Y$97,H$2,0)/E106</f>
        <v>486.05383758876286</v>
      </c>
      <c r="I11" s="171">
        <f>VLOOKUP($C11,'[4]Breakdown EU havens'!$S$67:$Y$97,I$2,0)/E106</f>
        <v>1243.5256785675538</v>
      </c>
      <c r="J11" s="171">
        <f>VLOOKUP($C11,'[4]Breakdown EU havens'!$S$67:$Y$97,J$2,0)/E106</f>
        <v>0</v>
      </c>
      <c r="K11" s="171">
        <f>VLOOKUP($C11,'[4]Breakdown EU havens'!$S$67:$Y$97,K$2,0)/E106</f>
        <v>589.10317924283788</v>
      </c>
      <c r="L11" s="196">
        <f t="shared" si="5"/>
        <v>729.13314459189735</v>
      </c>
      <c r="M11" s="178">
        <f>VLOOKUP($C11,'[4]Breakdown non-EU havens'!$K$59:$M$86,3,0)/E106</f>
        <v>714.83828148363136</v>
      </c>
      <c r="N11" s="183">
        <f>VLOOKUP($C11,'[4]Breakdown non-EU havens'!$K$59:$M$86,2,0)/E106</f>
        <v>14.294863108265957</v>
      </c>
      <c r="O11" s="196">
        <f t="shared" si="2"/>
        <v>13331.195374758641</v>
      </c>
      <c r="P11" s="196">
        <f t="shared" si="6"/>
        <v>11493.106216950782</v>
      </c>
      <c r="Q11" s="171">
        <f>VLOOKUP($C11,'[4]Breakdown EU havens'!$J$67:$P$94,Q$2,0)/E106</f>
        <v>0</v>
      </c>
      <c r="R11" s="171">
        <f>VLOOKUP($C11,'[4]Breakdown EU havens'!$J$67:$P$94,R$2,0)/E106</f>
        <v>8.4149080814327686</v>
      </c>
      <c r="S11" s="171">
        <f>VLOOKUP($C11,'[4]Breakdown EU havens'!$J$67:$P$94,S$2,0)/E106</f>
        <v>2250.5092790664835</v>
      </c>
      <c r="T11" s="171">
        <f>VLOOKUP($C11,'[4]Breakdown EU havens'!$J$67:$P$94,T$2,0)/E106</f>
        <v>4476.221969800089</v>
      </c>
      <c r="U11" s="171">
        <f>VLOOKUP($C11,'[4]Breakdown EU havens'!$J$67:$P$94,U$2,0)/E106</f>
        <v>34.99958265643064</v>
      </c>
      <c r="V11" s="171">
        <f>VLOOKUP($C11,'[4]Breakdown EU havens'!$J$67:$P$94,V$2,0)/E106</f>
        <v>4722.960477346347</v>
      </c>
      <c r="W11" s="196">
        <f t="shared" si="7"/>
        <v>1838.089157807859</v>
      </c>
      <c r="X11" s="178">
        <f>IFERROR(IFERROR(VLOOKUP(C11,'[4]Swiss pivot'!$E$3:$H$54,4,0),VLOOKUP($C11,'[4]Breakdown non-EU havens'!$F$59:$H$86,3,0)/$E$106),AJ11*'[4]Non-EU tax havens'!$I$8)</f>
        <v>685.19064229941853</v>
      </c>
      <c r="Y11" s="177">
        <f>VLOOKUP($C11,'[4]Breakdown non-EU havens'!$F$59:$H$86,2,0)/E106</f>
        <v>1152.8985155084406</v>
      </c>
      <c r="Z11" s="159"/>
      <c r="AA11" s="36">
        <f>+'[4]CDIS Table-4'!O8</f>
        <v>1.6851091979899344E-2</v>
      </c>
      <c r="AB11" s="39"/>
      <c r="AC11" s="39">
        <f t="shared" si="8"/>
        <v>0</v>
      </c>
      <c r="AD11" s="39">
        <f t="shared" si="9"/>
        <v>0</v>
      </c>
      <c r="AE11" s="39">
        <f t="shared" si="10"/>
        <v>0</v>
      </c>
      <c r="AF11" s="39"/>
      <c r="AG11" s="36">
        <f t="shared" si="16"/>
        <v>1.6851091979899344E-2</v>
      </c>
      <c r="AH11" s="39"/>
      <c r="AI11" s="39"/>
      <c r="AJ11" s="39">
        <f t="shared" ref="AJ11:AJ42" si="17">+AI11/$AI$104</f>
        <v>0</v>
      </c>
      <c r="AK11" s="39"/>
      <c r="AL11" s="36">
        <f>+'[4]CDIS Table-4'!U8</f>
        <v>0</v>
      </c>
      <c r="AM11" s="39"/>
      <c r="AN11" s="39">
        <f t="shared" si="11"/>
        <v>0</v>
      </c>
      <c r="AO11" s="39">
        <f t="shared" si="12"/>
        <v>0</v>
      </c>
      <c r="AP11" s="39">
        <f t="shared" si="13"/>
        <v>0</v>
      </c>
      <c r="AQ11" s="39"/>
      <c r="AR11" s="39">
        <f t="shared" si="14"/>
        <v>0</v>
      </c>
      <c r="AS11" s="39"/>
      <c r="AT11" s="39">
        <f t="shared" si="15"/>
        <v>0</v>
      </c>
    </row>
    <row r="12" spans="3:48" ht="14" customHeight="1">
      <c r="C12" s="199" t="s">
        <v>43</v>
      </c>
      <c r="D12" s="196">
        <f t="shared" si="0"/>
        <v>2325.3283414142188</v>
      </c>
      <c r="E12" s="196">
        <f t="shared" si="4"/>
        <v>940.29432864002024</v>
      </c>
      <c r="F12" s="171">
        <f>HLOOKUP($C12,'[4]Interest shifted to EU'!$L$12:$AT$18,F$2,0)/E106</f>
        <v>76.999975070585975</v>
      </c>
      <c r="G12" s="171">
        <f>HLOOKUP($C12,'[4]Interest shifted to EU'!$L$12:$AT$18,G$2,0)/E106</f>
        <v>0</v>
      </c>
      <c r="H12" s="171">
        <f>HLOOKUP($C12,'[4]Interest shifted to EU'!$L$12:$AT$18,H$2,0)/E106</f>
        <v>-29.36674761071038</v>
      </c>
      <c r="I12" s="171">
        <f>HLOOKUP($C12,'[4]Interest shifted to EU'!$L$12:$AT$18,I$2,0)/E106</f>
        <v>0</v>
      </c>
      <c r="J12" s="171">
        <f>HLOOKUP($C12,'[4]Interest shifted to EU'!$L$12:$AT$18,J$2,0)/E106</f>
        <v>198.20155603391041</v>
      </c>
      <c r="K12" s="171">
        <f>HLOOKUP($C12,'[4]Interest shifted to EU'!$L$12:$AT$18,K$2,0)/E106</f>
        <v>694.45954514623418</v>
      </c>
      <c r="L12" s="196">
        <f t="shared" si="5"/>
        <v>1385.0340127741986</v>
      </c>
      <c r="M12" s="178">
        <f>AC12*'[4]Non-EU tax havens'!$M$8</f>
        <v>175.77895504189377</v>
      </c>
      <c r="N12" s="183">
        <f>AC12*'[4]Non-EU tax havens'!$M$13</f>
        <v>1209.2550577323047</v>
      </c>
      <c r="O12" s="196">
        <f t="shared" si="2"/>
        <v>19330.78501468867</v>
      </c>
      <c r="P12" s="196">
        <f t="shared" si="6"/>
        <v>2761.5737175926624</v>
      </c>
      <c r="Q12" s="171">
        <f>HLOOKUP($C12,'[4]Non EU income shifted to EU'!$A$2:$AI$18,Q$2+10,0)/E106</f>
        <v>135.48813529885842</v>
      </c>
      <c r="R12" s="171">
        <f>HLOOKUP($C12,'[4]Non EU income shifted to EU'!$A$2:$AI$18,R$2+10,0)/E106</f>
        <v>0.90722990420374594</v>
      </c>
      <c r="S12" s="171">
        <f>HLOOKUP($C12,'[4]Non EU income shifted to EU'!$A$2:$AI$18,S$2+10,0)/E106</f>
        <v>985.29859082256542</v>
      </c>
      <c r="T12" s="171">
        <f>HLOOKUP($C12,'[4]Non EU income shifted to EU'!$A$2:$AI$18,T$2+10,0)/E106</f>
        <v>470.12250388495249</v>
      </c>
      <c r="U12" s="171">
        <f>HLOOKUP($C12,'[4]Non EU income shifted to EU'!$A$2:$AI$18,U$2+10,0)/E106</f>
        <v>77.073631322225268</v>
      </c>
      <c r="V12" s="171">
        <f>HLOOKUP($C12,'[4]Non EU income shifted to EU'!$A$2:$AI$18,V$2+10,0)/E106</f>
        <v>1092.6836263598573</v>
      </c>
      <c r="W12" s="196">
        <f t="shared" si="7"/>
        <v>16569.211297096008</v>
      </c>
      <c r="X12" s="178">
        <f>IFERROR(IFERROR(VLOOKUP(C12,'[4]Swiss pivot'!$E$3:$H$54,4,0),VLOOKUP($C12,'[4]Breakdown non-EU havens'!$F$59:$H$86,3,0)/$E$106),AJ12*'[4]Non-EU tax havens'!$I$8)</f>
        <v>743.30782129328838</v>
      </c>
      <c r="Y12" s="177">
        <f>AE12*'[4]Non-EU tax havens'!$O$13</f>
        <v>15825.903475802721</v>
      </c>
      <c r="Z12" s="159"/>
      <c r="AA12" s="36">
        <f>+'[4]CDIS Table-4'!O9</f>
        <v>1.8625065059146493E-2</v>
      </c>
      <c r="AB12" s="39">
        <f>+AA12</f>
        <v>1.8625065059146493E-2</v>
      </c>
      <c r="AC12" s="39">
        <f t="shared" si="8"/>
        <v>4.2338930626721005E-2</v>
      </c>
      <c r="AD12" s="39">
        <f t="shared" si="9"/>
        <v>1.8625065059146493E-2</v>
      </c>
      <c r="AE12" s="39">
        <f t="shared" si="10"/>
        <v>5.5909180202530322E-2</v>
      </c>
      <c r="AF12" s="39"/>
      <c r="AG12" s="36">
        <f t="shared" si="16"/>
        <v>1.8625065059146493E-2</v>
      </c>
      <c r="AH12" s="39">
        <f>+AG12</f>
        <v>1.8625065059146493E-2</v>
      </c>
      <c r="AI12" s="39"/>
      <c r="AJ12" s="39">
        <f t="shared" si="17"/>
        <v>0</v>
      </c>
      <c r="AK12" s="39"/>
      <c r="AL12" s="36">
        <f>+'[4]CDIS Table-4'!U9</f>
        <v>0</v>
      </c>
      <c r="AM12" s="39">
        <f>+AL12</f>
        <v>0</v>
      </c>
      <c r="AN12" s="39">
        <f t="shared" si="11"/>
        <v>0</v>
      </c>
      <c r="AO12" s="39">
        <f t="shared" si="12"/>
        <v>0</v>
      </c>
      <c r="AP12" s="39">
        <f t="shared" si="13"/>
        <v>0</v>
      </c>
      <c r="AQ12" s="39"/>
      <c r="AR12" s="39">
        <f t="shared" si="14"/>
        <v>0</v>
      </c>
      <c r="AS12" s="39"/>
      <c r="AT12" s="39">
        <f t="shared" si="15"/>
        <v>0</v>
      </c>
    </row>
    <row r="13" spans="3:48" ht="14" customHeight="1">
      <c r="C13" s="199" t="s">
        <v>112</v>
      </c>
      <c r="D13" s="196">
        <f t="shared" si="0"/>
        <v>917.21905763652831</v>
      </c>
      <c r="E13" s="196">
        <f t="shared" si="4"/>
        <v>391.89114591997117</v>
      </c>
      <c r="F13" s="171">
        <f>HLOOKUP($C13,'[4]Interest shifted to EU'!$L$12:$AT$18,F$2,0)/E106</f>
        <v>26.548457662373814</v>
      </c>
      <c r="G13" s="171">
        <f>HLOOKUP($C13,'[4]Interest shifted to EU'!$L$12:$AT$18,G$2,0)/E106</f>
        <v>0</v>
      </c>
      <c r="H13" s="171">
        <f>HLOOKUP($C13,'[4]Interest shifted to EU'!$L$12:$AT$18,H$2,0)/E106</f>
        <v>0</v>
      </c>
      <c r="I13" s="171">
        <f>HLOOKUP($C13,'[4]Interest shifted to EU'!$L$12:$AT$18,I$2,0)/E106</f>
        <v>39.524578927130811</v>
      </c>
      <c r="J13" s="171">
        <f>HLOOKUP($C13,'[4]Interest shifted to EU'!$L$12:$AT$18,J$2,0)/E106</f>
        <v>3.2760587774200061</v>
      </c>
      <c r="K13" s="171">
        <f>HLOOKUP($C13,'[4]Interest shifted to EU'!$L$12:$AT$18,K$2,0)/E106</f>
        <v>322.54205055304652</v>
      </c>
      <c r="L13" s="196">
        <f t="shared" si="5"/>
        <v>525.32791171655708</v>
      </c>
      <c r="M13" s="178">
        <f>AC13*'[4]Non-EU tax havens'!$M$8</f>
        <v>66.670991848725834</v>
      </c>
      <c r="N13" s="183">
        <f>AC13*'[4]Non-EU tax havens'!$M$13</f>
        <v>458.65691986783128</v>
      </c>
      <c r="O13" s="196">
        <f t="shared" si="2"/>
        <v>6728.4464741942111</v>
      </c>
      <c r="P13" s="196">
        <f t="shared" si="6"/>
        <v>590.83490776413544</v>
      </c>
      <c r="Q13" s="171">
        <f>HLOOKUP($C13,'[4]Non EU income shifted to EU'!$A$2:$AI$18,Q$2+10,0)/E106</f>
        <v>30.211762588081641</v>
      </c>
      <c r="R13" s="171">
        <f>HLOOKUP($C13,'[4]Non EU income shifted to EU'!$A$2:$AI$18,R$2+10,0)/E106</f>
        <v>0</v>
      </c>
      <c r="S13" s="171">
        <f>HLOOKUP($C13,'[4]Non EU income shifted to EU'!$A$2:$AI$18,S$2+10,0)/E106</f>
        <v>254.7124266576869</v>
      </c>
      <c r="T13" s="171">
        <f>HLOOKUP($C13,'[4]Non EU income shifted to EU'!$A$2:$AI$18,T$2+10,0)/E106</f>
        <v>77.309033972192182</v>
      </c>
      <c r="U13" s="171">
        <f>HLOOKUP($C13,'[4]Non EU income shifted to EU'!$A$2:$AI$18,U$2+10,0)/E106</f>
        <v>0</v>
      </c>
      <c r="V13" s="171">
        <f>HLOOKUP($C13,'[4]Non EU income shifted to EU'!$A$2:$AI$18,V$2+10,0)/E106</f>
        <v>228.60168454617465</v>
      </c>
      <c r="W13" s="196">
        <f t="shared" si="7"/>
        <v>6137.611566430076</v>
      </c>
      <c r="X13" s="178">
        <f>IFERROR(IFERROR(VLOOKUP(C13,'[4]Swiss pivot'!$E$3:$H$54,4,0),VLOOKUP($C13,'[4]Breakdown non-EU havens'!$F$59:$H$86,3,0)/$E$106),AJ13*'[4]Non-EU tax havens'!$I$8)</f>
        <v>135.02336477366077</v>
      </c>
      <c r="Y13" s="177">
        <f>AE13*'[4]Non-EU tax havens'!$O$13</f>
        <v>6002.5882016564155</v>
      </c>
      <c r="Z13" s="159"/>
      <c r="AA13" s="36">
        <f>+'[4]CDIS Table-4'!O10</f>
        <v>7.0642788861976962E-3</v>
      </c>
      <c r="AB13" s="39">
        <f>+AA13</f>
        <v>7.0642788861976962E-3</v>
      </c>
      <c r="AC13" s="39">
        <f t="shared" si="8"/>
        <v>1.6058682895373488E-2</v>
      </c>
      <c r="AD13" s="39">
        <f t="shared" si="9"/>
        <v>7.0642788861976962E-3</v>
      </c>
      <c r="AE13" s="39">
        <f t="shared" si="10"/>
        <v>2.1205726798543403E-2</v>
      </c>
      <c r="AF13" s="39"/>
      <c r="AG13" s="36">
        <f t="shared" si="16"/>
        <v>7.0642788861976962E-3</v>
      </c>
      <c r="AH13" s="39">
        <f>+AG13</f>
        <v>7.0642788861976962E-3</v>
      </c>
      <c r="AI13" s="39"/>
      <c r="AJ13" s="39">
        <f t="shared" si="17"/>
        <v>0</v>
      </c>
      <c r="AK13" s="39"/>
      <c r="AL13" s="36">
        <f>+'[4]CDIS Table-4'!U10</f>
        <v>0</v>
      </c>
      <c r="AM13" s="39">
        <f>+AL13</f>
        <v>0</v>
      </c>
      <c r="AN13" s="39">
        <f t="shared" si="11"/>
        <v>0</v>
      </c>
      <c r="AO13" s="39">
        <f t="shared" si="12"/>
        <v>0</v>
      </c>
      <c r="AP13" s="39">
        <f t="shared" si="13"/>
        <v>0</v>
      </c>
      <c r="AQ13" s="39"/>
      <c r="AR13" s="39">
        <f t="shared" si="14"/>
        <v>0</v>
      </c>
      <c r="AS13" s="39"/>
      <c r="AT13" s="39">
        <f t="shared" si="15"/>
        <v>0</v>
      </c>
    </row>
    <row r="14" spans="3:48" ht="14" customHeight="1">
      <c r="C14" s="199" t="s">
        <v>92</v>
      </c>
      <c r="D14" s="196">
        <f t="shared" si="0"/>
        <v>230.58998132194532</v>
      </c>
      <c r="E14" s="196">
        <f t="shared" si="4"/>
        <v>211.052780125688</v>
      </c>
      <c r="F14" s="171">
        <f>VLOOKUP($C14,'[4]Breakdown EU havens'!$S$67:$Y$97,F$2,0)/E106</f>
        <v>4.3905637031278806</v>
      </c>
      <c r="G14" s="171">
        <f>VLOOKUP($C14,'[4]Breakdown EU havens'!$S$67:$Y$97,G$2,0)/E106</f>
        <v>7.5095155558811771E-2</v>
      </c>
      <c r="H14" s="171">
        <f>VLOOKUP($C14,'[4]Breakdown EU havens'!$S$67:$Y$97,H$2,0)/E106</f>
        <v>53.419610778645328</v>
      </c>
      <c r="I14" s="171">
        <f>VLOOKUP($C14,'[4]Breakdown EU havens'!$S$67:$Y$97,I$2,0)/E106</f>
        <v>47.624886850148748</v>
      </c>
      <c r="J14" s="171">
        <f>VLOOKUP($C14,'[4]Breakdown EU havens'!$S$67:$Y$97,J$2,0)/E106</f>
        <v>0.71188381162874315</v>
      </c>
      <c r="K14" s="171">
        <f>VLOOKUP($C14,'[4]Breakdown EU havens'!$S$67:$Y$97,K$2,0)/E106</f>
        <v>104.83073982657851</v>
      </c>
      <c r="L14" s="196">
        <f t="shared" si="5"/>
        <v>19.537201196257303</v>
      </c>
      <c r="M14" s="178">
        <f>VLOOKUP($C14,'[4]Breakdown non-EU havens'!$K$59:$M$86,3,0)/E106</f>
        <v>19.537201196257303</v>
      </c>
      <c r="N14" s="183">
        <f>VLOOKUP($C14,'[4]Breakdown non-EU havens'!$K$59:$M$86,2,0)/E106</f>
        <v>0</v>
      </c>
      <c r="O14" s="196">
        <f t="shared" si="2"/>
        <v>2116.641543424942</v>
      </c>
      <c r="P14" s="196">
        <f t="shared" si="6"/>
        <v>1712.0575938782233</v>
      </c>
      <c r="Q14" s="171">
        <f>VLOOKUP($C14,'[4]Breakdown EU havens'!$J$67:$P$94,Q$2,0)/E106</f>
        <v>332.01999996095299</v>
      </c>
      <c r="R14" s="171">
        <f>VLOOKUP($C14,'[4]Breakdown EU havens'!$J$67:$P$94,R$2,0)/E106</f>
        <v>5.0999442917774367</v>
      </c>
      <c r="S14" s="171">
        <f>VLOOKUP($C14,'[4]Breakdown EU havens'!$J$67:$P$94,S$2,0)/E106</f>
        <v>490.38744834391508</v>
      </c>
      <c r="T14" s="171">
        <f>VLOOKUP($C14,'[4]Breakdown EU havens'!$J$67:$P$94,T$2,0)/E106</f>
        <v>315.30183694250758</v>
      </c>
      <c r="U14" s="171">
        <f>VLOOKUP($C14,'[4]Breakdown EU havens'!$J$67:$P$94,U$2,0)/E106</f>
        <v>34.890208960629295</v>
      </c>
      <c r="V14" s="171">
        <f>VLOOKUP($C14,'[4]Breakdown EU havens'!$J$67:$P$94,V$2,0)/E106</f>
        <v>534.35815537844087</v>
      </c>
      <c r="W14" s="196">
        <f t="shared" si="7"/>
        <v>404.58394954671849</v>
      </c>
      <c r="X14" s="178">
        <f>IFERROR(IFERROR(VLOOKUP(C14,'[4]Swiss pivot'!$E$3:$H$54,4,0),VLOOKUP($C14,'[4]Breakdown non-EU havens'!$F$59:$H$86,3,0)/$E$106),AJ14*'[4]Non-EU tax havens'!$I$8)</f>
        <v>345.03638126131375</v>
      </c>
      <c r="Y14" s="177">
        <f>VLOOKUP($C14,'[4]Breakdown non-EU havens'!$F$59:$H$86,2,0)/E106</f>
        <v>59.547568285404729</v>
      </c>
      <c r="Z14" s="159"/>
      <c r="AA14" s="36">
        <f>+'[4]CDIS Table-4'!O11</f>
        <v>4.2168628042858767E-3</v>
      </c>
      <c r="AB14" s="39"/>
      <c r="AC14" s="39">
        <f t="shared" si="8"/>
        <v>0</v>
      </c>
      <c r="AD14" s="39">
        <f t="shared" si="9"/>
        <v>0</v>
      </c>
      <c r="AE14" s="39">
        <f t="shared" si="10"/>
        <v>0</v>
      </c>
      <c r="AF14" s="39"/>
      <c r="AG14" s="36">
        <f t="shared" si="16"/>
        <v>4.2168628042858767E-3</v>
      </c>
      <c r="AH14" s="39"/>
      <c r="AI14" s="39"/>
      <c r="AJ14" s="39">
        <f t="shared" si="17"/>
        <v>0</v>
      </c>
      <c r="AK14" s="39"/>
      <c r="AL14" s="36">
        <f>+'[4]CDIS Table-4'!U11</f>
        <v>0</v>
      </c>
      <c r="AM14" s="39"/>
      <c r="AN14" s="39">
        <f t="shared" si="11"/>
        <v>0</v>
      </c>
      <c r="AO14" s="39">
        <f t="shared" si="12"/>
        <v>0</v>
      </c>
      <c r="AP14" s="39">
        <f t="shared" si="13"/>
        <v>0</v>
      </c>
      <c r="AQ14" s="39"/>
      <c r="AR14" s="39">
        <f t="shared" si="14"/>
        <v>0</v>
      </c>
      <c r="AS14" s="39"/>
      <c r="AT14" s="39">
        <f t="shared" si="15"/>
        <v>0</v>
      </c>
    </row>
    <row r="15" spans="3:48" ht="14" customHeight="1">
      <c r="C15" s="199" t="s">
        <v>41</v>
      </c>
      <c r="D15" s="196">
        <f t="shared" si="0"/>
        <v>235.43134475999506</v>
      </c>
      <c r="E15" s="196">
        <f t="shared" si="4"/>
        <v>156.20360034813291</v>
      </c>
      <c r="F15" s="171">
        <f>VLOOKUP($C15,'[4]Breakdown EU havens'!$S$67:$Y$97,F$2,0)/E106</f>
        <v>15.257208868369387</v>
      </c>
      <c r="G15" s="171">
        <f>VLOOKUP($C15,'[4]Breakdown EU havens'!$S$67:$Y$97,G$2,0)/E106</f>
        <v>0</v>
      </c>
      <c r="H15" s="171">
        <f>VLOOKUP($C15,'[4]Breakdown EU havens'!$S$67:$Y$97,H$2,0)/E106</f>
        <v>14.324210148306106</v>
      </c>
      <c r="I15" s="171">
        <f>VLOOKUP($C15,'[4]Breakdown EU havens'!$S$67:$Y$97,I$2,0)/E106</f>
        <v>42.932779771316362</v>
      </c>
      <c r="J15" s="171">
        <f>VLOOKUP($C15,'[4]Breakdown EU havens'!$S$67:$Y$97,J$2,0)/E106</f>
        <v>0.50848843687767376</v>
      </c>
      <c r="K15" s="171">
        <f>VLOOKUP($C15,'[4]Breakdown EU havens'!$S$67:$Y$97,K$2,0)/E106</f>
        <v>83.18091312326338</v>
      </c>
      <c r="L15" s="196">
        <f t="shared" si="5"/>
        <v>79.227744411862147</v>
      </c>
      <c r="M15" s="178">
        <f>VLOOKUP($C15,'[4]Breakdown non-EU havens'!$K$59:$M$86,3,0)/E106</f>
        <v>53.587751852591452</v>
      </c>
      <c r="N15" s="183">
        <f>VLOOKUP($C15,'[4]Breakdown non-EU havens'!$K$59:$M$86,2,0)/E106</f>
        <v>25.639992559270688</v>
      </c>
      <c r="O15" s="196">
        <f t="shared" si="2"/>
        <v>4455.4431553100621</v>
      </c>
      <c r="P15" s="196">
        <f t="shared" si="6"/>
        <v>3920.2691250587632</v>
      </c>
      <c r="Q15" s="171">
        <f>VLOOKUP($C15,'[4]Breakdown EU havens'!$J$67:$P$94,Q$2,0)/E106</f>
        <v>454.87517559053282</v>
      </c>
      <c r="R15" s="171">
        <f>VLOOKUP($C15,'[4]Breakdown EU havens'!$J$67:$P$94,R$2,0)/E106</f>
        <v>18.678545968634861</v>
      </c>
      <c r="S15" s="171">
        <f>VLOOKUP($C15,'[4]Breakdown EU havens'!$J$67:$P$94,S$2,0)/E106</f>
        <v>1504.9094382511114</v>
      </c>
      <c r="T15" s="171">
        <f>VLOOKUP($C15,'[4]Breakdown EU havens'!$J$67:$P$94,T$2,0)/E106</f>
        <v>529.74409875153503</v>
      </c>
      <c r="U15" s="171">
        <f>VLOOKUP($C15,'[4]Breakdown EU havens'!$J$67:$P$94,U$2,0)/E106</f>
        <v>228.15352944160722</v>
      </c>
      <c r="V15" s="171">
        <f>VLOOKUP($C15,'[4]Breakdown EU havens'!$J$67:$P$94,V$2,0)/E106</f>
        <v>1183.9083370553417</v>
      </c>
      <c r="W15" s="196">
        <f t="shared" si="7"/>
        <v>535.17403025129897</v>
      </c>
      <c r="X15" s="178">
        <f>IFERROR(IFERROR(VLOOKUP(C15,'[4]Swiss pivot'!$E$3:$H$54,4,0),VLOOKUP($C15,'[4]Breakdown non-EU havens'!$F$59:$H$86,3,0)/$E$106),AJ15*'[4]Non-EU tax havens'!$I$8)</f>
        <v>197.32642780301825</v>
      </c>
      <c r="Y15" s="177">
        <f>VLOOKUP($C15,'[4]Breakdown non-EU havens'!$F$59:$H$86,2,0)/E106</f>
        <v>337.84760244828072</v>
      </c>
      <c r="Z15" s="159"/>
      <c r="AA15" s="36">
        <f>+'[4]CDIS Table-4'!O12</f>
        <v>4.270260946196207E-3</v>
      </c>
      <c r="AB15" s="39"/>
      <c r="AC15" s="39">
        <f t="shared" si="8"/>
        <v>0</v>
      </c>
      <c r="AD15" s="39">
        <f t="shared" si="9"/>
        <v>0</v>
      </c>
      <c r="AE15" s="39">
        <f t="shared" si="10"/>
        <v>0</v>
      </c>
      <c r="AF15" s="39"/>
      <c r="AG15" s="36">
        <f t="shared" si="16"/>
        <v>4.270260946196207E-3</v>
      </c>
      <c r="AH15" s="39"/>
      <c r="AI15" s="39"/>
      <c r="AJ15" s="39">
        <f t="shared" si="17"/>
        <v>0</v>
      </c>
      <c r="AK15" s="39"/>
      <c r="AL15" s="36">
        <f>+'[4]CDIS Table-4'!U12</f>
        <v>0</v>
      </c>
      <c r="AM15" s="39"/>
      <c r="AN15" s="39">
        <f t="shared" si="11"/>
        <v>0</v>
      </c>
      <c r="AO15" s="39">
        <f t="shared" si="12"/>
        <v>0</v>
      </c>
      <c r="AP15" s="39">
        <f t="shared" si="13"/>
        <v>0</v>
      </c>
      <c r="AQ15" s="39"/>
      <c r="AR15" s="39">
        <f t="shared" si="14"/>
        <v>0</v>
      </c>
      <c r="AS15" s="39"/>
      <c r="AT15" s="39">
        <f t="shared" si="15"/>
        <v>0</v>
      </c>
    </row>
    <row r="16" spans="3:48" ht="14" customHeight="1">
      <c r="C16" s="199" t="s">
        <v>93</v>
      </c>
      <c r="D16" s="196">
        <f t="shared" si="0"/>
        <v>20.805300950439932</v>
      </c>
      <c r="E16" s="196">
        <f t="shared" si="4"/>
        <v>17.765647881291585</v>
      </c>
      <c r="F16" s="171">
        <f>VLOOKUP($C16,'[4]Breakdown EU havens'!$S$67:$Y$97,F$2,0)/E106</f>
        <v>3.2929227773459107</v>
      </c>
      <c r="G16" s="171">
        <f>VLOOKUP($C16,'[4]Breakdown EU havens'!$S$67:$Y$97,G$2,0)/E106</f>
        <v>0</v>
      </c>
      <c r="H16" s="171">
        <f>VLOOKUP($C16,'[4]Breakdown EU havens'!$S$67:$Y$97,H$2,0)/E106</f>
        <v>1.9386149072895482</v>
      </c>
      <c r="I16" s="171">
        <f>VLOOKUP($C16,'[4]Breakdown EU havens'!$S$67:$Y$97,I$2,0)/E106</f>
        <v>0</v>
      </c>
      <c r="J16" s="171">
        <f>VLOOKUP($C16,'[4]Breakdown EU havens'!$S$67:$Y$97,J$2,0)/E106</f>
        <v>0</v>
      </c>
      <c r="K16" s="171">
        <f>VLOOKUP($C16,'[4]Breakdown EU havens'!$S$67:$Y$97,K$2,0)/E106</f>
        <v>12.534110196656124</v>
      </c>
      <c r="L16" s="196">
        <f t="shared" si="5"/>
        <v>3.039653069148347</v>
      </c>
      <c r="M16" s="178">
        <f>VLOOKUP($C16,'[4]Breakdown non-EU havens'!$K$59:$M$86,3,0)/E106</f>
        <v>1.4513349460076854</v>
      </c>
      <c r="N16" s="183">
        <f>VLOOKUP($C16,'[4]Breakdown non-EU havens'!$K$59:$M$86,2,0)/E106</f>
        <v>1.5883181231406618</v>
      </c>
      <c r="O16" s="196">
        <f t="shared" si="2"/>
        <v>321.54483120632085</v>
      </c>
      <c r="P16" s="196">
        <f t="shared" si="6"/>
        <v>253.84250440066393</v>
      </c>
      <c r="Q16" s="171">
        <f>VLOOKUP($C16,'[4]Breakdown EU havens'!$J$67:$P$94,Q$2,0)/E106</f>
        <v>52.096814982163586</v>
      </c>
      <c r="R16" s="171">
        <f>VLOOKUP($C16,'[4]Breakdown EU havens'!$J$67:$P$94,R$2,0)/E106</f>
        <v>0.19124791094165383</v>
      </c>
      <c r="S16" s="171">
        <f>VLOOKUP($C16,'[4]Breakdown EU havens'!$J$67:$P$94,S$2,0)/E106</f>
        <v>44.293059850418139</v>
      </c>
      <c r="T16" s="171">
        <f>VLOOKUP($C16,'[4]Breakdown EU havens'!$J$67:$P$94,T$2,0)/E106</f>
        <v>99.471599328890861</v>
      </c>
      <c r="U16" s="171">
        <f>VLOOKUP($C16,'[4]Breakdown EU havens'!$J$67:$P$94,U$2,0)/E106</f>
        <v>16.624801761804552</v>
      </c>
      <c r="V16" s="171">
        <f>VLOOKUP($C16,'[4]Breakdown EU havens'!$J$67:$P$94,V$2,0)/E106</f>
        <v>41.164980566445152</v>
      </c>
      <c r="W16" s="196">
        <f t="shared" si="7"/>
        <v>67.702326805656909</v>
      </c>
      <c r="X16" s="178">
        <f>IFERROR(IFERROR(VLOOKUP(C16,'[4]Swiss pivot'!$E$3:$H$54,4,0),VLOOKUP($C16,'[4]Breakdown non-EU havens'!$F$59:$H$86,3,0)/$E$106),AJ16*'[4]Non-EU tax havens'!$I$8)</f>
        <v>36.642973399452714</v>
      </c>
      <c r="Y16" s="177">
        <f>VLOOKUP($C16,'[4]Breakdown non-EU havens'!$F$59:$H$86,2,0)/E106</f>
        <v>31.059353406204195</v>
      </c>
      <c r="Z16" s="159"/>
      <c r="AA16" s="36">
        <f>+'[4]CDIS Table-4'!O13</f>
        <v>6.773202753420001E-4</v>
      </c>
      <c r="AB16" s="39"/>
      <c r="AC16" s="39">
        <f t="shared" si="8"/>
        <v>0</v>
      </c>
      <c r="AD16" s="39">
        <f t="shared" si="9"/>
        <v>0</v>
      </c>
      <c r="AE16" s="39">
        <f t="shared" si="10"/>
        <v>0</v>
      </c>
      <c r="AF16" s="39"/>
      <c r="AG16" s="36">
        <f t="shared" si="16"/>
        <v>6.773202753420001E-4</v>
      </c>
      <c r="AH16" s="39"/>
      <c r="AI16" s="39"/>
      <c r="AJ16" s="39">
        <f t="shared" si="17"/>
        <v>0</v>
      </c>
      <c r="AK16" s="39"/>
      <c r="AL16" s="36">
        <f>+'[4]CDIS Table-4'!U13</f>
        <v>0</v>
      </c>
      <c r="AM16" s="39"/>
      <c r="AN16" s="39">
        <f t="shared" si="11"/>
        <v>0</v>
      </c>
      <c r="AO16" s="39">
        <f t="shared" si="12"/>
        <v>0</v>
      </c>
      <c r="AP16" s="39">
        <f t="shared" si="13"/>
        <v>0</v>
      </c>
      <c r="AQ16" s="39"/>
      <c r="AR16" s="39">
        <f t="shared" si="14"/>
        <v>0</v>
      </c>
      <c r="AS16" s="39"/>
      <c r="AT16" s="39">
        <f t="shared" si="15"/>
        <v>0</v>
      </c>
    </row>
    <row r="17" spans="1:46" ht="14" customHeight="1">
      <c r="C17" s="199" t="s">
        <v>94</v>
      </c>
      <c r="D17" s="196">
        <f t="shared" si="0"/>
        <v>289.48489893471935</v>
      </c>
      <c r="E17" s="196">
        <f t="shared" si="4"/>
        <v>228.29360569197974</v>
      </c>
      <c r="F17" s="171">
        <f>VLOOKUP($C17,'[4]Breakdown EU havens'!$S$67:$Y$97,F$2,0)/E106</f>
        <v>7.2444301101610034</v>
      </c>
      <c r="G17" s="171">
        <f>VLOOKUP($C17,'[4]Breakdown EU havens'!$S$67:$Y$97,G$2,0)/E106</f>
        <v>0</v>
      </c>
      <c r="H17" s="171">
        <f>VLOOKUP($C17,'[4]Breakdown EU havens'!$S$67:$Y$97,H$2,0)/E106</f>
        <v>2.1540165636550537</v>
      </c>
      <c r="I17" s="171">
        <f>VLOOKUP($C17,'[4]Breakdown EU havens'!$S$67:$Y$97,I$2,0)/E106</f>
        <v>16.070466745000928</v>
      </c>
      <c r="J17" s="171">
        <f>VLOOKUP($C17,'[4]Breakdown EU havens'!$S$67:$Y$97,J$2,0)/E106</f>
        <v>0</v>
      </c>
      <c r="K17" s="171">
        <f>VLOOKUP($C17,'[4]Breakdown EU havens'!$S$67:$Y$97,K$2,0)/E106</f>
        <v>202.82469227316275</v>
      </c>
      <c r="L17" s="196">
        <f t="shared" si="5"/>
        <v>61.19129324273959</v>
      </c>
      <c r="M17" s="178">
        <f>VLOOKUP($C17,'[4]Breakdown non-EU havens'!$K$59:$M$86,3,0)/E106</f>
        <v>4.4656459877159547</v>
      </c>
      <c r="N17" s="183">
        <f>VLOOKUP($C17,'[4]Breakdown non-EU havens'!$K$59:$M$86,2,0)/E106</f>
        <v>56.725647255023638</v>
      </c>
      <c r="O17" s="196">
        <f t="shared" si="2"/>
        <v>3710.6670390978684</v>
      </c>
      <c r="P17" s="196">
        <f t="shared" si="6"/>
        <v>3037.4356565657254</v>
      </c>
      <c r="Q17" s="171">
        <f>VLOOKUP($C17,'[4]Breakdown EU havens'!$J$67:$P$94,Q$2,0)/E106</f>
        <v>271.36997654888194</v>
      </c>
      <c r="R17" s="171">
        <f>VLOOKUP($C17,'[4]Breakdown EU havens'!$J$67:$P$94,R$2,0)/E106</f>
        <v>1.5299832875332307</v>
      </c>
      <c r="S17" s="171">
        <f>VLOOKUP($C17,'[4]Breakdown EU havens'!$J$67:$P$94,S$2,0)/E106</f>
        <v>1068.3064197255612</v>
      </c>
      <c r="T17" s="171">
        <f>VLOOKUP($C17,'[4]Breakdown EU havens'!$J$67:$P$94,T$2,0)/E106</f>
        <v>734.47052992843828</v>
      </c>
      <c r="U17" s="171">
        <f>VLOOKUP($C17,'[4]Breakdown EU havens'!$J$67:$P$94,U$2,0)/E106</f>
        <v>74.045992057511071</v>
      </c>
      <c r="V17" s="171">
        <f>VLOOKUP($C17,'[4]Breakdown EU havens'!$J$67:$P$94,V$2,0)/E106</f>
        <v>887.71275501779917</v>
      </c>
      <c r="W17" s="196">
        <f t="shared" si="7"/>
        <v>673.23138253214302</v>
      </c>
      <c r="X17" s="178">
        <f>IFERROR(IFERROR(VLOOKUP(C17,'[4]Swiss pivot'!$E$3:$H$54,4,0),VLOOKUP($C17,'[4]Breakdown non-EU havens'!$F$59:$H$86,3,0)/$E$106),AJ17*'[4]Non-EU tax havens'!$I$8)</f>
        <v>225.85327883350652</v>
      </c>
      <c r="Y17" s="177">
        <f>VLOOKUP($C17,'[4]Breakdown non-EU havens'!$F$59:$H$86,2,0)/$E$106</f>
        <v>447.37810369863655</v>
      </c>
      <c r="Z17" s="159"/>
      <c r="AA17" s="36">
        <f>+'[4]CDIS Table-4'!O14</f>
        <v>2.5371919195899964E-3</v>
      </c>
      <c r="AB17" s="39"/>
      <c r="AC17" s="39">
        <f t="shared" si="8"/>
        <v>0</v>
      </c>
      <c r="AD17" s="39">
        <f t="shared" si="9"/>
        <v>0</v>
      </c>
      <c r="AE17" s="39">
        <f t="shared" si="10"/>
        <v>0</v>
      </c>
      <c r="AF17" s="39"/>
      <c r="AG17" s="36">
        <f t="shared" si="16"/>
        <v>2.5371919195899964E-3</v>
      </c>
      <c r="AH17" s="39"/>
      <c r="AI17" s="39"/>
      <c r="AJ17" s="39">
        <f t="shared" si="17"/>
        <v>0</v>
      </c>
      <c r="AK17" s="39"/>
      <c r="AL17" s="36">
        <f>+'[4]CDIS Table-4'!U14</f>
        <v>0</v>
      </c>
      <c r="AM17" s="39"/>
      <c r="AN17" s="39">
        <f t="shared" si="11"/>
        <v>0</v>
      </c>
      <c r="AO17" s="39">
        <f t="shared" si="12"/>
        <v>0</v>
      </c>
      <c r="AP17" s="39">
        <f t="shared" si="13"/>
        <v>0</v>
      </c>
      <c r="AQ17" s="39"/>
      <c r="AR17" s="39">
        <f t="shared" si="14"/>
        <v>0</v>
      </c>
      <c r="AS17" s="39"/>
      <c r="AT17" s="39">
        <f t="shared" si="15"/>
        <v>0</v>
      </c>
    </row>
    <row r="18" spans="1:46" ht="14" customHeight="1">
      <c r="C18" s="199" t="s">
        <v>32</v>
      </c>
      <c r="D18" s="196">
        <f t="shared" si="0"/>
        <v>2951.3224243682594</v>
      </c>
      <c r="E18" s="196">
        <f t="shared" si="4"/>
        <v>2540.6341499525288</v>
      </c>
      <c r="F18" s="171">
        <f>VLOOKUP($C18,'[4]Breakdown EU havens'!$S$67:$Y$97,F$2,0)/E106</f>
        <v>298.55833181269594</v>
      </c>
      <c r="G18" s="171">
        <f>VLOOKUP($C18,'[4]Breakdown EU havens'!$S$67:$Y$97,G$2,0)/E106</f>
        <v>0</v>
      </c>
      <c r="H18" s="171">
        <f>VLOOKUP($C18,'[4]Breakdown EU havens'!$S$67:$Y$97,H$2,0)/E106</f>
        <v>205.70858182905761</v>
      </c>
      <c r="I18" s="171">
        <f>VLOOKUP($C18,'[4]Breakdown EU havens'!$S$67:$Y$97,I$2,0)/E106</f>
        <v>939.12523182830273</v>
      </c>
      <c r="J18" s="171">
        <f>VLOOKUP($C18,'[4]Breakdown EU havens'!$S$67:$Y$97,J$2,0)/E106</f>
        <v>3.3560236833926465</v>
      </c>
      <c r="K18" s="171">
        <f>VLOOKUP($C18,'[4]Breakdown EU havens'!$S$67:$Y$97,K$2,0)/E106</f>
        <v>1093.88598079908</v>
      </c>
      <c r="L18" s="196">
        <f t="shared" si="5"/>
        <v>410.68827441573052</v>
      </c>
      <c r="M18" s="178">
        <f>VLOOKUP($C18,'[4]Breakdown non-EU havens'!$K$59:$M$86,3,0)/E106</f>
        <v>280.21928572917614</v>
      </c>
      <c r="N18" s="183">
        <f>VLOOKUP($C18,'[4]Breakdown non-EU havens'!$K$59:$M$86,2,0)/E106</f>
        <v>130.46898868655438</v>
      </c>
      <c r="O18" s="196">
        <f t="shared" si="2"/>
        <v>32754.35974201592</v>
      </c>
      <c r="P18" s="196">
        <f t="shared" si="6"/>
        <v>27110.332005423668</v>
      </c>
      <c r="Q18" s="171">
        <f>VLOOKUP($C18,'[4]Breakdown EU havens'!$J$67:$P$94,Q$2,0)/E106</f>
        <v>3937.5861353683044</v>
      </c>
      <c r="R18" s="171">
        <f>VLOOKUP($C18,'[4]Breakdown EU havens'!$J$67:$P$94,R$2,0)/E106</f>
        <v>21.037270203581926</v>
      </c>
      <c r="S18" s="171">
        <f>VLOOKUP($C18,'[4]Breakdown EU havens'!$J$67:$P$94,S$2,0)/E106</f>
        <v>6127.2066126411755</v>
      </c>
      <c r="T18" s="171">
        <f>VLOOKUP($C18,'[4]Breakdown EU havens'!$J$67:$P$94,T$2,0)/E106</f>
        <v>10449.144515548838</v>
      </c>
      <c r="U18" s="171">
        <f>VLOOKUP($C18,'[4]Breakdown EU havens'!$J$67:$P$94,U$2,0)/E106</f>
        <v>378.32361377685493</v>
      </c>
      <c r="V18" s="171">
        <f>VLOOKUP($C18,'[4]Breakdown EU havens'!$J$67:$P$94,V$2,0)/E106</f>
        <v>6197.0338578849114</v>
      </c>
      <c r="W18" s="196">
        <f t="shared" si="7"/>
        <v>5644.0277365922502</v>
      </c>
      <c r="X18" s="178">
        <f>IFERROR(IFERROR(VLOOKUP(C18,'[4]Swiss pivot'!$E$3:$H$54,4,0),VLOOKUP($C18,'[4]Breakdown non-EU havens'!$F$59:$H$86,3,0)/$E$106),AJ18*'[4]Non-EU tax havens'!$I$8)</f>
        <v>2205.9012982829581</v>
      </c>
      <c r="Y18" s="177">
        <f>VLOOKUP($C18,'[4]Breakdown non-EU havens'!$F$59:$H$86,2,0)/$E$106</f>
        <v>3438.1264383092921</v>
      </c>
      <c r="Z18" s="159"/>
      <c r="AA18" s="36">
        <f>+'[4]CDIS Table-4'!O15</f>
        <v>2.3101070838444246E-2</v>
      </c>
      <c r="AB18" s="39"/>
      <c r="AC18" s="39">
        <f t="shared" si="8"/>
        <v>0</v>
      </c>
      <c r="AD18" s="39">
        <f t="shared" si="9"/>
        <v>0</v>
      </c>
      <c r="AE18" s="39">
        <f t="shared" si="10"/>
        <v>0</v>
      </c>
      <c r="AF18" s="39"/>
      <c r="AG18" s="36">
        <f t="shared" si="16"/>
        <v>2.3101070838444246E-2</v>
      </c>
      <c r="AH18" s="39"/>
      <c r="AI18" s="39"/>
      <c r="AJ18" s="39">
        <f t="shared" si="17"/>
        <v>0</v>
      </c>
      <c r="AK18" s="39"/>
      <c r="AL18" s="36">
        <f>+'[4]CDIS Table-4'!U15</f>
        <v>0</v>
      </c>
      <c r="AM18" s="39"/>
      <c r="AN18" s="39">
        <f t="shared" si="11"/>
        <v>0</v>
      </c>
      <c r="AO18" s="39">
        <f t="shared" si="12"/>
        <v>0</v>
      </c>
      <c r="AP18" s="39">
        <f t="shared" si="13"/>
        <v>0</v>
      </c>
      <c r="AQ18" s="39"/>
      <c r="AR18" s="39">
        <f t="shared" si="14"/>
        <v>0</v>
      </c>
      <c r="AS18" s="39"/>
      <c r="AT18" s="39">
        <f t="shared" si="15"/>
        <v>0</v>
      </c>
    </row>
    <row r="19" spans="1:46" ht="14" customHeight="1">
      <c r="B19" s="146" t="str">
        <f>+TableC1!B19</f>
        <v>Germany (until 1990 former territory of the FRG)</v>
      </c>
      <c r="C19" s="199" t="s">
        <v>34</v>
      </c>
      <c r="D19" s="196">
        <f t="shared" si="0"/>
        <v>10335.326267931079</v>
      </c>
      <c r="E19" s="196">
        <f t="shared" si="4"/>
        <v>9274.7353458485395</v>
      </c>
      <c r="F19" s="171">
        <f>VLOOKUP($B19,'[4]Breakdown EU havens'!$S$67:$Y$97,F$2,0)/E106</f>
        <v>725.76018012703878</v>
      </c>
      <c r="G19" s="171">
        <f>VLOOKUP($B19,'[4]Breakdown EU havens'!$S$67:$Y$97,G$2,0)/E106</f>
        <v>0</v>
      </c>
      <c r="H19" s="171">
        <f>VLOOKUP($B19,'[4]Breakdown EU havens'!$S$67:$Y$97,H$2,0)/E106</f>
        <v>364.02879925770407</v>
      </c>
      <c r="I19" s="171">
        <f>VLOOKUP($B19,'[4]Breakdown EU havens'!$S$67:$Y$97,I$2,0)/E106</f>
        <v>2011.7409100493867</v>
      </c>
      <c r="J19" s="171">
        <f>VLOOKUP($B19,'[4]Breakdown EU havens'!$S$67:$Y$97,J$2,0)/E106</f>
        <v>16.678420729587696</v>
      </c>
      <c r="K19" s="171">
        <f>VLOOKUP($B19,'[4]Breakdown EU havens'!$S$67:$Y$97,K$2,0)/E106</f>
        <v>6156.5270356848223</v>
      </c>
      <c r="L19" s="196">
        <f t="shared" si="5"/>
        <v>1060.5909220825392</v>
      </c>
      <c r="M19" s="178">
        <f>VLOOKUP($B19,'[4]Breakdown non-EU havens'!$K$59:$M$86,3,0)/E106</f>
        <v>530.29546104126962</v>
      </c>
      <c r="N19" s="183">
        <f>VLOOKUP($B19,'[4]Breakdown non-EU havens'!$K$59:$M$86,3,0)/E106</f>
        <v>530.29546104126962</v>
      </c>
      <c r="O19" s="196">
        <f t="shared" si="2"/>
        <v>53048.168169871125</v>
      </c>
      <c r="P19" s="196">
        <f t="shared" si="6"/>
        <v>43877.527870306258</v>
      </c>
      <c r="Q19" s="171">
        <f>VLOOKUP($B19,'[4]Breakdown EU havens'!$J$67:$P$94,Q$2,0)/E106</f>
        <v>4065.1066974141972</v>
      </c>
      <c r="R19" s="171">
        <f>VLOOKUP($B19,'[4]Breakdown EU havens'!$J$67:$P$94,R$2,0)/E106</f>
        <v>65.024289720162315</v>
      </c>
      <c r="S19" s="171">
        <f>VLOOKUP($B19,'[4]Breakdown EU havens'!$J$67:$P$94,S$2,0)/E106</f>
        <v>10923.512236443596</v>
      </c>
      <c r="T19" s="171">
        <f>VLOOKUP($B19,'[4]Breakdown EU havens'!$J$67:$P$94,T$2,0)/E106</f>
        <v>17707.101327046399</v>
      </c>
      <c r="U19" s="171">
        <f>VLOOKUP($B19,'[4]Breakdown EU havens'!$J$67:$P$94,U$2,0)/E106</f>
        <v>812.86530719560176</v>
      </c>
      <c r="V19" s="171">
        <f>VLOOKUP($B19,'[4]Breakdown EU havens'!$J$67:$P$94,V$2,0)/E106</f>
        <v>10303.918012486307</v>
      </c>
      <c r="W19" s="196">
        <f t="shared" si="7"/>
        <v>9170.6402995648696</v>
      </c>
      <c r="X19" s="178">
        <f>IFERROR(IFERROR(VLOOKUP(C19,'[4]Swiss pivot'!$E$3:$H$54,4,0),VLOOKUP($C19,'[4]Breakdown non-EU havens'!$F$59:$H$86,3,0)/$E$106),AJ19*'[4]Non-EU tax havens'!$I$8)</f>
        <v>4647.4934028600337</v>
      </c>
      <c r="Y19" s="177">
        <f>VLOOKUP($B19,'[4]Breakdown non-EU havens'!$F$59:$H$86,2,0)/E106</f>
        <v>4523.1468967048359</v>
      </c>
      <c r="Z19" s="159"/>
      <c r="AA19" s="36">
        <f>+'[4]CDIS Table-4'!O16</f>
        <v>2.7155362460586724E-2</v>
      </c>
      <c r="AB19" s="39"/>
      <c r="AC19" s="39">
        <f t="shared" si="8"/>
        <v>0</v>
      </c>
      <c r="AD19" s="39">
        <f t="shared" si="9"/>
        <v>0</v>
      </c>
      <c r="AE19" s="39">
        <f t="shared" si="10"/>
        <v>0</v>
      </c>
      <c r="AF19" s="39"/>
      <c r="AG19" s="36">
        <f t="shared" si="16"/>
        <v>2.7155362460586724E-2</v>
      </c>
      <c r="AH19" s="39"/>
      <c r="AI19" s="39"/>
      <c r="AJ19" s="39">
        <f t="shared" si="17"/>
        <v>0</v>
      </c>
      <c r="AK19" s="39"/>
      <c r="AL19" s="36">
        <f>+'[4]CDIS Table-4'!U16</f>
        <v>0</v>
      </c>
      <c r="AM19" s="39"/>
      <c r="AN19" s="39">
        <f t="shared" si="11"/>
        <v>0</v>
      </c>
      <c r="AO19" s="39">
        <f t="shared" si="12"/>
        <v>0</v>
      </c>
      <c r="AP19" s="39">
        <f t="shared" si="13"/>
        <v>0</v>
      </c>
      <c r="AQ19" s="39"/>
      <c r="AR19" s="39">
        <f t="shared" si="14"/>
        <v>0</v>
      </c>
      <c r="AS19" s="39"/>
      <c r="AT19" s="39">
        <f t="shared" si="15"/>
        <v>0</v>
      </c>
    </row>
    <row r="20" spans="1:46" ht="14" customHeight="1">
      <c r="C20" s="199" t="s">
        <v>40</v>
      </c>
      <c r="D20" s="196">
        <f t="shared" si="0"/>
        <v>67.258662047068299</v>
      </c>
      <c r="E20" s="196">
        <f t="shared" si="4"/>
        <v>62.663273461487954</v>
      </c>
      <c r="F20" s="171">
        <f>VLOOKUP($C20,'[4]Breakdown EU havens'!$S$67:$Y$97,F$2,0)/E106</f>
        <v>1.6464613886729553</v>
      </c>
      <c r="G20" s="171">
        <f>VLOOKUP($C20,'[4]Breakdown EU havens'!$S$67:$Y$97,G$2,0)/E106</f>
        <v>0</v>
      </c>
      <c r="H20" s="171">
        <f>VLOOKUP($C20,'[4]Breakdown EU havens'!$S$67:$Y$97,H$2,0)/E106</f>
        <v>10.662381990092515</v>
      </c>
      <c r="I20" s="171">
        <f>VLOOKUP($C20,'[4]Breakdown EU havens'!$S$67:$Y$97,I$2,0)/E106</f>
        <v>3.6363829860951014</v>
      </c>
      <c r="J20" s="171">
        <f>VLOOKUP($C20,'[4]Breakdown EU havens'!$S$67:$Y$97,J$2,0)/E106</f>
        <v>0</v>
      </c>
      <c r="K20" s="171">
        <f>VLOOKUP($C20,'[4]Breakdown EU havens'!$S$67:$Y$97,K$2,0)/E106</f>
        <v>46.71804709662738</v>
      </c>
      <c r="L20" s="196">
        <f t="shared" si="5"/>
        <v>4.5953885855803378</v>
      </c>
      <c r="M20" s="178">
        <f>VLOOKUP($C20,'[4]Breakdown non-EU havens'!$K$59:$M$86,3,0)/E106</f>
        <v>3.4608756404798648</v>
      </c>
      <c r="N20" s="183">
        <f>VLOOKUP($C20,'[4]Breakdown non-EU havens'!$K$59:$M$86,2,0)/E106</f>
        <v>1.1345129451004727</v>
      </c>
      <c r="O20" s="196">
        <f t="shared" si="2"/>
        <v>1544.9581903381047</v>
      </c>
      <c r="P20" s="196">
        <f t="shared" si="6"/>
        <v>1296.3824874448064</v>
      </c>
      <c r="Q20" s="171">
        <f>VLOOKUP($C20,'[4]Breakdown EU havens'!$J$67:$P$94,Q$2,0)/E106</f>
        <v>204.49943791506007</v>
      </c>
      <c r="R20" s="171">
        <f>VLOOKUP($C20,'[4]Breakdown EU havens'!$J$67:$P$94,R$2,0)/E106</f>
        <v>55.461894173079621</v>
      </c>
      <c r="S20" s="171">
        <f>VLOOKUP($C20,'[4]Breakdown EU havens'!$J$67:$P$94,S$2,0)/E106</f>
        <v>369.53067075205985</v>
      </c>
      <c r="T20" s="171">
        <f>VLOOKUP($C20,'[4]Breakdown EU havens'!$J$67:$P$94,T$2,0)/E106</f>
        <v>231.32930076486247</v>
      </c>
      <c r="U20" s="171">
        <f>VLOOKUP($C20,'[4]Breakdown EU havens'!$J$67:$P$94,U$2,0)/E106</f>
        <v>45.06196267015445</v>
      </c>
      <c r="V20" s="171">
        <f>VLOOKUP($C20,'[4]Breakdown EU havens'!$J$67:$P$94,V$2,0)/E106</f>
        <v>390.4992211695901</v>
      </c>
      <c r="W20" s="196">
        <f t="shared" si="7"/>
        <v>248.57570289329831</v>
      </c>
      <c r="X20" s="178">
        <f>IFERROR(IFERROR(VLOOKUP(C20,'[4]Swiss pivot'!$E$3:$H$54,4,0),VLOOKUP($C20,'[4]Breakdown non-EU havens'!$F$59:$H$86,3,0)/$E$106),AJ20*'[4]Non-EU tax havens'!$I$8)</f>
        <v>220.39602463733823</v>
      </c>
      <c r="Y20" s="177">
        <f>VLOOKUP($C20,'[4]Breakdown non-EU havens'!$F$59:$H$86,2,0)/E106</f>
        <v>28.179678255960091</v>
      </c>
      <c r="Z20" s="159"/>
      <c r="AA20" s="36">
        <f>+'[4]CDIS Table-4'!O17</f>
        <v>9.4183324614684747E-4</v>
      </c>
      <c r="AB20" s="39"/>
      <c r="AC20" s="39">
        <f t="shared" si="8"/>
        <v>0</v>
      </c>
      <c r="AD20" s="39">
        <f t="shared" si="9"/>
        <v>0</v>
      </c>
      <c r="AE20" s="39">
        <f t="shared" si="10"/>
        <v>0</v>
      </c>
      <c r="AF20" s="39"/>
      <c r="AG20" s="36">
        <f t="shared" si="16"/>
        <v>9.4183324614684747E-4</v>
      </c>
      <c r="AH20" s="39"/>
      <c r="AI20" s="39"/>
      <c r="AJ20" s="39">
        <f t="shared" si="17"/>
        <v>0</v>
      </c>
      <c r="AK20" s="39"/>
      <c r="AL20" s="36">
        <f>+'[4]CDIS Table-4'!U17</f>
        <v>0</v>
      </c>
      <c r="AM20" s="39"/>
      <c r="AN20" s="39">
        <f t="shared" si="11"/>
        <v>0</v>
      </c>
      <c r="AO20" s="39">
        <f t="shared" si="12"/>
        <v>0</v>
      </c>
      <c r="AP20" s="39">
        <f t="shared" si="13"/>
        <v>0</v>
      </c>
      <c r="AQ20" s="39"/>
      <c r="AR20" s="39">
        <f t="shared" si="14"/>
        <v>0</v>
      </c>
      <c r="AS20" s="39"/>
      <c r="AT20" s="39">
        <f t="shared" si="15"/>
        <v>0</v>
      </c>
    </row>
    <row r="21" spans="1:46" ht="14" customHeight="1">
      <c r="C21" s="199" t="s">
        <v>95</v>
      </c>
      <c r="D21" s="196">
        <f t="shared" si="0"/>
        <v>960.77850039261011</v>
      </c>
      <c r="E21" s="196">
        <f t="shared" si="4"/>
        <v>705.32894748681247</v>
      </c>
      <c r="F21" s="171">
        <f>VLOOKUP($C21,'[4]Breakdown EU havens'!$S$67:$Y$97,F$2,0)/E106</f>
        <v>1.8659895738293495</v>
      </c>
      <c r="G21" s="171">
        <f>VLOOKUP($C21,'[4]Breakdown EU havens'!$S$67:$Y$97,G$2,0)/E106</f>
        <v>0</v>
      </c>
      <c r="H21" s="171">
        <f>VLOOKUP($C21,'[4]Breakdown EU havens'!$S$67:$Y$97,H$2,0)/E106</f>
        <v>604.09394527705967</v>
      </c>
      <c r="I21" s="171">
        <f>VLOOKUP($C21,'[4]Breakdown EU havens'!$S$67:$Y$97,I$2,0)/E106</f>
        <v>24.164351455986804</v>
      </c>
      <c r="J21" s="171">
        <f>VLOOKUP($C21,'[4]Breakdown EU havens'!$S$67:$Y$97,J$2,0)/E106</f>
        <v>0</v>
      </c>
      <c r="K21" s="171">
        <f>VLOOKUP($C21,'[4]Breakdown EU havens'!$S$67:$Y$97,K$2,0)/E106</f>
        <v>75.20466117993675</v>
      </c>
      <c r="L21" s="196">
        <f t="shared" si="5"/>
        <v>255.4495529057977</v>
      </c>
      <c r="M21" s="178">
        <f>VLOOKUP($C21,'[4]Breakdown non-EU havens'!$K$59:$M$86,3,0)/E106</f>
        <v>37.623067446506923</v>
      </c>
      <c r="N21" s="183">
        <f>VLOOKUP($C21,'[4]Breakdown non-EU havens'!$K$59:$M$86,2,0)/E106</f>
        <v>217.82648545929078</v>
      </c>
      <c r="O21" s="196">
        <f t="shared" si="2"/>
        <v>3880.5966834709743</v>
      </c>
      <c r="P21" s="196">
        <f t="shared" si="6"/>
        <v>3444.8167648709514</v>
      </c>
      <c r="Q21" s="171">
        <f>VLOOKUP($C21,'[4]Breakdown EU havens'!$J$67:$P$94,Q$2,0)/E106</f>
        <v>198.27892269330917</v>
      </c>
      <c r="R21" s="171">
        <f>VLOOKUP($C21,'[4]Breakdown EU havens'!$J$67:$P$94,R$2,0)/E106</f>
        <v>0.76499164376661533</v>
      </c>
      <c r="S21" s="171">
        <f>VLOOKUP($C21,'[4]Breakdown EU havens'!$J$67:$P$94,S$2,0)/E106</f>
        <v>2372.315193655133</v>
      </c>
      <c r="T21" s="171">
        <f>VLOOKUP($C21,'[4]Breakdown EU havens'!$J$67:$P$94,T$2,0)/E106</f>
        <v>179.97419599506301</v>
      </c>
      <c r="U21" s="171">
        <f>VLOOKUP($C21,'[4]Breakdown EU havens'!$J$67:$P$94,U$2,0)/E106</f>
        <v>13.343590887764181</v>
      </c>
      <c r="V21" s="171">
        <f>VLOOKUP($C21,'[4]Breakdown EU havens'!$J$67:$P$94,V$2,0)/E106</f>
        <v>680.13986999591543</v>
      </c>
      <c r="W21" s="196">
        <f t="shared" si="7"/>
        <v>435.77991860002311</v>
      </c>
      <c r="X21" s="178">
        <f>IFERROR(IFERROR(VLOOKUP(C21,'[4]Swiss pivot'!$E$3:$H$54,4,0),VLOOKUP($C21,'[4]Breakdown non-EU havens'!$F$59:$H$86,3,0)/$E$106),AJ21*'[4]Non-EU tax havens'!$I$8)</f>
        <v>114.38760272456585</v>
      </c>
      <c r="Y21" s="177">
        <f>VLOOKUP($C21,'[4]Breakdown non-EU havens'!$F$59:$H$86,2,0)/E106</f>
        <v>321.39231587545726</v>
      </c>
      <c r="Z21" s="159"/>
      <c r="AA21" s="36">
        <f>+'[4]CDIS Table-4'!O18</f>
        <v>7.0490294335267892E-3</v>
      </c>
      <c r="AB21" s="39"/>
      <c r="AC21" s="39">
        <f t="shared" si="8"/>
        <v>0</v>
      </c>
      <c r="AD21" s="39">
        <f t="shared" si="9"/>
        <v>0</v>
      </c>
      <c r="AE21" s="39">
        <f t="shared" si="10"/>
        <v>0</v>
      </c>
      <c r="AF21" s="39"/>
      <c r="AG21" s="36">
        <f t="shared" si="16"/>
        <v>7.0490294335267892E-3</v>
      </c>
      <c r="AH21" s="39"/>
      <c r="AI21" s="39"/>
      <c r="AJ21" s="39">
        <f t="shared" si="17"/>
        <v>0</v>
      </c>
      <c r="AK21" s="39"/>
      <c r="AL21" s="36">
        <f>+'[4]CDIS Table-4'!U18</f>
        <v>0</v>
      </c>
      <c r="AM21" s="39"/>
      <c r="AN21" s="39">
        <f t="shared" si="11"/>
        <v>0</v>
      </c>
      <c r="AO21" s="39">
        <f t="shared" si="12"/>
        <v>0</v>
      </c>
      <c r="AP21" s="39">
        <f t="shared" si="13"/>
        <v>0</v>
      </c>
      <c r="AQ21" s="39"/>
      <c r="AR21" s="39">
        <f t="shared" si="14"/>
        <v>0</v>
      </c>
      <c r="AS21" s="39"/>
      <c r="AT21" s="39">
        <f t="shared" si="15"/>
        <v>0</v>
      </c>
    </row>
    <row r="22" spans="1:46" ht="14" customHeight="1">
      <c r="C22" s="199" t="s">
        <v>113</v>
      </c>
      <c r="D22" s="196">
        <f t="shared" si="0"/>
        <v>30.491798810765058</v>
      </c>
      <c r="E22" s="196">
        <f t="shared" si="4"/>
        <v>2.7482677042962287</v>
      </c>
      <c r="F22" s="171">
        <f>HLOOKUP($C22,'[4]Interest shifted to EU'!$L$12:$AT$18,F$2,0)/E106</f>
        <v>0.18895699403824776</v>
      </c>
      <c r="G22" s="171">
        <f>HLOOKUP($C22,'[4]Interest shifted to EU'!$L$12:$AT$18,G$2,0)/E106</f>
        <v>0</v>
      </c>
      <c r="H22" s="171">
        <f>HLOOKUP($C22,'[4]Interest shifted to EU'!$L$12:$AT$18,H$2,0)/E106</f>
        <v>0</v>
      </c>
      <c r="I22" s="171">
        <f>HLOOKUP($C22,'[4]Interest shifted to EU'!$L$12:$AT$18,I$2,0)/E106</f>
        <v>0.80427922235440608</v>
      </c>
      <c r="J22" s="171">
        <f>HLOOKUP($C22,'[4]Interest shifted to EU'!$L$12:$AT$18,J$2,0)/E106</f>
        <v>1.7550314879035749</v>
      </c>
      <c r="K22" s="171">
        <f>HLOOKUP($C22,'[4]Interest shifted to EU'!$L$12:$AT$18,K$2,0)/E106</f>
        <v>0</v>
      </c>
      <c r="L22" s="196">
        <f t="shared" si="5"/>
        <v>27.743531106468829</v>
      </c>
      <c r="M22" s="183">
        <f>AB22*'[4]Non-EU tax havens'!$M$13</f>
        <v>8.47590559009606</v>
      </c>
      <c r="N22" s="183">
        <f>AC22*'[4]Non-EU tax havens'!$M$13</f>
        <v>19.267625516372767</v>
      </c>
      <c r="O22" s="196">
        <f t="shared" si="2"/>
        <v>522.21592667912023</v>
      </c>
      <c r="P22" s="196">
        <f t="shared" si="6"/>
        <v>205.33058321309909</v>
      </c>
      <c r="Q22" s="171">
        <f>HLOOKUP($C22,'[4]Non EU income shifted to EU'!$A$2:$AI$18,Q$2+10,0)/E106</f>
        <v>4.6479634750894832</v>
      </c>
      <c r="R22" s="171">
        <f>HLOOKUP($C22,'[4]Non EU income shifted to EU'!$A$2:$AI$18,R$2+10,0)/E106</f>
        <v>0</v>
      </c>
      <c r="S22" s="171">
        <f>HLOOKUP($C22,'[4]Non EU income shifted to EU'!$A$2:$AI$18,S$2+10,0)/E106</f>
        <v>87.169196451004979</v>
      </c>
      <c r="T22" s="171">
        <f>HLOOKUP($C22,'[4]Non EU income shifted to EU'!$A$2:$AI$18,T$2+10,0)/E106</f>
        <v>47.012250388495254</v>
      </c>
      <c r="U22" s="171">
        <f>HLOOKUP($C22,'[4]Non EU income shifted to EU'!$A$2:$AI$18,U$2+10,0)/E106</f>
        <v>0.1580457238323143</v>
      </c>
      <c r="V22" s="171">
        <f>HLOOKUP($C22,'[4]Non EU income shifted to EU'!$A$2:$AI$18,V$2+10,0)/E106</f>
        <v>66.343127174677065</v>
      </c>
      <c r="W22" s="196">
        <f t="shared" si="7"/>
        <v>316.88534346602108</v>
      </c>
      <c r="X22" s="178">
        <f>IFERROR(IFERROR(VLOOKUP(C22,'[4]Swiss pivot'!$E$3:$H$54,4,0),VLOOKUP($C22,'[4]Breakdown non-EU havens'!$F$59:$H$86,3,0)/$E$106),AJ22*'[4]Non-EU tax havens'!$I$8)</f>
        <v>64.723833220321168</v>
      </c>
      <c r="Y22" s="177">
        <f>AE22*'[4]Non-EU tax havens'!$O$13</f>
        <v>252.1615102456999</v>
      </c>
      <c r="Z22" s="159"/>
      <c r="AA22" s="36">
        <f>+'[4]CDIS Table-4'!O19</f>
        <v>2.9676185886762328E-4</v>
      </c>
      <c r="AB22" s="39">
        <f>+AA22</f>
        <v>2.9676185886762328E-4</v>
      </c>
      <c r="AC22" s="39">
        <f t="shared" si="8"/>
        <v>6.7460595253506471E-4</v>
      </c>
      <c r="AD22" s="39">
        <f t="shared" si="9"/>
        <v>2.9676185886762328E-4</v>
      </c>
      <c r="AE22" s="39">
        <f t="shared" si="10"/>
        <v>8.9082707587750823E-4</v>
      </c>
      <c r="AF22" s="39"/>
      <c r="AG22" s="36">
        <f t="shared" si="16"/>
        <v>2.9676185886762328E-4</v>
      </c>
      <c r="AH22" s="39">
        <f>+AG22</f>
        <v>2.9676185886762328E-4</v>
      </c>
      <c r="AI22" s="39">
        <f>+AH22</f>
        <v>2.9676185886762328E-4</v>
      </c>
      <c r="AJ22" s="39">
        <f t="shared" si="17"/>
        <v>2.2271416248214656E-3</v>
      </c>
      <c r="AK22" s="39"/>
      <c r="AL22" s="36">
        <f>+'[4]CDIS Table-4'!U19</f>
        <v>0</v>
      </c>
      <c r="AM22" s="39">
        <f>+AL22</f>
        <v>0</v>
      </c>
      <c r="AN22" s="39">
        <f t="shared" si="11"/>
        <v>0</v>
      </c>
      <c r="AO22" s="39">
        <f t="shared" si="12"/>
        <v>0</v>
      </c>
      <c r="AP22" s="39">
        <f t="shared" si="13"/>
        <v>0</v>
      </c>
      <c r="AQ22" s="39">
        <v>0</v>
      </c>
      <c r="AR22" s="39">
        <f t="shared" si="14"/>
        <v>0</v>
      </c>
      <c r="AS22" s="39">
        <v>0</v>
      </c>
      <c r="AT22" s="39">
        <f>+AS22/$AS$99</f>
        <v>0</v>
      </c>
    </row>
    <row r="23" spans="1:46" ht="14" customHeight="1">
      <c r="C23" s="199" t="s">
        <v>20</v>
      </c>
      <c r="D23" s="196">
        <f t="shared" si="0"/>
        <v>6413.4860048779292</v>
      </c>
      <c r="E23" s="196">
        <f t="shared" si="4"/>
        <v>6117.9630642062712</v>
      </c>
      <c r="F23" s="171">
        <f>VLOOKUP($C23,'[4]Breakdown EU havens'!$S$67:$Y$97,F$2,0)/E106</f>
        <v>113.60583581843393</v>
      </c>
      <c r="G23" s="171">
        <f>VLOOKUP($C23,'[4]Breakdown EU havens'!$S$67:$Y$97,G$2,0)/E106</f>
        <v>0.39424956668376188</v>
      </c>
      <c r="H23" s="171">
        <f>VLOOKUP($C23,'[4]Breakdown EU havens'!$S$67:$Y$97,H$2,0)/E106</f>
        <v>0</v>
      </c>
      <c r="I23" s="171">
        <f>VLOOKUP($C23,'[4]Breakdown EU havens'!$S$67:$Y$97,I$2,0)/E106</f>
        <v>863.23039982818864</v>
      </c>
      <c r="J23" s="171">
        <f>VLOOKUP($C23,'[4]Breakdown EU havens'!$S$67:$Y$97,J$2,0)/E106</f>
        <v>6.3052566172831535</v>
      </c>
      <c r="K23" s="171">
        <f>VLOOKUP($C23,'[4]Breakdown EU havens'!$S$67:$Y$97,K$2,0)/E106</f>
        <v>5134.4273223756818</v>
      </c>
      <c r="L23" s="196">
        <f t="shared" si="5"/>
        <v>295.52294067165781</v>
      </c>
      <c r="M23" s="178">
        <f>VLOOKUP($C23,'[4]Breakdown non-EU havens'!$K$59:$M$86,3,0)/E106</f>
        <v>190.01323677731386</v>
      </c>
      <c r="N23" s="183">
        <f>VLOOKUP($C23,'[4]Breakdown non-EU havens'!$K$59:$M$86,2,0)/E106</f>
        <v>105.50970389434397</v>
      </c>
      <c r="O23" s="196">
        <f t="shared" si="2"/>
        <v>68936.455056698163</v>
      </c>
      <c r="P23" s="196">
        <f t="shared" si="6"/>
        <v>25882.143940081151</v>
      </c>
      <c r="Q23" s="171">
        <f>VLOOKUP($C23,'[4]Breakdown EU havens'!$J$67:$P$94,Q$2,0)/E106</f>
        <v>2354.4650114327064</v>
      </c>
      <c r="R23" s="171">
        <f>VLOOKUP($C23,'[4]Breakdown EU havens'!$J$67:$P$94,R$2,0)/E106</f>
        <v>20.208529256168092</v>
      </c>
      <c r="S23" s="171">
        <f>VLOOKUP($C23,'[4]Breakdown EU havens'!$J$67:$P$94,S$2,0)/E106</f>
        <v>0</v>
      </c>
      <c r="T23" s="171">
        <f>VLOOKUP($C23,'[4]Breakdown EU havens'!$J$67:$P$94,T$2,0)/E106</f>
        <v>1120.7904622057586</v>
      </c>
      <c r="U23" s="171">
        <f>VLOOKUP($C23,'[4]Breakdown EU havens'!$J$67:$P$94,U$2,0)/E106</f>
        <v>353.27703743834678</v>
      </c>
      <c r="V23" s="171">
        <f>VLOOKUP($C23,'[4]Breakdown EU havens'!$J$67:$P$94,V$2,0)/E106</f>
        <v>22033.402899748169</v>
      </c>
      <c r="W23" s="196">
        <f t="shared" si="7"/>
        <v>43054.311116617013</v>
      </c>
      <c r="X23" s="178">
        <f>IFERROR(IFERROR(VLOOKUP(C23,'[4]Swiss pivot'!$E$3:$H$54,4,0),VLOOKUP($C23,'[4]Breakdown non-EU havens'!$F$59:$H$86,3,0)/$E$106),AJ23*'[4]Non-EU tax havens'!$I$8)</f>
        <v>3158.4688208066409</v>
      </c>
      <c r="Y23" s="177">
        <f>VLOOKUP($C23,'[4]Breakdown non-EU havens'!$F$59:$H$86,2,0)/E106</f>
        <v>39895.842295810369</v>
      </c>
      <c r="Z23" s="159"/>
      <c r="AA23" s="36">
        <f>+'[4]CDIS Table-4'!O20</f>
        <v>2.9830831694854485E-2</v>
      </c>
      <c r="AB23" s="39"/>
      <c r="AC23" s="39">
        <f t="shared" si="8"/>
        <v>0</v>
      </c>
      <c r="AD23" s="39">
        <f t="shared" si="9"/>
        <v>0</v>
      </c>
      <c r="AE23" s="39">
        <f t="shared" si="10"/>
        <v>0</v>
      </c>
      <c r="AF23" s="39"/>
      <c r="AG23" s="36">
        <f t="shared" si="16"/>
        <v>2.9830831694854485E-2</v>
      </c>
      <c r="AH23" s="39"/>
      <c r="AI23" s="39"/>
      <c r="AJ23" s="39">
        <f t="shared" si="17"/>
        <v>0</v>
      </c>
      <c r="AK23" s="39"/>
      <c r="AL23" s="36">
        <f>+'[4]CDIS Table-4'!U20</f>
        <v>0</v>
      </c>
      <c r="AM23" s="39"/>
      <c r="AN23" s="39">
        <f t="shared" si="11"/>
        <v>0</v>
      </c>
      <c r="AO23" s="39">
        <f t="shared" si="12"/>
        <v>0</v>
      </c>
      <c r="AP23" s="39">
        <f t="shared" si="13"/>
        <v>0</v>
      </c>
      <c r="AQ23" s="39"/>
      <c r="AR23" s="39">
        <f t="shared" si="14"/>
        <v>0</v>
      </c>
      <c r="AS23" s="39"/>
      <c r="AT23" s="39">
        <f>+AS23/$AB$104</f>
        <v>0</v>
      </c>
    </row>
    <row r="24" spans="1:46" ht="14" customHeight="1">
      <c r="C24" s="199" t="s">
        <v>114</v>
      </c>
      <c r="D24" s="196">
        <f t="shared" si="0"/>
        <v>576.05264917423722</v>
      </c>
      <c r="E24" s="196">
        <f t="shared" si="4"/>
        <v>240.8615885739851</v>
      </c>
      <c r="F24" s="171">
        <f>AR24*'[4]Interest shifted to EU'!$AU$13</f>
        <v>35.735250086971242</v>
      </c>
      <c r="G24" s="171">
        <f>AR24*'[4]Interest shifted to EU'!$AU$14</f>
        <v>28.606275537627596</v>
      </c>
      <c r="H24" s="171">
        <f>AR24*'[4]Interest shifted to EU'!$AU$15</f>
        <v>-68.371450471882895</v>
      </c>
      <c r="I24" s="171">
        <f>AR24*'[4]Interest shifted to EU'!$AU$16</f>
        <v>57.634508825327572</v>
      </c>
      <c r="J24" s="171">
        <f>AR24*'[4]Interest shifted to EU'!$AU$17</f>
        <v>158.84392622543049</v>
      </c>
      <c r="K24" s="171">
        <f>AR24*'[4]Interest shifted to EU'!$AU$18</f>
        <v>28.413078370511105</v>
      </c>
      <c r="L24" s="196">
        <f t="shared" si="5"/>
        <v>335.19106060025211</v>
      </c>
      <c r="M24" s="178">
        <f>AB24*'[4]Non-EU tax havens'!$M$13</f>
        <v>102.40397206069672</v>
      </c>
      <c r="N24" s="183">
        <f>AC24*'[4]Non-EU tax havens'!$M$13</f>
        <v>232.78708853955541</v>
      </c>
      <c r="O24" s="196">
        <f t="shared" si="2"/>
        <v>3500.7235680460649</v>
      </c>
      <c r="P24" s="196">
        <f t="shared" si="6"/>
        <v>77.71676224994988</v>
      </c>
      <c r="Q24" s="171">
        <f>AR24*'[4]Non EU income shifted to EU'!$AJ$13</f>
        <v>36.962459487527404</v>
      </c>
      <c r="R24" s="171">
        <f>AS24*'[4]Non EU income shifted to EU'!$AJ$13</f>
        <v>3.7918432748950677</v>
      </c>
      <c r="S24" s="171">
        <f>AT24*'[4]Non EU income shifted to EU'!$AJ$13</f>
        <v>36.962459487527404</v>
      </c>
      <c r="T24" s="171">
        <f>AU24*'[4]Non EU income shifted to EU'!$AJ$13</f>
        <v>0</v>
      </c>
      <c r="U24" s="171">
        <f>AV24*'[4]Non EU income shifted to EU'!$AJ$13</f>
        <v>0</v>
      </c>
      <c r="V24" s="171">
        <f>AW24*'[4]Non EU income shifted to EU'!$AJ$13</f>
        <v>0</v>
      </c>
      <c r="W24" s="196">
        <f t="shared" si="7"/>
        <v>3423.0068057961148</v>
      </c>
      <c r="X24" s="178">
        <f>IFERROR(IFERROR(VLOOKUP(C24,'[4]Swiss pivot'!$E$3:$H$54,4,0),VLOOKUP($C24,'[4]Breakdown non-EU havens'!$F$59:$H$86,3,0)/$E$106),AJ24*'[4]Non-EU tax havens'!$I$8)</f>
        <v>376.44853830471305</v>
      </c>
      <c r="Y24" s="177">
        <f>AE24*'[4]Non-EU tax havens'!$O$13</f>
        <v>3046.5582674914017</v>
      </c>
      <c r="Z24" s="159"/>
      <c r="AA24" s="36">
        <f>+'[4]CDIS Table-4'!O21</f>
        <v>3.5854095802659949E-3</v>
      </c>
      <c r="AB24" s="39">
        <f>+AA24</f>
        <v>3.5854095802659949E-3</v>
      </c>
      <c r="AC24" s="39">
        <f t="shared" si="8"/>
        <v>8.1504363611720615E-3</v>
      </c>
      <c r="AD24" s="39">
        <f t="shared" si="9"/>
        <v>3.5854095802659949E-3</v>
      </c>
      <c r="AE24" s="39">
        <f t="shared" si="10"/>
        <v>1.0762771012417403E-2</v>
      </c>
      <c r="AF24" s="39"/>
      <c r="AG24" s="36">
        <f t="shared" si="16"/>
        <v>3.5854095802659949E-3</v>
      </c>
      <c r="AH24" s="39">
        <f>+AG24</f>
        <v>3.5854095802659949E-3</v>
      </c>
      <c r="AI24" s="39"/>
      <c r="AJ24" s="39">
        <f t="shared" si="17"/>
        <v>0</v>
      </c>
      <c r="AK24" s="39"/>
      <c r="AL24" s="36">
        <f>+'[4]CDIS Table-4'!U21</f>
        <v>0</v>
      </c>
      <c r="AM24" s="39">
        <f>+AL24</f>
        <v>0</v>
      </c>
      <c r="AN24" s="39">
        <f t="shared" si="11"/>
        <v>0</v>
      </c>
      <c r="AO24" s="39">
        <f t="shared" si="12"/>
        <v>0</v>
      </c>
      <c r="AP24" s="39">
        <f t="shared" si="13"/>
        <v>0</v>
      </c>
      <c r="AQ24" s="39">
        <f>+AB24</f>
        <v>3.5854095802659949E-3</v>
      </c>
      <c r="AR24" s="39">
        <f t="shared" si="14"/>
        <v>3.4950167174417797E-2</v>
      </c>
      <c r="AS24" s="39">
        <f>+AD24</f>
        <v>3.5854095802659949E-3</v>
      </c>
      <c r="AT24" s="39">
        <f>+AS24/$AS$99</f>
        <v>3.4950167174417797E-2</v>
      </c>
    </row>
    <row r="25" spans="1:46" ht="14" customHeight="1">
      <c r="C25" s="199" t="s">
        <v>33</v>
      </c>
      <c r="D25" s="196">
        <f t="shared" si="0"/>
        <v>2543.5958706932256</v>
      </c>
      <c r="E25" s="196">
        <f t="shared" si="4"/>
        <v>2144.0340994029702</v>
      </c>
      <c r="F25" s="171">
        <f>VLOOKUP($C25,'[4]Breakdown EU havens'!$S$67:$Y$97,F$2,0)/E106</f>
        <v>311.40073064434489</v>
      </c>
      <c r="G25" s="171">
        <f>VLOOKUP($C25,'[4]Breakdown EU havens'!$S$67:$Y$97,G$2,0)/E106</f>
        <v>0.26283304445584132</v>
      </c>
      <c r="H25" s="171">
        <f>VLOOKUP($C25,'[4]Breakdown EU havens'!$S$67:$Y$97,H$2,0)/E106</f>
        <v>167.90559113691145</v>
      </c>
      <c r="I25" s="171">
        <f>VLOOKUP($C25,'[4]Breakdown EU havens'!$S$67:$Y$97,I$2,0)/E106</f>
        <v>743.22976128705022</v>
      </c>
      <c r="J25" s="171">
        <f>VLOOKUP($C25,'[4]Breakdown EU havens'!$S$67:$Y$97,J$2,0)/E106</f>
        <v>3.9662098076458552</v>
      </c>
      <c r="K25" s="171">
        <f>VLOOKUP($C25,'[4]Breakdown EU havens'!$S$67:$Y$97,K$2,0)/E106</f>
        <v>917.26897348256193</v>
      </c>
      <c r="L25" s="196">
        <f t="shared" si="5"/>
        <v>399.56177129025542</v>
      </c>
      <c r="M25" s="178">
        <f>VLOOKUP($C25,'[4]Breakdown non-EU havens'!$K$59:$M$86,3,0)/E106</f>
        <v>357.69824361604799</v>
      </c>
      <c r="N25" s="183">
        <f>VLOOKUP($C25,'[4]Breakdown non-EU havens'!$K$59:$M$86,2,0)/E106</f>
        <v>41.863527674207454</v>
      </c>
      <c r="O25" s="196">
        <f t="shared" si="2"/>
        <v>21727.323355519322</v>
      </c>
      <c r="P25" s="196">
        <f t="shared" si="6"/>
        <v>19377.325076131405</v>
      </c>
      <c r="Q25" s="171">
        <f>VLOOKUP($C25,'[4]Breakdown EU havens'!$J$67:$P$94,Q$2,0)/E106</f>
        <v>1156.2382668429441</v>
      </c>
      <c r="R25" s="171">
        <f>VLOOKUP($C25,'[4]Breakdown EU havens'!$J$67:$P$94,R$2,0)/E106</f>
        <v>25.499721458887183</v>
      </c>
      <c r="S25" s="171">
        <f>VLOOKUP($C25,'[4]Breakdown EU havens'!$J$67:$P$94,S$2,0)/E106</f>
        <v>5380.5521751626975</v>
      </c>
      <c r="T25" s="171">
        <f>VLOOKUP($C25,'[4]Breakdown EU havens'!$J$67:$P$94,T$2,0)/E106</f>
        <v>9748.2167342313041</v>
      </c>
      <c r="U25" s="171">
        <f>VLOOKUP($C25,'[4]Breakdown EU havens'!$J$67:$P$94,U$2,0)/E106</f>
        <v>215.24743333704845</v>
      </c>
      <c r="V25" s="171">
        <f>VLOOKUP($C25,'[4]Breakdown EU havens'!$J$67:$P$94,V$2,0)/E106</f>
        <v>2851.570745098526</v>
      </c>
      <c r="W25" s="196">
        <f t="shared" si="7"/>
        <v>2349.998279387919</v>
      </c>
      <c r="X25" s="178">
        <f>IFERROR(IFERROR(VLOOKUP(C25,'[4]Swiss pivot'!$E$3:$H$54,4,0),VLOOKUP($C25,'[4]Breakdown non-EU havens'!$F$59:$H$86,3,0)/$E$106),AJ25*'[4]Non-EU tax havens'!$I$8)</f>
        <v>1385.924177302627</v>
      </c>
      <c r="Y25" s="177">
        <f>VLOOKUP($C25,'[4]Breakdown non-EU havens'!$F$59:$H$86,2,0)/E106</f>
        <v>964.07410208529177</v>
      </c>
      <c r="Z25" s="159"/>
      <c r="AA25" s="36">
        <f>+'[4]CDIS Table-4'!O22</f>
        <v>1.1975697569500557E-2</v>
      </c>
      <c r="AB25" s="39"/>
      <c r="AC25" s="39">
        <f t="shared" si="8"/>
        <v>0</v>
      </c>
      <c r="AD25" s="39">
        <f t="shared" si="9"/>
        <v>0</v>
      </c>
      <c r="AE25" s="39">
        <f t="shared" si="10"/>
        <v>0</v>
      </c>
      <c r="AF25" s="39"/>
      <c r="AG25" s="36">
        <f t="shared" si="16"/>
        <v>1.1975697569500557E-2</v>
      </c>
      <c r="AH25" s="39"/>
      <c r="AI25" s="39"/>
      <c r="AJ25" s="39">
        <f t="shared" si="17"/>
        <v>0</v>
      </c>
      <c r="AK25" s="39"/>
      <c r="AL25" s="36">
        <f>+'[4]CDIS Table-4'!U22</f>
        <v>0</v>
      </c>
      <c r="AM25" s="39"/>
      <c r="AN25" s="39">
        <f t="shared" si="11"/>
        <v>0</v>
      </c>
      <c r="AO25" s="39">
        <f t="shared" si="12"/>
        <v>0</v>
      </c>
      <c r="AP25" s="39">
        <f t="shared" si="13"/>
        <v>0</v>
      </c>
      <c r="AQ25" s="39"/>
      <c r="AR25" s="39">
        <f t="shared" si="14"/>
        <v>0</v>
      </c>
      <c r="AS25" s="39"/>
      <c r="AT25" s="39">
        <f t="shared" ref="AT25:AT46" si="18">+AS25/$AB$104</f>
        <v>0</v>
      </c>
    </row>
    <row r="26" spans="1:46" ht="14" customHeight="1">
      <c r="C26" s="199" t="s">
        <v>31</v>
      </c>
      <c r="D26" s="196">
        <f t="shared" si="0"/>
        <v>746.73143205200893</v>
      </c>
      <c r="E26" s="196">
        <f t="shared" si="4"/>
        <v>322.26236351717131</v>
      </c>
      <c r="F26" s="171">
        <f>HLOOKUP($C26,'[4]Interest shifted to EU'!$L$12:$AT$18,F$2,0)/E106</f>
        <v>14.171774552868582</v>
      </c>
      <c r="G26" s="171">
        <f>HLOOKUP($C26,'[4]Interest shifted to EU'!$L$12:$AT$18,G$2,0)/E106</f>
        <v>0</v>
      </c>
      <c r="H26" s="171">
        <f>HLOOKUP($C26,'[4]Interest shifted to EU'!$L$12:$AT$18,H$2,0)/E106</f>
        <v>0</v>
      </c>
      <c r="I26" s="171">
        <f>HLOOKUP($C26,'[4]Interest shifted to EU'!$L$12:$AT$18,I$2,0)/E106</f>
        <v>0</v>
      </c>
      <c r="J26" s="171">
        <f>HLOOKUP($C26,'[4]Interest shifted to EU'!$L$12:$AT$18,J$2,0)/E106</f>
        <v>31.941573079845064</v>
      </c>
      <c r="K26" s="171">
        <f>HLOOKUP($C26,'[4]Interest shifted to EU'!$L$12:$AT$18,K$2,0)/E106</f>
        <v>276.14901588445764</v>
      </c>
      <c r="L26" s="196">
        <f t="shared" si="5"/>
        <v>424.46906853483762</v>
      </c>
      <c r="M26" s="178">
        <f>AC26*'[4]Non-EU tax havens'!$M$8</f>
        <v>53.870683771304478</v>
      </c>
      <c r="N26" s="183">
        <f>AC26*'[4]Non-EU tax havens'!$M$13</f>
        <v>370.59838476353315</v>
      </c>
      <c r="O26" s="196">
        <f t="shared" si="2"/>
        <v>14032.291998074685</v>
      </c>
      <c r="P26" s="196">
        <f t="shared" si="6"/>
        <v>7999.1346832553536</v>
      </c>
      <c r="Q26" s="171">
        <f>HLOOKUP($C26,'[4]Non EU income shifted to EU'!$A$2:$AI$18,Q$2+10,0)/E106</f>
        <v>570.30511839347957</v>
      </c>
      <c r="R26" s="171">
        <f>HLOOKUP($C26,'[4]Non EU income shifted to EU'!$A$2:$AI$18,R$2+10,0)/E106</f>
        <v>5.4433794252224752</v>
      </c>
      <c r="S26" s="171">
        <f>HLOOKUP($C26,'[4]Non EU income shifted to EU'!$A$2:$AI$18,S$2+10,0)/E106</f>
        <v>5327.832250805639</v>
      </c>
      <c r="T26" s="171">
        <f>HLOOKUP($C26,'[4]Non EU income shifted to EU'!$A$2:$AI$18,T$2+10,0)/E106</f>
        <v>951.94583453326379</v>
      </c>
      <c r="U26" s="171">
        <f>HLOOKUP($C26,'[4]Non EU income shifted to EU'!$A$2:$AI$18,U$2+10,0)/E106</f>
        <v>1.0536381588820953</v>
      </c>
      <c r="V26" s="171">
        <f>HLOOKUP($C26,'[4]Non EU income shifted to EU'!$A$2:$AI$18,V$2+10,0)/E106</f>
        <v>1142.5544619388666</v>
      </c>
      <c r="W26" s="196">
        <f t="shared" si="7"/>
        <v>6033.1573148193311</v>
      </c>
      <c r="X26" s="178">
        <f>IFERROR(IFERROR(VLOOKUP(C26,'[4]Swiss pivot'!$E$3:$H$54,4,0),VLOOKUP($C26,'[4]Breakdown non-EU havens'!$F$59:$H$86,3,0)/$E$106),AJ26*'[4]Non-EU tax havens'!$I$8)</f>
        <v>1183.0190184745475</v>
      </c>
      <c r="Y26" s="177">
        <f>AE26*'[4]Non-EU tax havens'!$O$13</f>
        <v>4850.1382963447832</v>
      </c>
      <c r="Z26" s="159"/>
      <c r="AA26" s="36">
        <f>+'[4]CDIS Table-4'!O23</f>
        <v>5.7079926876463898E-3</v>
      </c>
      <c r="AB26" s="39">
        <f>+AA26</f>
        <v>5.7079926876463898E-3</v>
      </c>
      <c r="AC26" s="39">
        <f t="shared" si="8"/>
        <v>1.2975541596908977E-2</v>
      </c>
      <c r="AD26" s="39">
        <f t="shared" si="9"/>
        <v>5.7079926876463898E-3</v>
      </c>
      <c r="AE26" s="39">
        <f t="shared" si="10"/>
        <v>1.7134393397011397E-2</v>
      </c>
      <c r="AF26" s="39"/>
      <c r="AG26" s="36">
        <f t="shared" si="16"/>
        <v>5.7079926876463898E-3</v>
      </c>
      <c r="AH26" s="39">
        <f>+AG26</f>
        <v>5.7079926876463898E-3</v>
      </c>
      <c r="AI26" s="39"/>
      <c r="AJ26" s="39">
        <f t="shared" si="17"/>
        <v>0</v>
      </c>
      <c r="AK26" s="39"/>
      <c r="AL26" s="36">
        <f>+'[4]CDIS Table-4'!U23</f>
        <v>0</v>
      </c>
      <c r="AM26" s="39">
        <f>+AL26</f>
        <v>0</v>
      </c>
      <c r="AN26" s="39">
        <f t="shared" si="11"/>
        <v>0</v>
      </c>
      <c r="AO26" s="39">
        <f t="shared" si="12"/>
        <v>0</v>
      </c>
      <c r="AP26" s="39">
        <f t="shared" si="13"/>
        <v>0</v>
      </c>
      <c r="AQ26" s="39"/>
      <c r="AR26" s="39">
        <f t="shared" si="14"/>
        <v>0</v>
      </c>
      <c r="AS26" s="39"/>
      <c r="AT26" s="39">
        <f t="shared" si="18"/>
        <v>0</v>
      </c>
    </row>
    <row r="27" spans="1:46" ht="14" customHeight="1">
      <c r="A27" s="146" t="str">
        <f>+TableC1!A27</f>
        <v>Korea, Republic of</v>
      </c>
      <c r="B27" s="146" t="str">
        <f>+TableC1!B27</f>
        <v>South Korea</v>
      </c>
      <c r="C27" s="199" t="s">
        <v>48</v>
      </c>
      <c r="D27" s="196">
        <f t="shared" si="0"/>
        <v>485.45483814397937</v>
      </c>
      <c r="E27" s="196">
        <f t="shared" si="4"/>
        <v>41.023069626476129</v>
      </c>
      <c r="F27" s="171">
        <f>HLOOKUP($B27,'[4]Interest shifted to EU'!$L$12:$AT$18,F$2,0)/E106</f>
        <v>4.2515323658605748</v>
      </c>
      <c r="G27" s="171">
        <f>HLOOKUP($B27,'[4]Interest shifted to EU'!$L$12:$AT$18,G$2,0)/E106</f>
        <v>0</v>
      </c>
      <c r="H27" s="171">
        <f>HLOOKUP($B27,'[4]Interest shifted to EU'!$L$12:$AT$18,H$2,0)/E106</f>
        <v>0</v>
      </c>
      <c r="I27" s="171">
        <f>HLOOKUP($B27,'[4]Interest shifted to EU'!$L$12:$AT$18,I$2,0)/E106</f>
        <v>14.132334907084566</v>
      </c>
      <c r="J27" s="171">
        <f>HLOOKUP($B27,'[4]Interest shifted to EU'!$L$12:$AT$18,J$2,0)/E106</f>
        <v>3.8610692733878649</v>
      </c>
      <c r="K27" s="171">
        <f>HLOOKUP($B27,'[4]Interest shifted to EU'!$L$12:$AT$18,K$2,0)/E106</f>
        <v>18.778133080143121</v>
      </c>
      <c r="L27" s="196">
        <f t="shared" si="5"/>
        <v>444.43176851750326</v>
      </c>
      <c r="M27" s="178">
        <f>AC27*'[4]Non-EU tax havens'!$M$8</f>
        <v>56.404211836611182</v>
      </c>
      <c r="N27" s="183">
        <f>AC27*'[4]Non-EU tax havens'!$M$13</f>
        <v>388.02755668089208</v>
      </c>
      <c r="O27" s="196">
        <f t="shared" si="2"/>
        <v>7934.0427838335609</v>
      </c>
      <c r="P27" s="196">
        <f t="shared" si="6"/>
        <v>1552.3407173999324</v>
      </c>
      <c r="Q27" s="171">
        <f>HLOOKUP($B27,'[4]Non EU income shifted to EU'!$A$2:$AI$18,Q$2+10,0)/E106</f>
        <v>76.691397338976472</v>
      </c>
      <c r="R27" s="171">
        <f>HLOOKUP($B27,'[4]Non EU income shifted to EU'!$A$2:$AI$18,R$2+10,0)/E106</f>
        <v>18.144598084074918</v>
      </c>
      <c r="S27" s="171">
        <f>HLOOKUP($B27,'[4]Non EU income shifted to EU'!$A$2:$AI$18,S$2+10,0)/E106</f>
        <v>774.64854726739634</v>
      </c>
      <c r="T27" s="171">
        <f>HLOOKUP($B27,'[4]Non EU income shifted to EU'!$A$2:$AI$18,T$2+10,0)/E106</f>
        <v>148.34976789258502</v>
      </c>
      <c r="U27" s="171">
        <f>HLOOKUP($B27,'[4]Non EU income shifted to EU'!$A$2:$AI$18,U$2+10,0)/E106</f>
        <v>0</v>
      </c>
      <c r="V27" s="171">
        <f>HLOOKUP($B27,'[4]Non EU income shifted to EU'!$A$2:$AI$18,V$2+10,0)/E106</f>
        <v>534.5064068168997</v>
      </c>
      <c r="W27" s="196">
        <f t="shared" si="7"/>
        <v>6381.7020664336287</v>
      </c>
      <c r="X27" s="178">
        <f>IFERROR(IFERROR(VLOOKUP(C27,'[4]Swiss pivot'!$E$3:$H$54,4,0),VLOOKUP($C27,'[4]Breakdown non-EU havens'!$F$59:$H$86,3,0)/$E$106),AJ27*'[4]Non-EU tax havens'!$I$8)</f>
        <v>1303.4626836691152</v>
      </c>
      <c r="Y27" s="177">
        <f>AE27*'[4]Non-EU tax havens'!$O$13</f>
        <v>5078.2393827645137</v>
      </c>
      <c r="Z27" s="159"/>
      <c r="AA27" s="36">
        <f>+'[4]CDIS Table-4'!O24</f>
        <v>5.9764385037810045E-3</v>
      </c>
      <c r="AB27" s="39">
        <f>+AA27</f>
        <v>5.9764385037810045E-3</v>
      </c>
      <c r="AC27" s="39">
        <f t="shared" si="8"/>
        <v>1.3585778863209179E-2</v>
      </c>
      <c r="AD27" s="39">
        <f t="shared" si="9"/>
        <v>5.9764385037810045E-3</v>
      </c>
      <c r="AE27" s="39">
        <f t="shared" si="10"/>
        <v>1.7940220676606052E-2</v>
      </c>
      <c r="AF27" s="39"/>
      <c r="AG27" s="36">
        <f t="shared" si="16"/>
        <v>5.9764385037810045E-3</v>
      </c>
      <c r="AH27" s="39">
        <f>+AG27</f>
        <v>5.9764385037810045E-3</v>
      </c>
      <c r="AI27" s="39">
        <f>+AH27</f>
        <v>5.9764385037810045E-3</v>
      </c>
      <c r="AJ27" s="39">
        <f t="shared" si="17"/>
        <v>4.4852040658950584E-2</v>
      </c>
      <c r="AK27" s="39"/>
      <c r="AL27" s="36">
        <f>+'[4]CDIS Table-4'!U24</f>
        <v>0</v>
      </c>
      <c r="AM27" s="39">
        <f>+AL27</f>
        <v>0</v>
      </c>
      <c r="AN27" s="39">
        <f t="shared" si="11"/>
        <v>0</v>
      </c>
      <c r="AO27" s="39">
        <f t="shared" si="12"/>
        <v>0</v>
      </c>
      <c r="AP27" s="39">
        <f t="shared" si="13"/>
        <v>0</v>
      </c>
      <c r="AQ27" s="39"/>
      <c r="AR27" s="39">
        <f t="shared" si="14"/>
        <v>0</v>
      </c>
      <c r="AS27" s="39"/>
      <c r="AT27" s="39">
        <f t="shared" si="18"/>
        <v>0</v>
      </c>
    </row>
    <row r="28" spans="1:46" ht="14" customHeight="1">
      <c r="C28" s="185" t="s">
        <v>96</v>
      </c>
      <c r="D28" s="196">
        <f t="shared" si="0"/>
        <v>2.0175773039579514</v>
      </c>
      <c r="E28" s="196">
        <f t="shared" si="4"/>
        <v>2.0175773039579514</v>
      </c>
      <c r="F28" s="171">
        <f>VLOOKUP($C28,'[4]Breakdown EU havens'!$S$67:$Y$97,F$2,0)/E106</f>
        <v>0.8781127406255762</v>
      </c>
      <c r="G28" s="171">
        <f>VLOOKUP($C28,'[4]Breakdown EU havens'!$S$67:$Y$97,G$2,0)/E106</f>
        <v>0</v>
      </c>
      <c r="H28" s="171">
        <f>VLOOKUP($C28,'[4]Breakdown EU havens'!$S$67:$Y$97,H$2,0)/E106</f>
        <v>0</v>
      </c>
      <c r="I28" s="171"/>
      <c r="J28" s="171">
        <f>VLOOKUP($C28,'[4]Breakdown EU havens'!$S$67:$Y$97,J$2,0)/E106</f>
        <v>0</v>
      </c>
      <c r="K28" s="171">
        <f>VLOOKUP($C28,'[4]Breakdown EU havens'!$S$67:$Y$97,K$2,0)/E106</f>
        <v>1.139464563332375</v>
      </c>
      <c r="L28" s="196">
        <f t="shared" si="5"/>
        <v>0</v>
      </c>
      <c r="M28" s="178">
        <f>VLOOKUP($C28,'[4]Breakdown non-EU havens'!$K$59:$M$86,3,0)/E106</f>
        <v>0</v>
      </c>
      <c r="N28" s="183">
        <f>VLOOKUP($C28,'[4]Breakdown non-EU havens'!$K$59:$M$86,2,0)/E106</f>
        <v>0</v>
      </c>
      <c r="O28" s="196">
        <f t="shared" si="2"/>
        <v>319.80605948907464</v>
      </c>
      <c r="P28" s="196">
        <f t="shared" si="6"/>
        <v>233.27624856629228</v>
      </c>
      <c r="Q28" s="171">
        <f>VLOOKUP($C28,'[4]Breakdown EU havens'!$J$67:$P$94,Q$2,0)/E106</f>
        <v>28.692126460325916</v>
      </c>
      <c r="R28" s="171">
        <f>VLOOKUP($C28,'[4]Breakdown EU havens'!$J$67:$P$94,R$2,0)/E106</f>
        <v>1.2749860729443592</v>
      </c>
      <c r="S28" s="171">
        <f>VLOOKUP($C28,'[4]Breakdown EU havens'!$J$67:$P$94,S$2,0)/E106</f>
        <v>75.930959743573951</v>
      </c>
      <c r="T28" s="171">
        <f>VLOOKUP($C28,'[4]Breakdown EU havens'!$J$67:$P$94,T$2,0)/E106</f>
        <v>80.965255267701863</v>
      </c>
      <c r="U28" s="171">
        <f>VLOOKUP($C28,'[4]Breakdown EU havens'!$J$67:$P$94,U$2,0)/E106</f>
        <v>3.4999582656430643</v>
      </c>
      <c r="V28" s="171">
        <f>VLOOKUP($C28,'[4]Breakdown EU havens'!$J$67:$P$94,V$2,0)/E106</f>
        <v>42.912962756103113</v>
      </c>
      <c r="W28" s="196">
        <f t="shared" si="7"/>
        <v>86.52981092278236</v>
      </c>
      <c r="X28" s="178">
        <f>IFERROR(IFERROR(VLOOKUP(C28,'[4]Swiss pivot'!$E$3:$H$54,4,0),VLOOKUP($C28,'[4]Breakdown non-EU havens'!$F$59:$H$86,3,0)/$E$106),AJ28*'[4]Non-EU tax havens'!$I$8)</f>
        <v>35.107040382709187</v>
      </c>
      <c r="Y28" s="177">
        <f>VLOOKUP($C28,'[4]Breakdown non-EU havens'!$F$59:$H$86,2,0)/E106</f>
        <v>51.422770540073167</v>
      </c>
      <c r="Z28" s="159"/>
      <c r="AA28" s="36">
        <f>+'[4]CDIS Table-4'!O25</f>
        <v>4.9674600230274215E-4</v>
      </c>
      <c r="AB28" s="39"/>
      <c r="AC28" s="39">
        <f t="shared" si="8"/>
        <v>0</v>
      </c>
      <c r="AD28" s="39">
        <f t="shared" si="9"/>
        <v>0</v>
      </c>
      <c r="AE28" s="39">
        <f t="shared" si="10"/>
        <v>0</v>
      </c>
      <c r="AF28" s="39"/>
      <c r="AG28" s="36">
        <f t="shared" si="16"/>
        <v>4.9674600230274215E-4</v>
      </c>
      <c r="AH28" s="39"/>
      <c r="AI28" s="39"/>
      <c r="AJ28" s="39">
        <f t="shared" si="17"/>
        <v>0</v>
      </c>
      <c r="AK28" s="39"/>
      <c r="AL28" s="36">
        <f>+'[4]CDIS Table-4'!U25</f>
        <v>0</v>
      </c>
      <c r="AM28" s="39"/>
      <c r="AN28" s="39">
        <f t="shared" si="11"/>
        <v>0</v>
      </c>
      <c r="AO28" s="39">
        <f t="shared" si="12"/>
        <v>0</v>
      </c>
      <c r="AP28" s="39">
        <f t="shared" si="13"/>
        <v>0</v>
      </c>
      <c r="AQ28" s="39"/>
      <c r="AR28" s="39">
        <f t="shared" si="14"/>
        <v>0</v>
      </c>
      <c r="AS28" s="39"/>
      <c r="AT28" s="39">
        <f t="shared" si="18"/>
        <v>0</v>
      </c>
    </row>
    <row r="29" spans="1:46" ht="14" customHeight="1">
      <c r="C29" s="185" t="s">
        <v>19</v>
      </c>
      <c r="D29" s="196">
        <f t="shared" si="0"/>
        <v>13447.638040435648</v>
      </c>
      <c r="E29" s="196">
        <f t="shared" si="4"/>
        <v>3450.0689107648268</v>
      </c>
      <c r="F29" s="171">
        <f>VLOOKUP($C29,'[4]Breakdown EU havens'!$S$67:$Y$97,F$2,0)/E106</f>
        <v>401.73657883620109</v>
      </c>
      <c r="G29" s="171">
        <f>VLOOKUP($C29,'[4]Breakdown EU havens'!$S$67:$Y$97,G$2,0)/E106</f>
        <v>0</v>
      </c>
      <c r="H29" s="171">
        <f>VLOOKUP($C29,'[4]Breakdown EU havens'!$S$67:$Y$97,H$2,0)/E106</f>
        <v>1841.2533586123398</v>
      </c>
      <c r="I29" s="171">
        <f>VLOOKUP($C29,'[4]Breakdown EU havens'!$S$67:$Y$97,I$2,0)/E106</f>
        <v>0</v>
      </c>
      <c r="J29" s="171">
        <f>VLOOKUP($C29,'[4]Breakdown EU havens'!$S$67:$Y$97,J$2,0)/E106</f>
        <v>1.5254653106330214</v>
      </c>
      <c r="K29" s="171">
        <f>VLOOKUP($C29,'[4]Breakdown EU havens'!$S$67:$Y$97,K$2,0)/E106</f>
        <v>1205.5535080056527</v>
      </c>
      <c r="L29" s="196">
        <f t="shared" si="5"/>
        <v>9997.569129670821</v>
      </c>
      <c r="M29" s="178">
        <f>VLOOKUP($C29,'[4]Breakdown non-EU havens'!$K$59:$M$86,3,0)/E106</f>
        <v>1209.6318569225591</v>
      </c>
      <c r="N29" s="183">
        <f>VLOOKUP($C29,'[4]Breakdown non-EU havens'!$K$59:$M$86,2,0)/E106</f>
        <v>8787.9372727482623</v>
      </c>
      <c r="O29" s="196">
        <f t="shared" si="2"/>
        <v>14006.87772359677</v>
      </c>
      <c r="P29" s="196">
        <f t="shared" si="6"/>
        <v>4917.6843544539624</v>
      </c>
      <c r="Q29" s="171">
        <f>VLOOKUP($C29,'[4]Breakdown EU havens'!$J$67:$P$94,Q$2,0)/E106</f>
        <v>3238.5557373240499</v>
      </c>
      <c r="R29" s="171">
        <f>VLOOKUP($C29,'[4]Breakdown EU havens'!$J$67:$P$94,R$2,0)/E106</f>
        <v>76.49916437666154</v>
      </c>
      <c r="S29" s="171">
        <f>VLOOKUP($C29,'[4]Breakdown EU havens'!$J$67:$P$94,S$2,0)/E106</f>
        <v>-842.62273382104968</v>
      </c>
      <c r="T29" s="171">
        <f>VLOOKUP($C29,'[4]Breakdown EU havens'!$J$67:$P$94,T$2,0)/E106</f>
        <v>0</v>
      </c>
      <c r="U29" s="171">
        <f>VLOOKUP($C29,'[4]Breakdown EU havens'!$J$67:$P$94,U$2,0)/E106</f>
        <v>229.68476118282609</v>
      </c>
      <c r="V29" s="171">
        <f>VLOOKUP($C29,'[4]Breakdown EU havens'!$J$67:$P$94,V$2,0)/E106</f>
        <v>2215.5674253914744</v>
      </c>
      <c r="W29" s="196">
        <f t="shared" si="7"/>
        <v>9089.1933691428076</v>
      </c>
      <c r="X29" s="178">
        <f>IFERROR(IFERROR(VLOOKUP(C29,'[4]Swiss pivot'!$E$3:$H$54,4,0),VLOOKUP($C29,'[4]Breakdown non-EU havens'!$F$59:$H$86,3,0)/$E$106),AJ29*'[4]Non-EU tax havens'!$I$8)</f>
        <v>1755.2778347175717</v>
      </c>
      <c r="Y29" s="177">
        <f>VLOOKUP($C29,'[4]Breakdown non-EU havens'!$F$59:$H$86,2,0)/E106</f>
        <v>7333.9155344252358</v>
      </c>
      <c r="Z29" s="159"/>
      <c r="AA29" s="36">
        <f>+'[4]CDIS Table-4'!O26</f>
        <v>0.11891862183622122</v>
      </c>
      <c r="AB29" s="39"/>
      <c r="AC29" s="39">
        <f t="shared" si="8"/>
        <v>0</v>
      </c>
      <c r="AD29" s="39">
        <f t="shared" si="9"/>
        <v>0</v>
      </c>
      <c r="AE29" s="39">
        <f t="shared" si="10"/>
        <v>0</v>
      </c>
      <c r="AF29" s="39"/>
      <c r="AG29" s="36">
        <f t="shared" si="16"/>
        <v>0.11891862183622122</v>
      </c>
      <c r="AH29" s="39"/>
      <c r="AI29" s="39"/>
      <c r="AJ29" s="39">
        <f t="shared" si="17"/>
        <v>0</v>
      </c>
      <c r="AK29" s="39"/>
      <c r="AL29" s="36">
        <f>+'[4]CDIS Table-4'!U26</f>
        <v>0</v>
      </c>
      <c r="AM29" s="39"/>
      <c r="AN29" s="39">
        <f t="shared" si="11"/>
        <v>0</v>
      </c>
      <c r="AO29" s="39">
        <f t="shared" si="12"/>
        <v>0</v>
      </c>
      <c r="AP29" s="39">
        <f t="shared" si="13"/>
        <v>0</v>
      </c>
      <c r="AQ29" s="39"/>
      <c r="AR29" s="39">
        <f t="shared" si="14"/>
        <v>0</v>
      </c>
      <c r="AS29" s="39"/>
      <c r="AT29" s="39">
        <f t="shared" si="18"/>
        <v>0</v>
      </c>
    </row>
    <row r="30" spans="1:46" ht="14" customHeight="1">
      <c r="C30" s="185" t="s">
        <v>38</v>
      </c>
      <c r="D30" s="196">
        <f t="shared" si="0"/>
        <v>2920.7405944582115</v>
      </c>
      <c r="E30" s="196">
        <f t="shared" si="4"/>
        <v>1880.849164980471</v>
      </c>
      <c r="F30" s="171">
        <f>HLOOKUP($C30,'[4]Interest shifted to EU'!$L$12:$AT$18,F$2,0)/E106</f>
        <v>71.23678675241942</v>
      </c>
      <c r="G30" s="171">
        <f>HLOOKUP($C30,'[4]Interest shifted to EU'!$L$12:$AT$18,G$2,0)/E106</f>
        <v>0</v>
      </c>
      <c r="H30" s="171">
        <f>HLOOKUP($C30,'[4]Interest shifted to EU'!$L$12:$AT$18,H$2,0)/E106</f>
        <v>60.201832601956276</v>
      </c>
      <c r="I30" s="171">
        <f>HLOOKUP($C30,'[4]Interest shifted to EU'!$L$12:$AT$18,I$2,0)/E106</f>
        <v>190.15458757093458</v>
      </c>
      <c r="J30" s="171">
        <f>HLOOKUP($C30,'[4]Interest shifted to EU'!$L$12:$AT$18,J$2,0)/E106</f>
        <v>89.038597486308021</v>
      </c>
      <c r="K30" s="171">
        <f>HLOOKUP($C30,'[4]Interest shifted to EU'!$L$12:$AT$18,K$2,0)/E106</f>
        <v>1470.2173605688527</v>
      </c>
      <c r="L30" s="196">
        <f t="shared" si="5"/>
        <v>1039.8914294777408</v>
      </c>
      <c r="M30" s="178">
        <f>AC30*'[4]Non-EU tax havens'!$M$8</f>
        <v>131.97584113078295</v>
      </c>
      <c r="N30" s="183">
        <f>AC30*'[4]Non-EU tax havens'!$M$13</f>
        <v>907.91558834695786</v>
      </c>
      <c r="O30" s="196">
        <f t="shared" si="2"/>
        <v>14160.998716473528</v>
      </c>
      <c r="P30" s="196">
        <f t="shared" si="6"/>
        <v>1791.6910900658017</v>
      </c>
      <c r="Q30" s="171">
        <f>HLOOKUP($C30,'[4]Non EU income shifted to EU'!$A$2:$AI$18,Q$2+10,0)/E106</f>
        <v>186.33685571633737</v>
      </c>
      <c r="R30" s="171">
        <f>HLOOKUP($C30,'[4]Non EU income shifted to EU'!$A$2:$AI$18,R$2+10,0)/E106</f>
        <v>0</v>
      </c>
      <c r="S30" s="171">
        <f>HLOOKUP($C30,'[4]Non EU income shifted to EU'!$A$2:$AI$18,S$2+10,0)/E106</f>
        <v>550.83287599002904</v>
      </c>
      <c r="T30" s="171">
        <f>HLOOKUP($C30,'[4]Non EU income shifted to EU'!$A$2:$AI$18,T$2+10,0)/E106</f>
        <v>134.76845111368638</v>
      </c>
      <c r="U30" s="171">
        <f>HLOOKUP($C30,'[4]Non EU income shifted to EU'!$A$2:$AI$18,U$2+10,0)/E106</f>
        <v>0.1580457238323143</v>
      </c>
      <c r="V30" s="171">
        <f>HLOOKUP($C30,'[4]Non EU income shifted to EU'!$A$2:$AI$18,V$2+10,0)/E106</f>
        <v>919.59486152191676</v>
      </c>
      <c r="W30" s="196">
        <f t="shared" si="7"/>
        <v>12369.307626407726</v>
      </c>
      <c r="X30" s="178">
        <f>IFERROR(IFERROR(VLOOKUP(C30,'[4]Swiss pivot'!$E$3:$H$54,4,0),VLOOKUP($C30,'[4]Breakdown non-EU havens'!$F$59:$H$86,3,0)/$E$106),AJ30*'[4]Non-EU tax havens'!$I$8)</f>
        <v>487.12911205795018</v>
      </c>
      <c r="Y30" s="177">
        <f>AE30*'[4]Non-EU tax havens'!$O$13</f>
        <v>11882.178514349776</v>
      </c>
      <c r="Z30" s="159"/>
      <c r="AA30" s="36">
        <f>+'[4]CDIS Table-4'!O27</f>
        <v>1.3983804982289147E-2</v>
      </c>
      <c r="AB30" s="39">
        <f>+AA30</f>
        <v>1.3983804982289147E-2</v>
      </c>
      <c r="AC30" s="39">
        <f t="shared" si="8"/>
        <v>3.1788310385094963E-2</v>
      </c>
      <c r="AD30" s="39">
        <f t="shared" si="9"/>
        <v>1.3983804982289147E-2</v>
      </c>
      <c r="AE30" s="39">
        <f t="shared" si="10"/>
        <v>4.1976931097371037E-2</v>
      </c>
      <c r="AF30" s="39"/>
      <c r="AG30" s="36">
        <f t="shared" si="16"/>
        <v>1.3983804982289147E-2</v>
      </c>
      <c r="AH30" s="39">
        <f>+AG30</f>
        <v>1.3983804982289147E-2</v>
      </c>
      <c r="AI30" s="39"/>
      <c r="AJ30" s="39">
        <f t="shared" si="17"/>
        <v>0</v>
      </c>
      <c r="AK30" s="39"/>
      <c r="AL30" s="36">
        <f>+'[4]CDIS Table-4'!U27</f>
        <v>0</v>
      </c>
      <c r="AM30" s="39">
        <f>+AL30</f>
        <v>0</v>
      </c>
      <c r="AN30" s="39">
        <f t="shared" si="11"/>
        <v>0</v>
      </c>
      <c r="AO30" s="39">
        <f t="shared" si="12"/>
        <v>0</v>
      </c>
      <c r="AP30" s="39">
        <f t="shared" si="13"/>
        <v>0</v>
      </c>
      <c r="AQ30" s="39"/>
      <c r="AR30" s="39">
        <f t="shared" si="14"/>
        <v>0</v>
      </c>
      <c r="AS30" s="39"/>
      <c r="AT30" s="39">
        <f t="shared" si="18"/>
        <v>0</v>
      </c>
    </row>
    <row r="31" spans="1:46" ht="14" customHeight="1">
      <c r="C31" s="185" t="s">
        <v>23</v>
      </c>
      <c r="D31" s="196">
        <f t="shared" si="0"/>
        <v>17000.538547058859</v>
      </c>
      <c r="E31" s="196">
        <f t="shared" si="4"/>
        <v>4951.7167811304689</v>
      </c>
      <c r="F31" s="171">
        <f>VLOOKUP($C31,'[4]Breakdown EU havens'!$S$67:$Y$97,F$2,0)/E106</f>
        <v>283.41088703690468</v>
      </c>
      <c r="G31" s="171">
        <f>VLOOKUP($C31,'[4]Breakdown EU havens'!$S$67:$Y$97,G$2,0)/E106</f>
        <v>0.11264273333821766</v>
      </c>
      <c r="H31" s="171">
        <f>VLOOKUP($C31,'[4]Breakdown EU havens'!$S$67:$Y$97,H$2,0)/E106</f>
        <v>4036.6270402895707</v>
      </c>
      <c r="I31" s="171">
        <f>VLOOKUP($C31,'[4]Breakdown EU havens'!$S$67:$Y$97,I$2,0)/E106</f>
        <v>629.32886194839421</v>
      </c>
      <c r="J31" s="171">
        <f>VLOOKUP($C31,'[4]Breakdown EU havens'!$S$67:$Y$97,J$2,0)/E106</f>
        <v>2.2373491222617647</v>
      </c>
      <c r="K31" s="171">
        <f>VLOOKUP($C31,'[4]Breakdown EU havens'!$S$67:$Y$97,K$2,0)/E106</f>
        <v>0</v>
      </c>
      <c r="L31" s="196">
        <f t="shared" si="5"/>
        <v>12048.821765928389</v>
      </c>
      <c r="M31" s="178">
        <f>VLOOKUP($C31,'[4]Breakdown non-EU havens'!$K$59:$M$86,3,0)/E106</f>
        <v>2080.9910302756348</v>
      </c>
      <c r="N31" s="183">
        <f>VLOOKUP($C31,'[4]Breakdown non-EU havens'!$K$59:$M$86,2,0)/E106</f>
        <v>9967.8307356527548</v>
      </c>
      <c r="O31" s="196">
        <f t="shared" si="2"/>
        <v>44797.33241801065</v>
      </c>
      <c r="P31" s="196">
        <f t="shared" si="6"/>
        <v>14851.944898073367</v>
      </c>
      <c r="Q31" s="171">
        <f>VLOOKUP($C31,'[4]Breakdown EU havens'!$J$67:$P$94,Q$2,0)/E106</f>
        <v>6204.1863692937795</v>
      </c>
      <c r="R31" s="171">
        <f>VLOOKUP($C31,'[4]Breakdown EU havens'!$J$67:$P$94,R$2,0)/E106</f>
        <v>24.862228422415004</v>
      </c>
      <c r="S31" s="171">
        <f>VLOOKUP($C31,'[4]Breakdown EU havens'!$J$67:$P$94,S$2,0)/E106</f>
        <v>5570.3795745216321</v>
      </c>
      <c r="T31" s="171">
        <f>VLOOKUP($C31,'[4]Breakdown EU havens'!$J$67:$P$94,T$2,0)/E106</f>
        <v>2730.9580601795838</v>
      </c>
      <c r="U31" s="171">
        <f>VLOOKUP($C31,'[4]Breakdown EU havens'!$J$67:$P$94,U$2,0)/E106</f>
        <v>321.55866565595653</v>
      </c>
      <c r="V31" s="171">
        <f>VLOOKUP($C31,'[4]Breakdown EU havens'!$J$67:$P$94,V$2,0)/E106</f>
        <v>0</v>
      </c>
      <c r="W31" s="196">
        <f t="shared" si="7"/>
        <v>29945.387519937281</v>
      </c>
      <c r="X31" s="178">
        <f>IFERROR(IFERROR(VLOOKUP(C31,'[4]Swiss pivot'!$E$3:$H$54,4,0),VLOOKUP($C31,'[4]Breakdown non-EU havens'!$F$59:$H$86,3,0)/$E$106),AJ31*'[4]Non-EU tax havens'!$I$8)</f>
        <v>1468.6913413377235</v>
      </c>
      <c r="Y31" s="177">
        <f>VLOOKUP($C31,'[4]Breakdown non-EU havens'!$F$59:$H$86,2,0)/E106</f>
        <v>28476.696178599559</v>
      </c>
      <c r="Z31" s="159"/>
      <c r="AA31" s="36">
        <f>+'[4]CDIS Table-4'!O28</f>
        <v>0.13981874897109201</v>
      </c>
      <c r="AB31" s="39"/>
      <c r="AC31" s="39"/>
      <c r="AD31" s="39"/>
      <c r="AE31" s="39"/>
      <c r="AF31" s="39"/>
      <c r="AG31" s="36">
        <f t="shared" si="16"/>
        <v>0.13981874897109201</v>
      </c>
      <c r="AH31" s="39"/>
      <c r="AI31" s="39"/>
      <c r="AJ31" s="39">
        <f t="shared" si="17"/>
        <v>0</v>
      </c>
      <c r="AK31" s="39"/>
      <c r="AL31" s="36">
        <f>+'[4]CDIS Table-4'!U28</f>
        <v>0</v>
      </c>
      <c r="AM31" s="39"/>
      <c r="AN31" s="39"/>
      <c r="AO31" s="39"/>
      <c r="AP31" s="39"/>
      <c r="AQ31" s="39"/>
      <c r="AR31" s="39">
        <f t="shared" si="14"/>
        <v>0</v>
      </c>
      <c r="AS31" s="39"/>
      <c r="AT31" s="39">
        <f t="shared" si="18"/>
        <v>0</v>
      </c>
    </row>
    <row r="32" spans="1:46" ht="14" customHeight="1">
      <c r="C32" s="185" t="s">
        <v>116</v>
      </c>
      <c r="D32" s="196">
        <f t="shared" si="0"/>
        <v>209.90020736078537</v>
      </c>
      <c r="E32" s="196">
        <f t="shared" si="4"/>
        <v>52.03213092447244</v>
      </c>
      <c r="F32" s="171">
        <f>HLOOKUP($C32,'[4]Interest shifted to EU'!$L$12:$AT$18,F$2,0)/E106</f>
        <v>17.761957439595292</v>
      </c>
      <c r="G32" s="171">
        <f>HLOOKUP($C32,'[4]Interest shifted to EU'!$L$12:$AT$18,G$2,0)/E106</f>
        <v>0</v>
      </c>
      <c r="H32" s="171">
        <f>HLOOKUP($C32,'[4]Interest shifted to EU'!$L$12:$AT$18,H$2,0)/E106</f>
        <v>0</v>
      </c>
      <c r="I32" s="171">
        <f>HLOOKUP($C32,'[4]Interest shifted to EU'!$L$12:$AT$18,I$2,0)/E106</f>
        <v>0</v>
      </c>
      <c r="J32" s="171">
        <f>HLOOKUP($C32,'[4]Interest shifted to EU'!$L$12:$AT$18,J$2,0)/E106</f>
        <v>4.4460797693557232</v>
      </c>
      <c r="K32" s="171">
        <f>HLOOKUP($C32,'[4]Interest shifted to EU'!$L$12:$AT$18,K$2,0)/E106</f>
        <v>29.824093715521428</v>
      </c>
      <c r="L32" s="196">
        <f t="shared" si="5"/>
        <v>157.86807643631292</v>
      </c>
      <c r="M32" s="178">
        <f>AC32*'[4]Non-EU tax havens'!$M$8</f>
        <v>20.035526387446879</v>
      </c>
      <c r="N32" s="183">
        <f>AC32*'[4]Non-EU tax havens'!$M$13</f>
        <v>137.83255004886604</v>
      </c>
      <c r="O32" s="196">
        <f t="shared" si="2"/>
        <v>2437.3305180051443</v>
      </c>
      <c r="P32" s="196">
        <f t="shared" si="6"/>
        <v>430.27048917829018</v>
      </c>
      <c r="Q32" s="171">
        <f>HLOOKUP($C32,'[4]Non EU income shifted to EU'!$A$2:$AI$18,Q$2+10,0)/E106</f>
        <v>39.972485885769551</v>
      </c>
      <c r="R32" s="171">
        <f>HLOOKUP($C32,'[4]Non EU income shifted to EU'!$A$2:$AI$18,R$2+10,0)/E106</f>
        <v>0</v>
      </c>
      <c r="S32" s="171">
        <f>HLOOKUP($C32,'[4]Non EU income shifted to EU'!$A$2:$AI$18,S$2+10,0)/E106</f>
        <v>143.33546310457578</v>
      </c>
      <c r="T32" s="171">
        <f>HLOOKUP($C32,'[4]Non EU income shifted to EU'!$A$2:$AI$18,T$2+10,0)/E106</f>
        <v>108.65053423118901</v>
      </c>
      <c r="U32" s="171">
        <f>HLOOKUP($C32,'[4]Non EU income shifted to EU'!$A$2:$AI$18,U$2+10,0)/E106</f>
        <v>0.6321828953292572</v>
      </c>
      <c r="V32" s="171">
        <f>HLOOKUP($C32,'[4]Non EU income shifted to EU'!$A$2:$AI$18,V$2+10,0)/E106</f>
        <v>137.67982306142662</v>
      </c>
      <c r="W32" s="196">
        <f t="shared" si="7"/>
        <v>2007.0600288268542</v>
      </c>
      <c r="X32" s="178">
        <f>+'[4]Swiss pivot'!$H$8</f>
        <v>203.20184444373351</v>
      </c>
      <c r="Y32" s="177">
        <f>AE32*'[4]Non-EU tax havens'!$O$13</f>
        <v>1803.8581843831207</v>
      </c>
      <c r="Z32" s="159"/>
      <c r="AA32" s="36">
        <f>+'[4]CDIS Table-4'!O29</f>
        <v>2.1229104608768879E-3</v>
      </c>
      <c r="AB32" s="39">
        <f>+AA32</f>
        <v>2.1229104608768879E-3</v>
      </c>
      <c r="AC32" s="39">
        <f t="shared" ref="AC32:AC63" si="19">+AB32/$AB$104</f>
        <v>4.8258493833108667E-3</v>
      </c>
      <c r="AD32" s="39">
        <f t="shared" ref="AD32:AD42" si="20">+AB32</f>
        <v>2.1229104608768879E-3</v>
      </c>
      <c r="AE32" s="39">
        <f t="shared" ref="AE32:AE63" si="21">+AD32/$AD$104</f>
        <v>6.3726050424030931E-3</v>
      </c>
      <c r="AF32" s="39"/>
      <c r="AG32" s="36">
        <f t="shared" si="16"/>
        <v>2.1229104608768879E-3</v>
      </c>
      <c r="AH32" s="39">
        <f>+AG32</f>
        <v>2.1229104608768879E-3</v>
      </c>
      <c r="AI32" s="39"/>
      <c r="AJ32" s="39">
        <f t="shared" si="17"/>
        <v>0</v>
      </c>
      <c r="AK32" s="39"/>
      <c r="AL32" s="36">
        <f>+'[4]CDIS Table-4'!U29</f>
        <v>0</v>
      </c>
      <c r="AM32" s="39">
        <f>+AL32</f>
        <v>0</v>
      </c>
      <c r="AN32" s="39">
        <f t="shared" ref="AN32:AN63" si="22">+AM32/$AB$104</f>
        <v>0</v>
      </c>
      <c r="AO32" s="39">
        <f t="shared" ref="AO32:AO42" si="23">+AM32</f>
        <v>0</v>
      </c>
      <c r="AP32" s="39">
        <f t="shared" ref="AP32:AP63" si="24">+AO32/$AD$104</f>
        <v>0</v>
      </c>
      <c r="AQ32" s="39"/>
      <c r="AR32" s="39">
        <f t="shared" si="14"/>
        <v>0</v>
      </c>
      <c r="AS32" s="39"/>
      <c r="AT32" s="39">
        <f t="shared" si="18"/>
        <v>0</v>
      </c>
    </row>
    <row r="33" spans="2:46" ht="14" customHeight="1">
      <c r="C33" s="185" t="s">
        <v>117</v>
      </c>
      <c r="D33" s="196">
        <f t="shared" si="0"/>
        <v>588.07215039415723</v>
      </c>
      <c r="E33" s="196">
        <f t="shared" si="4"/>
        <v>276.64090827096481</v>
      </c>
      <c r="F33" s="171">
        <f>HLOOKUP($C33,'[4]Interest shifted to EU'!$L$12:$AT$18,F$2,0)/E106</f>
        <v>24.469930727953084</v>
      </c>
      <c r="G33" s="171">
        <f>HLOOKUP($C33,'[4]Interest shifted to EU'!$L$12:$AT$18,G$2,0)/E106</f>
        <v>0</v>
      </c>
      <c r="H33" s="171">
        <f>HLOOKUP($C33,'[4]Interest shifted to EU'!$L$12:$AT$18,H$2,0)/E106</f>
        <v>0</v>
      </c>
      <c r="I33" s="171">
        <f>HLOOKUP($C33,'[4]Interest shifted to EU'!$L$12:$AT$18,I$2,0)/E106</f>
        <v>0</v>
      </c>
      <c r="J33" s="171">
        <f>HLOOKUP($C33,'[4]Interest shifted to EU'!$L$12:$AT$18,J$2,0)/E106</f>
        <v>63.06413146533513</v>
      </c>
      <c r="K33" s="171">
        <f>HLOOKUP($C33,'[4]Interest shifted to EU'!$L$12:$AT$18,K$2,0)/E106</f>
        <v>189.10684607767661</v>
      </c>
      <c r="L33" s="196">
        <f t="shared" si="5"/>
        <v>311.43124212319242</v>
      </c>
      <c r="M33" s="178">
        <f>AC33*'[4]Non-EU tax havens'!$M$8</f>
        <v>39.524703222388304</v>
      </c>
      <c r="N33" s="183">
        <f>AC33*'[4]Non-EU tax havens'!$M$13</f>
        <v>271.90653890080409</v>
      </c>
      <c r="O33" s="196">
        <f t="shared" si="2"/>
        <v>6234.3306397971301</v>
      </c>
      <c r="P33" s="196">
        <f t="shared" si="6"/>
        <v>2484.1659681578394</v>
      </c>
      <c r="Q33" s="171">
        <f>HLOOKUP($C33,'[4]Non EU income shifted to EU'!$A$2:$AI$18,Q$2+10,0)/E106</f>
        <v>138.97410790517554</v>
      </c>
      <c r="R33" s="171">
        <f>HLOOKUP($C33,'[4]Non EU income shifted to EU'!$A$2:$AI$18,R$2+10,0)/E106</f>
        <v>3.6289196168149838</v>
      </c>
      <c r="S33" s="171">
        <f>HLOOKUP($C33,'[4]Non EU income shifted to EU'!$A$2:$AI$18,S$2+10,0)/E106</f>
        <v>1576.6900941503336</v>
      </c>
      <c r="T33" s="171">
        <f>HLOOKUP($C33,'[4]Non EU income shifted to EU'!$A$2:$AI$18,T$2+10,0)/E106</f>
        <v>258.04501879907394</v>
      </c>
      <c r="U33" s="171">
        <f>HLOOKUP($C33,'[4]Non EU income shifted to EU'!$A$2:$AI$18,U$2+10,0)/E106</f>
        <v>81.077456325977238</v>
      </c>
      <c r="V33" s="171">
        <f>HLOOKUP($C33,'[4]Non EU income shifted to EU'!$A$2:$AI$18,V$2+10,0)/E106</f>
        <v>425.75037136046433</v>
      </c>
      <c r="W33" s="196">
        <f t="shared" si="7"/>
        <v>3750.1646716392906</v>
      </c>
      <c r="X33" s="178">
        <f>IFERROR(IFERROR(VLOOKUP(C33,'[4]Swiss pivot'!$E$3:$H$54,4,0),VLOOKUP($C33,'[4]Breakdown non-EU havens'!$F$59:$H$86,3,0)/$E$106),AJ33*'[4]Non-EU tax havens'!$I$8)</f>
        <v>191.6377822389866</v>
      </c>
      <c r="Y33" s="177">
        <f>AE33*'[4]Non-EU tax havens'!$O$13</f>
        <v>3558.5268894003038</v>
      </c>
      <c r="Z33" s="159"/>
      <c r="AA33" s="36">
        <f>+'[4]CDIS Table-4'!O30</f>
        <v>4.1879311933842762E-3</v>
      </c>
      <c r="AB33" s="39">
        <f>+AA33</f>
        <v>4.1879311933842762E-3</v>
      </c>
      <c r="AC33" s="39">
        <f t="shared" si="19"/>
        <v>9.5201024910837682E-3</v>
      </c>
      <c r="AD33" s="39">
        <f t="shared" si="20"/>
        <v>4.1879311933842762E-3</v>
      </c>
      <c r="AE33" s="39">
        <f t="shared" si="21"/>
        <v>1.2571435268717884E-2</v>
      </c>
      <c r="AF33" s="39"/>
      <c r="AG33" s="36">
        <f t="shared" si="16"/>
        <v>4.1879311933842762E-3</v>
      </c>
      <c r="AH33" s="39">
        <f>+AG33</f>
        <v>4.1879311933842762E-3</v>
      </c>
      <c r="AI33" s="39"/>
      <c r="AJ33" s="39">
        <f t="shared" si="17"/>
        <v>0</v>
      </c>
      <c r="AK33" s="39"/>
      <c r="AL33" s="36">
        <f>+'[4]CDIS Table-4'!U30</f>
        <v>0</v>
      </c>
      <c r="AM33" s="39">
        <f>+AL33</f>
        <v>0</v>
      </c>
      <c r="AN33" s="39">
        <f t="shared" si="22"/>
        <v>0</v>
      </c>
      <c r="AO33" s="39">
        <f t="shared" si="23"/>
        <v>0</v>
      </c>
      <c r="AP33" s="39">
        <f t="shared" si="24"/>
        <v>0</v>
      </c>
      <c r="AQ33" s="39"/>
      <c r="AR33" s="39">
        <f t="shared" si="14"/>
        <v>0</v>
      </c>
      <c r="AS33" s="39"/>
      <c r="AT33" s="39">
        <f t="shared" si="18"/>
        <v>0</v>
      </c>
    </row>
    <row r="34" spans="2:46" ht="14" customHeight="1">
      <c r="C34" s="185" t="s">
        <v>97</v>
      </c>
      <c r="D34" s="196">
        <f t="shared" si="0"/>
        <v>679.45593562970248</v>
      </c>
      <c r="E34" s="196">
        <f t="shared" si="4"/>
        <v>603.67214106808933</v>
      </c>
      <c r="F34" s="171">
        <f>VLOOKUP($C34,'[4]Breakdown EU havens'!$S$67:$Y$97,F$2,0)/E106</f>
        <v>93.409242784045659</v>
      </c>
      <c r="G34" s="171">
        <f>VLOOKUP($C34,'[4]Breakdown EU havens'!$S$67:$Y$97,G$2,0)/E106</f>
        <v>0</v>
      </c>
      <c r="H34" s="171">
        <f>VLOOKUP($C34,'[4]Breakdown EU havens'!$S$67:$Y$97,H$2,0)/E106</f>
        <v>31.987145970277542</v>
      </c>
      <c r="I34" s="171">
        <f>VLOOKUP($C34,'[4]Breakdown EU havens'!$S$67:$Y$97,I$2,0)/E106</f>
        <v>235.89568338829835</v>
      </c>
      <c r="J34" s="171">
        <f>VLOOKUP($C34,'[4]Breakdown EU havens'!$S$67:$Y$97,J$2,0)/E106</f>
        <v>0.81358149900427812</v>
      </c>
      <c r="K34" s="171">
        <f>VLOOKUP($C34,'[4]Breakdown EU havens'!$S$67:$Y$97,K$2,0)/E106</f>
        <v>241.56648742646351</v>
      </c>
      <c r="L34" s="196">
        <f t="shared" si="5"/>
        <v>75.783794561613149</v>
      </c>
      <c r="M34" s="178">
        <f>VLOOKUP($C34,'[4]Breakdown non-EU havens'!$K$59:$M$86,3,0)/E106</f>
        <v>63.077249576487858</v>
      </c>
      <c r="N34" s="183">
        <f>VLOOKUP($C34,'[4]Breakdown non-EU havens'!$K$59:$M$86,2,0)/E106</f>
        <v>12.706544985125296</v>
      </c>
      <c r="O34" s="196">
        <f t="shared" si="2"/>
        <v>3810.8496180773045</v>
      </c>
      <c r="P34" s="196">
        <f t="shared" si="6"/>
        <v>3301.845734637669</v>
      </c>
      <c r="Q34" s="171">
        <f>VLOOKUP($C34,'[4]Breakdown EU havens'!$J$67:$P$94,Q$2,0)/E106</f>
        <v>271.36997654888194</v>
      </c>
      <c r="R34" s="171">
        <f>VLOOKUP($C34,'[4]Breakdown EU havens'!$J$67:$P$94,R$2,0)/E106</f>
        <v>4.4624512553052567</v>
      </c>
      <c r="S34" s="171">
        <f>VLOOKUP($C34,'[4]Breakdown EU havens'!$J$67:$P$94,S$2,0)/E106</f>
        <v>1267.6251890524427</v>
      </c>
      <c r="T34" s="171">
        <f>VLOOKUP($C34,'[4]Breakdown EU havens'!$J$67:$P$94,T$2,0)/E106</f>
        <v>631.52899108807446</v>
      </c>
      <c r="U34" s="171">
        <f>VLOOKUP($C34,'[4]Breakdown EU havens'!$J$67:$P$94,U$2,0)/E106</f>
        <v>153.67004260089078</v>
      </c>
      <c r="V34" s="171">
        <f>VLOOKUP($C34,'[4]Breakdown EU havens'!$J$67:$P$94,V$2,0)/E106</f>
        <v>973.1890840920737</v>
      </c>
      <c r="W34" s="196">
        <f t="shared" si="7"/>
        <v>509.00388343963539</v>
      </c>
      <c r="X34" s="178">
        <f>IFERROR(IFERROR(VLOOKUP(C34,'[4]Swiss pivot'!$E$3:$H$54,4,0),VLOOKUP($C34,'[4]Breakdown non-EU havens'!$F$59:$H$86,3,0)/$E$106),AJ34*'[4]Non-EU tax havens'!$I$8)</f>
        <v>361.21484090746515</v>
      </c>
      <c r="Y34" s="177">
        <f>VLOOKUP($C34,'[4]Breakdown non-EU havens'!$F$59:$H$86,2,0)/E106</f>
        <v>147.78904253217027</v>
      </c>
      <c r="Z34" s="159"/>
      <c r="AA34" s="36">
        <f>+'[4]CDIS Table-4'!O31</f>
        <v>6.8099108675849793E-3</v>
      </c>
      <c r="AB34" s="39"/>
      <c r="AC34" s="39">
        <f t="shared" si="19"/>
        <v>0</v>
      </c>
      <c r="AD34" s="39">
        <f t="shared" si="20"/>
        <v>0</v>
      </c>
      <c r="AE34" s="39">
        <f t="shared" si="21"/>
        <v>0</v>
      </c>
      <c r="AF34" s="39"/>
      <c r="AG34" s="36">
        <f t="shared" si="16"/>
        <v>6.8099108675849793E-3</v>
      </c>
      <c r="AH34" s="39"/>
      <c r="AI34" s="39"/>
      <c r="AJ34" s="39">
        <f t="shared" si="17"/>
        <v>0</v>
      </c>
      <c r="AK34" s="39"/>
      <c r="AL34" s="36">
        <f>+'[4]CDIS Table-4'!U31</f>
        <v>0</v>
      </c>
      <c r="AM34" s="39"/>
      <c r="AN34" s="39">
        <f t="shared" si="22"/>
        <v>0</v>
      </c>
      <c r="AO34" s="39">
        <f t="shared" si="23"/>
        <v>0</v>
      </c>
      <c r="AP34" s="39">
        <f t="shared" si="24"/>
        <v>0</v>
      </c>
      <c r="AQ34" s="39"/>
      <c r="AR34" s="39">
        <f t="shared" si="14"/>
        <v>0</v>
      </c>
      <c r="AS34" s="39"/>
      <c r="AT34" s="39">
        <f t="shared" si="18"/>
        <v>0</v>
      </c>
    </row>
    <row r="35" spans="2:46" ht="14" customHeight="1">
      <c r="C35" s="185" t="s">
        <v>42</v>
      </c>
      <c r="D35" s="196">
        <f t="shared" si="0"/>
        <v>729.82188135284969</v>
      </c>
      <c r="E35" s="196">
        <f t="shared" si="4"/>
        <v>691.75224930757122</v>
      </c>
      <c r="F35" s="171">
        <f>VLOOKUP($C35,'[4]Breakdown EU havens'!$S$67:$Y$97,F$2,0)/E106</f>
        <v>32.270643217989921</v>
      </c>
      <c r="G35" s="171">
        <f>VLOOKUP($C35,'[4]Breakdown EU havens'!$S$67:$Y$97,G$2,0)/E106</f>
        <v>0</v>
      </c>
      <c r="H35" s="171">
        <f>VLOOKUP($C35,'[4]Breakdown EU havens'!$S$67:$Y$97,H$2,0)/E106</f>
        <v>53.850414091376337</v>
      </c>
      <c r="I35" s="171">
        <f>VLOOKUP($C35,'[4]Breakdown EU havens'!$S$67:$Y$97,I$2,0)/E106</f>
        <v>139.59018559526356</v>
      </c>
      <c r="J35" s="171">
        <f>VLOOKUP($C35,'[4]Breakdown EU havens'!$S$67:$Y$97,J$2,0)/E106</f>
        <v>0</v>
      </c>
      <c r="K35" s="171">
        <f>VLOOKUP($C35,'[4]Breakdown EU havens'!$S$67:$Y$97,K$2,0)/E106</f>
        <v>466.04100640294138</v>
      </c>
      <c r="L35" s="196">
        <f t="shared" si="5"/>
        <v>38.06963204527851</v>
      </c>
      <c r="M35" s="178">
        <f>VLOOKUP($C35,'[4]Breakdown non-EU havens'!$K$59:$M$86,3,0)/E106</f>
        <v>38.06963204527851</v>
      </c>
      <c r="N35" s="183">
        <f>VLOOKUP($C35,'[4]Breakdown non-EU havens'!$K$59:$M$86,2,0)/E106</f>
        <v>0</v>
      </c>
      <c r="O35" s="196">
        <f t="shared" si="2"/>
        <v>2164.3947406434163</v>
      </c>
      <c r="P35" s="196">
        <f t="shared" si="6"/>
        <v>1910.5989460928472</v>
      </c>
      <c r="Q35" s="171">
        <f>VLOOKUP($C35,'[4]Breakdown EU havens'!$J$67:$P$94,Q$2,0)/E106</f>
        <v>227.04880559390699</v>
      </c>
      <c r="R35" s="171">
        <f>VLOOKUP($C35,'[4]Breakdown EU havens'!$J$67:$P$94,R$2,0)/E106</f>
        <v>1.2749860729443592</v>
      </c>
      <c r="S35" s="171">
        <f>VLOOKUP($C35,'[4]Breakdown EU havens'!$J$67:$P$94,S$2,0)/E106</f>
        <v>669.66888107179795</v>
      </c>
      <c r="T35" s="171">
        <f>VLOOKUP($C35,'[4]Breakdown EU havens'!$J$67:$P$94,T$2,0)/E106</f>
        <v>473.53107866567348</v>
      </c>
      <c r="U35" s="171">
        <f>VLOOKUP($C35,'[4]Breakdown EU havens'!$J$67:$P$94,U$2,0)/E106</f>
        <v>36.093319614444098</v>
      </c>
      <c r="V35" s="171">
        <f>VLOOKUP($C35,'[4]Breakdown EU havens'!$J$67:$P$94,V$2,0)/E106</f>
        <v>502.98187507408028</v>
      </c>
      <c r="W35" s="196">
        <f t="shared" si="7"/>
        <v>253.79579455056916</v>
      </c>
      <c r="X35" s="178">
        <f>IFERROR(IFERROR(VLOOKUP(C35,'[4]Swiss pivot'!$E$3:$H$54,4,0),VLOOKUP($C35,'[4]Breakdown non-EU havens'!$F$59:$H$86,3,0)/$E$106),AJ35*'[4]Non-EU tax havens'!$I$8)</f>
        <v>160.206352167636</v>
      </c>
      <c r="Y35" s="177">
        <f>VLOOKUP($C35,'[4]Breakdown non-EU havens'!$F$59:$H$86,2,0)/E106</f>
        <v>93.589442382933171</v>
      </c>
      <c r="Z35" s="159"/>
      <c r="AA35" s="36">
        <f>+'[4]CDIS Table-4'!O32</f>
        <v>4.6623666764422506E-3</v>
      </c>
      <c r="AB35" s="39"/>
      <c r="AC35" s="39">
        <f t="shared" si="19"/>
        <v>0</v>
      </c>
      <c r="AD35" s="39">
        <f t="shared" si="20"/>
        <v>0</v>
      </c>
      <c r="AE35" s="39">
        <f t="shared" si="21"/>
        <v>0</v>
      </c>
      <c r="AF35" s="39"/>
      <c r="AG35" s="36">
        <f t="shared" si="16"/>
        <v>4.6623666764422506E-3</v>
      </c>
      <c r="AH35" s="39"/>
      <c r="AI35" s="39"/>
      <c r="AJ35" s="39">
        <f t="shared" si="17"/>
        <v>0</v>
      </c>
      <c r="AK35" s="39"/>
      <c r="AL35" s="36">
        <f>+'[4]CDIS Table-4'!U32</f>
        <v>0</v>
      </c>
      <c r="AM35" s="39"/>
      <c r="AN35" s="39">
        <f t="shared" si="22"/>
        <v>0</v>
      </c>
      <c r="AO35" s="39">
        <f t="shared" si="23"/>
        <v>0</v>
      </c>
      <c r="AP35" s="39">
        <f t="shared" si="24"/>
        <v>0</v>
      </c>
      <c r="AQ35" s="39"/>
      <c r="AR35" s="39">
        <f t="shared" si="14"/>
        <v>0</v>
      </c>
      <c r="AS35" s="39"/>
      <c r="AT35" s="39">
        <f t="shared" si="18"/>
        <v>0</v>
      </c>
    </row>
    <row r="36" spans="2:46" ht="14" customHeight="1">
      <c r="C36" s="185" t="s">
        <v>98</v>
      </c>
      <c r="D36" s="196">
        <f t="shared" si="0"/>
        <v>156.65705196212531</v>
      </c>
      <c r="E36" s="196">
        <f t="shared" si="4"/>
        <v>135.95275521405887</v>
      </c>
      <c r="F36" s="171">
        <f>VLOOKUP($C36,'[4]Breakdown EU havens'!$S$67:$Y$97,F$2,0)/E106</f>
        <v>18.769659830871692</v>
      </c>
      <c r="G36" s="171">
        <f>VLOOKUP($C36,'[4]Breakdown EU havens'!$S$67:$Y$97,G$2,0)/E106</f>
        <v>0</v>
      </c>
      <c r="H36" s="171">
        <f>VLOOKUP($C36,'[4]Breakdown EU havens'!$S$67:$Y$97,H$2,0)/E106</f>
        <v>23.694182200205589</v>
      </c>
      <c r="I36" s="171">
        <f>VLOOKUP($C36,'[4]Breakdown EU havens'!$S$67:$Y$97,I$2,0)/E106</f>
        <v>61.583905409675097</v>
      </c>
      <c r="J36" s="171">
        <f>VLOOKUP($C36,'[4]Breakdown EU havens'!$S$67:$Y$97,J$2,0)/E106</f>
        <v>0</v>
      </c>
      <c r="K36" s="171">
        <f>VLOOKUP($C36,'[4]Breakdown EU havens'!$S$67:$Y$97,K$2,0)/E106</f>
        <v>31.905007773306501</v>
      </c>
      <c r="L36" s="196">
        <f t="shared" si="5"/>
        <v>20.704296748066444</v>
      </c>
      <c r="M36" s="178">
        <f>VLOOKUP($C36,'[4]Breakdown non-EU havens'!$K$59:$M$86,3,0)/E106</f>
        <v>17.527660501785121</v>
      </c>
      <c r="N36" s="183">
        <f>VLOOKUP($C36,'[4]Breakdown non-EU havens'!$K$59:$M$86,2,0)/E106</f>
        <v>3.1766362462813236</v>
      </c>
      <c r="O36" s="196">
        <f t="shared" si="2"/>
        <v>723.64637979168469</v>
      </c>
      <c r="P36" s="196">
        <f t="shared" si="6"/>
        <v>616.72948561694284</v>
      </c>
      <c r="Q36" s="171">
        <f>VLOOKUP($C36,'[4]Breakdown EU havens'!$J$67:$P$94,Q$2,0)/E106</f>
        <v>157.8455737519285</v>
      </c>
      <c r="R36" s="171">
        <f>VLOOKUP($C36,'[4]Breakdown EU havens'!$J$67:$P$94,R$2,0)/E106</f>
        <v>2.5499721458887183</v>
      </c>
      <c r="S36" s="171">
        <f>VLOOKUP($C36,'[4]Breakdown EU havens'!$J$67:$P$94,S$2,0)/E106</f>
        <v>105.45966631051937</v>
      </c>
      <c r="T36" s="171">
        <f>VLOOKUP($C36,'[4]Breakdown EU havens'!$J$67:$P$94,T$2,0)/E106</f>
        <v>201.25649166543036</v>
      </c>
      <c r="U36" s="171">
        <f>VLOOKUP($C36,'[4]Breakdown EU havens'!$J$67:$P$94,U$2,0)/E106</f>
        <v>10.82799588433323</v>
      </c>
      <c r="V36" s="171">
        <f>VLOOKUP($C36,'[4]Breakdown EU havens'!$J$67:$P$94,V$2,0)/E106</f>
        <v>138.78978585884266</v>
      </c>
      <c r="W36" s="196">
        <f t="shared" si="7"/>
        <v>106.91689417474187</v>
      </c>
      <c r="X36" s="178">
        <f>IFERROR(IFERROR(VLOOKUP(C36,'[4]Swiss pivot'!$E$3:$H$54,4,0),VLOOKUP($C36,'[4]Breakdown non-EU havens'!$F$59:$H$86,3,0)/$E$106),AJ36*'[4]Non-EU tax havens'!$I$8)</f>
        <v>79.868516870663385</v>
      </c>
      <c r="Y36" s="177">
        <f>VLOOKUP($C36,'[4]Breakdown non-EU havens'!$F$59:$H$86,2,0)/E106</f>
        <v>27.048377304078489</v>
      </c>
      <c r="Z36" s="159"/>
      <c r="AA36" s="36">
        <f>+'[4]CDIS Table-4'!O33</f>
        <v>1.6779028100662903E-3</v>
      </c>
      <c r="AB36" s="39"/>
      <c r="AC36" s="39">
        <f t="shared" si="19"/>
        <v>0</v>
      </c>
      <c r="AD36" s="39">
        <f t="shared" si="20"/>
        <v>0</v>
      </c>
      <c r="AE36" s="39">
        <f t="shared" si="21"/>
        <v>0</v>
      </c>
      <c r="AF36" s="39"/>
      <c r="AG36" s="36">
        <f t="shared" si="16"/>
        <v>1.6779028100662903E-3</v>
      </c>
      <c r="AH36" s="39"/>
      <c r="AI36" s="39"/>
      <c r="AJ36" s="39">
        <f t="shared" si="17"/>
        <v>0</v>
      </c>
      <c r="AK36" s="39"/>
      <c r="AL36" s="36">
        <f>+'[4]CDIS Table-4'!U33</f>
        <v>0</v>
      </c>
      <c r="AM36" s="39"/>
      <c r="AN36" s="39">
        <f t="shared" si="22"/>
        <v>0</v>
      </c>
      <c r="AO36" s="39">
        <f t="shared" si="23"/>
        <v>0</v>
      </c>
      <c r="AP36" s="39">
        <f t="shared" si="24"/>
        <v>0</v>
      </c>
      <c r="AQ36" s="39"/>
      <c r="AR36" s="39">
        <f t="shared" si="14"/>
        <v>0</v>
      </c>
      <c r="AS36" s="39"/>
      <c r="AT36" s="39">
        <f t="shared" si="18"/>
        <v>0</v>
      </c>
    </row>
    <row r="37" spans="2:46" ht="14" customHeight="1">
      <c r="C37" s="185" t="s">
        <v>99</v>
      </c>
      <c r="D37" s="196">
        <f t="shared" si="0"/>
        <v>35.173444634127762</v>
      </c>
      <c r="E37" s="196">
        <f t="shared" si="4"/>
        <v>29.218450659244006</v>
      </c>
      <c r="F37" s="171">
        <f>VLOOKUP($C37,'[4]Breakdown EU havens'!$S$67:$Y$97,F$2,0)/E106</f>
        <v>4.9393841660188658</v>
      </c>
      <c r="G37" s="171">
        <f>VLOOKUP($C37,'[4]Breakdown EU havens'!$S$67:$Y$97,G$2,0)/E106</f>
        <v>0</v>
      </c>
      <c r="H37" s="171">
        <f>VLOOKUP($C37,'[4]Breakdown EU havens'!$S$67:$Y$97,H$2,0)/E106</f>
        <v>0.21540165636550537</v>
      </c>
      <c r="I37" s="171">
        <f>VLOOKUP($C37,'[4]Breakdown EU havens'!$S$67:$Y$97,I$2,0)/E106</f>
        <v>20.645271146862513</v>
      </c>
      <c r="J37" s="171">
        <f>VLOOKUP($C37,'[4]Breakdown EU havens'!$S$67:$Y$97,J$2,0)/E106</f>
        <v>0</v>
      </c>
      <c r="K37" s="171">
        <f>VLOOKUP($C37,'[4]Breakdown EU havens'!$S$67:$Y$97,K$2,0)/E106</f>
        <v>3.4183936899971252</v>
      </c>
      <c r="L37" s="196">
        <f t="shared" si="5"/>
        <v>5.9549939748837577</v>
      </c>
      <c r="M37" s="178">
        <f>VLOOKUP($C37,'[4]Breakdown non-EU havens'!$K$59:$M$86,3,0)/E106</f>
        <v>3.5725167901727639</v>
      </c>
      <c r="N37" s="183">
        <f>VLOOKUP($C37,'[4]Breakdown non-EU havens'!$K$59:$M$86,2,0)/E106</f>
        <v>2.3824771847109933</v>
      </c>
      <c r="O37" s="196">
        <f t="shared" si="2"/>
        <v>312.48973277423511</v>
      </c>
      <c r="P37" s="196">
        <f t="shared" si="6"/>
        <v>245.30638712867952</v>
      </c>
      <c r="Q37" s="171">
        <f>VLOOKUP($C37,'[4]Breakdown EU havens'!$J$67:$P$94,Q$2,0)/E106</f>
        <v>40.433348941380693</v>
      </c>
      <c r="R37" s="171">
        <f>VLOOKUP($C37,'[4]Breakdown EU havens'!$J$67:$P$94,R$2,0)/E106</f>
        <v>2.5499721458887183</v>
      </c>
      <c r="S37" s="171">
        <f>VLOOKUP($C37,'[4]Breakdown EU havens'!$J$67:$P$94,S$2,0)/E106</f>
        <v>98.077489668783016</v>
      </c>
      <c r="T37" s="171">
        <f>VLOOKUP($C37,'[4]Breakdown EU havens'!$J$67:$P$94,T$2,0)/E106</f>
        <v>37.012688122377995</v>
      </c>
      <c r="U37" s="171">
        <f>'[4]Breakdown EU havens'!$O$91/E106</f>
        <v>0.98436326221211179</v>
      </c>
      <c r="V37" s="171">
        <f>VLOOKUP($C37,'[4]Breakdown EU havens'!$J$67:$P$94,V$2,0)/E106</f>
        <v>66.248524988036991</v>
      </c>
      <c r="W37" s="196">
        <f t="shared" si="7"/>
        <v>67.183345645555576</v>
      </c>
      <c r="X37" s="178">
        <f>IFERROR(IFERROR(VLOOKUP(C37,'[4]Swiss pivot'!$E$3:$H$54,4,0),VLOOKUP($C37,'[4]Breakdown non-EU havens'!$F$59:$H$86,3,0)/$E$106),AJ37*'[4]Non-EU tax havens'!$I$8)</f>
        <v>35.815455616110945</v>
      </c>
      <c r="Y37" s="177">
        <f>VLOOKUP($C37,'[4]Breakdown non-EU havens'!$F$59:$H$86,2,0)/E106</f>
        <v>31.367890029444634</v>
      </c>
      <c r="Z37" s="159"/>
      <c r="AA37" s="36">
        <f>+'[4]CDIS Table-4'!O34</f>
        <v>4.7078495384529563E-4</v>
      </c>
      <c r="AB37" s="39"/>
      <c r="AC37" s="39">
        <f t="shared" si="19"/>
        <v>0</v>
      </c>
      <c r="AD37" s="39">
        <f t="shared" si="20"/>
        <v>0</v>
      </c>
      <c r="AE37" s="39">
        <f t="shared" si="21"/>
        <v>0</v>
      </c>
      <c r="AF37" s="39"/>
      <c r="AG37" s="36">
        <f t="shared" si="16"/>
        <v>4.7078495384529563E-4</v>
      </c>
      <c r="AH37" s="39"/>
      <c r="AI37" s="39"/>
      <c r="AJ37" s="39">
        <f t="shared" si="17"/>
        <v>0</v>
      </c>
      <c r="AK37" s="39"/>
      <c r="AL37" s="36">
        <f>+'[4]CDIS Table-4'!U34</f>
        <v>0</v>
      </c>
      <c r="AM37" s="39"/>
      <c r="AN37" s="39">
        <f t="shared" si="22"/>
        <v>0</v>
      </c>
      <c r="AO37" s="39">
        <f t="shared" si="23"/>
        <v>0</v>
      </c>
      <c r="AP37" s="39">
        <f t="shared" si="24"/>
        <v>0</v>
      </c>
      <c r="AQ37" s="39"/>
      <c r="AR37" s="39">
        <f t="shared" si="14"/>
        <v>0</v>
      </c>
      <c r="AS37" s="39"/>
      <c r="AT37" s="39">
        <f t="shared" si="18"/>
        <v>0</v>
      </c>
    </row>
    <row r="38" spans="2:46" ht="14" customHeight="1">
      <c r="C38" s="185" t="s">
        <v>30</v>
      </c>
      <c r="D38" s="196">
        <f t="shared" si="0"/>
        <v>4278.3447248784623</v>
      </c>
      <c r="E38" s="196">
        <f t="shared" si="4"/>
        <v>3896.0649755659242</v>
      </c>
      <c r="F38" s="171">
        <f>VLOOKUP($C38,'[4]Breakdown EU havens'!$S$67:$Y$97,F$2,0)/E106</f>
        <v>250.26213107828923</v>
      </c>
      <c r="G38" s="171">
        <f>VLOOKUP($C38,'[4]Breakdown EU havens'!$S$67:$Y$97,G$2,0)/E106</f>
        <v>0.67585640002930614</v>
      </c>
      <c r="H38" s="171">
        <f>VLOOKUP($C38,'[4]Breakdown EU havens'!$S$67:$Y$97,H$2,0)/E106</f>
        <v>383.41494833059949</v>
      </c>
      <c r="I38" s="171">
        <f>VLOOKUP($C38,'[4]Breakdown EU havens'!$S$67:$Y$97,I$2,0)/E106</f>
        <v>792.02767490690735</v>
      </c>
      <c r="J38" s="171">
        <f>VLOOKUP($C38,'[4]Breakdown EU havens'!$S$67:$Y$97,J$2,0)/E106</f>
        <v>8.4409080521693838</v>
      </c>
      <c r="K38" s="171">
        <f>VLOOKUP($C38,'[4]Breakdown EU havens'!$S$67:$Y$97,K$2,0)/E106</f>
        <v>2461.2434567979299</v>
      </c>
      <c r="L38" s="196">
        <f t="shared" si="5"/>
        <v>382.27974931253846</v>
      </c>
      <c r="M38" s="178">
        <f>VLOOKUP($C38,'[4]Breakdown non-EU havens'!$K$59:$M$86,3,0)/E106</f>
        <v>353.00931532894629</v>
      </c>
      <c r="N38" s="183">
        <f>VLOOKUP($C38,'[4]Breakdown non-EU havens'!$K$59:$M$86,2,0)/E106</f>
        <v>29.270433983592199</v>
      </c>
      <c r="O38" s="196">
        <f t="shared" si="2"/>
        <v>13411.410637312354</v>
      </c>
      <c r="P38" s="196">
        <f t="shared" si="6"/>
        <v>10967.263931343548</v>
      </c>
      <c r="Q38" s="171">
        <f>VLOOKUP($C38,'[4]Breakdown EU havens'!$J$67:$P$94,Q$2,0)/E106</f>
        <v>843.65737694996255</v>
      </c>
      <c r="R38" s="171">
        <f>VLOOKUP($C38,'[4]Breakdown EU havens'!$J$67:$P$94,R$2,0)/E106</f>
        <v>14.662339838860129</v>
      </c>
      <c r="S38" s="171">
        <f>VLOOKUP($C38,'[4]Breakdown EU havens'!$J$67:$P$94,S$2,0)/E106</f>
        <v>2832.6466371005499</v>
      </c>
      <c r="T38" s="171">
        <f>VLOOKUP($C38,'[4]Breakdown EU havens'!$J$67:$P$94,T$2,0)/E106</f>
        <v>4159.3008277522276</v>
      </c>
      <c r="U38" s="171">
        <f>VLOOKUP($C38,'[4]Breakdown EU havens'!$J$67:$P$94,U$2,0)/E106</f>
        <v>225.30981335077226</v>
      </c>
      <c r="V38" s="171">
        <f>VLOOKUP($C38,'[4]Breakdown EU havens'!$J$67:$P$94,V$2,0)/E106</f>
        <v>2891.6869363511764</v>
      </c>
      <c r="W38" s="196">
        <f t="shared" si="7"/>
        <v>2444.1467059688061</v>
      </c>
      <c r="X38" s="178">
        <f>IFERROR(IFERROR(VLOOKUP(C38,'[4]Swiss pivot'!$E$3:$H$54,4,0),VLOOKUP($C38,'[4]Breakdown non-EU havens'!$F$59:$H$86,3,0)/$E$106),AJ38*'[4]Non-EU tax havens'!$I$8)</f>
        <v>894.88147513748174</v>
      </c>
      <c r="Y38" s="177">
        <f>VLOOKUP($C38,'[4]Breakdown non-EU havens'!$F$59:$H$86,2,0)/E106</f>
        <v>1549.2652308313245</v>
      </c>
      <c r="Z38" s="159"/>
      <c r="AA38" s="36">
        <f>+'[4]CDIS Table-4'!O35</f>
        <v>2.0109826911602034E-2</v>
      </c>
      <c r="AB38" s="39"/>
      <c r="AC38" s="39">
        <f t="shared" si="19"/>
        <v>0</v>
      </c>
      <c r="AD38" s="39">
        <f t="shared" si="20"/>
        <v>0</v>
      </c>
      <c r="AE38" s="39">
        <f t="shared" si="21"/>
        <v>0</v>
      </c>
      <c r="AF38" s="39"/>
      <c r="AG38" s="36">
        <f t="shared" si="16"/>
        <v>2.0109826911602034E-2</v>
      </c>
      <c r="AH38" s="39"/>
      <c r="AI38" s="39"/>
      <c r="AJ38" s="39">
        <f t="shared" si="17"/>
        <v>0</v>
      </c>
      <c r="AK38" s="39"/>
      <c r="AL38" s="36">
        <f>+'[4]CDIS Table-4'!U35</f>
        <v>0</v>
      </c>
      <c r="AM38" s="39"/>
      <c r="AN38" s="39">
        <f t="shared" si="22"/>
        <v>0</v>
      </c>
      <c r="AO38" s="39">
        <f t="shared" si="23"/>
        <v>0</v>
      </c>
      <c r="AP38" s="39">
        <f t="shared" si="24"/>
        <v>0</v>
      </c>
      <c r="AQ38" s="39"/>
      <c r="AR38" s="39">
        <f t="shared" si="14"/>
        <v>0</v>
      </c>
      <c r="AS38" s="39"/>
      <c r="AT38" s="39">
        <f t="shared" si="18"/>
        <v>0</v>
      </c>
    </row>
    <row r="39" spans="2:46" ht="14" customHeight="1">
      <c r="C39" s="185" t="s">
        <v>100</v>
      </c>
      <c r="D39" s="196">
        <f t="shared" si="0"/>
        <v>940.19843351891961</v>
      </c>
      <c r="E39" s="196">
        <f t="shared" si="4"/>
        <v>906.1841324168347</v>
      </c>
      <c r="F39" s="171">
        <f>VLOOKUP($C39,'[4]Breakdown EU havens'!$S$67:$Y$97,F$2,0)/E106</f>
        <v>73.541942027392011</v>
      </c>
      <c r="G39" s="171">
        <f>VLOOKUP($C39,'[4]Breakdown EU havens'!$S$67:$Y$97,G$2,0)/E106</f>
        <v>0</v>
      </c>
      <c r="H39" s="171">
        <f>VLOOKUP($C39,'[4]Breakdown EU havens'!$S$67:$Y$97,H$2,0)/E106</f>
        <v>17.986038306519696</v>
      </c>
      <c r="I39" s="171">
        <f>VLOOKUP($C39,'[4]Breakdown EU havens'!$S$67:$Y$97,I$2,0)/E106</f>
        <v>424.16647992644789</v>
      </c>
      <c r="J39" s="171">
        <f>VLOOKUP($C39,'[4]Breakdown EU havens'!$S$67:$Y$97,J$2,0)/E106</f>
        <v>1.9322560601351602</v>
      </c>
      <c r="K39" s="171">
        <f>VLOOKUP($C39,'[4]Breakdown EU havens'!$S$67:$Y$97,K$2,0)/E106</f>
        <v>388.55741609633992</v>
      </c>
      <c r="L39" s="196">
        <f t="shared" si="5"/>
        <v>34.014301102084943</v>
      </c>
      <c r="M39" s="178">
        <f>VLOOKUP($C39,'[4]Breakdown non-EU havens'!$K$59:$M$86,3,0)/E106</f>
        <v>15.294837507927145</v>
      </c>
      <c r="N39" s="183">
        <f>VLOOKUP($C39,'[4]Breakdown non-EU havens'!$K$59:$M$86,2,0)/E106</f>
        <v>18.719463594157801</v>
      </c>
      <c r="O39" s="196">
        <f t="shared" si="2"/>
        <v>9604.398133229739</v>
      </c>
      <c r="P39" s="196">
        <f t="shared" si="6"/>
        <v>8003.282210041586</v>
      </c>
      <c r="Q39" s="171">
        <f>VLOOKUP($C39,'[4]Breakdown EU havens'!$J$67:$P$94,Q$2,0)/E106</f>
        <v>877.09264626687354</v>
      </c>
      <c r="R39" s="171">
        <f>VLOOKUP($C39,'[4]Breakdown EU havens'!$J$67:$P$94,R$2,0)/E106</f>
        <v>81.599108668438987</v>
      </c>
      <c r="S39" s="171">
        <f>VLOOKUP($C39,'[4]Breakdown EU havens'!$J$67:$P$94,S$2,0)/E106</f>
        <v>3197.5370825349469</v>
      </c>
      <c r="T39" s="171">
        <f>VLOOKUP($C39,'[4]Breakdown EU havens'!$J$67:$P$94,T$2,0)/E106</f>
        <v>1998.6851586084117</v>
      </c>
      <c r="U39" s="171">
        <f>VLOOKUP($C39,'[4]Breakdown EU havens'!$J$67:$P$94,U$2,0)/E106</f>
        <v>217.76302834047939</v>
      </c>
      <c r="V39" s="171">
        <f>VLOOKUP($C39,'[4]Breakdown EU havens'!$J$67:$P$94,V$2,0)/E106</f>
        <v>1630.6051856224356</v>
      </c>
      <c r="W39" s="196">
        <f t="shared" si="7"/>
        <v>1601.1159231881529</v>
      </c>
      <c r="X39" s="178">
        <f>IFERROR(IFERROR(VLOOKUP(C39,'[4]Swiss pivot'!$E$3:$H$54,4,0),VLOOKUP($C39,'[4]Breakdown non-EU havens'!$F$59:$H$86,3,0)/$E$106),AJ39*'[4]Non-EU tax havens'!$I$8)</f>
        <v>386.92146519594525</v>
      </c>
      <c r="Y39" s="177">
        <f>VLOOKUP($C39,'[4]Breakdown non-EU havens'!$F$59:$H$86,2,0)/E106</f>
        <v>1214.1944579922076</v>
      </c>
      <c r="Z39" s="159"/>
      <c r="AA39" s="36">
        <f>+'[4]CDIS Table-4'!O36</f>
        <v>1.0367762926519983E-2</v>
      </c>
      <c r="AB39" s="202"/>
      <c r="AC39" s="39">
        <f t="shared" si="19"/>
        <v>0</v>
      </c>
      <c r="AD39" s="39">
        <f t="shared" si="20"/>
        <v>0</v>
      </c>
      <c r="AE39" s="39">
        <f t="shared" si="21"/>
        <v>0</v>
      </c>
      <c r="AF39" s="202"/>
      <c r="AG39" s="36">
        <f t="shared" si="16"/>
        <v>1.0367762926519983E-2</v>
      </c>
      <c r="AH39" s="202"/>
      <c r="AI39" s="39"/>
      <c r="AJ39" s="39">
        <f t="shared" si="17"/>
        <v>0</v>
      </c>
      <c r="AK39" s="39"/>
      <c r="AL39" s="36">
        <f>+'[4]CDIS Table-4'!U36</f>
        <v>0</v>
      </c>
      <c r="AM39" s="202"/>
      <c r="AN39" s="39">
        <f t="shared" si="22"/>
        <v>0</v>
      </c>
      <c r="AO39" s="39">
        <f t="shared" si="23"/>
        <v>0</v>
      </c>
      <c r="AP39" s="39">
        <f t="shared" si="24"/>
        <v>0</v>
      </c>
      <c r="AQ39" s="202"/>
      <c r="AR39" s="39">
        <f t="shared" si="14"/>
        <v>0</v>
      </c>
      <c r="AS39" s="202"/>
      <c r="AT39" s="39">
        <f t="shared" si="18"/>
        <v>0</v>
      </c>
    </row>
    <row r="40" spans="2:46" ht="14" customHeight="1">
      <c r="C40" s="185" t="s">
        <v>21</v>
      </c>
      <c r="D40" s="200"/>
      <c r="E40" s="200">
        <f t="shared" si="4"/>
        <v>4001.1235332421229</v>
      </c>
      <c r="F40" s="201">
        <f>HLOOKUP($C40,'[4]Interest shifted to EU'!$L$12:$AT$18,F$2,0)/E106</f>
        <v>231.09440370877701</v>
      </c>
      <c r="G40" s="201">
        <f>HLOOKUP($C40,'[4]Interest shifted to EU'!$L$12:$AT$18,G$2,0)/E106</f>
        <v>7.3556373859484685</v>
      </c>
      <c r="H40" s="201">
        <f>HLOOKUP($C40,'[4]Interest shifted to EU'!$L$12:$AT$18,H$2,0)/E106</f>
        <v>222.45311315113111</v>
      </c>
      <c r="I40" s="201">
        <f>HLOOKUP($C40,'[4]Interest shifted to EU'!$L$12:$AT$18,I$2,0)/E106</f>
        <v>703.39962846481058</v>
      </c>
      <c r="J40" s="201">
        <f>HLOOKUP($C40,'[4]Interest shifted to EU'!$L$12:$AT$18,J$2,0)/E106</f>
        <v>924.43358572840975</v>
      </c>
      <c r="K40" s="201">
        <f>HLOOKUP($C40,'[4]Interest shifted to EU'!$L$12:$AT$18,K$2,0)/E106</f>
        <v>1912.3871648030463</v>
      </c>
      <c r="L40" s="200"/>
      <c r="M40" s="178"/>
      <c r="N40" s="183"/>
      <c r="O40" s="200"/>
      <c r="P40" s="200">
        <f t="shared" si="6"/>
        <v>13840.688623570577</v>
      </c>
      <c r="Q40" s="201">
        <f>HLOOKUP($C40,'[4]Non EU income shifted to EU'!$A$2:$AI$18,Q$2+10,0)/E106</f>
        <v>1566.8284874526648</v>
      </c>
      <c r="R40" s="201">
        <f>HLOOKUP($C40,'[4]Non EU income shifted to EU'!$A$2:$AI$18,R$2+10,0)/E106</f>
        <v>6.3506093294262218</v>
      </c>
      <c r="S40" s="201">
        <f>HLOOKUP($C40,'[4]Non EU income shifted to EU'!$A$2:$AI$18,S$2+10,0)/E106</f>
        <v>2882.7415990758054</v>
      </c>
      <c r="T40" s="201">
        <f>HLOOKUP($C40,'[4]Non EU income shifted to EU'!$A$2:$AI$18,T$2+10,0)/E106</f>
        <v>6454.2596200027483</v>
      </c>
      <c r="U40" s="201">
        <f>HLOOKUP($C40,'[4]Non EU income shifted to EU'!$A$2:$AI$18,U$2+10,0)/E106</f>
        <v>59.530555976838379</v>
      </c>
      <c r="V40" s="201">
        <f>HLOOKUP($C40,'[4]Non EU income shifted to EU'!$A$2:$AI$18,V$2+10,0)/E106</f>
        <v>2870.9777517330926</v>
      </c>
      <c r="W40" s="200"/>
      <c r="X40" s="178">
        <f>IFERROR(IFERROR(VLOOKUP(C40,'[4]Swiss pivot'!$E$3:$H$54,4,0),VLOOKUP($C40,'[4]Breakdown non-EU havens'!$F$59:$H$86,3,0)/$E$106),AJ40*'[4]Non-EU tax havens'!$I$8)</f>
        <v>0</v>
      </c>
      <c r="Y40" s="177"/>
      <c r="Z40" s="159"/>
      <c r="AA40" s="36">
        <f>+'[4]CDIS Table-4'!O37</f>
        <v>4.0242172386703134E-2</v>
      </c>
      <c r="AB40" s="39">
        <v>0</v>
      </c>
      <c r="AC40" s="39">
        <f t="shared" si="19"/>
        <v>0</v>
      </c>
      <c r="AD40" s="39">
        <f t="shared" si="20"/>
        <v>0</v>
      </c>
      <c r="AE40" s="39">
        <f t="shared" si="21"/>
        <v>0</v>
      </c>
      <c r="AF40" s="39"/>
      <c r="AG40" s="36">
        <f t="shared" si="16"/>
        <v>4.0242172386703134E-2</v>
      </c>
      <c r="AH40" s="39">
        <v>0</v>
      </c>
      <c r="AI40" s="39"/>
      <c r="AJ40" s="39">
        <f t="shared" si="17"/>
        <v>0</v>
      </c>
      <c r="AK40" s="39"/>
      <c r="AL40" s="36">
        <f>+'[4]CDIS Table-4'!U37</f>
        <v>0</v>
      </c>
      <c r="AM40" s="39">
        <v>0</v>
      </c>
      <c r="AN40" s="39">
        <f t="shared" si="22"/>
        <v>0</v>
      </c>
      <c r="AO40" s="39">
        <f t="shared" si="23"/>
        <v>0</v>
      </c>
      <c r="AP40" s="39">
        <f t="shared" si="24"/>
        <v>0</v>
      </c>
      <c r="AQ40" s="39"/>
      <c r="AR40" s="39">
        <f t="shared" si="14"/>
        <v>0</v>
      </c>
      <c r="AS40" s="39"/>
      <c r="AT40" s="39">
        <f t="shared" si="18"/>
        <v>0</v>
      </c>
    </row>
    <row r="41" spans="2:46" ht="14" customHeight="1">
      <c r="C41" s="185" t="s">
        <v>44</v>
      </c>
      <c r="D41" s="196">
        <f t="shared" ref="D41:D51" si="25">+E41+L41</f>
        <v>508.66650040208145</v>
      </c>
      <c r="E41" s="196">
        <f t="shared" si="4"/>
        <v>264.1326151377101</v>
      </c>
      <c r="F41" s="171">
        <f>HLOOKUP($C41,'[4]Interest shifted to EU'!$L$12:$AT$18,F$2,0)/E106</f>
        <v>41.665017185433634</v>
      </c>
      <c r="G41" s="171">
        <f>HLOOKUP($C41,'[4]Interest shifted to EU'!$L$12:$AT$18,G$2,0)/E106</f>
        <v>0</v>
      </c>
      <c r="H41" s="171">
        <f>HLOOKUP($C41,'[4]Interest shifted to EU'!$L$12:$AT$18,H$2,0)/E106</f>
        <v>0</v>
      </c>
      <c r="I41" s="171">
        <f>HLOOKUP($C41,'[4]Interest shifted to EU'!$L$12:$AT$18,I$2,0)/E106</f>
        <v>29.758331227113022</v>
      </c>
      <c r="J41" s="171">
        <f>HLOOKUP($C41,'[4]Interest shifted to EU'!$L$12:$AT$18,J$2,0)/E106</f>
        <v>7.1371280508078705</v>
      </c>
      <c r="K41" s="171">
        <f>HLOOKUP($C41,'[4]Interest shifted to EU'!$L$12:$AT$18,K$2,0)/E106</f>
        <v>185.57213867435556</v>
      </c>
      <c r="L41" s="196">
        <f>SUM(M41:N41)</f>
        <v>244.53388526437135</v>
      </c>
      <c r="M41" s="178">
        <f>AC41*'[4]Non-EU tax havens'!$M$8</f>
        <v>31.0345525291538</v>
      </c>
      <c r="N41" s="183">
        <f>AC41*'[4]Non-EU tax havens'!$M$13</f>
        <v>213.49933273521756</v>
      </c>
      <c r="O41" s="196">
        <f t="shared" ref="O41:O51" si="26">+P41+W41</f>
        <v>4300.8622970076649</v>
      </c>
      <c r="P41" s="196">
        <f t="shared" si="6"/>
        <v>1203.3137927000489</v>
      </c>
      <c r="Q41" s="171">
        <f>HLOOKUP($C41,'[4]Non EU income shifted to EU'!$A$2:$AI$18,Q$2+10,0)/E106</f>
        <v>172.20704675206531</v>
      </c>
      <c r="R41" s="171">
        <f>HLOOKUP($C41,'[4]Non EU income shifted to EU'!$A$2:$AI$18,R$2+10,0)/E106</f>
        <v>1.7237368179871171</v>
      </c>
      <c r="S41" s="171">
        <f>HLOOKUP($C41,'[4]Non EU income shifted to EU'!$A$2:$AI$18,S$2+10,0)/E106</f>
        <v>548.28468997928098</v>
      </c>
      <c r="T41" s="171">
        <f>HLOOKUP($C41,'[4]Non EU income shifted to EU'!$A$2:$AI$18,T$2+10,0)/E106</f>
        <v>160.88636799618374</v>
      </c>
      <c r="U41" s="171">
        <f>HLOOKUP($C41,'[4]Non EU income shifted to EU'!$A$2:$AI$18,U$2+10,0)/E106</f>
        <v>24.813178641673346</v>
      </c>
      <c r="V41" s="171">
        <f>HLOOKUP($C41,'[4]Non EU income shifted to EU'!$A$2:$AI$18,V$2+10,0)/E106</f>
        <v>295.39877251285833</v>
      </c>
      <c r="W41" s="196">
        <f>SUM(X41:Y41)</f>
        <v>3097.548504307616</v>
      </c>
      <c r="X41" s="178">
        <f>IFERROR(IFERROR(VLOOKUP(C41,'[4]Swiss pivot'!$E$3:$H$54,4,0),VLOOKUP($C41,'[4]Breakdown non-EU havens'!$F$59:$H$86,3,0)/$E$106),AJ41*'[4]Non-EU tax havens'!$I$8)</f>
        <v>303.41519850852058</v>
      </c>
      <c r="Y41" s="177">
        <f>AE41*'[4]Non-EU tax havens'!$O$13</f>
        <v>2794.1333057990955</v>
      </c>
      <c r="Z41" s="159"/>
      <c r="AA41" s="36">
        <f>+'[4]CDIS Table-4'!O38</f>
        <v>3.2883376727278189E-3</v>
      </c>
      <c r="AB41" s="39">
        <f>+AA41</f>
        <v>3.2883376727278189E-3</v>
      </c>
      <c r="AC41" s="39">
        <f t="shared" si="19"/>
        <v>7.4751255987954334E-3</v>
      </c>
      <c r="AD41" s="39">
        <f t="shared" si="20"/>
        <v>3.2883376727278189E-3</v>
      </c>
      <c r="AE41" s="39">
        <f t="shared" si="21"/>
        <v>9.8710132247846107E-3</v>
      </c>
      <c r="AF41" s="39"/>
      <c r="AG41" s="36">
        <f t="shared" si="16"/>
        <v>3.2883376727278189E-3</v>
      </c>
      <c r="AH41" s="39">
        <f>+AG41</f>
        <v>3.2883376727278189E-3</v>
      </c>
      <c r="AI41" s="39"/>
      <c r="AJ41" s="39">
        <f t="shared" si="17"/>
        <v>0</v>
      </c>
      <c r="AK41" s="39"/>
      <c r="AL41" s="36">
        <f>+'[4]CDIS Table-4'!U38</f>
        <v>0</v>
      </c>
      <c r="AM41" s="39">
        <f>+AL41</f>
        <v>0</v>
      </c>
      <c r="AN41" s="39">
        <f t="shared" si="22"/>
        <v>0</v>
      </c>
      <c r="AO41" s="39">
        <f t="shared" si="23"/>
        <v>0</v>
      </c>
      <c r="AP41" s="39">
        <f t="shared" si="24"/>
        <v>0</v>
      </c>
      <c r="AQ41" s="39"/>
      <c r="AR41" s="39">
        <f t="shared" ref="AR41:AR72" si="27">+AQ41/$AQ$99</f>
        <v>0</v>
      </c>
      <c r="AS41" s="39"/>
      <c r="AT41" s="39">
        <f t="shared" si="18"/>
        <v>0</v>
      </c>
    </row>
    <row r="42" spans="2:46" ht="14" customHeight="1">
      <c r="C42" s="185" t="s">
        <v>28</v>
      </c>
      <c r="D42" s="196">
        <f t="shared" si="25"/>
        <v>11083.899814778229</v>
      </c>
      <c r="E42" s="196">
        <f t="shared" si="4"/>
        <v>10127.326300247731</v>
      </c>
      <c r="F42" s="171">
        <f>VLOOKUP($C42,'[4]Breakdown EU havens'!$S$67:$Y$97,F$2,0)/E106</f>
        <v>2703.4896002009928</v>
      </c>
      <c r="G42" s="171">
        <f>VLOOKUP($C42,'[4]Breakdown EU havens'!$S$67:$Y$97,G$2,0)/E106</f>
        <v>2.0838905667570273</v>
      </c>
      <c r="H42" s="171">
        <f>VLOOKUP($C42,'[4]Breakdown EU havens'!$S$67:$Y$97,H$2,0)/E106</f>
        <v>656.97505191479127</v>
      </c>
      <c r="I42" s="171">
        <f>VLOOKUP($C42,'[4]Breakdown EU havens'!$S$67:$Y$97,I$2,0)/E106</f>
        <v>2806.3492438496519</v>
      </c>
      <c r="J42" s="171">
        <f>VLOOKUP($C42,'[4]Breakdown EU havens'!$S$67:$Y$97,J$2,0)/E106</f>
        <v>26.136305655512437</v>
      </c>
      <c r="K42" s="171">
        <f>VLOOKUP($C42,'[4]Breakdown EU havens'!$S$67:$Y$97,K$2,0)/E106</f>
        <v>3932.292208060026</v>
      </c>
      <c r="L42" s="196">
        <f>SUM(M42:N42)</f>
        <v>956.57351453049921</v>
      </c>
      <c r="M42" s="178">
        <f>VLOOKUP($C42,'[4]Breakdown non-EU havens'!$K$59:$M$86,3,0)/E106</f>
        <v>485.75064231380298</v>
      </c>
      <c r="N42" s="183">
        <f>VLOOKUP($C42,'[4]Breakdown non-EU havens'!$K$59:$M$86,2,0)/E106</f>
        <v>470.82287221669623</v>
      </c>
      <c r="O42" s="196">
        <f t="shared" si="26"/>
        <v>80872.059355674559</v>
      </c>
      <c r="P42" s="196">
        <f t="shared" si="6"/>
        <v>59679.291591973706</v>
      </c>
      <c r="Q42" s="171">
        <f>VLOOKUP($C42,'[4]Breakdown EU havens'!$J$67:$P$94,Q$2,0)/E106</f>
        <v>4589.9626692494276</v>
      </c>
      <c r="R42" s="171">
        <f>VLOOKUP($C42,'[4]Breakdown EU havens'!$J$67:$P$94,R$2,0)/E106</f>
        <v>210.81894716134977</v>
      </c>
      <c r="S42" s="171">
        <f>VLOOKUP($C42,'[4]Breakdown EU havens'!$J$67:$P$94,S$2,0)/E106</f>
        <v>22530.403110579358</v>
      </c>
      <c r="T42" s="171">
        <f>VLOOKUP($C42,'[4]Breakdown EU havens'!$J$67:$P$94,T$2,0)/E106</f>
        <v>15568.924600076774</v>
      </c>
      <c r="U42" s="171">
        <f>VLOOKUP($C42,'[4]Breakdown EU havens'!$J$67:$P$94,U$2,0)/E106</f>
        <v>991.58192613500069</v>
      </c>
      <c r="V42" s="171">
        <f>VLOOKUP($C42,'[4]Breakdown EU havens'!$J$67:$P$94,V$2,0)/E106</f>
        <v>15787.600338771803</v>
      </c>
      <c r="W42" s="196">
        <f>SUM(X42:Y42)</f>
        <v>21192.767763700853</v>
      </c>
      <c r="X42" s="178">
        <f>IFERROR(IFERROR(VLOOKUP(C42,'[4]Swiss pivot'!$E$3:$H$54,4,0),VLOOKUP($C42,'[4]Breakdown non-EU havens'!$F$59:$H$86,3,0)/$E$106),AJ42*'[4]Non-EU tax havens'!$I$8)</f>
        <v>5090.5499334055812</v>
      </c>
      <c r="Y42" s="177">
        <f>VLOOKUP($C42,'[4]Breakdown non-EU havens'!$F$59:$H$86,2,0)/E106</f>
        <v>16102.217830295273</v>
      </c>
      <c r="Z42" s="159"/>
      <c r="AA42" s="36">
        <f>+'[4]CDIS Table-4'!O39</f>
        <v>4.5338525604610186E-2</v>
      </c>
      <c r="AB42" s="39"/>
      <c r="AC42" s="39">
        <f t="shared" si="19"/>
        <v>0</v>
      </c>
      <c r="AD42" s="39">
        <f t="shared" si="20"/>
        <v>0</v>
      </c>
      <c r="AE42" s="39">
        <f t="shared" si="21"/>
        <v>0</v>
      </c>
      <c r="AF42" s="39"/>
      <c r="AG42" s="36">
        <f t="shared" si="16"/>
        <v>4.5338525604610186E-2</v>
      </c>
      <c r="AH42" s="39"/>
      <c r="AI42" s="39"/>
      <c r="AJ42" s="39">
        <f t="shared" si="17"/>
        <v>0</v>
      </c>
      <c r="AK42" s="39"/>
      <c r="AL42" s="36">
        <f>+'[4]CDIS Table-4'!U39</f>
        <v>0</v>
      </c>
      <c r="AM42" s="39"/>
      <c r="AN42" s="39">
        <f t="shared" si="22"/>
        <v>0</v>
      </c>
      <c r="AO42" s="39">
        <f t="shared" si="23"/>
        <v>0</v>
      </c>
      <c r="AP42" s="39">
        <f t="shared" si="24"/>
        <v>0</v>
      </c>
      <c r="AQ42" s="39"/>
      <c r="AR42" s="39">
        <f t="shared" si="27"/>
        <v>0</v>
      </c>
      <c r="AS42" s="39"/>
      <c r="AT42" s="39">
        <f t="shared" si="18"/>
        <v>0</v>
      </c>
    </row>
    <row r="43" spans="2:46" ht="14" customHeight="1">
      <c r="C43" s="185" t="s">
        <v>11</v>
      </c>
      <c r="D43" s="196">
        <f t="shared" si="25"/>
        <v>14363.104817186844</v>
      </c>
      <c r="E43" s="196">
        <f t="shared" si="4"/>
        <v>6423.0177488428872</v>
      </c>
      <c r="F43" s="171">
        <f>HLOOKUP($C43,'[4]Interest shifted to EU'!$L$12:$AT$18,F$2,0)/E106</f>
        <v>-3.8736183777840787</v>
      </c>
      <c r="G43" s="171">
        <f>HLOOKUP($C43,'[4]Interest shifted to EU'!$L$12:$AT$18,G$2,0)/E106</f>
        <v>-0.22986366831088967</v>
      </c>
      <c r="H43" s="171">
        <f>HLOOKUP($C43,'[4]Interest shifted to EU'!$L$12:$AT$18,H$2,0)/E106</f>
        <v>-6.4606844743562837</v>
      </c>
      <c r="I43" s="171">
        <f>HLOOKUP($C43,'[4]Interest shifted to EU'!$L$12:$AT$18,I$2,0)/E106</f>
        <v>-20.22187759062507</v>
      </c>
      <c r="J43" s="171">
        <f>HLOOKUP($C43,'[4]Interest shifted to EU'!$L$12:$AT$18,J$2,0)/E106</f>
        <v>-0.351006297580715</v>
      </c>
      <c r="K43" s="171">
        <f>HLOOKUP($C43,'[4]Interest shifted to EU'!$L$12:$AT$18,K$2,0)/E106</f>
        <v>6454.1547992515443</v>
      </c>
      <c r="L43" s="196">
        <f>SUM(M43:N43)</f>
        <v>7940.0870683439571</v>
      </c>
      <c r="M43" s="178">
        <f>AC43*'[4]Non-EU tax havens'!$M$8</f>
        <v>1007.7010347345852</v>
      </c>
      <c r="N43" s="183">
        <f>AC43*'[4]Non-EU tax havens'!$M$13</f>
        <v>6932.3860336093721</v>
      </c>
      <c r="O43" s="196">
        <f t="shared" si="26"/>
        <v>124299.1951371562</v>
      </c>
      <c r="P43" s="196">
        <f t="shared" si="6"/>
        <v>32707.111104826494</v>
      </c>
      <c r="Q43" s="171">
        <f>HLOOKUP($C43,'[4]Non EU income shifted to EU'!$A$2:$AI$18,Q$2+10,0)/E106</f>
        <v>3815.0948999881984</v>
      </c>
      <c r="R43" s="171">
        <f>HLOOKUP($C43,'[4]Non EU income shifted to EU'!$A$2:$AI$18,R$2+10,0)/E106</f>
        <v>299.11369941597502</v>
      </c>
      <c r="S43" s="171">
        <f>HLOOKUP($C43,'[4]Non EU income shifted to EU'!$A$2:$AI$18,S$2+10,0)/E106</f>
        <v>16514.368837989423</v>
      </c>
      <c r="T43" s="171">
        <f>HLOOKUP($C43,'[4]Non EU income shifted to EU'!$A$2:$AI$18,T$2+10,0)/E106</f>
        <v>4862.1114068457091</v>
      </c>
      <c r="U43" s="171">
        <f>HLOOKUP($C43,'[4]Non EU income shifted to EU'!$A$2:$AI$18,U$2+10,0)/E106</f>
        <v>31.714508582351069</v>
      </c>
      <c r="V43" s="171">
        <f>HLOOKUP($C43,'[4]Non EU income shifted to EU'!$A$2:$AI$18,V$2+10,0)/E106</f>
        <v>7184.7077520048379</v>
      </c>
      <c r="W43" s="196">
        <f>SUM(X43:Y43)</f>
        <v>91592.084032329702</v>
      </c>
      <c r="X43" s="178">
        <f>+'[4]Swiss pivot'!$H$53</f>
        <v>9083.7372418972136</v>
      </c>
      <c r="Y43" s="177">
        <f>+TableC1!Y43*(1-'[4]Non-EU tax havens'!$Q$13/'[4]Non-EU tax havens'!$R$13)</f>
        <v>82508.346790432493</v>
      </c>
      <c r="Z43" s="159"/>
      <c r="AA43" s="36">
        <f>+'[4]CDIS Table-4'!O40</f>
        <v>0.1067732899403558</v>
      </c>
      <c r="AB43" s="39">
        <f>+AA43</f>
        <v>0.1067732899403558</v>
      </c>
      <c r="AC43" s="39">
        <f t="shared" si="19"/>
        <v>0.24271952346021253</v>
      </c>
      <c r="AD43" s="39"/>
      <c r="AE43" s="39">
        <f t="shared" si="21"/>
        <v>0</v>
      </c>
      <c r="AF43" s="39"/>
      <c r="AG43" s="36">
        <f t="shared" si="16"/>
        <v>0.1067732899403558</v>
      </c>
      <c r="AH43" s="39">
        <f>+AG43</f>
        <v>0.1067732899403558</v>
      </c>
      <c r="AI43" s="39"/>
      <c r="AJ43" s="39">
        <f t="shared" ref="AJ43:AJ74" si="28">+AI43/$AI$104</f>
        <v>0</v>
      </c>
      <c r="AK43" s="39"/>
      <c r="AL43" s="36">
        <f>+'[4]CDIS Table-4'!U40</f>
        <v>0</v>
      </c>
      <c r="AM43" s="39">
        <f>+AL43</f>
        <v>0</v>
      </c>
      <c r="AN43" s="39">
        <f t="shared" si="22"/>
        <v>0</v>
      </c>
      <c r="AO43" s="39"/>
      <c r="AP43" s="39">
        <f t="shared" si="24"/>
        <v>0</v>
      </c>
      <c r="AQ43" s="39"/>
      <c r="AR43" s="39">
        <f t="shared" si="27"/>
        <v>0</v>
      </c>
      <c r="AS43" s="39"/>
      <c r="AT43" s="39">
        <f t="shared" si="18"/>
        <v>0</v>
      </c>
    </row>
    <row r="44" spans="2:46" ht="40" customHeight="1">
      <c r="C44" s="195" t="s">
        <v>77</v>
      </c>
      <c r="D44" s="192">
        <f t="shared" si="25"/>
        <v>15456.607171261632</v>
      </c>
      <c r="E44" s="192">
        <f t="shared" ref="E44:N44" si="29">+SUM(E45:E51)</f>
        <v>6107.0535225148124</v>
      </c>
      <c r="F44" s="161">
        <f t="shared" si="29"/>
        <v>836.00411294002697</v>
      </c>
      <c r="G44" s="161">
        <f t="shared" si="29"/>
        <v>175.27652716661646</v>
      </c>
      <c r="H44" s="161">
        <f t="shared" si="29"/>
        <v>-60.211171322308431</v>
      </c>
      <c r="I44" s="161">
        <f t="shared" si="29"/>
        <v>575.57404014398992</v>
      </c>
      <c r="J44" s="161">
        <f t="shared" si="29"/>
        <v>1904.0581835939788</v>
      </c>
      <c r="K44" s="161">
        <f t="shared" si="29"/>
        <v>2676.3518299925076</v>
      </c>
      <c r="L44" s="192">
        <f t="shared" si="29"/>
        <v>9349.5536487468198</v>
      </c>
      <c r="M44" s="161">
        <f t="shared" si="29"/>
        <v>1186.5808025847898</v>
      </c>
      <c r="N44" s="164">
        <f t="shared" si="29"/>
        <v>8162.972846162028</v>
      </c>
      <c r="O44" s="192">
        <f t="shared" si="26"/>
        <v>128020.95167349526</v>
      </c>
      <c r="P44" s="192">
        <f t="shared" ref="P44:Y44" si="30">+SUM(P45:P51)</f>
        <v>17295.64058121754</v>
      </c>
      <c r="Q44" s="171">
        <f t="shared" si="30"/>
        <v>543.13240541557968</v>
      </c>
      <c r="R44" s="171">
        <f t="shared" si="30"/>
        <v>526.12860397425618</v>
      </c>
      <c r="S44" s="171">
        <f t="shared" si="30"/>
        <v>10949.959412966493</v>
      </c>
      <c r="T44" s="171">
        <f t="shared" si="30"/>
        <v>1230.8324731721038</v>
      </c>
      <c r="U44" s="171">
        <f t="shared" si="30"/>
        <v>4.8564647987829535</v>
      </c>
      <c r="V44" s="171">
        <f t="shared" si="30"/>
        <v>4040.7312208903263</v>
      </c>
      <c r="W44" s="192">
        <f t="shared" si="30"/>
        <v>110725.31109227773</v>
      </c>
      <c r="X44" s="161">
        <f t="shared" si="30"/>
        <v>3893.9031829985074</v>
      </c>
      <c r="Y44" s="160">
        <f t="shared" si="30"/>
        <v>106831.40790927924</v>
      </c>
      <c r="Z44" s="159"/>
      <c r="AA44" s="36"/>
      <c r="AB44" s="39"/>
      <c r="AC44" s="39">
        <f t="shared" si="19"/>
        <v>0</v>
      </c>
      <c r="AD44" s="39"/>
      <c r="AE44" s="39">
        <f t="shared" si="21"/>
        <v>0</v>
      </c>
      <c r="AF44" s="39"/>
      <c r="AG44" s="36"/>
      <c r="AH44" s="39"/>
      <c r="AI44" s="39"/>
      <c r="AJ44" s="39">
        <f t="shared" si="28"/>
        <v>0</v>
      </c>
      <c r="AK44" s="39"/>
      <c r="AL44" s="36"/>
      <c r="AM44" s="39"/>
      <c r="AN44" s="39">
        <f t="shared" si="22"/>
        <v>0</v>
      </c>
      <c r="AO44" s="39"/>
      <c r="AP44" s="39">
        <f t="shared" si="24"/>
        <v>0</v>
      </c>
      <c r="AQ44" s="39"/>
      <c r="AR44" s="39">
        <f t="shared" si="27"/>
        <v>0</v>
      </c>
      <c r="AS44" s="39"/>
      <c r="AT44" s="39">
        <f t="shared" si="18"/>
        <v>0</v>
      </c>
    </row>
    <row r="45" spans="2:46">
      <c r="C45" s="199" t="s">
        <v>37</v>
      </c>
      <c r="D45" s="196">
        <f t="shared" si="25"/>
        <v>4721.8223154628804</v>
      </c>
      <c r="E45" s="196">
        <f t="shared" ref="E45:E51" si="31">SUM(F45:K45)</f>
        <v>3390.1233033361445</v>
      </c>
      <c r="F45" s="171">
        <f>HLOOKUP($C45,'[4]Interest shifted to EU'!$L$12:$AT$18,F$2,0)/E106</f>
        <v>429.02685496384163</v>
      </c>
      <c r="G45" s="171">
        <f>HLOOKUP($C45,'[4]Interest shifted to EU'!$L$12:$AT$18,G$2,0)/E106</f>
        <v>0</v>
      </c>
      <c r="H45" s="171">
        <f>HLOOKUP($C45,'[4]Interest shifted to EU'!$L$12:$AT$18,H$2,0)/E106</f>
        <v>0</v>
      </c>
      <c r="I45" s="171">
        <f>HLOOKUP($C45,'[4]Interest shifted to EU'!$L$12:$AT$18,I$2,0)/E106</f>
        <v>377.66654341127611</v>
      </c>
      <c r="J45" s="171">
        <f>HLOOKUP($C45,'[4]Interest shifted to EU'!$L$12:$AT$18,J$2,0)/E106</f>
        <v>916.59444508244042</v>
      </c>
      <c r="K45" s="171">
        <f>HLOOKUP($C45,'[4]Interest shifted to EU'!$L$12:$AT$18,K$2,0)/E106</f>
        <v>1666.8354598785863</v>
      </c>
      <c r="L45" s="196">
        <f t="shared" ref="L45:L51" si="32">SUM(M45:N45)</f>
        <v>1331.6990121267359</v>
      </c>
      <c r="M45" s="178">
        <f>AC45*'[4]Non-EU tax havens'!$M$8</f>
        <v>169.01004496856535</v>
      </c>
      <c r="N45" s="183">
        <f>AC45*'[4]Non-EU tax havens'!$M$13</f>
        <v>1162.6889671581705</v>
      </c>
      <c r="O45" s="196">
        <f t="shared" si="26"/>
        <v>17775.382655053807</v>
      </c>
      <c r="P45" s="196">
        <f t="shared" ref="P45:P51" si="33">SUM(Q45:V45)</f>
        <v>2329.4436230967367</v>
      </c>
      <c r="Q45" s="171">
        <f>HLOOKUP($C45,'[4]Non EU income shifted to EU'!$A$2:$AI$18,Q$2+10,0)/E106</f>
        <v>70.184248473851198</v>
      </c>
      <c r="R45" s="171">
        <f>HLOOKUP($C45,'[4]Non EU income shifted to EU'!$A$2:$AI$18,R$2+10,0)/E106</f>
        <v>0.54433794252224754</v>
      </c>
      <c r="S45" s="171">
        <f>HLOOKUP($C45,'[4]Non EU income shifted to EU'!$A$2:$AI$18,S$2+10,0)/E106</f>
        <v>1233.7467268704968</v>
      </c>
      <c r="T45" s="171">
        <f>HLOOKUP($C45,'[4]Non EU income shifted to EU'!$A$2:$AI$18,T$2+10,0)/E106</f>
        <v>160.88636799618374</v>
      </c>
      <c r="U45" s="171">
        <f>HLOOKUP($C45,'[4]Non EU income shifted to EU'!$A$2:$AI$18,U$2+10,0)/E106</f>
        <v>0</v>
      </c>
      <c r="V45" s="171">
        <f>HLOOKUP($C45,'[4]Non EU income shifted to EU'!$A$2:$AI$18,V$2+10,0)/E106</f>
        <v>864.08194181368265</v>
      </c>
      <c r="W45" s="196">
        <f t="shared" ref="W45:W51" si="34">SUM(X45:Y45)</f>
        <v>15445.939031957072</v>
      </c>
      <c r="X45" s="178">
        <f>IFERROR(IFERROR(VLOOKUP(C45,'[4]Swiss pivot'!$E$3:$H$54,4,0),VLOOKUP($C45,'[4]Breakdown non-EU havens'!$F$59:$H$86,3,0)/$E$106),AJ45*'[4]Non-EU tax havens'!$I$8)</f>
        <v>229.46071419646847</v>
      </c>
      <c r="Y45" s="177">
        <f>AE45*'[4]Non-EU tax havens'!$O$13</f>
        <v>15216.478317760604</v>
      </c>
      <c r="Z45" s="159"/>
      <c r="AA45" s="36">
        <f>+'[4]CDIS Table-4'!O42</f>
        <v>1.7907849562756685E-2</v>
      </c>
      <c r="AB45" s="39">
        <f t="shared" ref="AB45:AB51" si="35">+AA45</f>
        <v>1.7907849562756685E-2</v>
      </c>
      <c r="AC45" s="39">
        <f t="shared" si="19"/>
        <v>4.070853969656181E-2</v>
      </c>
      <c r="AD45" s="39">
        <f t="shared" ref="AD45:AD51" si="36">+AB45</f>
        <v>1.7907849562756685E-2</v>
      </c>
      <c r="AE45" s="39">
        <f t="shared" si="21"/>
        <v>5.375622501529391E-2</v>
      </c>
      <c r="AF45" s="39"/>
      <c r="AG45" s="36">
        <f>+AA45</f>
        <v>1.7907849562756685E-2</v>
      </c>
      <c r="AH45" s="39">
        <f t="shared" ref="AH45:AH88" si="37">+AG45</f>
        <v>1.7907849562756685E-2</v>
      </c>
      <c r="AI45" s="39"/>
      <c r="AJ45" s="39">
        <f t="shared" si="28"/>
        <v>0</v>
      </c>
      <c r="AK45" s="39"/>
      <c r="AL45" s="36">
        <f>+'[4]CDIS Table-4'!U42</f>
        <v>0</v>
      </c>
      <c r="AM45" s="39">
        <f t="shared" ref="AM45:AM51" si="38">+AL45</f>
        <v>0</v>
      </c>
      <c r="AN45" s="39">
        <f t="shared" si="22"/>
        <v>0</v>
      </c>
      <c r="AO45" s="39">
        <f t="shared" ref="AO45:AO51" si="39">+AM45</f>
        <v>0</v>
      </c>
      <c r="AP45" s="39">
        <f t="shared" si="24"/>
        <v>0</v>
      </c>
      <c r="AQ45" s="39">
        <f>+AF45</f>
        <v>0</v>
      </c>
      <c r="AR45" s="39">
        <f t="shared" si="27"/>
        <v>0</v>
      </c>
      <c r="AS45" s="39">
        <f>+AR45</f>
        <v>0</v>
      </c>
      <c r="AT45" s="39">
        <f t="shared" si="18"/>
        <v>0</v>
      </c>
    </row>
    <row r="46" spans="2:46">
      <c r="B46" s="146" t="str">
        <f>+TableC1!B46</f>
        <v>China (except Hong Kong)</v>
      </c>
      <c r="C46" s="185" t="s">
        <v>47</v>
      </c>
      <c r="D46" s="196">
        <f t="shared" si="25"/>
        <v>6183.3143077794857</v>
      </c>
      <c r="E46" s="196">
        <f t="shared" si="31"/>
        <v>546.25601428860534</v>
      </c>
      <c r="F46" s="171">
        <f>HLOOKUP($B46,'[4]Interest shifted to EU'!$L$12:$AT$18,F$2,0)/E106</f>
        <v>35.901828867267078</v>
      </c>
      <c r="G46" s="171">
        <f>HLOOKUP($B46,'[4]Interest shifted to EU'!$L$12:$AT$18,G$2,0)/E106</f>
        <v>0</v>
      </c>
      <c r="H46" s="171">
        <f>HLOOKUP($B46,'[4]Interest shifted to EU'!$L$12:$AT$18,H$2,0)/E106</f>
        <v>0</v>
      </c>
      <c r="I46" s="171">
        <f>HLOOKUP($B46,'[4]Interest shifted to EU'!$L$12:$AT$18,I$2,0)/E106</f>
        <v>31.366889671821838</v>
      </c>
      <c r="J46" s="171">
        <f>HLOOKUP($B46,'[4]Interest shifted to EU'!$L$12:$AT$18,J$2,0)/E106</f>
        <v>55.927003414527256</v>
      </c>
      <c r="K46" s="171">
        <f>HLOOKUP($B46,'[4]Interest shifted to EU'!$L$12:$AT$18,K$2,0)/E106</f>
        <v>423.06029233498919</v>
      </c>
      <c r="L46" s="196">
        <f t="shared" si="32"/>
        <v>5637.0582934908807</v>
      </c>
      <c r="M46" s="178">
        <f>AC46*'[4]Non-EU tax havens'!$M$8</f>
        <v>715.41652205014111</v>
      </c>
      <c r="N46" s="183">
        <f>AC46*'[4]Non-EU tax havens'!$M$13</f>
        <v>4921.6417714407398</v>
      </c>
      <c r="O46" s="196">
        <f t="shared" si="26"/>
        <v>71578.87402339626</v>
      </c>
      <c r="P46" s="196">
        <f t="shared" si="33"/>
        <v>5770.2908413075238</v>
      </c>
      <c r="Q46" s="171">
        <f>HLOOKUP($B46,'[4]Non EU income shifted to EU'!$A$2:$AI$18,Q$2+10,0)/E106</f>
        <v>249.59563861230524</v>
      </c>
      <c r="R46" s="171">
        <f>HLOOKUP($B46,'[4]Non EU income shifted to EU'!$A$2:$AI$18,R$2+10,0)/E106</f>
        <v>13.608448563056189</v>
      </c>
      <c r="S46" s="171">
        <f>HLOOKUP($B46,'[4]Non EU income shifted to EU'!$A$2:$AI$18,S$2+10,0)/E106</f>
        <v>4053.7392454316328</v>
      </c>
      <c r="T46" s="171">
        <f>HLOOKUP($B46,'[4]Non EU income shifted to EU'!$A$2:$AI$18,T$2+10,0)/E106</f>
        <v>407.1260883643688</v>
      </c>
      <c r="U46" s="171">
        <f>HLOOKUP($B46,'[4]Non EU income shifted to EU'!$A$2:$AI$18,U$2+10,0)/E106</f>
        <v>0.68486480327336197</v>
      </c>
      <c r="V46" s="171">
        <f>HLOOKUP($B46,'[4]Non EU income shifted to EU'!$A$2:$AI$18,V$2+10,0)/E106</f>
        <v>1045.5365555328874</v>
      </c>
      <c r="W46" s="196">
        <f t="shared" si="34"/>
        <v>65808.58318208874</v>
      </c>
      <c r="X46" s="178">
        <f>IFERROR(IFERROR(VLOOKUP(C46,'[4]Swiss pivot'!$E$3:$H$54,4,0),VLOOKUP($C46,'[4]Breakdown non-EU havens'!$F$59:$H$86,3,0)/$E$106),AJ46*'[4]Non-EU tax havens'!$I$8)</f>
        <v>1397.5004090594034</v>
      </c>
      <c r="Y46" s="177">
        <f>AE46*'[4]Non-EU tax havens'!$O$13</f>
        <v>64411.082773029339</v>
      </c>
      <c r="Z46" s="159"/>
      <c r="AA46" s="36">
        <f>+'[4]CDIS Table-4'!O43</f>
        <v>7.58036095071591E-2</v>
      </c>
      <c r="AB46" s="39">
        <f t="shared" si="35"/>
        <v>7.58036095071591E-2</v>
      </c>
      <c r="AC46" s="39">
        <f t="shared" si="19"/>
        <v>0.17231852635073336</v>
      </c>
      <c r="AD46" s="39">
        <f t="shared" si="36"/>
        <v>7.58036095071591E-2</v>
      </c>
      <c r="AE46" s="39">
        <f t="shared" si="21"/>
        <v>0.22754914683407895</v>
      </c>
      <c r="AF46" s="39"/>
      <c r="AG46" s="36">
        <f t="shared" ref="AG46:AG79" si="40">+AA46</f>
        <v>7.58036095071591E-2</v>
      </c>
      <c r="AH46" s="39">
        <f t="shared" si="37"/>
        <v>7.58036095071591E-2</v>
      </c>
      <c r="AI46" s="39"/>
      <c r="AJ46" s="39">
        <f t="shared" si="28"/>
        <v>0</v>
      </c>
      <c r="AK46" s="39"/>
      <c r="AL46" s="36">
        <f>+'[4]CDIS Table-4'!U43</f>
        <v>0</v>
      </c>
      <c r="AM46" s="39">
        <f t="shared" si="38"/>
        <v>0</v>
      </c>
      <c r="AN46" s="39">
        <f t="shared" si="22"/>
        <v>0</v>
      </c>
      <c r="AO46" s="39">
        <f t="shared" si="39"/>
        <v>0</v>
      </c>
      <c r="AP46" s="39">
        <f t="shared" si="24"/>
        <v>0</v>
      </c>
      <c r="AQ46" s="39">
        <f>+AF46</f>
        <v>0</v>
      </c>
      <c r="AR46" s="39">
        <f t="shared" si="27"/>
        <v>0</v>
      </c>
      <c r="AS46" s="39">
        <f>+AR46</f>
        <v>0</v>
      </c>
      <c r="AT46" s="39">
        <f t="shared" si="18"/>
        <v>0</v>
      </c>
    </row>
    <row r="47" spans="2:46">
      <c r="C47" s="185" t="s">
        <v>121</v>
      </c>
      <c r="D47" s="196">
        <f t="shared" si="25"/>
        <v>169.49654213486025</v>
      </c>
      <c r="E47" s="196">
        <f t="shared" si="31"/>
        <v>80.445829177327354</v>
      </c>
      <c r="F47" s="171">
        <f>AR47*'[4]Interest shifted to EU'!$AU$13</f>
        <v>11.935285493737112</v>
      </c>
      <c r="G47" s="171">
        <f>AR47*'[4]Interest shifted to EU'!$AU$14</f>
        <v>9.5542654556256679</v>
      </c>
      <c r="H47" s="171">
        <f>AR47*'[4]Interest shifted to EU'!$AU$15</f>
        <v>-22.835513366124381</v>
      </c>
      <c r="I47" s="171">
        <f>AR47*'[4]Interest shifted to EU'!$AU$16</f>
        <v>19.249461398687465</v>
      </c>
      <c r="J47" s="171">
        <f>AR47*'[4]Interest shifted to EU'!$AU$17</f>
        <v>53.052591036373855</v>
      </c>
      <c r="K47" s="171">
        <f>AR47*'[4]Interest shifted to EU'!$AU$18</f>
        <v>9.489739159027641</v>
      </c>
      <c r="L47" s="196">
        <f t="shared" si="32"/>
        <v>89.050712957532909</v>
      </c>
      <c r="M47" s="178">
        <f>AC47*'[4]Non-EU tax havens'!$M$8</f>
        <v>11.301701709157017</v>
      </c>
      <c r="N47" s="183">
        <f>AC47*'[4]Non-EU tax havens'!$M$13</f>
        <v>77.749011248375894</v>
      </c>
      <c r="O47" s="196">
        <f t="shared" si="26"/>
        <v>1717.0335222906972</v>
      </c>
      <c r="P47" s="196">
        <f t="shared" si="33"/>
        <v>438.33303516272895</v>
      </c>
      <c r="Q47" s="171">
        <f>AR47*'[4]Non EU income shifted to EU'!$AJ$13</f>
        <v>12.345163541899311</v>
      </c>
      <c r="R47" s="171">
        <f>AR47*'[4]Non EU income shifted to EU'!$AJ$14</f>
        <v>12.320289385413808</v>
      </c>
      <c r="S47" s="171">
        <f>AR47*'[4]Non EU income shifted to EU'!$AJ$15</f>
        <v>328.90808513148534</v>
      </c>
      <c r="T47" s="171">
        <f>AR47*'[4]Non EU income shifted to EU'!$AJ$16</f>
        <v>20.920665966366382</v>
      </c>
      <c r="U47" s="171">
        <f>AR47*'[4]Non EU income shifted to EU'!$AJ$17</f>
        <v>-1.7177746354617378</v>
      </c>
      <c r="V47" s="171">
        <f>AR47*'[4]Non EU income shifted to EU'!$AJ$18</f>
        <v>65.556605773025893</v>
      </c>
      <c r="W47" s="196">
        <f t="shared" si="34"/>
        <v>1278.7004871279682</v>
      </c>
      <c r="X47" s="178">
        <f>IFERROR(IFERROR(VLOOKUP(C47,'[4]Swiss pivot'!$E$3:$H$54,4,0),VLOOKUP($C47,'[4]Breakdown non-EU havens'!$F$59:$H$86,3,0)/$E$106),AJ47*'[4]Non-EU tax havens'!$I$8)</f>
        <v>261.17458182943221</v>
      </c>
      <c r="Y47" s="177">
        <f>AE47*'[4]Non-EU tax havens'!$O$13</f>
        <v>1017.5259052985359</v>
      </c>
      <c r="Z47" s="159"/>
      <c r="AA47" s="36">
        <v>1.1974979004850091E-3</v>
      </c>
      <c r="AB47" s="39">
        <f t="shared" si="35"/>
        <v>1.1974979004850091E-3</v>
      </c>
      <c r="AC47" s="39">
        <f t="shared" si="19"/>
        <v>2.7221800500170845E-3</v>
      </c>
      <c r="AD47" s="39">
        <f t="shared" si="36"/>
        <v>1.1974979004850091E-3</v>
      </c>
      <c r="AE47" s="39">
        <f t="shared" si="21"/>
        <v>3.5946787674435202E-3</v>
      </c>
      <c r="AF47" s="39"/>
      <c r="AG47" s="36">
        <f t="shared" si="40"/>
        <v>1.1974979004850091E-3</v>
      </c>
      <c r="AH47" s="39">
        <f t="shared" si="37"/>
        <v>1.1974979004850091E-3</v>
      </c>
      <c r="AI47" s="39">
        <f>+AH47</f>
        <v>1.1974979004850091E-3</v>
      </c>
      <c r="AJ47" s="39">
        <f t="shared" si="28"/>
        <v>8.9869952627441452E-3</v>
      </c>
      <c r="AK47" s="39"/>
      <c r="AL47" s="36">
        <f>+'[4]CDIS Table-4'!U44</f>
        <v>0</v>
      </c>
      <c r="AM47" s="39">
        <f t="shared" si="38"/>
        <v>0</v>
      </c>
      <c r="AN47" s="39">
        <f t="shared" si="22"/>
        <v>0</v>
      </c>
      <c r="AO47" s="39">
        <f t="shared" si="39"/>
        <v>0</v>
      </c>
      <c r="AP47" s="39">
        <f t="shared" si="24"/>
        <v>0</v>
      </c>
      <c r="AQ47" s="39">
        <f>+AB47</f>
        <v>1.1974979004850091E-3</v>
      </c>
      <c r="AR47" s="39">
        <f t="shared" si="27"/>
        <v>1.1673074128914558E-2</v>
      </c>
      <c r="AS47" s="39">
        <f>+AD47</f>
        <v>1.1974979004850091E-3</v>
      </c>
      <c r="AT47" s="39">
        <f>+AS47/$AS$99</f>
        <v>1.1673074128914558E-2</v>
      </c>
    </row>
    <row r="48" spans="2:46">
      <c r="C48" s="185" t="s">
        <v>122</v>
      </c>
      <c r="D48" s="196">
        <f t="shared" si="25"/>
        <v>146.63596239961538</v>
      </c>
      <c r="E48" s="196">
        <f t="shared" si="31"/>
        <v>69.595824397802446</v>
      </c>
      <c r="F48" s="178">
        <f>AR48*'[4]Interest shifted to EU'!$AU$13</f>
        <v>10.325532620575858</v>
      </c>
      <c r="G48" s="178">
        <f>AR48*'[4]Interest shifted to EU'!$AU$14</f>
        <v>8.2656489180313901</v>
      </c>
      <c r="H48" s="178">
        <f>AR48*'[4]Interest shifted to EU'!$AU$15</f>
        <v>-19.755609389757833</v>
      </c>
      <c r="I48" s="178">
        <f>AR48*'[4]Interest shifted to EU'!$AU$16</f>
        <v>16.653220545495998</v>
      </c>
      <c r="J48" s="178">
        <f>AR48*'[4]Interest shifted to EU'!$AU$17</f>
        <v>45.89720619918122</v>
      </c>
      <c r="K48" s="178">
        <f>AR48*'[4]Interest shifted to EU'!$AU$18</f>
        <v>8.209825504275809</v>
      </c>
      <c r="L48" s="196">
        <f t="shared" si="32"/>
        <v>77.040138001812949</v>
      </c>
      <c r="M48" s="178">
        <f>AC48*'[4]Non-EU tax havens'!$M$8</f>
        <v>9.7774024531841732</v>
      </c>
      <c r="N48" s="183">
        <f>AC48*'[4]Non-EU tax havens'!$M$13</f>
        <v>67.262735548628768</v>
      </c>
      <c r="O48" s="196">
        <f t="shared" si="26"/>
        <v>1485.4513245064875</v>
      </c>
      <c r="P48" s="196">
        <f t="shared" si="33"/>
        <v>379.21355594080728</v>
      </c>
      <c r="Q48" s="178">
        <f>AR48*'[4]Non EU income shifted to EU'!$AJ$13</f>
        <v>10.680129011167232</v>
      </c>
      <c r="R48" s="178">
        <f>AR48*'[4]Non EU income shifted to EU'!$AJ$14</f>
        <v>10.658609717444838</v>
      </c>
      <c r="S48" s="178">
        <f>AR48*'[4]Non EU income shifted to EU'!$AJ$15</f>
        <v>284.54712406991695</v>
      </c>
      <c r="T48" s="178">
        <f>AR48*'[4]Non EU income shifted to EU'!$AJ$16</f>
        <v>18.099024023617986</v>
      </c>
      <c r="U48" s="178">
        <f>AR48*'[4]Non EU income shifted to EU'!$AJ$17</f>
        <v>-1.4860924812033369</v>
      </c>
      <c r="V48" s="178">
        <f>AR48*'[4]Non EU income shifted to EU'!$AJ$18</f>
        <v>56.714761599863586</v>
      </c>
      <c r="W48" s="196">
        <f t="shared" si="34"/>
        <v>1106.2377685656802</v>
      </c>
      <c r="X48" s="178">
        <f>IFERROR(IFERROR(VLOOKUP(C48,'[4]Swiss pivot'!$E$3:$H$54,4,0),VLOOKUP($C48,'[4]Breakdown non-EU havens'!$F$59:$H$86,3,0)/$E$106),AJ48*'[4]Non-EU tax havens'!$I$8)</f>
        <v>225.94907057398453</v>
      </c>
      <c r="Y48" s="177">
        <f>AE48*'[4]Non-EU tax havens'!$O$13</f>
        <v>880.28869799169559</v>
      </c>
      <c r="Z48" s="159"/>
      <c r="AA48" s="36">
        <f>+'[4]CDIS Table-4'!O45</f>
        <v>1.0359872531760833E-3</v>
      </c>
      <c r="AB48" s="39">
        <f t="shared" si="35"/>
        <v>1.0359872531760833E-3</v>
      </c>
      <c r="AC48" s="39">
        <f t="shared" si="19"/>
        <v>2.3550302940203247E-3</v>
      </c>
      <c r="AD48" s="39">
        <f t="shared" si="36"/>
        <v>1.0359872531760833E-3</v>
      </c>
      <c r="AE48" s="39">
        <f t="shared" si="21"/>
        <v>3.1098521181756517E-3</v>
      </c>
      <c r="AF48" s="39"/>
      <c r="AG48" s="36">
        <f t="shared" si="40"/>
        <v>1.0359872531760833E-3</v>
      </c>
      <c r="AH48" s="39">
        <f t="shared" si="37"/>
        <v>1.0359872531760833E-3</v>
      </c>
      <c r="AI48" s="39">
        <f>+AH48</f>
        <v>1.0359872531760833E-3</v>
      </c>
      <c r="AJ48" s="39">
        <f t="shared" si="28"/>
        <v>7.7748884008781039E-3</v>
      </c>
      <c r="AK48" s="39"/>
      <c r="AL48" s="36">
        <f>+'[4]CDIS Table-4'!U45</f>
        <v>0</v>
      </c>
      <c r="AM48" s="39">
        <f t="shared" si="38"/>
        <v>0</v>
      </c>
      <c r="AN48" s="39">
        <f t="shared" si="22"/>
        <v>0</v>
      </c>
      <c r="AO48" s="39">
        <f t="shared" si="39"/>
        <v>0</v>
      </c>
      <c r="AP48" s="39">
        <f t="shared" si="24"/>
        <v>0</v>
      </c>
      <c r="AQ48" s="39">
        <f>+AB48</f>
        <v>1.0359872531760833E-3</v>
      </c>
      <c r="AR48" s="39">
        <f t="shared" si="27"/>
        <v>1.0098686601485515E-2</v>
      </c>
      <c r="AS48" s="39">
        <f>+AD48</f>
        <v>1.0359872531760833E-3</v>
      </c>
      <c r="AT48" s="39">
        <f>+AS48/$AS$99</f>
        <v>1.0098686601485515E-2</v>
      </c>
    </row>
    <row r="49" spans="2:46" ht="14" customHeight="1">
      <c r="C49" s="185" t="s">
        <v>45</v>
      </c>
      <c r="D49" s="196">
        <f t="shared" si="25"/>
        <v>1092.5501180936108</v>
      </c>
      <c r="E49" s="196">
        <f t="shared" si="31"/>
        <v>130.60596523919907</v>
      </c>
      <c r="F49" s="171">
        <f>HLOOKUP($C49,'[4]Interest shifted to EU'!$L$12:$AT$18,F$2,0)/E106</f>
        <v>7.0858872764342911</v>
      </c>
      <c r="G49" s="171">
        <f>HLOOKUP($C49,'[4]Interest shifted to EU'!$L$12:$AT$18,G$2,0)/E106</f>
        <v>0</v>
      </c>
      <c r="H49" s="171">
        <f>HLOOKUP($C49,'[4]Interest shifted to EU'!$L$12:$AT$18,H$2,0)/E106</f>
        <v>0</v>
      </c>
      <c r="I49" s="171">
        <f>HLOOKUP($C49,'[4]Interest shifted to EU'!$L$12:$AT$18,I$2,0)/E106</f>
        <v>20.4516716541549</v>
      </c>
      <c r="J49" s="171">
        <f>HLOOKUP($C49,'[4]Interest shifted to EU'!$L$12:$AT$18,J$2,0)/E106</f>
        <v>8.0731448443564453</v>
      </c>
      <c r="K49" s="171">
        <f>HLOOKUP($C49,'[4]Interest shifted to EU'!$L$12:$AT$18,K$2,0)/E106</f>
        <v>94.995261464253446</v>
      </c>
      <c r="L49" s="196">
        <f t="shared" si="32"/>
        <v>961.94415285441164</v>
      </c>
      <c r="M49" s="178">
        <f>AC49*'[4]Non-EU tax havens'!$M$8</f>
        <v>122.08331090636889</v>
      </c>
      <c r="N49" s="183">
        <f>AC49*'[4]Non-EU tax havens'!$M$13</f>
        <v>839.86084194804278</v>
      </c>
      <c r="O49" s="196">
        <f t="shared" si="26"/>
        <v>14898.731470966512</v>
      </c>
      <c r="P49" s="196">
        <f t="shared" si="33"/>
        <v>3650.2196480482658</v>
      </c>
      <c r="Q49" s="171">
        <f>HLOOKUP($C49,'[4]Non EU income shifted to EU'!$A$2:$AI$18,Q$2+10,0)/E106</f>
        <v>73.902619253922779</v>
      </c>
      <c r="R49" s="171">
        <f>HLOOKUP($C49,'[4]Non EU income shifted to EU'!$A$2:$AI$18,R$2+10,0)/E106</f>
        <v>9.9795289462412065</v>
      </c>
      <c r="S49" s="171">
        <f>HLOOKUP($C49,'[4]Non EU income shifted to EU'!$A$2:$AI$18,S$2+10,0)/E106</f>
        <v>2860.3387970646459</v>
      </c>
      <c r="T49" s="171">
        <f>HLOOKUP($C49,'[4]Non EU income shifted to EU'!$A$2:$AI$18,T$2+10,0)/E106</f>
        <v>216.25635178707816</v>
      </c>
      <c r="U49" s="171">
        <f>HLOOKUP($C49,'[4]Non EU income shifted to EU'!$A$2:$AI$18,U$2+10,0)/E106</f>
        <v>1.4750934224349332</v>
      </c>
      <c r="V49" s="171">
        <f>HLOOKUP($C49,'[4]Non EU income shifted to EU'!$A$2:$AI$18,V$2+10,0)/E106</f>
        <v>488.26725757394297</v>
      </c>
      <c r="W49" s="196">
        <f t="shared" si="34"/>
        <v>11248.511822918246</v>
      </c>
      <c r="X49" s="178">
        <f>IFERROR(IFERROR(VLOOKUP(C49,'[4]Swiss pivot'!$E$3:$H$54,4,0),VLOOKUP($C49,'[4]Breakdown non-EU havens'!$F$59:$H$86,3,0)/$E$106),AJ49*'[4]Non-EU tax havens'!$I$8)</f>
        <v>256.98730310225687</v>
      </c>
      <c r="Y49" s="177">
        <f>AE49*'[4]Non-EU tax havens'!$O$13</f>
        <v>10991.52451981599</v>
      </c>
      <c r="Z49" s="159"/>
      <c r="AA49" s="36">
        <f>+'[4]CDIS Table-4'!O46</f>
        <v>1.2935619100279711E-2</v>
      </c>
      <c r="AB49" s="39">
        <f t="shared" si="35"/>
        <v>1.2935619100279711E-2</v>
      </c>
      <c r="AC49" s="39">
        <f t="shared" si="19"/>
        <v>2.9405549884588038E-2</v>
      </c>
      <c r="AD49" s="39">
        <f t="shared" si="36"/>
        <v>1.2935619100279711E-2</v>
      </c>
      <c r="AE49" s="39">
        <f t="shared" si="21"/>
        <v>3.8830460833943176E-2</v>
      </c>
      <c r="AF49" s="39"/>
      <c r="AG49" s="36">
        <f t="shared" si="40"/>
        <v>1.2935619100279711E-2</v>
      </c>
      <c r="AH49" s="39">
        <f t="shared" si="37"/>
        <v>1.2935619100279711E-2</v>
      </c>
      <c r="AI49" s="39"/>
      <c r="AJ49" s="39">
        <f t="shared" si="28"/>
        <v>0</v>
      </c>
      <c r="AK49" s="39"/>
      <c r="AL49" s="36">
        <f>+'[4]CDIS Table-4'!U46</f>
        <v>0</v>
      </c>
      <c r="AM49" s="39">
        <f t="shared" si="38"/>
        <v>0</v>
      </c>
      <c r="AN49" s="39">
        <f t="shared" si="22"/>
        <v>0</v>
      </c>
      <c r="AO49" s="39">
        <f t="shared" si="39"/>
        <v>0</v>
      </c>
      <c r="AP49" s="39">
        <f t="shared" si="24"/>
        <v>0</v>
      </c>
      <c r="AQ49" s="39">
        <f>+AF49</f>
        <v>0</v>
      </c>
      <c r="AR49" s="39">
        <f t="shared" si="27"/>
        <v>0</v>
      </c>
      <c r="AS49" s="39">
        <f>+AR49</f>
        <v>0</v>
      </c>
      <c r="AT49" s="39">
        <f t="shared" ref="AT49:AT88" si="41">+AS49/$AB$104</f>
        <v>0</v>
      </c>
    </row>
    <row r="50" spans="2:46" ht="14" customHeight="1">
      <c r="B50" s="146" t="str">
        <f>+TableC1!B50</f>
        <v>Russian Federation</v>
      </c>
      <c r="C50" s="185" t="s">
        <v>46</v>
      </c>
      <c r="D50" s="196">
        <f t="shared" si="25"/>
        <v>2588.257599980484</v>
      </c>
      <c r="E50" s="196">
        <f t="shared" si="31"/>
        <v>1663.3305580662359</v>
      </c>
      <c r="F50" s="171">
        <f>HLOOKUP($C50,'[4]Interest shifted to EU'!$L$12:$AT$18,F$2,0)/E106</f>
        <v>327.27351367424512</v>
      </c>
      <c r="G50" s="171">
        <f>HLOOKUP($C50,'[4]Interest shifted to EU'!$L$12:$AT$18,G$2,0)/E106</f>
        <v>157.45661279295942</v>
      </c>
      <c r="H50" s="171">
        <f>HLOOKUP($C50,'[4]Interest shifted to EU'!$L$12:$AT$18,H$2,0)/E106</f>
        <v>-17.620048566426224</v>
      </c>
      <c r="I50" s="171">
        <f>HLOOKUP($C50,'[4]Interest shifted to EU'!$L$12:$AT$18,I$2,0)/E106</f>
        <v>39.984167054190465</v>
      </c>
      <c r="J50" s="171">
        <f>HLOOKUP($C50,'[4]Interest shifted to EU'!$L$12:$AT$18,J$2,0)/E106</f>
        <v>822.75876152919602</v>
      </c>
      <c r="K50" s="171">
        <f>HLOOKUP($C50,'[4]Interest shifted to EU'!$L$12:$AT$18,K$2,0)/E106</f>
        <v>333.4775515820711</v>
      </c>
      <c r="L50" s="196">
        <f t="shared" si="32"/>
        <v>924.92704191424832</v>
      </c>
      <c r="M50" s="178">
        <f>AC50*'[4]Non-EU tax havens'!$M$8</f>
        <v>117.38535474087467</v>
      </c>
      <c r="N50" s="183">
        <f>AC50*'[4]Non-EU tax havens'!$M$13</f>
        <v>807.5416871733737</v>
      </c>
      <c r="O50" s="196">
        <f t="shared" si="26"/>
        <v>14477.989161232712</v>
      </c>
      <c r="P50" s="196">
        <f t="shared" si="33"/>
        <v>3348.1014516907157</v>
      </c>
      <c r="Q50" s="171">
        <f>HLOOKUP($C50,'[4]Non EU income shifted to EU'!$A$2:$AI$18,Q$2+10,0)/E106</f>
        <v>68.789859431324345</v>
      </c>
      <c r="R50" s="171">
        <f>HLOOKUP($C50,'[4]Non EU income shifted to EU'!$A$2:$AI$18,R$2+10,0)/E106</f>
        <v>472.66678009015163</v>
      </c>
      <c r="S50" s="171">
        <f>HLOOKUP($C50,'[4]Non EU income shifted to EU'!$A$2:$AI$18,S$2+10,0)/E106</f>
        <v>1379.4180271515916</v>
      </c>
      <c r="T50" s="171">
        <f>HLOOKUP($C50,'[4]Non EU income shifted to EU'!$A$2:$AI$18,T$2+10,0)/E106</f>
        <v>171.43800641671265</v>
      </c>
      <c r="U50" s="171">
        <f>HLOOKUP($C50,'[4]Non EU income shifted to EU'!$A$2:$AI$18,U$2+10,0)/E106</f>
        <v>2.7921411210375524</v>
      </c>
      <c r="V50" s="171">
        <f>HLOOKUP($C50,'[4]Non EU income shifted to EU'!$A$2:$AI$18,V$2+10,0)/E106</f>
        <v>1252.9966374798978</v>
      </c>
      <c r="W50" s="196">
        <f t="shared" si="34"/>
        <v>11129.887709541996</v>
      </c>
      <c r="X50" s="178">
        <f>IFERROR(IFERROR(VLOOKUP(C50,'[4]Swiss pivot'!$E$3:$H$54,4,0),VLOOKUP($C50,'[4]Breakdown non-EU havens'!$F$59:$H$86,3,0)/$E$106),AJ50*'[4]Non-EU tax havens'!$I$8)</f>
        <v>561.33419209056274</v>
      </c>
      <c r="Y50" s="177">
        <f>AE50*'[4]Non-EU tax havens'!$O$13</f>
        <v>10568.553517451433</v>
      </c>
      <c r="Z50" s="159"/>
      <c r="AA50" s="36">
        <f>+'[4]CDIS Table-4'!O47</f>
        <v>1.2437836307075061E-2</v>
      </c>
      <c r="AB50" s="39">
        <f t="shared" si="35"/>
        <v>1.2437836307075061E-2</v>
      </c>
      <c r="AC50" s="39">
        <f t="shared" si="19"/>
        <v>2.8273978473602971E-2</v>
      </c>
      <c r="AD50" s="39">
        <f t="shared" si="36"/>
        <v>1.2437836307075061E-2</v>
      </c>
      <c r="AE50" s="39">
        <f t="shared" si="21"/>
        <v>3.7336204153570911E-2</v>
      </c>
      <c r="AF50" s="39"/>
      <c r="AG50" s="36">
        <f t="shared" si="40"/>
        <v>1.2437836307075061E-2</v>
      </c>
      <c r="AH50" s="39">
        <f t="shared" si="37"/>
        <v>1.2437836307075061E-2</v>
      </c>
      <c r="AI50" s="39"/>
      <c r="AJ50" s="39">
        <f t="shared" si="28"/>
        <v>0</v>
      </c>
      <c r="AK50" s="39"/>
      <c r="AL50" s="36">
        <f>+'[4]CDIS Table-4'!U47</f>
        <v>0</v>
      </c>
      <c r="AM50" s="39">
        <f t="shared" si="38"/>
        <v>0</v>
      </c>
      <c r="AN50" s="39">
        <f t="shared" si="22"/>
        <v>0</v>
      </c>
      <c r="AO50" s="39">
        <f t="shared" si="39"/>
        <v>0</v>
      </c>
      <c r="AP50" s="39">
        <f t="shared" si="24"/>
        <v>0</v>
      </c>
      <c r="AQ50" s="39">
        <f>+AF50</f>
        <v>0</v>
      </c>
      <c r="AR50" s="39">
        <f t="shared" si="27"/>
        <v>0</v>
      </c>
      <c r="AS50" s="39">
        <f>+AR50</f>
        <v>0</v>
      </c>
      <c r="AT50" s="39">
        <f t="shared" si="41"/>
        <v>0</v>
      </c>
    </row>
    <row r="51" spans="2:46" ht="14" customHeight="1">
      <c r="C51" s="185" t="s">
        <v>39</v>
      </c>
      <c r="D51" s="196">
        <f t="shared" si="25"/>
        <v>554.53032541069388</v>
      </c>
      <c r="E51" s="196">
        <f t="shared" si="31"/>
        <v>226.69602800949718</v>
      </c>
      <c r="F51" s="171">
        <f>HLOOKUP($C51,'[4]Interest shifted to EU'!$L$12:$AT$18,F$2,0)/E106</f>
        <v>14.455210043925955</v>
      </c>
      <c r="G51" s="171">
        <f>HLOOKUP($C51,'[4]Interest shifted to EU'!$L$12:$AT$18,G$2,0)/E106</f>
        <v>0</v>
      </c>
      <c r="H51" s="171">
        <f>HLOOKUP($C51,'[4]Interest shifted to EU'!$L$12:$AT$18,H$2,0)/E106</f>
        <v>0</v>
      </c>
      <c r="I51" s="171">
        <f>HLOOKUP($C51,'[4]Interest shifted to EU'!$L$12:$AT$18,I$2,0)/E106</f>
        <v>70.202086408363158</v>
      </c>
      <c r="J51" s="171">
        <f>HLOOKUP($C51,'[4]Interest shifted to EU'!$L$12:$AT$18,J$2,0)/E106</f>
        <v>1.7550314879035749</v>
      </c>
      <c r="K51" s="171">
        <f>HLOOKUP($C51,'[4]Interest shifted to EU'!$L$12:$AT$18,K$2,0)/E106</f>
        <v>140.2837000693045</v>
      </c>
      <c r="L51" s="196">
        <f t="shared" si="32"/>
        <v>327.83429740119664</v>
      </c>
      <c r="M51" s="178">
        <f>AC51*'[4]Non-EU tax havens'!$M$8</f>
        <v>41.606465756498764</v>
      </c>
      <c r="N51" s="183">
        <f>AC51*'[4]Non-EU tax havens'!$M$13</f>
        <v>286.22783164469786</v>
      </c>
      <c r="O51" s="196">
        <f t="shared" si="26"/>
        <v>6087.4895160488077</v>
      </c>
      <c r="P51" s="196">
        <f t="shared" si="33"/>
        <v>1380.0384259707635</v>
      </c>
      <c r="Q51" s="171">
        <f>HLOOKUP($C51,'[4]Non EU income shifted to EU'!$A$2:$AI$18,Q$2+10,0)/E106</f>
        <v>57.634747091109581</v>
      </c>
      <c r="R51" s="171">
        <f>HLOOKUP($C51,'[4]Non EU income shifted to EU'!$A$2:$AI$18,R$2+10,0)/E106</f>
        <v>6.3506093294262218</v>
      </c>
      <c r="S51" s="171">
        <f>HLOOKUP($C51,'[4]Non EU income shifted to EU'!$A$2:$AI$18,S$2+10,0)/E106</f>
        <v>809.26140724672348</v>
      </c>
      <c r="T51" s="171">
        <f>HLOOKUP($C51,'[4]Non EU income shifted to EU'!$A$2:$AI$18,T$2+10,0)/E106</f>
        <v>236.10596861777614</v>
      </c>
      <c r="U51" s="171">
        <f>HLOOKUP($C51,'[4]Non EU income shifted to EU'!$A$2:$AI$18,U$2+10,0)/E106</f>
        <v>3.108232568702181</v>
      </c>
      <c r="V51" s="171">
        <f>HLOOKUP($C51,'[4]Non EU income shifted to EU'!$A$2:$AI$18,V$2+10,0)/E106</f>
        <v>267.57746111702602</v>
      </c>
      <c r="W51" s="196">
        <f t="shared" si="34"/>
        <v>4707.4510900780442</v>
      </c>
      <c r="X51" s="178">
        <f>IFERROR(IFERROR(VLOOKUP(C51,'[4]Swiss pivot'!$E$3:$H$54,4,0),VLOOKUP($C51,'[4]Breakdown non-EU havens'!$F$59:$H$86,3,0)/$E$106),AJ51*'[4]Non-EU tax havens'!$I$8)</f>
        <v>961.49691214639915</v>
      </c>
      <c r="Y51" s="177">
        <f>AE51*'[4]Non-EU tax havens'!$O$13</f>
        <v>3745.9541779316451</v>
      </c>
      <c r="Z51" s="159"/>
      <c r="AA51" s="36">
        <f>+'[4]CDIS Table-4'!O48</f>
        <v>4.4085091495239077E-3</v>
      </c>
      <c r="AB51" s="39">
        <f t="shared" si="35"/>
        <v>4.4085091495239077E-3</v>
      </c>
      <c r="AC51" s="39">
        <f t="shared" si="19"/>
        <v>1.002152542588278E-2</v>
      </c>
      <c r="AD51" s="39">
        <f t="shared" si="36"/>
        <v>4.4085091495239077E-3</v>
      </c>
      <c r="AE51" s="39">
        <f t="shared" si="21"/>
        <v>1.3233571624180452E-2</v>
      </c>
      <c r="AF51" s="39"/>
      <c r="AG51" s="36">
        <f t="shared" si="40"/>
        <v>4.4085091495239077E-3</v>
      </c>
      <c r="AH51" s="39">
        <f t="shared" si="37"/>
        <v>4.4085091495239077E-3</v>
      </c>
      <c r="AI51" s="39">
        <f t="shared" ref="AI51:AI88" si="42">+AH51</f>
        <v>4.4085091495239077E-3</v>
      </c>
      <c r="AJ51" s="39">
        <f t="shared" si="28"/>
        <v>3.3085027394610909E-2</v>
      </c>
      <c r="AK51" s="39"/>
      <c r="AL51" s="36">
        <f>+'[4]CDIS Table-4'!U48</f>
        <v>0</v>
      </c>
      <c r="AM51" s="39">
        <f t="shared" si="38"/>
        <v>0</v>
      </c>
      <c r="AN51" s="39">
        <f t="shared" si="22"/>
        <v>0</v>
      </c>
      <c r="AO51" s="39">
        <f t="shared" si="39"/>
        <v>0</v>
      </c>
      <c r="AP51" s="39">
        <f t="shared" si="24"/>
        <v>0</v>
      </c>
      <c r="AQ51" s="39">
        <f>+AF51</f>
        <v>0</v>
      </c>
      <c r="AR51" s="39">
        <f t="shared" si="27"/>
        <v>0</v>
      </c>
      <c r="AS51" s="39">
        <f>+AR51</f>
        <v>0</v>
      </c>
      <c r="AT51" s="39">
        <f t="shared" si="41"/>
        <v>0</v>
      </c>
    </row>
    <row r="52" spans="2:46" ht="40" customHeight="1">
      <c r="C52" s="195" t="s">
        <v>124</v>
      </c>
      <c r="D52" s="193"/>
      <c r="E52" s="181"/>
      <c r="F52" s="161"/>
      <c r="G52" s="161"/>
      <c r="H52" s="161"/>
      <c r="I52" s="191"/>
      <c r="J52" s="191"/>
      <c r="K52" s="191"/>
      <c r="L52" s="192"/>
      <c r="M52" s="191"/>
      <c r="N52" s="194"/>
      <c r="O52" s="193"/>
      <c r="P52" s="181"/>
      <c r="Q52" s="161"/>
      <c r="R52" s="161"/>
      <c r="S52" s="161"/>
      <c r="T52" s="191"/>
      <c r="U52" s="191"/>
      <c r="V52" s="191"/>
      <c r="W52" s="192"/>
      <c r="X52" s="178">
        <f>IFERROR(IFERROR(VLOOKUP(C52,'[4]Swiss pivot'!$E$3:$H$54,4,0),VLOOKUP($C52,'[4]Breakdown non-EU havens'!$F$59:$H$86,3,0)/$E$106),AJ52*'[4]Non-EU tax havens'!$I$8)</f>
        <v>0</v>
      </c>
      <c r="Y52" s="190"/>
      <c r="Z52" s="159"/>
      <c r="AB52" s="39"/>
      <c r="AC52" s="39">
        <f t="shared" si="19"/>
        <v>0</v>
      </c>
      <c r="AD52" s="39"/>
      <c r="AE52" s="39">
        <f t="shared" si="21"/>
        <v>0</v>
      </c>
      <c r="AF52" s="39"/>
      <c r="AG52" s="36">
        <f t="shared" si="40"/>
        <v>0</v>
      </c>
      <c r="AH52" s="39">
        <f t="shared" si="37"/>
        <v>0</v>
      </c>
      <c r="AI52" s="39">
        <f t="shared" si="42"/>
        <v>0</v>
      </c>
      <c r="AJ52" s="39">
        <f t="shared" si="28"/>
        <v>0</v>
      </c>
      <c r="AK52" s="39"/>
      <c r="AM52" s="39"/>
      <c r="AN52" s="39">
        <f t="shared" si="22"/>
        <v>0</v>
      </c>
      <c r="AO52" s="39"/>
      <c r="AP52" s="39">
        <f t="shared" si="24"/>
        <v>0</v>
      </c>
      <c r="AQ52" s="39"/>
      <c r="AR52" s="39">
        <f t="shared" si="27"/>
        <v>0</v>
      </c>
      <c r="AS52" s="39"/>
      <c r="AT52" s="39">
        <f t="shared" si="41"/>
        <v>0</v>
      </c>
    </row>
    <row r="53" spans="2:46" ht="14" customHeight="1">
      <c r="C53" s="185" t="s">
        <v>173</v>
      </c>
      <c r="D53" s="182"/>
      <c r="E53" s="181"/>
      <c r="F53" s="180"/>
      <c r="G53" s="180"/>
      <c r="H53" s="180"/>
      <c r="I53" s="178"/>
      <c r="J53" s="178"/>
      <c r="K53" s="178"/>
      <c r="L53" s="184"/>
      <c r="M53" s="178"/>
      <c r="N53" s="183"/>
      <c r="O53" s="182"/>
      <c r="P53" s="181"/>
      <c r="Q53" s="180"/>
      <c r="R53" s="180"/>
      <c r="S53" s="180"/>
      <c r="T53" s="178"/>
      <c r="U53" s="178"/>
      <c r="V53" s="178"/>
      <c r="W53" s="184"/>
      <c r="X53" s="178">
        <f>IFERROR(IFERROR(VLOOKUP(C53,'[4]Swiss pivot'!$E$3:$H$54,4,0),VLOOKUP($C53,'[4]Breakdown non-EU havens'!$F$59:$H$86,3,0)/$E$106),AJ53*'[4]Non-EU tax havens'!$I$8)</f>
        <v>0</v>
      </c>
      <c r="Y53" s="177"/>
      <c r="Z53" s="159"/>
      <c r="AA53" s="36"/>
      <c r="AB53" s="39"/>
      <c r="AC53" s="39">
        <f t="shared" si="19"/>
        <v>0</v>
      </c>
      <c r="AD53" s="39"/>
      <c r="AE53" s="39">
        <f t="shared" si="21"/>
        <v>0</v>
      </c>
      <c r="AF53" s="39"/>
      <c r="AG53" s="36">
        <f t="shared" si="40"/>
        <v>0</v>
      </c>
      <c r="AH53" s="39">
        <f t="shared" si="37"/>
        <v>0</v>
      </c>
      <c r="AI53" s="39">
        <f t="shared" si="42"/>
        <v>0</v>
      </c>
      <c r="AJ53" s="39">
        <f t="shared" si="28"/>
        <v>0</v>
      </c>
      <c r="AK53" s="39"/>
      <c r="AL53" s="36"/>
      <c r="AM53" s="39"/>
      <c r="AN53" s="39">
        <f t="shared" si="22"/>
        <v>0</v>
      </c>
      <c r="AO53" s="39"/>
      <c r="AP53" s="39">
        <f t="shared" si="24"/>
        <v>0</v>
      </c>
      <c r="AQ53" s="39"/>
      <c r="AR53" s="39">
        <f t="shared" si="27"/>
        <v>0</v>
      </c>
      <c r="AS53" s="39"/>
      <c r="AT53" s="39">
        <f t="shared" si="41"/>
        <v>0</v>
      </c>
    </row>
    <row r="54" spans="2:46" ht="14" customHeight="1">
      <c r="C54" s="185" t="s">
        <v>174</v>
      </c>
      <c r="D54" s="182"/>
      <c r="E54" s="181"/>
      <c r="F54" s="180"/>
      <c r="G54" s="180"/>
      <c r="H54" s="180"/>
      <c r="I54" s="178"/>
      <c r="J54" s="178"/>
      <c r="K54" s="178"/>
      <c r="L54" s="184"/>
      <c r="M54" s="178"/>
      <c r="N54" s="183"/>
      <c r="O54" s="182"/>
      <c r="P54" s="181"/>
      <c r="Q54" s="180"/>
      <c r="R54" s="180"/>
      <c r="S54" s="180"/>
      <c r="T54" s="178"/>
      <c r="U54" s="178"/>
      <c r="V54" s="178"/>
      <c r="W54" s="184"/>
      <c r="X54" s="178">
        <f>IFERROR(IFERROR(VLOOKUP(C54,'[4]Swiss pivot'!$E$3:$H$54,4,0),VLOOKUP($C54,'[4]Breakdown non-EU havens'!$F$59:$H$86,3,0)/$E$106),AJ54*'[4]Non-EU tax havens'!$I$8)</f>
        <v>0</v>
      </c>
      <c r="Y54" s="177"/>
      <c r="Z54" s="159"/>
      <c r="AB54" s="39"/>
      <c r="AC54" s="39">
        <f t="shared" si="19"/>
        <v>0</v>
      </c>
      <c r="AD54" s="39"/>
      <c r="AE54" s="39">
        <f t="shared" si="21"/>
        <v>0</v>
      </c>
      <c r="AF54" s="39"/>
      <c r="AG54" s="36">
        <f t="shared" si="40"/>
        <v>0</v>
      </c>
      <c r="AH54" s="39">
        <f t="shared" si="37"/>
        <v>0</v>
      </c>
      <c r="AI54" s="39">
        <f t="shared" si="42"/>
        <v>0</v>
      </c>
      <c r="AJ54" s="39">
        <f t="shared" si="28"/>
        <v>0</v>
      </c>
      <c r="AK54" s="39"/>
      <c r="AM54" s="39"/>
      <c r="AN54" s="39">
        <f t="shared" si="22"/>
        <v>0</v>
      </c>
      <c r="AO54" s="39"/>
      <c r="AP54" s="39">
        <f t="shared" si="24"/>
        <v>0</v>
      </c>
      <c r="AQ54" s="39"/>
      <c r="AR54" s="39">
        <f t="shared" si="27"/>
        <v>0</v>
      </c>
      <c r="AS54" s="39"/>
      <c r="AT54" s="39">
        <f t="shared" si="41"/>
        <v>0</v>
      </c>
    </row>
    <row r="55" spans="2:46" ht="14" customHeight="1">
      <c r="C55" s="185" t="s">
        <v>175</v>
      </c>
      <c r="D55" s="182"/>
      <c r="E55" s="181"/>
      <c r="F55" s="180"/>
      <c r="G55" s="180"/>
      <c r="H55" s="180"/>
      <c r="I55" s="178"/>
      <c r="J55" s="178"/>
      <c r="K55" s="178"/>
      <c r="L55" s="184"/>
      <c r="M55" s="178"/>
      <c r="N55" s="183"/>
      <c r="O55" s="182"/>
      <c r="P55" s="181"/>
      <c r="Q55" s="180"/>
      <c r="R55" s="180"/>
      <c r="S55" s="180"/>
      <c r="T55" s="178"/>
      <c r="U55" s="178"/>
      <c r="V55" s="178"/>
      <c r="W55" s="184"/>
      <c r="X55" s="178">
        <f>IFERROR(IFERROR(VLOOKUP(C55,'[4]Swiss pivot'!$E$3:$H$54,4,0),VLOOKUP($C55,'[4]Breakdown non-EU havens'!$F$59:$H$86,3,0)/$E$106),AJ55*'[4]Non-EU tax havens'!$I$8)</f>
        <v>0</v>
      </c>
      <c r="Y55" s="177"/>
      <c r="Z55" s="159"/>
      <c r="AB55" s="39"/>
      <c r="AC55" s="39">
        <f t="shared" si="19"/>
        <v>0</v>
      </c>
      <c r="AD55" s="39"/>
      <c r="AE55" s="39">
        <f t="shared" si="21"/>
        <v>0</v>
      </c>
      <c r="AF55" s="39"/>
      <c r="AG55" s="36">
        <f t="shared" si="40"/>
        <v>0</v>
      </c>
      <c r="AH55" s="39">
        <f t="shared" si="37"/>
        <v>0</v>
      </c>
      <c r="AI55" s="39">
        <f t="shared" si="42"/>
        <v>0</v>
      </c>
      <c r="AJ55" s="39">
        <f t="shared" si="28"/>
        <v>0</v>
      </c>
      <c r="AK55" s="39"/>
      <c r="AM55" s="39"/>
      <c r="AN55" s="39">
        <f t="shared" si="22"/>
        <v>0</v>
      </c>
      <c r="AO55" s="39"/>
      <c r="AP55" s="39">
        <f t="shared" si="24"/>
        <v>0</v>
      </c>
      <c r="AQ55" s="39"/>
      <c r="AR55" s="39">
        <f t="shared" si="27"/>
        <v>0</v>
      </c>
      <c r="AS55" s="39"/>
      <c r="AT55" s="39">
        <f t="shared" si="41"/>
        <v>0</v>
      </c>
    </row>
    <row r="56" spans="2:46" ht="14" customHeight="1">
      <c r="C56" s="185" t="s">
        <v>176</v>
      </c>
      <c r="D56" s="182"/>
      <c r="E56" s="181"/>
      <c r="F56" s="180"/>
      <c r="G56" s="180"/>
      <c r="H56" s="180"/>
      <c r="I56" s="178"/>
      <c r="J56" s="178"/>
      <c r="K56" s="178"/>
      <c r="L56" s="184"/>
      <c r="M56" s="178"/>
      <c r="N56" s="183"/>
      <c r="O56" s="182"/>
      <c r="P56" s="181"/>
      <c r="Q56" s="180"/>
      <c r="R56" s="180"/>
      <c r="S56" s="180"/>
      <c r="T56" s="178"/>
      <c r="U56" s="178"/>
      <c r="V56" s="178"/>
      <c r="W56" s="184"/>
      <c r="X56" s="178">
        <f>IFERROR(IFERROR(VLOOKUP(C56,'[4]Swiss pivot'!$E$3:$H$54,4,0),VLOOKUP($C56,'[4]Breakdown non-EU havens'!$F$59:$H$86,3,0)/$E$106),AJ56*'[4]Non-EU tax havens'!$I$8)</f>
        <v>0</v>
      </c>
      <c r="Y56" s="177"/>
      <c r="Z56" s="159"/>
      <c r="AB56" s="39"/>
      <c r="AC56" s="39">
        <f t="shared" si="19"/>
        <v>0</v>
      </c>
      <c r="AD56" s="39"/>
      <c r="AE56" s="39">
        <f t="shared" si="21"/>
        <v>0</v>
      </c>
      <c r="AF56" s="39"/>
      <c r="AG56" s="36">
        <f t="shared" si="40"/>
        <v>0</v>
      </c>
      <c r="AH56" s="39">
        <f t="shared" si="37"/>
        <v>0</v>
      </c>
      <c r="AI56" s="39">
        <f t="shared" si="42"/>
        <v>0</v>
      </c>
      <c r="AJ56" s="39">
        <f t="shared" si="28"/>
        <v>0</v>
      </c>
      <c r="AK56" s="39"/>
      <c r="AM56" s="39"/>
      <c r="AN56" s="39">
        <f t="shared" si="22"/>
        <v>0</v>
      </c>
      <c r="AO56" s="39"/>
      <c r="AP56" s="39">
        <f t="shared" si="24"/>
        <v>0</v>
      </c>
      <c r="AQ56" s="39"/>
      <c r="AR56" s="39">
        <f t="shared" si="27"/>
        <v>0</v>
      </c>
      <c r="AS56" s="39"/>
      <c r="AT56" s="39">
        <f t="shared" si="41"/>
        <v>0</v>
      </c>
    </row>
    <row r="57" spans="2:46" ht="14" customHeight="1">
      <c r="C57" s="185" t="s">
        <v>178</v>
      </c>
      <c r="D57" s="182"/>
      <c r="E57" s="181"/>
      <c r="F57" s="180"/>
      <c r="G57" s="180"/>
      <c r="H57" s="180"/>
      <c r="I57" s="178"/>
      <c r="J57" s="178"/>
      <c r="K57" s="178"/>
      <c r="L57" s="184"/>
      <c r="M57" s="178"/>
      <c r="N57" s="183"/>
      <c r="O57" s="182"/>
      <c r="P57" s="181"/>
      <c r="Q57" s="180"/>
      <c r="R57" s="180"/>
      <c r="S57" s="180"/>
      <c r="T57" s="178"/>
      <c r="U57" s="178"/>
      <c r="V57" s="178"/>
      <c r="W57" s="184"/>
      <c r="X57" s="178">
        <f>IFERROR(IFERROR(VLOOKUP(C57,'[4]Swiss pivot'!$E$3:$H$54,4,0),VLOOKUP($C57,'[4]Breakdown non-EU havens'!$F$59:$H$86,3,0)/$E$106),AJ57*'[4]Non-EU tax havens'!$I$8)</f>
        <v>0</v>
      </c>
      <c r="Y57" s="177"/>
      <c r="Z57" s="159"/>
      <c r="AB57" s="39"/>
      <c r="AC57" s="39">
        <f t="shared" si="19"/>
        <v>0</v>
      </c>
      <c r="AD57" s="39"/>
      <c r="AE57" s="39">
        <f t="shared" si="21"/>
        <v>0</v>
      </c>
      <c r="AF57" s="39"/>
      <c r="AG57" s="36">
        <f t="shared" si="40"/>
        <v>0</v>
      </c>
      <c r="AH57" s="39">
        <f t="shared" si="37"/>
        <v>0</v>
      </c>
      <c r="AI57" s="39">
        <f t="shared" si="42"/>
        <v>0</v>
      </c>
      <c r="AJ57" s="39">
        <f t="shared" si="28"/>
        <v>0</v>
      </c>
      <c r="AK57" s="39"/>
      <c r="AM57" s="39"/>
      <c r="AN57" s="39">
        <f t="shared" si="22"/>
        <v>0</v>
      </c>
      <c r="AO57" s="39"/>
      <c r="AP57" s="39">
        <f t="shared" si="24"/>
        <v>0</v>
      </c>
      <c r="AQ57" s="39"/>
      <c r="AR57" s="39">
        <f t="shared" si="27"/>
        <v>0</v>
      </c>
      <c r="AS57" s="39"/>
      <c r="AT57" s="39">
        <f t="shared" si="41"/>
        <v>0</v>
      </c>
    </row>
    <row r="58" spans="2:46" ht="14" customHeight="1">
      <c r="C58" s="185" t="s">
        <v>180</v>
      </c>
      <c r="D58" s="182"/>
      <c r="E58" s="181"/>
      <c r="F58" s="180"/>
      <c r="G58" s="180"/>
      <c r="H58" s="180"/>
      <c r="I58" s="178"/>
      <c r="J58" s="178"/>
      <c r="K58" s="178"/>
      <c r="L58" s="184"/>
      <c r="M58" s="178"/>
      <c r="N58" s="183"/>
      <c r="O58" s="182"/>
      <c r="P58" s="181"/>
      <c r="Q58" s="180"/>
      <c r="R58" s="180"/>
      <c r="S58" s="180"/>
      <c r="T58" s="178"/>
      <c r="U58" s="178"/>
      <c r="V58" s="178"/>
      <c r="W58" s="184"/>
      <c r="X58" s="178">
        <f>IFERROR(IFERROR(VLOOKUP(C58,'[4]Swiss pivot'!$E$3:$H$54,4,0),VLOOKUP($C58,'[4]Breakdown non-EU havens'!$F$59:$H$86,3,0)/$E$106),AJ58*'[4]Non-EU tax havens'!$I$8)</f>
        <v>0</v>
      </c>
      <c r="Y58" s="177"/>
      <c r="Z58" s="159"/>
      <c r="AB58" s="39"/>
      <c r="AC58" s="39">
        <f t="shared" si="19"/>
        <v>0</v>
      </c>
      <c r="AD58" s="39"/>
      <c r="AE58" s="39">
        <f t="shared" si="21"/>
        <v>0</v>
      </c>
      <c r="AF58" s="39"/>
      <c r="AG58" s="36">
        <f t="shared" si="40"/>
        <v>0</v>
      </c>
      <c r="AH58" s="39">
        <f t="shared" si="37"/>
        <v>0</v>
      </c>
      <c r="AI58" s="39">
        <f t="shared" si="42"/>
        <v>0</v>
      </c>
      <c r="AJ58" s="39">
        <f t="shared" si="28"/>
        <v>0</v>
      </c>
      <c r="AK58" s="39"/>
      <c r="AM58" s="39"/>
      <c r="AN58" s="39">
        <f t="shared" si="22"/>
        <v>0</v>
      </c>
      <c r="AO58" s="39"/>
      <c r="AP58" s="39">
        <f t="shared" si="24"/>
        <v>0</v>
      </c>
      <c r="AQ58" s="39"/>
      <c r="AR58" s="39">
        <f t="shared" si="27"/>
        <v>0</v>
      </c>
      <c r="AS58" s="39"/>
      <c r="AT58" s="39">
        <f t="shared" si="41"/>
        <v>0</v>
      </c>
    </row>
    <row r="59" spans="2:46" ht="14" customHeight="1">
      <c r="C59" s="185" t="s">
        <v>181</v>
      </c>
      <c r="D59" s="182"/>
      <c r="E59" s="181"/>
      <c r="F59" s="180"/>
      <c r="G59" s="180"/>
      <c r="H59" s="180"/>
      <c r="I59" s="178"/>
      <c r="J59" s="178"/>
      <c r="K59" s="178"/>
      <c r="L59" s="184"/>
      <c r="M59" s="178"/>
      <c r="N59" s="183"/>
      <c r="O59" s="182"/>
      <c r="P59" s="181"/>
      <c r="Q59" s="180"/>
      <c r="R59" s="180"/>
      <c r="S59" s="180"/>
      <c r="T59" s="178"/>
      <c r="U59" s="178"/>
      <c r="V59" s="178"/>
      <c r="W59" s="184"/>
      <c r="X59" s="178">
        <f>IFERROR(IFERROR(VLOOKUP(C59,'[4]Swiss pivot'!$E$3:$H$54,4,0),VLOOKUP($C59,'[4]Breakdown non-EU havens'!$F$59:$H$86,3,0)/$E$106),AJ59*'[4]Non-EU tax havens'!$I$8)</f>
        <v>0</v>
      </c>
      <c r="Y59" s="177"/>
      <c r="Z59" s="159"/>
      <c r="AB59" s="39"/>
      <c r="AC59" s="39">
        <f t="shared" si="19"/>
        <v>0</v>
      </c>
      <c r="AD59" s="39"/>
      <c r="AE59" s="39">
        <f t="shared" si="21"/>
        <v>0</v>
      </c>
      <c r="AF59" s="39"/>
      <c r="AG59" s="36">
        <f t="shared" si="40"/>
        <v>0</v>
      </c>
      <c r="AH59" s="39">
        <f t="shared" si="37"/>
        <v>0</v>
      </c>
      <c r="AI59" s="39">
        <f t="shared" si="42"/>
        <v>0</v>
      </c>
      <c r="AJ59" s="39">
        <f t="shared" si="28"/>
        <v>0</v>
      </c>
      <c r="AK59" s="39"/>
      <c r="AM59" s="39"/>
      <c r="AN59" s="39">
        <f t="shared" si="22"/>
        <v>0</v>
      </c>
      <c r="AO59" s="39"/>
      <c r="AP59" s="39">
        <f t="shared" si="24"/>
        <v>0</v>
      </c>
      <c r="AQ59" s="39"/>
      <c r="AR59" s="39">
        <f t="shared" si="27"/>
        <v>0</v>
      </c>
      <c r="AS59" s="39"/>
      <c r="AT59" s="39">
        <f t="shared" si="41"/>
        <v>0</v>
      </c>
    </row>
    <row r="60" spans="2:46" ht="14" customHeight="1">
      <c r="C60" s="185" t="s">
        <v>182</v>
      </c>
      <c r="D60" s="182"/>
      <c r="E60" s="181"/>
      <c r="F60" s="180"/>
      <c r="G60" s="180"/>
      <c r="H60" s="180"/>
      <c r="I60" s="178"/>
      <c r="J60" s="178"/>
      <c r="K60" s="178"/>
      <c r="L60" s="184"/>
      <c r="M60" s="178"/>
      <c r="N60" s="183"/>
      <c r="O60" s="182"/>
      <c r="P60" s="181"/>
      <c r="Q60" s="180"/>
      <c r="R60" s="180"/>
      <c r="S60" s="180"/>
      <c r="T60" s="178"/>
      <c r="U60" s="178"/>
      <c r="V60" s="178"/>
      <c r="W60" s="184"/>
      <c r="X60" s="178">
        <f>IFERROR(IFERROR(VLOOKUP(C60,'[4]Swiss pivot'!$E$3:$H$54,4,0),VLOOKUP($C60,'[4]Breakdown non-EU havens'!$F$59:$H$86,3,0)/$E$106),AJ60*'[4]Non-EU tax havens'!$I$8)</f>
        <v>0</v>
      </c>
      <c r="Y60" s="177"/>
      <c r="Z60" s="159"/>
      <c r="AB60" s="39"/>
      <c r="AC60" s="39">
        <f t="shared" si="19"/>
        <v>0</v>
      </c>
      <c r="AD60" s="39"/>
      <c r="AE60" s="39">
        <f t="shared" si="21"/>
        <v>0</v>
      </c>
      <c r="AF60" s="39"/>
      <c r="AG60" s="36">
        <f t="shared" si="40"/>
        <v>0</v>
      </c>
      <c r="AH60" s="39">
        <f t="shared" si="37"/>
        <v>0</v>
      </c>
      <c r="AI60" s="39">
        <f t="shared" si="42"/>
        <v>0</v>
      </c>
      <c r="AJ60" s="39">
        <f t="shared" si="28"/>
        <v>0</v>
      </c>
      <c r="AK60" s="39"/>
      <c r="AM60" s="39"/>
      <c r="AN60" s="39">
        <f t="shared" si="22"/>
        <v>0</v>
      </c>
      <c r="AO60" s="39"/>
      <c r="AP60" s="39">
        <f t="shared" si="24"/>
        <v>0</v>
      </c>
      <c r="AQ60" s="39"/>
      <c r="AR60" s="39">
        <f t="shared" si="27"/>
        <v>0</v>
      </c>
      <c r="AS60" s="39"/>
      <c r="AT60" s="39">
        <f t="shared" si="41"/>
        <v>0</v>
      </c>
    </row>
    <row r="61" spans="2:46" ht="14" customHeight="1">
      <c r="C61" s="185" t="s">
        <v>89</v>
      </c>
      <c r="D61" s="182"/>
      <c r="E61" s="181"/>
      <c r="F61" s="180"/>
      <c r="G61" s="180"/>
      <c r="H61" s="180"/>
      <c r="I61" s="178"/>
      <c r="J61" s="178"/>
      <c r="K61" s="178"/>
      <c r="L61" s="184"/>
      <c r="M61" s="178"/>
      <c r="N61" s="183"/>
      <c r="O61" s="182"/>
      <c r="P61" s="181"/>
      <c r="Q61" s="180"/>
      <c r="R61" s="180"/>
      <c r="S61" s="180"/>
      <c r="T61" s="178"/>
      <c r="U61" s="178"/>
      <c r="V61" s="178"/>
      <c r="W61" s="184"/>
      <c r="X61" s="178">
        <f>IFERROR(IFERROR(VLOOKUP(C61,'[4]Swiss pivot'!$E$3:$H$54,4,0),VLOOKUP($C61,'[4]Breakdown non-EU havens'!$F$59:$H$86,3,0)/$E$106),AJ61*'[4]Non-EU tax havens'!$I$8)</f>
        <v>0</v>
      </c>
      <c r="Y61" s="177"/>
      <c r="Z61" s="159"/>
      <c r="AB61" s="39"/>
      <c r="AC61" s="39">
        <f t="shared" si="19"/>
        <v>0</v>
      </c>
      <c r="AD61" s="39"/>
      <c r="AE61" s="39">
        <f t="shared" si="21"/>
        <v>0</v>
      </c>
      <c r="AF61" s="39"/>
      <c r="AG61" s="36">
        <f t="shared" si="40"/>
        <v>0</v>
      </c>
      <c r="AH61" s="39">
        <f t="shared" si="37"/>
        <v>0</v>
      </c>
      <c r="AI61" s="39">
        <f t="shared" si="42"/>
        <v>0</v>
      </c>
      <c r="AJ61" s="39">
        <f t="shared" si="28"/>
        <v>0</v>
      </c>
      <c r="AK61" s="39"/>
      <c r="AM61" s="39"/>
      <c r="AN61" s="39">
        <f t="shared" si="22"/>
        <v>0</v>
      </c>
      <c r="AO61" s="39"/>
      <c r="AP61" s="39">
        <f t="shared" si="24"/>
        <v>0</v>
      </c>
      <c r="AQ61" s="39"/>
      <c r="AR61" s="39">
        <f t="shared" si="27"/>
        <v>0</v>
      </c>
      <c r="AS61" s="39"/>
      <c r="AT61" s="39">
        <f t="shared" si="41"/>
        <v>0</v>
      </c>
    </row>
    <row r="62" spans="2:46" ht="14" customHeight="1">
      <c r="C62" s="185" t="s">
        <v>183</v>
      </c>
      <c r="D62" s="182"/>
      <c r="E62" s="181"/>
      <c r="F62" s="180"/>
      <c r="G62" s="180"/>
      <c r="H62" s="180"/>
      <c r="I62" s="178"/>
      <c r="J62" s="178"/>
      <c r="K62" s="178"/>
      <c r="L62" s="184"/>
      <c r="M62" s="178"/>
      <c r="N62" s="183"/>
      <c r="O62" s="182"/>
      <c r="P62" s="181"/>
      <c r="Q62" s="180"/>
      <c r="R62" s="180"/>
      <c r="S62" s="180"/>
      <c r="T62" s="178"/>
      <c r="U62" s="178"/>
      <c r="V62" s="178"/>
      <c r="W62" s="184"/>
      <c r="X62" s="178">
        <f>IFERROR(IFERROR(VLOOKUP(C62,'[4]Swiss pivot'!$E$3:$H$54,4,0),VLOOKUP($C62,'[4]Breakdown non-EU havens'!$F$59:$H$86,3,0)/$E$106),AJ62*'[4]Non-EU tax havens'!$I$8)</f>
        <v>0</v>
      </c>
      <c r="Y62" s="177"/>
      <c r="Z62" s="159"/>
      <c r="AB62" s="39"/>
      <c r="AC62" s="39">
        <f t="shared" si="19"/>
        <v>0</v>
      </c>
      <c r="AD62" s="39"/>
      <c r="AE62" s="39">
        <f t="shared" si="21"/>
        <v>0</v>
      </c>
      <c r="AF62" s="39"/>
      <c r="AG62" s="36">
        <f t="shared" si="40"/>
        <v>0</v>
      </c>
      <c r="AH62" s="39">
        <f t="shared" si="37"/>
        <v>0</v>
      </c>
      <c r="AI62" s="39">
        <f t="shared" si="42"/>
        <v>0</v>
      </c>
      <c r="AJ62" s="39">
        <f t="shared" si="28"/>
        <v>0</v>
      </c>
      <c r="AK62" s="39"/>
      <c r="AM62" s="39"/>
      <c r="AN62" s="39">
        <f t="shared" si="22"/>
        <v>0</v>
      </c>
      <c r="AO62" s="39"/>
      <c r="AP62" s="39">
        <f t="shared" si="24"/>
        <v>0</v>
      </c>
      <c r="AQ62" s="39"/>
      <c r="AR62" s="39">
        <f t="shared" si="27"/>
        <v>0</v>
      </c>
      <c r="AS62" s="39"/>
      <c r="AT62" s="39">
        <f t="shared" si="41"/>
        <v>0</v>
      </c>
    </row>
    <row r="63" spans="2:46" ht="14" customHeight="1">
      <c r="C63" s="185" t="s">
        <v>364</v>
      </c>
      <c r="D63" s="182"/>
      <c r="E63" s="181"/>
      <c r="F63" s="180"/>
      <c r="G63" s="180"/>
      <c r="H63" s="180"/>
      <c r="I63" s="178"/>
      <c r="J63" s="178"/>
      <c r="K63" s="178"/>
      <c r="L63" s="184"/>
      <c r="M63" s="178"/>
      <c r="N63" s="183"/>
      <c r="O63" s="182"/>
      <c r="P63" s="181"/>
      <c r="Q63" s="180"/>
      <c r="R63" s="180"/>
      <c r="S63" s="180"/>
      <c r="T63" s="178"/>
      <c r="U63" s="178"/>
      <c r="V63" s="178"/>
      <c r="W63" s="184"/>
      <c r="X63" s="178">
        <f>IFERROR(IFERROR(VLOOKUP(C63,'[4]Swiss pivot'!$E$3:$H$54,4,0),VLOOKUP($C63,'[4]Breakdown non-EU havens'!$F$59:$H$86,3,0)/$E$106),AJ63*'[4]Non-EU tax havens'!$I$8)</f>
        <v>0</v>
      </c>
      <c r="Y63" s="177"/>
      <c r="Z63" s="159"/>
      <c r="AB63" s="39"/>
      <c r="AC63" s="39">
        <f t="shared" si="19"/>
        <v>0</v>
      </c>
      <c r="AD63" s="39"/>
      <c r="AE63" s="39">
        <f t="shared" si="21"/>
        <v>0</v>
      </c>
      <c r="AF63" s="39"/>
      <c r="AG63" s="36">
        <f t="shared" si="40"/>
        <v>0</v>
      </c>
      <c r="AH63" s="39">
        <f t="shared" si="37"/>
        <v>0</v>
      </c>
      <c r="AI63" s="39">
        <f t="shared" si="42"/>
        <v>0</v>
      </c>
      <c r="AJ63" s="39">
        <f t="shared" si="28"/>
        <v>0</v>
      </c>
      <c r="AK63" s="39"/>
      <c r="AM63" s="39"/>
      <c r="AN63" s="39">
        <f t="shared" si="22"/>
        <v>0</v>
      </c>
      <c r="AO63" s="39"/>
      <c r="AP63" s="39">
        <f t="shared" si="24"/>
        <v>0</v>
      </c>
      <c r="AQ63" s="39"/>
      <c r="AR63" s="39">
        <f t="shared" si="27"/>
        <v>0</v>
      </c>
      <c r="AS63" s="39"/>
      <c r="AT63" s="39">
        <f t="shared" si="41"/>
        <v>0</v>
      </c>
    </row>
    <row r="64" spans="2:46" ht="14" customHeight="1">
      <c r="C64" s="189" t="s">
        <v>185</v>
      </c>
      <c r="D64" s="188"/>
      <c r="E64" s="181"/>
      <c r="F64" s="180"/>
      <c r="G64" s="180"/>
      <c r="H64" s="180"/>
      <c r="I64" s="178"/>
      <c r="J64" s="178"/>
      <c r="K64" s="178"/>
      <c r="L64" s="184"/>
      <c r="M64" s="178"/>
      <c r="N64" s="183"/>
      <c r="O64" s="188"/>
      <c r="P64" s="181"/>
      <c r="Q64" s="180"/>
      <c r="R64" s="180"/>
      <c r="S64" s="180"/>
      <c r="T64" s="178"/>
      <c r="U64" s="178"/>
      <c r="V64" s="178"/>
      <c r="W64" s="184"/>
      <c r="X64" s="178">
        <f>IFERROR(IFERROR(VLOOKUP(C64,'[4]Swiss pivot'!$E$3:$H$54,4,0),VLOOKUP($C64,'[4]Breakdown non-EU havens'!$F$59:$H$86,3,0)/$E$106),AJ64*'[4]Non-EU tax havens'!$I$8)</f>
        <v>0</v>
      </c>
      <c r="Y64" s="177"/>
      <c r="Z64" s="159"/>
      <c r="AB64" s="39"/>
      <c r="AC64" s="39">
        <f t="shared" ref="AC64:AC88" si="43">+AB64/$AB$104</f>
        <v>0</v>
      </c>
      <c r="AD64" s="39"/>
      <c r="AE64" s="39">
        <f t="shared" ref="AE64:AE88" si="44">+AD64/$AD$104</f>
        <v>0</v>
      </c>
      <c r="AF64" s="39"/>
      <c r="AG64" s="36">
        <f t="shared" si="40"/>
        <v>0</v>
      </c>
      <c r="AH64" s="39">
        <f t="shared" si="37"/>
        <v>0</v>
      </c>
      <c r="AI64" s="39">
        <f t="shared" si="42"/>
        <v>0</v>
      </c>
      <c r="AJ64" s="39">
        <f t="shared" si="28"/>
        <v>0</v>
      </c>
      <c r="AK64" s="39"/>
      <c r="AM64" s="39"/>
      <c r="AN64" s="39">
        <f t="shared" ref="AN64:AN88" si="45">+AM64/$AB$104</f>
        <v>0</v>
      </c>
      <c r="AO64" s="39"/>
      <c r="AP64" s="39">
        <f t="shared" ref="AP64:AP88" si="46">+AO64/$AD$104</f>
        <v>0</v>
      </c>
      <c r="AQ64" s="39"/>
      <c r="AR64" s="39">
        <f t="shared" si="27"/>
        <v>0</v>
      </c>
      <c r="AS64" s="39"/>
      <c r="AT64" s="39">
        <f t="shared" si="41"/>
        <v>0</v>
      </c>
    </row>
    <row r="65" spans="3:46" ht="14" customHeight="1">
      <c r="C65" s="185" t="s">
        <v>186</v>
      </c>
      <c r="D65" s="182"/>
      <c r="E65" s="181"/>
      <c r="F65" s="180"/>
      <c r="G65" s="180"/>
      <c r="H65" s="180"/>
      <c r="I65" s="178"/>
      <c r="J65" s="178"/>
      <c r="K65" s="178"/>
      <c r="L65" s="184"/>
      <c r="M65" s="178"/>
      <c r="N65" s="183"/>
      <c r="O65" s="182"/>
      <c r="P65" s="181"/>
      <c r="Q65" s="180"/>
      <c r="R65" s="180"/>
      <c r="S65" s="180"/>
      <c r="T65" s="178"/>
      <c r="U65" s="178"/>
      <c r="V65" s="178"/>
      <c r="W65" s="184"/>
      <c r="X65" s="178">
        <f>IFERROR(IFERROR(VLOOKUP(C65,'[4]Swiss pivot'!$E$3:$H$54,4,0),VLOOKUP($C65,'[4]Breakdown non-EU havens'!$F$59:$H$86,3,0)/$E$106),AJ65*'[4]Non-EU tax havens'!$I$8)</f>
        <v>0</v>
      </c>
      <c r="Y65" s="177"/>
      <c r="Z65" s="159"/>
      <c r="AB65" s="39"/>
      <c r="AC65" s="39">
        <f t="shared" si="43"/>
        <v>0</v>
      </c>
      <c r="AD65" s="39"/>
      <c r="AE65" s="39">
        <f t="shared" si="44"/>
        <v>0</v>
      </c>
      <c r="AF65" s="39"/>
      <c r="AG65" s="36">
        <f t="shared" si="40"/>
        <v>0</v>
      </c>
      <c r="AH65" s="39">
        <f t="shared" si="37"/>
        <v>0</v>
      </c>
      <c r="AI65" s="39">
        <f t="shared" si="42"/>
        <v>0</v>
      </c>
      <c r="AJ65" s="39">
        <f t="shared" si="28"/>
        <v>0</v>
      </c>
      <c r="AK65" s="39"/>
      <c r="AM65" s="39"/>
      <c r="AN65" s="39">
        <f t="shared" si="45"/>
        <v>0</v>
      </c>
      <c r="AO65" s="39"/>
      <c r="AP65" s="39">
        <f t="shared" si="46"/>
        <v>0</v>
      </c>
      <c r="AQ65" s="39"/>
      <c r="AR65" s="39">
        <f t="shared" si="27"/>
        <v>0</v>
      </c>
      <c r="AS65" s="39"/>
      <c r="AT65" s="39">
        <f t="shared" si="41"/>
        <v>0</v>
      </c>
    </row>
    <row r="66" spans="3:46" ht="14" customHeight="1">
      <c r="C66" s="185" t="s">
        <v>187</v>
      </c>
      <c r="D66" s="182"/>
      <c r="E66" s="181"/>
      <c r="F66" s="180"/>
      <c r="G66" s="180"/>
      <c r="H66" s="180"/>
      <c r="I66" s="178"/>
      <c r="J66" s="178"/>
      <c r="K66" s="178"/>
      <c r="L66" s="184"/>
      <c r="M66" s="178"/>
      <c r="N66" s="183"/>
      <c r="O66" s="182"/>
      <c r="P66" s="181"/>
      <c r="Q66" s="180"/>
      <c r="R66" s="180"/>
      <c r="S66" s="180"/>
      <c r="T66" s="178"/>
      <c r="U66" s="178"/>
      <c r="V66" s="178"/>
      <c r="W66" s="184"/>
      <c r="X66" s="178">
        <f>IFERROR(IFERROR(VLOOKUP(C66,'[4]Swiss pivot'!$E$3:$H$54,4,0),VLOOKUP($C66,'[4]Breakdown non-EU havens'!$F$59:$H$86,3,0)/$E$106),AJ66*'[4]Non-EU tax havens'!$I$8)</f>
        <v>85.573410932853633</v>
      </c>
      <c r="Y66" s="177"/>
      <c r="Z66" s="159"/>
      <c r="AB66" s="39"/>
      <c r="AC66" s="39">
        <f t="shared" si="43"/>
        <v>0</v>
      </c>
      <c r="AD66" s="39"/>
      <c r="AE66" s="39">
        <f t="shared" si="44"/>
        <v>0</v>
      </c>
      <c r="AF66" s="39"/>
      <c r="AG66" s="36">
        <f t="shared" si="40"/>
        <v>0</v>
      </c>
      <c r="AH66" s="39">
        <f t="shared" si="37"/>
        <v>0</v>
      </c>
      <c r="AI66" s="39">
        <f t="shared" si="42"/>
        <v>0</v>
      </c>
      <c r="AJ66" s="39">
        <f t="shared" si="28"/>
        <v>0</v>
      </c>
      <c r="AK66" s="39"/>
      <c r="AM66" s="39"/>
      <c r="AN66" s="39">
        <f t="shared" si="45"/>
        <v>0</v>
      </c>
      <c r="AO66" s="39"/>
      <c r="AP66" s="39">
        <f t="shared" si="46"/>
        <v>0</v>
      </c>
      <c r="AQ66" s="39"/>
      <c r="AR66" s="39">
        <f t="shared" si="27"/>
        <v>0</v>
      </c>
      <c r="AS66" s="39"/>
      <c r="AT66" s="39">
        <f t="shared" si="41"/>
        <v>0</v>
      </c>
    </row>
    <row r="67" spans="3:46" ht="14" customHeight="1">
      <c r="C67" s="185" t="s">
        <v>188</v>
      </c>
      <c r="D67" s="182"/>
      <c r="E67" s="181"/>
      <c r="F67" s="180"/>
      <c r="G67" s="180"/>
      <c r="H67" s="180"/>
      <c r="I67" s="178"/>
      <c r="J67" s="178"/>
      <c r="K67" s="178"/>
      <c r="L67" s="184"/>
      <c r="M67" s="178"/>
      <c r="N67" s="183"/>
      <c r="O67" s="182"/>
      <c r="P67" s="181"/>
      <c r="Q67" s="180"/>
      <c r="R67" s="180"/>
      <c r="S67" s="180"/>
      <c r="T67" s="178"/>
      <c r="U67" s="178"/>
      <c r="V67" s="178"/>
      <c r="W67" s="184"/>
      <c r="X67" s="178">
        <f>IFERROR(IFERROR(VLOOKUP(C67,'[4]Swiss pivot'!$E$3:$H$54,4,0),VLOOKUP($C67,'[4]Breakdown non-EU havens'!$F$59:$H$86,3,0)/$E$106),AJ67*'[4]Non-EU tax havens'!$I$8)</f>
        <v>0</v>
      </c>
      <c r="Y67" s="177"/>
      <c r="Z67" s="159"/>
      <c r="AB67" s="39"/>
      <c r="AC67" s="39">
        <f t="shared" si="43"/>
        <v>0</v>
      </c>
      <c r="AD67" s="39"/>
      <c r="AE67" s="39">
        <f t="shared" si="44"/>
        <v>0</v>
      </c>
      <c r="AF67" s="39"/>
      <c r="AG67" s="36">
        <f t="shared" si="40"/>
        <v>0</v>
      </c>
      <c r="AH67" s="39">
        <f t="shared" si="37"/>
        <v>0</v>
      </c>
      <c r="AI67" s="39">
        <f t="shared" si="42"/>
        <v>0</v>
      </c>
      <c r="AJ67" s="39">
        <f t="shared" si="28"/>
        <v>0</v>
      </c>
      <c r="AK67" s="39"/>
      <c r="AM67" s="39"/>
      <c r="AN67" s="39">
        <f t="shared" si="45"/>
        <v>0</v>
      </c>
      <c r="AO67" s="39"/>
      <c r="AP67" s="39">
        <f t="shared" si="46"/>
        <v>0</v>
      </c>
      <c r="AQ67" s="39"/>
      <c r="AR67" s="39">
        <f t="shared" si="27"/>
        <v>0</v>
      </c>
      <c r="AS67" s="39"/>
      <c r="AT67" s="39">
        <f t="shared" si="41"/>
        <v>0</v>
      </c>
    </row>
    <row r="68" spans="3:46" ht="14" customHeight="1">
      <c r="C68" s="185" t="s">
        <v>189</v>
      </c>
      <c r="D68" s="182"/>
      <c r="E68" s="181"/>
      <c r="F68" s="180"/>
      <c r="G68" s="180"/>
      <c r="H68" s="180"/>
      <c r="I68" s="178"/>
      <c r="J68" s="178"/>
      <c r="K68" s="178"/>
      <c r="L68" s="184"/>
      <c r="M68" s="178"/>
      <c r="N68" s="183"/>
      <c r="O68" s="182"/>
      <c r="P68" s="181"/>
      <c r="Q68" s="180"/>
      <c r="R68" s="180"/>
      <c r="S68" s="180"/>
      <c r="T68" s="178"/>
      <c r="U68" s="178"/>
      <c r="V68" s="178"/>
      <c r="W68" s="184"/>
      <c r="X68" s="178">
        <f>IFERROR(IFERROR(VLOOKUP(C68,'[4]Swiss pivot'!$E$3:$H$54,4,0),VLOOKUP($C68,'[4]Breakdown non-EU havens'!$F$59:$H$86,3,0)/$E$106),AJ68*'[4]Non-EU tax havens'!$I$8)</f>
        <v>0</v>
      </c>
      <c r="Y68" s="177"/>
      <c r="Z68" s="159"/>
      <c r="AB68" s="39"/>
      <c r="AC68" s="39">
        <f t="shared" si="43"/>
        <v>0</v>
      </c>
      <c r="AD68" s="39"/>
      <c r="AE68" s="39">
        <f t="shared" si="44"/>
        <v>0</v>
      </c>
      <c r="AF68" s="39"/>
      <c r="AG68" s="36">
        <f t="shared" si="40"/>
        <v>0</v>
      </c>
      <c r="AH68" s="39">
        <f t="shared" si="37"/>
        <v>0</v>
      </c>
      <c r="AI68" s="39">
        <f t="shared" si="42"/>
        <v>0</v>
      </c>
      <c r="AJ68" s="39">
        <f t="shared" si="28"/>
        <v>0</v>
      </c>
      <c r="AK68" s="39"/>
      <c r="AM68" s="39"/>
      <c r="AN68" s="39">
        <f t="shared" si="45"/>
        <v>0</v>
      </c>
      <c r="AO68" s="39"/>
      <c r="AP68" s="39">
        <f t="shared" si="46"/>
        <v>0</v>
      </c>
      <c r="AQ68" s="39"/>
      <c r="AR68" s="39">
        <f t="shared" si="27"/>
        <v>0</v>
      </c>
      <c r="AS68" s="39"/>
      <c r="AT68" s="39">
        <f t="shared" si="41"/>
        <v>0</v>
      </c>
    </row>
    <row r="69" spans="3:46" ht="14" customHeight="1">
      <c r="C69" s="185" t="s">
        <v>190</v>
      </c>
      <c r="D69" s="182"/>
      <c r="E69" s="181"/>
      <c r="F69" s="180"/>
      <c r="G69" s="180"/>
      <c r="H69" s="180"/>
      <c r="I69" s="178"/>
      <c r="J69" s="178"/>
      <c r="K69" s="178"/>
      <c r="L69" s="184"/>
      <c r="M69" s="178"/>
      <c r="N69" s="183"/>
      <c r="O69" s="182"/>
      <c r="P69" s="181"/>
      <c r="Q69" s="180"/>
      <c r="R69" s="180"/>
      <c r="S69" s="180"/>
      <c r="T69" s="178"/>
      <c r="U69" s="178"/>
      <c r="V69" s="178"/>
      <c r="W69" s="184"/>
      <c r="X69" s="178">
        <f>IFERROR(IFERROR(VLOOKUP(C69,'[4]Swiss pivot'!$E$3:$H$54,4,0),VLOOKUP($C69,'[4]Breakdown non-EU havens'!$F$59:$H$86,3,0)/$E$106),AJ69*'[4]Non-EU tax havens'!$I$8)</f>
        <v>0</v>
      </c>
      <c r="Y69" s="177"/>
      <c r="Z69" s="159"/>
      <c r="AB69" s="39"/>
      <c r="AC69" s="39">
        <f t="shared" si="43"/>
        <v>0</v>
      </c>
      <c r="AD69" s="39"/>
      <c r="AE69" s="39">
        <f t="shared" si="44"/>
        <v>0</v>
      </c>
      <c r="AF69" s="39"/>
      <c r="AG69" s="36">
        <f t="shared" si="40"/>
        <v>0</v>
      </c>
      <c r="AH69" s="39">
        <f t="shared" si="37"/>
        <v>0</v>
      </c>
      <c r="AI69" s="39">
        <f t="shared" si="42"/>
        <v>0</v>
      </c>
      <c r="AJ69" s="39">
        <f t="shared" si="28"/>
        <v>0</v>
      </c>
      <c r="AK69" s="39"/>
      <c r="AM69" s="39"/>
      <c r="AN69" s="39">
        <f t="shared" si="45"/>
        <v>0</v>
      </c>
      <c r="AO69" s="39"/>
      <c r="AP69" s="39">
        <f t="shared" si="46"/>
        <v>0</v>
      </c>
      <c r="AQ69" s="39"/>
      <c r="AR69" s="39">
        <f t="shared" si="27"/>
        <v>0</v>
      </c>
      <c r="AS69" s="39"/>
      <c r="AT69" s="39">
        <f t="shared" si="41"/>
        <v>0</v>
      </c>
    </row>
    <row r="70" spans="3:46" ht="14" customHeight="1">
      <c r="C70" s="185" t="s">
        <v>365</v>
      </c>
      <c r="D70" s="182"/>
      <c r="E70" s="181"/>
      <c r="F70" s="180"/>
      <c r="G70" s="180"/>
      <c r="H70" s="180"/>
      <c r="I70" s="178"/>
      <c r="J70" s="178"/>
      <c r="K70" s="178"/>
      <c r="L70" s="184"/>
      <c r="M70" s="178"/>
      <c r="N70" s="183"/>
      <c r="O70" s="182"/>
      <c r="P70" s="181"/>
      <c r="Q70" s="180"/>
      <c r="R70" s="180"/>
      <c r="S70" s="180"/>
      <c r="T70" s="178"/>
      <c r="U70" s="178"/>
      <c r="V70" s="178"/>
      <c r="W70" s="184"/>
      <c r="X70" s="178">
        <f>IFERROR(IFERROR(VLOOKUP(C70,'[4]Swiss pivot'!$E$3:$H$54,4,0),VLOOKUP($C70,'[4]Breakdown non-EU havens'!$F$59:$H$86,3,0)/$E$106),AJ70*'[4]Non-EU tax havens'!$I$8)</f>
        <v>0</v>
      </c>
      <c r="Y70" s="177"/>
      <c r="Z70" s="159"/>
      <c r="AB70" s="39"/>
      <c r="AC70" s="39">
        <f t="shared" si="43"/>
        <v>0</v>
      </c>
      <c r="AD70" s="39"/>
      <c r="AE70" s="39">
        <f t="shared" si="44"/>
        <v>0</v>
      </c>
      <c r="AF70" s="39"/>
      <c r="AG70" s="36">
        <f t="shared" si="40"/>
        <v>0</v>
      </c>
      <c r="AH70" s="39">
        <f t="shared" si="37"/>
        <v>0</v>
      </c>
      <c r="AI70" s="39">
        <f t="shared" si="42"/>
        <v>0</v>
      </c>
      <c r="AJ70" s="39">
        <f t="shared" si="28"/>
        <v>0</v>
      </c>
      <c r="AK70" s="39"/>
      <c r="AM70" s="39"/>
      <c r="AN70" s="39">
        <f t="shared" si="45"/>
        <v>0</v>
      </c>
      <c r="AO70" s="39"/>
      <c r="AP70" s="39">
        <f t="shared" si="46"/>
        <v>0</v>
      </c>
      <c r="AQ70" s="39"/>
      <c r="AR70" s="39">
        <f t="shared" si="27"/>
        <v>0</v>
      </c>
      <c r="AS70" s="39"/>
      <c r="AT70" s="39">
        <f t="shared" si="41"/>
        <v>0</v>
      </c>
    </row>
    <row r="71" spans="3:46" ht="14" customHeight="1">
      <c r="C71" s="185" t="s">
        <v>24</v>
      </c>
      <c r="D71" s="182"/>
      <c r="E71" s="181"/>
      <c r="F71" s="180"/>
      <c r="G71" s="180"/>
      <c r="H71" s="180"/>
      <c r="I71" s="178"/>
      <c r="J71" s="178"/>
      <c r="K71" s="178"/>
      <c r="L71" s="184"/>
      <c r="M71" s="178"/>
      <c r="N71" s="183"/>
      <c r="O71" s="182"/>
      <c r="P71" s="181"/>
      <c r="Q71" s="180"/>
      <c r="R71" s="180"/>
      <c r="S71" s="180"/>
      <c r="T71" s="178"/>
      <c r="U71" s="178"/>
      <c r="V71" s="178"/>
      <c r="W71" s="184"/>
      <c r="X71" s="178">
        <f>IFERROR(IFERROR(VLOOKUP(C71,'[4]Swiss pivot'!$E$3:$H$54,4,0),VLOOKUP($C71,'[4]Breakdown non-EU havens'!$F$59:$H$86,3,0)/$E$106),AJ71*'[4]Non-EU tax havens'!$I$8)</f>
        <v>0</v>
      </c>
      <c r="Y71" s="177"/>
      <c r="Z71" s="159"/>
      <c r="AB71" s="39"/>
      <c r="AC71" s="39">
        <f t="shared" si="43"/>
        <v>0</v>
      </c>
      <c r="AD71" s="39"/>
      <c r="AE71" s="39">
        <f t="shared" si="44"/>
        <v>0</v>
      </c>
      <c r="AF71" s="39"/>
      <c r="AG71" s="36">
        <f t="shared" si="40"/>
        <v>0</v>
      </c>
      <c r="AH71" s="39">
        <f t="shared" si="37"/>
        <v>0</v>
      </c>
      <c r="AI71" s="39">
        <f t="shared" si="42"/>
        <v>0</v>
      </c>
      <c r="AJ71" s="39">
        <f t="shared" si="28"/>
        <v>0</v>
      </c>
      <c r="AK71" s="39"/>
      <c r="AM71" s="39"/>
      <c r="AN71" s="39">
        <f t="shared" si="45"/>
        <v>0</v>
      </c>
      <c r="AO71" s="39"/>
      <c r="AP71" s="39">
        <f t="shared" si="46"/>
        <v>0</v>
      </c>
      <c r="AQ71" s="39"/>
      <c r="AR71" s="39">
        <f t="shared" si="27"/>
        <v>0</v>
      </c>
      <c r="AS71" s="39"/>
      <c r="AT71" s="39">
        <f t="shared" si="41"/>
        <v>0</v>
      </c>
    </row>
    <row r="72" spans="3:46" ht="14" customHeight="1">
      <c r="C72" s="185" t="s">
        <v>193</v>
      </c>
      <c r="D72" s="182"/>
      <c r="E72" s="181"/>
      <c r="F72" s="180"/>
      <c r="G72" s="180"/>
      <c r="H72" s="180"/>
      <c r="I72" s="178"/>
      <c r="J72" s="178"/>
      <c r="K72" s="178"/>
      <c r="L72" s="184"/>
      <c r="M72" s="178"/>
      <c r="N72" s="183"/>
      <c r="O72" s="182"/>
      <c r="P72" s="181"/>
      <c r="Q72" s="180"/>
      <c r="R72" s="180"/>
      <c r="S72" s="180"/>
      <c r="T72" s="178"/>
      <c r="U72" s="178"/>
      <c r="V72" s="178"/>
      <c r="W72" s="184"/>
      <c r="X72" s="178">
        <f>IFERROR(IFERROR(VLOOKUP(C72,'[4]Swiss pivot'!$E$3:$H$54,4,0),VLOOKUP($C72,'[4]Breakdown non-EU havens'!$F$59:$H$86,3,0)/$E$106),AJ72*'[4]Non-EU tax havens'!$I$8)</f>
        <v>0</v>
      </c>
      <c r="Y72" s="177"/>
      <c r="Z72" s="159"/>
      <c r="AB72" s="39"/>
      <c r="AC72" s="39">
        <f t="shared" si="43"/>
        <v>0</v>
      </c>
      <c r="AD72" s="39"/>
      <c r="AE72" s="39">
        <f t="shared" si="44"/>
        <v>0</v>
      </c>
      <c r="AF72" s="39"/>
      <c r="AG72" s="36">
        <f t="shared" si="40"/>
        <v>0</v>
      </c>
      <c r="AH72" s="39">
        <f t="shared" si="37"/>
        <v>0</v>
      </c>
      <c r="AI72" s="39">
        <f t="shared" si="42"/>
        <v>0</v>
      </c>
      <c r="AJ72" s="39">
        <f t="shared" si="28"/>
        <v>0</v>
      </c>
      <c r="AK72" s="39"/>
      <c r="AM72" s="39"/>
      <c r="AN72" s="39">
        <f t="shared" si="45"/>
        <v>0</v>
      </c>
      <c r="AO72" s="39"/>
      <c r="AP72" s="39">
        <f t="shared" si="46"/>
        <v>0</v>
      </c>
      <c r="AQ72" s="39"/>
      <c r="AR72" s="39">
        <f t="shared" si="27"/>
        <v>0</v>
      </c>
      <c r="AS72" s="39"/>
      <c r="AT72" s="39">
        <f t="shared" si="41"/>
        <v>0</v>
      </c>
    </row>
    <row r="73" spans="3:46" ht="14" customHeight="1">
      <c r="C73" s="185" t="s">
        <v>194</v>
      </c>
      <c r="D73" s="182"/>
      <c r="E73" s="181"/>
      <c r="F73" s="180"/>
      <c r="G73" s="180"/>
      <c r="H73" s="180"/>
      <c r="I73" s="178"/>
      <c r="J73" s="178"/>
      <c r="K73" s="178"/>
      <c r="L73" s="184"/>
      <c r="M73" s="178"/>
      <c r="N73" s="183"/>
      <c r="O73" s="182"/>
      <c r="P73" s="181"/>
      <c r="Q73" s="180"/>
      <c r="R73" s="180"/>
      <c r="S73" s="180"/>
      <c r="T73" s="178"/>
      <c r="U73" s="178"/>
      <c r="V73" s="178"/>
      <c r="W73" s="184"/>
      <c r="X73" s="178">
        <f>IFERROR(IFERROR(VLOOKUP(C73,'[4]Swiss pivot'!$E$3:$H$54,4,0),VLOOKUP($C73,'[4]Breakdown non-EU havens'!$F$59:$H$86,3,0)/$E$106),AJ73*'[4]Non-EU tax havens'!$I$8)</f>
        <v>0</v>
      </c>
      <c r="Y73" s="177"/>
      <c r="Z73" s="159"/>
      <c r="AB73" s="39"/>
      <c r="AC73" s="39">
        <f t="shared" si="43"/>
        <v>0</v>
      </c>
      <c r="AD73" s="39"/>
      <c r="AE73" s="39">
        <f t="shared" si="44"/>
        <v>0</v>
      </c>
      <c r="AF73" s="39"/>
      <c r="AG73" s="36">
        <f t="shared" si="40"/>
        <v>0</v>
      </c>
      <c r="AH73" s="39">
        <f t="shared" si="37"/>
        <v>0</v>
      </c>
      <c r="AI73" s="39">
        <f t="shared" si="42"/>
        <v>0</v>
      </c>
      <c r="AJ73" s="39">
        <f t="shared" si="28"/>
        <v>0</v>
      </c>
      <c r="AK73" s="39"/>
      <c r="AM73" s="39"/>
      <c r="AN73" s="39">
        <f t="shared" si="45"/>
        <v>0</v>
      </c>
      <c r="AO73" s="39"/>
      <c r="AP73" s="39">
        <f t="shared" si="46"/>
        <v>0</v>
      </c>
      <c r="AQ73" s="39"/>
      <c r="AR73" s="39">
        <f t="shared" ref="AR73:AR88" si="47">+AQ73/$AQ$99</f>
        <v>0</v>
      </c>
      <c r="AS73" s="39"/>
      <c r="AT73" s="39">
        <f t="shared" si="41"/>
        <v>0</v>
      </c>
    </row>
    <row r="74" spans="3:46" ht="14" customHeight="1">
      <c r="C74" s="185" t="s">
        <v>195</v>
      </c>
      <c r="D74" s="182"/>
      <c r="E74" s="181"/>
      <c r="F74" s="180"/>
      <c r="G74" s="180"/>
      <c r="H74" s="180"/>
      <c r="I74" s="178"/>
      <c r="J74" s="178"/>
      <c r="K74" s="178"/>
      <c r="L74" s="184"/>
      <c r="M74" s="178"/>
      <c r="N74" s="183"/>
      <c r="O74" s="182"/>
      <c r="P74" s="181"/>
      <c r="Q74" s="180"/>
      <c r="R74" s="180"/>
      <c r="S74" s="180"/>
      <c r="T74" s="178"/>
      <c r="U74" s="178"/>
      <c r="V74" s="178"/>
      <c r="W74" s="184"/>
      <c r="X74" s="178">
        <f>IFERROR(IFERROR(VLOOKUP(C74,'[4]Swiss pivot'!$E$3:$H$54,4,0),VLOOKUP($C74,'[4]Breakdown non-EU havens'!$F$59:$H$86,3,0)/$E$106),AJ74*'[4]Non-EU tax havens'!$I$8)</f>
        <v>0</v>
      </c>
      <c r="Y74" s="177"/>
      <c r="Z74" s="159"/>
      <c r="AB74" s="39"/>
      <c r="AC74" s="39">
        <f t="shared" si="43"/>
        <v>0</v>
      </c>
      <c r="AD74" s="39"/>
      <c r="AE74" s="39">
        <f t="shared" si="44"/>
        <v>0</v>
      </c>
      <c r="AF74" s="39"/>
      <c r="AG74" s="36">
        <f t="shared" si="40"/>
        <v>0</v>
      </c>
      <c r="AH74" s="39">
        <f t="shared" si="37"/>
        <v>0</v>
      </c>
      <c r="AI74" s="39">
        <f t="shared" si="42"/>
        <v>0</v>
      </c>
      <c r="AJ74" s="39">
        <f t="shared" si="28"/>
        <v>0</v>
      </c>
      <c r="AK74" s="39"/>
      <c r="AM74" s="39"/>
      <c r="AN74" s="39">
        <f t="shared" si="45"/>
        <v>0</v>
      </c>
      <c r="AO74" s="39"/>
      <c r="AP74" s="39">
        <f t="shared" si="46"/>
        <v>0</v>
      </c>
      <c r="AQ74" s="39"/>
      <c r="AR74" s="39">
        <f t="shared" si="47"/>
        <v>0</v>
      </c>
      <c r="AS74" s="39"/>
      <c r="AT74" s="39">
        <f t="shared" si="41"/>
        <v>0</v>
      </c>
    </row>
    <row r="75" spans="3:46" ht="14" customHeight="1">
      <c r="C75" s="185" t="s">
        <v>197</v>
      </c>
      <c r="D75" s="182"/>
      <c r="E75" s="181"/>
      <c r="F75" s="180"/>
      <c r="G75" s="180"/>
      <c r="H75" s="180"/>
      <c r="I75" s="178"/>
      <c r="J75" s="178"/>
      <c r="K75" s="178"/>
      <c r="L75" s="184"/>
      <c r="M75" s="178"/>
      <c r="N75" s="183"/>
      <c r="O75" s="182"/>
      <c r="P75" s="181"/>
      <c r="Q75" s="180"/>
      <c r="R75" s="180"/>
      <c r="S75" s="180"/>
      <c r="T75" s="178"/>
      <c r="U75" s="178"/>
      <c r="V75" s="178"/>
      <c r="W75" s="184"/>
      <c r="X75" s="178">
        <f>IFERROR(IFERROR(VLOOKUP(C75,'[4]Swiss pivot'!$E$3:$H$54,4,0),VLOOKUP($C75,'[4]Breakdown non-EU havens'!$F$59:$H$86,3,0)/$E$106),AJ75*'[4]Non-EU tax havens'!$I$8)</f>
        <v>0</v>
      </c>
      <c r="Y75" s="177"/>
      <c r="Z75" s="159"/>
      <c r="AB75" s="39"/>
      <c r="AC75" s="39">
        <f t="shared" si="43"/>
        <v>0</v>
      </c>
      <c r="AD75" s="39"/>
      <c r="AE75" s="39">
        <f t="shared" si="44"/>
        <v>0</v>
      </c>
      <c r="AF75" s="39"/>
      <c r="AG75" s="36">
        <f t="shared" si="40"/>
        <v>0</v>
      </c>
      <c r="AH75" s="39">
        <f t="shared" si="37"/>
        <v>0</v>
      </c>
      <c r="AI75" s="39">
        <f t="shared" si="42"/>
        <v>0</v>
      </c>
      <c r="AJ75" s="39">
        <f t="shared" ref="AJ75:AJ88" si="48">+AI75/$AI$104</f>
        <v>0</v>
      </c>
      <c r="AK75" s="39"/>
      <c r="AM75" s="39"/>
      <c r="AN75" s="39">
        <f t="shared" si="45"/>
        <v>0</v>
      </c>
      <c r="AO75" s="39"/>
      <c r="AP75" s="39">
        <f t="shared" si="46"/>
        <v>0</v>
      </c>
      <c r="AQ75" s="39"/>
      <c r="AR75" s="39">
        <f t="shared" si="47"/>
        <v>0</v>
      </c>
      <c r="AS75" s="39"/>
      <c r="AT75" s="39">
        <f t="shared" si="41"/>
        <v>0</v>
      </c>
    </row>
    <row r="76" spans="3:46" ht="14" customHeight="1">
      <c r="C76" s="185" t="s">
        <v>87</v>
      </c>
      <c r="D76" s="182"/>
      <c r="E76" s="181"/>
      <c r="F76" s="180"/>
      <c r="G76" s="180"/>
      <c r="H76" s="180"/>
      <c r="I76" s="178"/>
      <c r="J76" s="178"/>
      <c r="K76" s="178"/>
      <c r="L76" s="184"/>
      <c r="M76" s="178"/>
      <c r="N76" s="187"/>
      <c r="O76" s="182"/>
      <c r="P76" s="181"/>
      <c r="Q76" s="180"/>
      <c r="R76" s="180"/>
      <c r="S76" s="180"/>
      <c r="T76" s="178"/>
      <c r="U76" s="178"/>
      <c r="V76" s="178"/>
      <c r="W76" s="184"/>
      <c r="X76" s="178">
        <f>IFERROR(IFERROR(VLOOKUP(C76,'[4]Swiss pivot'!$E$3:$H$54,4,0),VLOOKUP($C76,'[4]Breakdown non-EU havens'!$F$59:$H$86,3,0)/$E$106),AJ76*'[4]Non-EU tax havens'!$I$8)</f>
        <v>109.81921069716216</v>
      </c>
      <c r="Y76" s="186"/>
      <c r="Z76" s="159"/>
      <c r="AB76" s="39"/>
      <c r="AC76" s="39">
        <f t="shared" si="43"/>
        <v>0</v>
      </c>
      <c r="AD76" s="39"/>
      <c r="AE76" s="39">
        <f t="shared" si="44"/>
        <v>0</v>
      </c>
      <c r="AF76" s="39"/>
      <c r="AG76" s="36">
        <f t="shared" si="40"/>
        <v>0</v>
      </c>
      <c r="AH76" s="39">
        <f t="shared" si="37"/>
        <v>0</v>
      </c>
      <c r="AI76" s="39">
        <f t="shared" si="42"/>
        <v>0</v>
      </c>
      <c r="AJ76" s="39">
        <f t="shared" si="48"/>
        <v>0</v>
      </c>
      <c r="AK76" s="39"/>
      <c r="AM76" s="39"/>
      <c r="AN76" s="39">
        <f t="shared" si="45"/>
        <v>0</v>
      </c>
      <c r="AO76" s="39"/>
      <c r="AP76" s="39">
        <f t="shared" si="46"/>
        <v>0</v>
      </c>
      <c r="AQ76" s="39"/>
      <c r="AR76" s="39">
        <f t="shared" si="47"/>
        <v>0</v>
      </c>
      <c r="AS76" s="39"/>
      <c r="AT76" s="39">
        <f t="shared" si="41"/>
        <v>0</v>
      </c>
    </row>
    <row r="77" spans="3:46" ht="14" customHeight="1">
      <c r="C77" s="185" t="s">
        <v>134</v>
      </c>
      <c r="D77" s="182"/>
      <c r="E77" s="181"/>
      <c r="F77" s="180"/>
      <c r="G77" s="180"/>
      <c r="H77" s="180"/>
      <c r="I77" s="178"/>
      <c r="J77" s="178"/>
      <c r="K77" s="178"/>
      <c r="L77" s="184"/>
      <c r="M77" s="178"/>
      <c r="N77" s="183"/>
      <c r="O77" s="182"/>
      <c r="P77" s="181"/>
      <c r="Q77" s="180"/>
      <c r="R77" s="180"/>
      <c r="S77" s="180"/>
      <c r="T77" s="178"/>
      <c r="U77" s="178"/>
      <c r="V77" s="178"/>
      <c r="W77" s="184"/>
      <c r="X77" s="178">
        <f>IFERROR(IFERROR(VLOOKUP(C77,'[4]Swiss pivot'!$E$3:$H$54,4,0),VLOOKUP($C77,'[4]Breakdown non-EU havens'!$F$59:$H$86,3,0)/$E$106),AJ77*'[4]Non-EU tax havens'!$I$8)</f>
        <v>0</v>
      </c>
      <c r="Y77" s="177"/>
      <c r="Z77" s="159"/>
      <c r="AB77" s="39"/>
      <c r="AC77" s="39">
        <f t="shared" si="43"/>
        <v>0</v>
      </c>
      <c r="AD77" s="39"/>
      <c r="AE77" s="39">
        <f t="shared" si="44"/>
        <v>0</v>
      </c>
      <c r="AF77" s="39"/>
      <c r="AG77" s="36">
        <f t="shared" si="40"/>
        <v>0</v>
      </c>
      <c r="AH77" s="39">
        <f t="shared" si="37"/>
        <v>0</v>
      </c>
      <c r="AI77" s="39">
        <f t="shared" si="42"/>
        <v>0</v>
      </c>
      <c r="AJ77" s="39">
        <f t="shared" si="48"/>
        <v>0</v>
      </c>
      <c r="AK77" s="39"/>
      <c r="AM77" s="39"/>
      <c r="AN77" s="39">
        <f t="shared" si="45"/>
        <v>0</v>
      </c>
      <c r="AO77" s="39"/>
      <c r="AP77" s="39">
        <f t="shared" si="46"/>
        <v>0</v>
      </c>
      <c r="AQ77" s="39"/>
      <c r="AR77" s="39">
        <f t="shared" si="47"/>
        <v>0</v>
      </c>
      <c r="AS77" s="39"/>
      <c r="AT77" s="39">
        <f t="shared" si="41"/>
        <v>0</v>
      </c>
    </row>
    <row r="78" spans="3:46" ht="14" customHeight="1">
      <c r="C78" s="185" t="s">
        <v>199</v>
      </c>
      <c r="D78" s="182"/>
      <c r="E78" s="181"/>
      <c r="F78" s="180"/>
      <c r="G78" s="180"/>
      <c r="H78" s="180"/>
      <c r="I78" s="178"/>
      <c r="J78" s="178"/>
      <c r="K78" s="178"/>
      <c r="L78" s="184"/>
      <c r="M78" s="178"/>
      <c r="N78" s="183"/>
      <c r="O78" s="182"/>
      <c r="P78" s="181"/>
      <c r="Q78" s="180"/>
      <c r="R78" s="180"/>
      <c r="S78" s="180"/>
      <c r="T78" s="178"/>
      <c r="U78" s="178"/>
      <c r="V78" s="178"/>
      <c r="W78" s="184"/>
      <c r="X78" s="178">
        <f>IFERROR(IFERROR(VLOOKUP(C78,'[4]Swiss pivot'!$E$3:$H$54,4,0),VLOOKUP($C78,'[4]Breakdown non-EU havens'!$F$59:$H$86,3,0)/$E$106),AJ78*'[4]Non-EU tax havens'!$I$8)</f>
        <v>0</v>
      </c>
      <c r="Y78" s="177"/>
      <c r="Z78" s="159"/>
      <c r="AB78" s="39"/>
      <c r="AC78" s="39">
        <f t="shared" si="43"/>
        <v>0</v>
      </c>
      <c r="AD78" s="39"/>
      <c r="AE78" s="39">
        <f t="shared" si="44"/>
        <v>0</v>
      </c>
      <c r="AF78" s="39"/>
      <c r="AG78" s="36">
        <f t="shared" si="40"/>
        <v>0</v>
      </c>
      <c r="AH78" s="39">
        <f t="shared" si="37"/>
        <v>0</v>
      </c>
      <c r="AI78" s="39">
        <f t="shared" si="42"/>
        <v>0</v>
      </c>
      <c r="AJ78" s="39">
        <f t="shared" si="48"/>
        <v>0</v>
      </c>
      <c r="AK78" s="39"/>
      <c r="AM78" s="39"/>
      <c r="AN78" s="39">
        <f t="shared" si="45"/>
        <v>0</v>
      </c>
      <c r="AO78" s="39"/>
      <c r="AP78" s="39">
        <f t="shared" si="46"/>
        <v>0</v>
      </c>
      <c r="AQ78" s="39"/>
      <c r="AR78" s="39">
        <f t="shared" si="47"/>
        <v>0</v>
      </c>
      <c r="AS78" s="39"/>
      <c r="AT78" s="39">
        <f t="shared" si="41"/>
        <v>0</v>
      </c>
    </row>
    <row r="79" spans="3:46" ht="14" customHeight="1">
      <c r="C79" s="185" t="s">
        <v>200</v>
      </c>
      <c r="D79" s="182"/>
      <c r="E79" s="181"/>
      <c r="F79" s="180"/>
      <c r="G79" s="180"/>
      <c r="H79" s="180"/>
      <c r="I79" s="178"/>
      <c r="J79" s="178"/>
      <c r="K79" s="178"/>
      <c r="L79" s="184"/>
      <c r="M79" s="178"/>
      <c r="N79" s="183"/>
      <c r="O79" s="182"/>
      <c r="P79" s="181"/>
      <c r="Q79" s="180"/>
      <c r="R79" s="180"/>
      <c r="S79" s="180"/>
      <c r="T79" s="178"/>
      <c r="U79" s="178"/>
      <c r="V79" s="178"/>
      <c r="W79" s="184"/>
      <c r="X79" s="178">
        <f>IFERROR(IFERROR(VLOOKUP(C79,'[4]Swiss pivot'!$E$3:$H$54,4,0),VLOOKUP($C79,'[4]Breakdown non-EU havens'!$F$59:$H$86,3,0)/$E$106),AJ79*'[4]Non-EU tax havens'!$I$8)</f>
        <v>0</v>
      </c>
      <c r="Y79" s="177"/>
      <c r="Z79" s="159"/>
      <c r="AB79" s="39"/>
      <c r="AC79" s="39">
        <f t="shared" si="43"/>
        <v>0</v>
      </c>
      <c r="AD79" s="39"/>
      <c r="AE79" s="39">
        <f t="shared" si="44"/>
        <v>0</v>
      </c>
      <c r="AF79" s="39"/>
      <c r="AG79" s="36">
        <f t="shared" si="40"/>
        <v>0</v>
      </c>
      <c r="AH79" s="39">
        <f t="shared" si="37"/>
        <v>0</v>
      </c>
      <c r="AI79" s="39">
        <f t="shared" si="42"/>
        <v>0</v>
      </c>
      <c r="AJ79" s="39">
        <f t="shared" si="48"/>
        <v>0</v>
      </c>
      <c r="AK79" s="39"/>
      <c r="AM79" s="39"/>
      <c r="AN79" s="39">
        <f t="shared" si="45"/>
        <v>0</v>
      </c>
      <c r="AO79" s="39"/>
      <c r="AP79" s="39">
        <f t="shared" si="46"/>
        <v>0</v>
      </c>
      <c r="AQ79" s="39"/>
      <c r="AR79" s="39">
        <f t="shared" si="47"/>
        <v>0</v>
      </c>
      <c r="AS79" s="39"/>
      <c r="AT79" s="39">
        <f t="shared" si="41"/>
        <v>0</v>
      </c>
    </row>
    <row r="80" spans="3:46" ht="14" customHeight="1">
      <c r="C80" s="185" t="s">
        <v>201</v>
      </c>
      <c r="D80" s="182"/>
      <c r="E80" s="181"/>
      <c r="F80" s="180"/>
      <c r="G80" s="180"/>
      <c r="H80" s="180"/>
      <c r="I80" s="178"/>
      <c r="J80" s="178"/>
      <c r="K80" s="178"/>
      <c r="L80" s="184"/>
      <c r="M80" s="178"/>
      <c r="N80" s="183"/>
      <c r="O80" s="182"/>
      <c r="P80" s="181"/>
      <c r="Q80" s="180"/>
      <c r="R80" s="180"/>
      <c r="S80" s="180"/>
      <c r="T80" s="178"/>
      <c r="U80" s="178"/>
      <c r="V80" s="178"/>
      <c r="W80" s="184"/>
      <c r="X80" s="178">
        <f>IFERROR(IFERROR(VLOOKUP(C80,'[4]Swiss pivot'!$E$3:$H$54,4,0),VLOOKUP($C80,'[4]Breakdown non-EU havens'!$F$59:$H$86,3,0)/$E$106),AJ80*'[4]Non-EU tax havens'!$I$8)</f>
        <v>0</v>
      </c>
      <c r="Y80" s="177"/>
      <c r="Z80" s="159"/>
      <c r="AB80" s="39"/>
      <c r="AC80" s="39">
        <f t="shared" si="43"/>
        <v>0</v>
      </c>
      <c r="AD80" s="39"/>
      <c r="AE80" s="39">
        <f t="shared" si="44"/>
        <v>0</v>
      </c>
      <c r="AF80" s="39"/>
      <c r="AG80" s="36">
        <f>+'[4]CDIS Table-4'!U77</f>
        <v>0</v>
      </c>
      <c r="AH80" s="39">
        <f t="shared" si="37"/>
        <v>0</v>
      </c>
      <c r="AI80" s="39">
        <f t="shared" si="42"/>
        <v>0</v>
      </c>
      <c r="AJ80" s="39">
        <f t="shared" si="48"/>
        <v>0</v>
      </c>
      <c r="AK80" s="39"/>
      <c r="AM80" s="39"/>
      <c r="AN80" s="39">
        <f t="shared" si="45"/>
        <v>0</v>
      </c>
      <c r="AO80" s="39"/>
      <c r="AP80" s="39">
        <f t="shared" si="46"/>
        <v>0</v>
      </c>
      <c r="AQ80" s="39"/>
      <c r="AR80" s="39">
        <f t="shared" si="47"/>
        <v>0</v>
      </c>
      <c r="AS80" s="39"/>
      <c r="AT80" s="39">
        <f t="shared" si="41"/>
        <v>0</v>
      </c>
    </row>
    <row r="81" spans="3:46" ht="14" customHeight="1">
      <c r="C81" s="185" t="s">
        <v>202</v>
      </c>
      <c r="D81" s="182"/>
      <c r="E81" s="181"/>
      <c r="F81" s="180"/>
      <c r="G81" s="180"/>
      <c r="H81" s="180"/>
      <c r="I81" s="178"/>
      <c r="J81" s="178"/>
      <c r="K81" s="178"/>
      <c r="L81" s="184"/>
      <c r="M81" s="178"/>
      <c r="N81" s="183"/>
      <c r="O81" s="182"/>
      <c r="P81" s="181"/>
      <c r="Q81" s="180"/>
      <c r="R81" s="180"/>
      <c r="S81" s="180"/>
      <c r="T81" s="178"/>
      <c r="U81" s="178"/>
      <c r="V81" s="178"/>
      <c r="W81" s="184"/>
      <c r="X81" s="178">
        <f>IFERROR(IFERROR(VLOOKUP(C81,'[4]Swiss pivot'!$E$3:$H$54,4,0),VLOOKUP($C81,'[4]Breakdown non-EU havens'!$F$59:$H$86,3,0)/$E$106),AJ81*'[4]Non-EU tax havens'!$I$8)</f>
        <v>0</v>
      </c>
      <c r="Y81" s="177"/>
      <c r="Z81" s="159"/>
      <c r="AB81" s="39"/>
      <c r="AC81" s="39">
        <f t="shared" si="43"/>
        <v>0</v>
      </c>
      <c r="AD81" s="39"/>
      <c r="AE81" s="39">
        <f t="shared" si="44"/>
        <v>0</v>
      </c>
      <c r="AF81" s="39"/>
      <c r="AG81" s="36">
        <f>+'[4]CDIS Table-4'!U78</f>
        <v>0</v>
      </c>
      <c r="AH81" s="39">
        <f t="shared" si="37"/>
        <v>0</v>
      </c>
      <c r="AI81" s="39">
        <f t="shared" si="42"/>
        <v>0</v>
      </c>
      <c r="AJ81" s="39">
        <f t="shared" si="48"/>
        <v>0</v>
      </c>
      <c r="AK81" s="39"/>
      <c r="AM81" s="39"/>
      <c r="AN81" s="39">
        <f t="shared" si="45"/>
        <v>0</v>
      </c>
      <c r="AO81" s="39"/>
      <c r="AP81" s="39">
        <f t="shared" si="46"/>
        <v>0</v>
      </c>
      <c r="AQ81" s="39"/>
      <c r="AR81" s="39">
        <f t="shared" si="47"/>
        <v>0</v>
      </c>
      <c r="AS81" s="39"/>
      <c r="AT81" s="39">
        <f t="shared" si="41"/>
        <v>0</v>
      </c>
    </row>
    <row r="82" spans="3:46">
      <c r="C82" s="185" t="s">
        <v>22</v>
      </c>
      <c r="D82" s="182"/>
      <c r="E82" s="181"/>
      <c r="F82" s="180"/>
      <c r="G82" s="180"/>
      <c r="H82" s="180"/>
      <c r="I82" s="178"/>
      <c r="J82" s="178"/>
      <c r="K82" s="178"/>
      <c r="L82" s="184"/>
      <c r="M82" s="178"/>
      <c r="N82" s="183"/>
      <c r="O82" s="182"/>
      <c r="P82" s="181"/>
      <c r="Q82" s="180"/>
      <c r="R82" s="180"/>
      <c r="S82" s="180"/>
      <c r="T82" s="178"/>
      <c r="U82" s="178"/>
      <c r="V82" s="178"/>
      <c r="W82" s="184"/>
      <c r="X82" s="178">
        <f>IFERROR(IFERROR(VLOOKUP(C82,'[4]Swiss pivot'!$E$3:$H$54,4,0),VLOOKUP($C82,'[4]Breakdown non-EU havens'!$F$59:$H$86,3,0)/$E$106),AJ82*'[4]Non-EU tax havens'!$I$8)</f>
        <v>989.87535073695358</v>
      </c>
      <c r="Y82" s="177"/>
      <c r="Z82" s="159"/>
      <c r="AB82" s="39"/>
      <c r="AC82" s="39">
        <f t="shared" si="43"/>
        <v>0</v>
      </c>
      <c r="AD82" s="39"/>
      <c r="AE82" s="39">
        <f t="shared" si="44"/>
        <v>0</v>
      </c>
      <c r="AF82" s="39"/>
      <c r="AG82" s="36">
        <f>+'[4]CDIS Table-4'!U79</f>
        <v>0</v>
      </c>
      <c r="AH82" s="39">
        <f t="shared" si="37"/>
        <v>0</v>
      </c>
      <c r="AI82" s="39">
        <f t="shared" si="42"/>
        <v>0</v>
      </c>
      <c r="AJ82" s="39">
        <f t="shared" si="48"/>
        <v>0</v>
      </c>
      <c r="AK82" s="39"/>
      <c r="AM82" s="39"/>
      <c r="AN82" s="39">
        <f t="shared" si="45"/>
        <v>0</v>
      </c>
      <c r="AO82" s="39"/>
      <c r="AP82" s="39">
        <f t="shared" si="46"/>
        <v>0</v>
      </c>
      <c r="AQ82" s="39"/>
      <c r="AR82" s="39">
        <f t="shared" si="47"/>
        <v>0</v>
      </c>
      <c r="AS82" s="39"/>
      <c r="AT82" s="39">
        <f t="shared" si="41"/>
        <v>0</v>
      </c>
    </row>
    <row r="83" spans="3:46">
      <c r="C83" s="185" t="s">
        <v>524</v>
      </c>
      <c r="D83" s="182"/>
      <c r="E83" s="181"/>
      <c r="F83" s="180"/>
      <c r="G83" s="180"/>
      <c r="H83" s="180"/>
      <c r="I83" s="178"/>
      <c r="J83" s="178"/>
      <c r="K83" s="178"/>
      <c r="L83" s="184"/>
      <c r="M83" s="178"/>
      <c r="N83" s="183"/>
      <c r="O83" s="182"/>
      <c r="P83" s="181"/>
      <c r="Q83" s="180"/>
      <c r="R83" s="180"/>
      <c r="S83" s="180"/>
      <c r="T83" s="178"/>
      <c r="U83" s="178"/>
      <c r="V83" s="178"/>
      <c r="W83" s="184"/>
      <c r="X83" s="178">
        <f>IFERROR(IFERROR(VLOOKUP(C83,'[4]Swiss pivot'!$E$3:$H$54,4,0),VLOOKUP($C83,'[4]Breakdown non-EU havens'!$F$59:$H$86,3,0)/$E$106),AJ83*'[4]Non-EU tax havens'!$I$8)</f>
        <v>0</v>
      </c>
      <c r="Y83" s="177"/>
      <c r="Z83" s="159"/>
      <c r="AB83" s="39"/>
      <c r="AC83" s="39">
        <f t="shared" si="43"/>
        <v>0</v>
      </c>
      <c r="AD83" s="39"/>
      <c r="AE83" s="39">
        <f t="shared" si="44"/>
        <v>0</v>
      </c>
      <c r="AF83" s="39"/>
      <c r="AG83" s="36">
        <f>+'[4]CDIS Table-4'!U80</f>
        <v>0</v>
      </c>
      <c r="AH83" s="39">
        <f t="shared" si="37"/>
        <v>0</v>
      </c>
      <c r="AI83" s="39">
        <f t="shared" si="42"/>
        <v>0</v>
      </c>
      <c r="AJ83" s="39">
        <f t="shared" si="48"/>
        <v>0</v>
      </c>
      <c r="AK83" s="39"/>
      <c r="AM83" s="39"/>
      <c r="AN83" s="39">
        <f t="shared" si="45"/>
        <v>0</v>
      </c>
      <c r="AO83" s="39"/>
      <c r="AP83" s="39">
        <f t="shared" si="46"/>
        <v>0</v>
      </c>
      <c r="AQ83" s="39"/>
      <c r="AR83" s="39">
        <f t="shared" si="47"/>
        <v>0</v>
      </c>
      <c r="AS83" s="39"/>
      <c r="AT83" s="39">
        <f t="shared" si="41"/>
        <v>0</v>
      </c>
    </row>
    <row r="84" spans="3:46">
      <c r="C84" s="185" t="s">
        <v>523</v>
      </c>
      <c r="D84" s="182"/>
      <c r="E84" s="181"/>
      <c r="F84" s="180"/>
      <c r="G84" s="180"/>
      <c r="H84" s="180"/>
      <c r="I84" s="178"/>
      <c r="J84" s="178"/>
      <c r="K84" s="178"/>
      <c r="L84" s="184"/>
      <c r="M84" s="178"/>
      <c r="N84" s="183"/>
      <c r="O84" s="182"/>
      <c r="P84" s="181"/>
      <c r="Q84" s="180"/>
      <c r="R84" s="180"/>
      <c r="S84" s="180"/>
      <c r="T84" s="178"/>
      <c r="U84" s="178"/>
      <c r="V84" s="178"/>
      <c r="W84" s="184"/>
      <c r="X84" s="178">
        <f>IFERROR(IFERROR(VLOOKUP(C84,'[4]Swiss pivot'!$E$3:$H$54,4,0),VLOOKUP($C84,'[4]Breakdown non-EU havens'!$F$59:$H$86,3,0)/$E$106),AJ84*'[4]Non-EU tax havens'!$I$8)</f>
        <v>0</v>
      </c>
      <c r="Y84" s="177"/>
      <c r="Z84" s="159"/>
      <c r="AB84" s="39"/>
      <c r="AC84" s="39">
        <f t="shared" si="43"/>
        <v>0</v>
      </c>
      <c r="AD84" s="39"/>
      <c r="AE84" s="39">
        <f t="shared" si="44"/>
        <v>0</v>
      </c>
      <c r="AF84" s="39"/>
      <c r="AG84" s="36">
        <f>+'[4]CDIS Table-4'!U81</f>
        <v>0</v>
      </c>
      <c r="AH84" s="39">
        <f t="shared" si="37"/>
        <v>0</v>
      </c>
      <c r="AI84" s="39">
        <f t="shared" si="42"/>
        <v>0</v>
      </c>
      <c r="AJ84" s="39">
        <f t="shared" si="48"/>
        <v>0</v>
      </c>
      <c r="AK84" s="39"/>
      <c r="AM84" s="39"/>
      <c r="AN84" s="39">
        <f t="shared" si="45"/>
        <v>0</v>
      </c>
      <c r="AO84" s="39"/>
      <c r="AP84" s="39">
        <f t="shared" si="46"/>
        <v>0</v>
      </c>
      <c r="AQ84" s="39"/>
      <c r="AR84" s="39">
        <f t="shared" si="47"/>
        <v>0</v>
      </c>
      <c r="AS84" s="39"/>
      <c r="AT84" s="39">
        <f t="shared" si="41"/>
        <v>0</v>
      </c>
    </row>
    <row r="85" spans="3:46">
      <c r="C85" s="185" t="s">
        <v>522</v>
      </c>
      <c r="D85" s="182"/>
      <c r="E85" s="181"/>
      <c r="F85" s="180"/>
      <c r="G85" s="180"/>
      <c r="H85" s="180"/>
      <c r="I85" s="178"/>
      <c r="J85" s="178"/>
      <c r="K85" s="178"/>
      <c r="L85" s="184"/>
      <c r="M85" s="178"/>
      <c r="N85" s="183"/>
      <c r="O85" s="182"/>
      <c r="P85" s="181"/>
      <c r="Q85" s="180"/>
      <c r="R85" s="180"/>
      <c r="S85" s="180"/>
      <c r="T85" s="178"/>
      <c r="U85" s="178"/>
      <c r="V85" s="178"/>
      <c r="W85" s="184"/>
      <c r="X85" s="178">
        <f>IFERROR(IFERROR(VLOOKUP(C85,'[4]Swiss pivot'!$E$3:$H$54,4,0),VLOOKUP($C85,'[4]Breakdown non-EU havens'!$F$59:$H$86,3,0)/$E$106),AJ85*'[4]Non-EU tax havens'!$I$8)</f>
        <v>0</v>
      </c>
      <c r="Y85" s="177"/>
      <c r="Z85" s="159"/>
      <c r="AB85" s="39"/>
      <c r="AC85" s="39">
        <f t="shared" si="43"/>
        <v>0</v>
      </c>
      <c r="AD85" s="39"/>
      <c r="AE85" s="39">
        <f t="shared" si="44"/>
        <v>0</v>
      </c>
      <c r="AF85" s="39"/>
      <c r="AG85" s="36">
        <f>+'[4]CDIS Table-4'!U82</f>
        <v>0</v>
      </c>
      <c r="AH85" s="39">
        <f t="shared" si="37"/>
        <v>0</v>
      </c>
      <c r="AI85" s="39">
        <f t="shared" si="42"/>
        <v>0</v>
      </c>
      <c r="AJ85" s="39">
        <f t="shared" si="48"/>
        <v>0</v>
      </c>
      <c r="AK85" s="39"/>
      <c r="AM85" s="39"/>
      <c r="AN85" s="39">
        <f t="shared" si="45"/>
        <v>0</v>
      </c>
      <c r="AO85" s="39"/>
      <c r="AP85" s="39">
        <f t="shared" si="46"/>
        <v>0</v>
      </c>
      <c r="AQ85" s="39"/>
      <c r="AR85" s="39">
        <f t="shared" si="47"/>
        <v>0</v>
      </c>
      <c r="AS85" s="39"/>
      <c r="AT85" s="39">
        <f t="shared" si="41"/>
        <v>0</v>
      </c>
    </row>
    <row r="86" spans="3:46">
      <c r="C86" s="185" t="s">
        <v>206</v>
      </c>
      <c r="D86" s="182"/>
      <c r="E86" s="181"/>
      <c r="F86" s="180"/>
      <c r="G86" s="180"/>
      <c r="H86" s="180"/>
      <c r="I86" s="178"/>
      <c r="J86" s="178"/>
      <c r="K86" s="178"/>
      <c r="L86" s="184"/>
      <c r="M86" s="178"/>
      <c r="N86" s="183"/>
      <c r="O86" s="182"/>
      <c r="P86" s="181"/>
      <c r="Q86" s="180"/>
      <c r="R86" s="180"/>
      <c r="S86" s="180"/>
      <c r="T86" s="178"/>
      <c r="U86" s="178"/>
      <c r="V86" s="178"/>
      <c r="W86" s="184"/>
      <c r="X86" s="178">
        <f>IFERROR(IFERROR(VLOOKUP(C86,'[4]Swiss pivot'!$E$3:$H$54,4,0),VLOOKUP($C86,'[4]Breakdown non-EU havens'!$F$59:$H$86,3,0)/$E$106),AJ86*'[4]Non-EU tax havens'!$I$8)</f>
        <v>0</v>
      </c>
      <c r="Y86" s="177"/>
      <c r="Z86" s="159"/>
      <c r="AB86" s="39"/>
      <c r="AC86" s="39">
        <f t="shared" si="43"/>
        <v>0</v>
      </c>
      <c r="AD86" s="39"/>
      <c r="AE86" s="39">
        <f t="shared" si="44"/>
        <v>0</v>
      </c>
      <c r="AF86" s="39"/>
      <c r="AG86" s="36">
        <f>+'[4]CDIS Table-4'!U83</f>
        <v>0</v>
      </c>
      <c r="AH86" s="39">
        <f t="shared" si="37"/>
        <v>0</v>
      </c>
      <c r="AI86" s="39">
        <f t="shared" si="42"/>
        <v>0</v>
      </c>
      <c r="AJ86" s="39">
        <f t="shared" si="48"/>
        <v>0</v>
      </c>
      <c r="AK86" s="39"/>
      <c r="AM86" s="39"/>
      <c r="AN86" s="39">
        <f t="shared" si="45"/>
        <v>0</v>
      </c>
      <c r="AO86" s="39"/>
      <c r="AP86" s="39">
        <f t="shared" si="46"/>
        <v>0</v>
      </c>
      <c r="AQ86" s="39"/>
      <c r="AR86" s="39">
        <f t="shared" si="47"/>
        <v>0</v>
      </c>
      <c r="AS86" s="39"/>
      <c r="AT86" s="39">
        <f t="shared" si="41"/>
        <v>0</v>
      </c>
    </row>
    <row r="87" spans="3:46">
      <c r="C87" s="185" t="s">
        <v>207</v>
      </c>
      <c r="D87" s="182"/>
      <c r="E87" s="181"/>
      <c r="F87" s="180"/>
      <c r="G87" s="180"/>
      <c r="H87" s="180"/>
      <c r="I87" s="178"/>
      <c r="J87" s="178"/>
      <c r="K87" s="178"/>
      <c r="L87" s="184"/>
      <c r="M87" s="178"/>
      <c r="N87" s="183"/>
      <c r="O87" s="182"/>
      <c r="P87" s="181"/>
      <c r="Q87" s="180"/>
      <c r="R87" s="180"/>
      <c r="S87" s="180"/>
      <c r="T87" s="178"/>
      <c r="U87" s="178"/>
      <c r="V87" s="178"/>
      <c r="W87" s="184"/>
      <c r="X87" s="178">
        <f>IFERROR(IFERROR(VLOOKUP(C87,'[4]Swiss pivot'!$E$3:$H$54,4,0),VLOOKUP($C87,'[4]Breakdown non-EU havens'!$F$59:$H$86,3,0)/$E$106),AJ87*'[4]Non-EU tax havens'!$I$8)</f>
        <v>0</v>
      </c>
      <c r="Y87" s="177"/>
      <c r="Z87" s="159"/>
      <c r="AB87" s="39"/>
      <c r="AC87" s="39">
        <f t="shared" si="43"/>
        <v>0</v>
      </c>
      <c r="AD87" s="39"/>
      <c r="AE87" s="39">
        <f t="shared" si="44"/>
        <v>0</v>
      </c>
      <c r="AF87" s="39"/>
      <c r="AG87" s="36">
        <f>+'[4]CDIS Table-4'!U84</f>
        <v>0</v>
      </c>
      <c r="AH87" s="39">
        <f t="shared" si="37"/>
        <v>0</v>
      </c>
      <c r="AI87" s="39">
        <f t="shared" si="42"/>
        <v>0</v>
      </c>
      <c r="AJ87" s="39">
        <f t="shared" si="48"/>
        <v>0</v>
      </c>
      <c r="AK87" s="39"/>
      <c r="AM87" s="39"/>
      <c r="AN87" s="39">
        <f t="shared" si="45"/>
        <v>0</v>
      </c>
      <c r="AO87" s="39"/>
      <c r="AP87" s="39">
        <f t="shared" si="46"/>
        <v>0</v>
      </c>
      <c r="AQ87" s="39"/>
      <c r="AR87" s="39">
        <f t="shared" si="47"/>
        <v>0</v>
      </c>
      <c r="AS87" s="39"/>
      <c r="AT87" s="39">
        <f t="shared" si="41"/>
        <v>0</v>
      </c>
    </row>
    <row r="88" spans="3:46">
      <c r="C88" s="185" t="s">
        <v>18</v>
      </c>
      <c r="D88" s="182"/>
      <c r="E88" s="181"/>
      <c r="F88" s="180"/>
      <c r="G88" s="180"/>
      <c r="H88" s="180"/>
      <c r="I88" s="178"/>
      <c r="J88" s="178"/>
      <c r="K88" s="178"/>
      <c r="L88" s="184"/>
      <c r="M88" s="178"/>
      <c r="N88" s="183"/>
      <c r="O88" s="182"/>
      <c r="P88" s="181"/>
      <c r="Q88" s="180"/>
      <c r="R88" s="180"/>
      <c r="S88" s="180"/>
      <c r="T88" s="178"/>
      <c r="U88" s="178"/>
      <c r="V88" s="178"/>
      <c r="W88" s="184"/>
      <c r="X88" s="178">
        <f>IFERROR(IFERROR(VLOOKUP(C88,'[4]Swiss pivot'!$E$3:$H$54,4,0),VLOOKUP($C88,'[4]Breakdown non-EU havens'!$F$59:$H$86,3,0)/$E$106),AJ88*'[4]Non-EU tax havens'!$I$8)</f>
        <v>0</v>
      </c>
      <c r="Y88" s="177"/>
      <c r="Z88" s="159"/>
      <c r="AB88" s="39"/>
      <c r="AC88" s="39">
        <f t="shared" si="43"/>
        <v>0</v>
      </c>
      <c r="AD88" s="39"/>
      <c r="AE88" s="39">
        <f t="shared" si="44"/>
        <v>0</v>
      </c>
      <c r="AF88" s="39"/>
      <c r="AG88" s="36">
        <f>+'[4]CDIS Table-4'!U85</f>
        <v>0</v>
      </c>
      <c r="AH88" s="39">
        <f t="shared" si="37"/>
        <v>0</v>
      </c>
      <c r="AI88" s="39">
        <f t="shared" si="42"/>
        <v>0</v>
      </c>
      <c r="AJ88" s="39">
        <f t="shared" si="48"/>
        <v>0</v>
      </c>
      <c r="AK88" s="39"/>
      <c r="AM88" s="39"/>
      <c r="AN88" s="39">
        <f t="shared" si="45"/>
        <v>0</v>
      </c>
      <c r="AO88" s="39"/>
      <c r="AP88" s="39">
        <f t="shared" si="46"/>
        <v>0</v>
      </c>
      <c r="AQ88" s="39"/>
      <c r="AR88" s="39">
        <f t="shared" si="47"/>
        <v>0</v>
      </c>
      <c r="AS88" s="39"/>
      <c r="AT88" s="39">
        <f t="shared" si="41"/>
        <v>0</v>
      </c>
    </row>
    <row r="89" spans="3:46" ht="46.5">
      <c r="C89" s="195" t="s">
        <v>366</v>
      </c>
      <c r="D89" s="192">
        <f>+E89+L89</f>
        <v>3179.2180538768762</v>
      </c>
      <c r="E89" s="192">
        <f>+SUM(E90:E97)</f>
        <v>1137.2641509433961</v>
      </c>
      <c r="F89" s="161">
        <f t="shared" ref="F89:Y89" si="49">+SUM(F90:F97)</f>
        <v>89.504716981132091</v>
      </c>
      <c r="G89" s="161">
        <f t="shared" si="49"/>
        <v>0</v>
      </c>
      <c r="H89" s="161">
        <f t="shared" si="49"/>
        <v>0</v>
      </c>
      <c r="I89" s="161">
        <f t="shared" si="49"/>
        <v>61.320754716981128</v>
      </c>
      <c r="J89" s="161">
        <f t="shared" si="49"/>
        <v>20.636792452830189</v>
      </c>
      <c r="K89" s="161">
        <f t="shared" si="49"/>
        <v>965.80188679245282</v>
      </c>
      <c r="L89" s="192">
        <f t="shared" si="49"/>
        <v>2041.9539029334799</v>
      </c>
      <c r="M89" s="161">
        <f t="shared" si="49"/>
        <v>290.90190501650147</v>
      </c>
      <c r="N89" s="164">
        <f t="shared" si="49"/>
        <v>1751.0519979169781</v>
      </c>
      <c r="O89" s="192">
        <f t="shared" si="49"/>
        <v>36752.338298595721</v>
      </c>
      <c r="P89" s="192">
        <f t="shared" si="49"/>
        <v>6148.7028301886803</v>
      </c>
      <c r="Q89" s="171">
        <f t="shared" si="49"/>
        <v>838.79716981132083</v>
      </c>
      <c r="R89" s="171">
        <f t="shared" si="49"/>
        <v>9.316037735849056</v>
      </c>
      <c r="S89" s="171">
        <f t="shared" si="49"/>
        <v>1824.4103773584907</v>
      </c>
      <c r="T89" s="171">
        <f t="shared" si="49"/>
        <v>621.4622641509435</v>
      </c>
      <c r="U89" s="171">
        <f t="shared" si="49"/>
        <v>7.665094339622641</v>
      </c>
      <c r="V89" s="171">
        <f t="shared" si="49"/>
        <v>2847.0518867924529</v>
      </c>
      <c r="W89" s="192">
        <f t="shared" si="49"/>
        <v>30603.635468407039</v>
      </c>
      <c r="X89" s="161">
        <f t="shared" si="49"/>
        <v>4438.9923449725793</v>
      </c>
      <c r="Y89" s="160">
        <f t="shared" si="49"/>
        <v>26164.643123434456</v>
      </c>
      <c r="Z89" s="159"/>
      <c r="AA89" s="36"/>
      <c r="AB89" s="39"/>
      <c r="AC89" s="39"/>
      <c r="AD89" s="39"/>
      <c r="AE89" s="39"/>
      <c r="AF89" s="39"/>
      <c r="AG89" s="36"/>
      <c r="AH89" s="39"/>
      <c r="AI89" s="39"/>
      <c r="AJ89" s="39"/>
      <c r="AK89" s="39"/>
      <c r="AL89" s="36"/>
      <c r="AM89" s="39"/>
      <c r="AN89" s="39"/>
      <c r="AO89" s="39"/>
      <c r="AP89" s="39"/>
      <c r="AQ89" s="39"/>
      <c r="AR89" s="39"/>
      <c r="AS89" s="39"/>
      <c r="AT89" s="39"/>
    </row>
    <row r="90" spans="3:46">
      <c r="C90" s="197" t="s">
        <v>78</v>
      </c>
      <c r="D90" s="196">
        <f t="shared" ref="D90:D97" si="50">+E90+L90</f>
        <v>402.36671284957288</v>
      </c>
      <c r="E90" s="196">
        <f t="shared" ref="E90:E97" si="51">SUM(F90:K90)</f>
        <v>224.8820754716981</v>
      </c>
      <c r="F90" s="171">
        <f>HLOOKUP($C90,'[4]Interest shifted to EU'!$L$2:$AT$8,F$2,0)/E$106</f>
        <v>5.8962264150943398</v>
      </c>
      <c r="G90" s="171">
        <f>HLOOKUP($C90,'[4]Interest shifted to EU'!$L$2:$AT$8,G$2,0)/E$106</f>
        <v>0</v>
      </c>
      <c r="H90" s="171">
        <f>HLOOKUP($C90,'[4]Interest shifted to EU'!$L$2:$AT$8,H$2,0)/E$106</f>
        <v>0</v>
      </c>
      <c r="I90" s="171">
        <f>HLOOKUP($C90,'[4]Interest shifted to EU'!$L$2:$AT$8,I$2,0)/E$106</f>
        <v>0</v>
      </c>
      <c r="J90" s="171">
        <f>HLOOKUP($C90,'[4]Interest shifted to EU'!$L$2:$AT$8,J$2,0)/E$106</f>
        <v>0.82547169811320753</v>
      </c>
      <c r="K90" s="171">
        <f>HLOOKUP($C90,'[4]Interest shifted to EU'!$L$2:$AT$8,K$2,0)/E$106</f>
        <v>218.16037735849056</v>
      </c>
      <c r="L90" s="196">
        <f t="shared" ref="L90:L97" si="52">SUM(M90:N90)</f>
        <v>177.4846373778748</v>
      </c>
      <c r="M90" s="178">
        <f>AC90*'[4]Non-EU tax havens'!$K$8</f>
        <v>25.284909248055978</v>
      </c>
      <c r="N90" s="183">
        <f>AC90*'[4]Non-EU tax havens'!$K$13</f>
        <v>152.19972812981882</v>
      </c>
      <c r="O90" s="196">
        <f t="shared" ref="O90:O97" si="53">+P90+W90</f>
        <v>3732.4956580788707</v>
      </c>
      <c r="P90" s="196">
        <f t="shared" ref="P90:P97" si="54">SUM(Q90:V90)</f>
        <v>964.03301886792451</v>
      </c>
      <c r="Q90" s="171">
        <f>HLOOKUP($C90,'[4]Non EU income shifted to EU'!$B$2:$AI$9,Q$2+1,0)/E$106</f>
        <v>87.028301886792448</v>
      </c>
      <c r="R90" s="171">
        <f>HLOOKUP($C90,'[4]Non EU income shifted to EU'!$B$2:$AI$9,R$2+1,0)/E$106</f>
        <v>0</v>
      </c>
      <c r="S90" s="171">
        <f>HLOOKUP($C90,'[4]Non EU income shifted to EU'!$B$2:$AI$9,S$2+1,0)/E$106</f>
        <v>179.48113207547169</v>
      </c>
      <c r="T90" s="171">
        <f>HLOOKUP($C90,'[4]Non EU income shifted to EU'!$B$2:$AI$9,T$2+1,0)/E$106</f>
        <v>100.23584905660378</v>
      </c>
      <c r="U90" s="171">
        <f>HLOOKUP($C90,'[4]Non EU income shifted to EU'!$B$2:$AI$9,U$2+1,0)/E$106</f>
        <v>0.23584905660377362</v>
      </c>
      <c r="V90" s="171">
        <f>HLOOKUP($C90,'[4]Non EU income shifted to EU'!$B$2:$AI$9,V$2+1,0)/E$106</f>
        <v>597.05188679245282</v>
      </c>
      <c r="W90" s="196">
        <f t="shared" ref="W90:W97" si="55">SUM(X90:Y90)</f>
        <v>2768.4626392109462</v>
      </c>
      <c r="X90" s="178">
        <f>IFERROR(IFERROR(VLOOKUP(C90,'[4]Swiss pivot'!$E$3:$H$54,4,0),VLOOKUP($C90,'[4]Breakdown non-EU havens'!$F$59:$H$86,3,0)/$E$106),AJ90*'[4]Non-EU tax havens'!$I$8)</f>
        <v>494.25743300480423</v>
      </c>
      <c r="Y90" s="177">
        <f>AE90*'[4]Non-EU tax havens'!$I$13</f>
        <v>2274.2052062061421</v>
      </c>
      <c r="AA90" s="36">
        <f>+'[4]CDIS Table-4'!O88</f>
        <v>2.2661938775837801E-3</v>
      </c>
      <c r="AB90" s="39">
        <f t="shared" ref="AB90:AB97" si="56">+AA90</f>
        <v>2.2661938775837801E-3</v>
      </c>
      <c r="AC90" s="39">
        <f t="shared" ref="AC90:AC98" si="57">+AB90/$AB$104</f>
        <v>5.1515645752120897E-3</v>
      </c>
      <c r="AD90" s="39">
        <f t="shared" ref="AD90:AD97" si="58">+AB90</f>
        <v>2.2661938775837801E-3</v>
      </c>
      <c r="AE90" s="39">
        <f t="shared" ref="AE90:AE98" si="59">+AD90/$AD$104</f>
        <v>6.8027167407655039E-3</v>
      </c>
      <c r="AF90" s="39"/>
      <c r="AG90" s="36">
        <f t="shared" ref="AG90:AG98" si="60">+AA90</f>
        <v>2.2661938775837801E-3</v>
      </c>
      <c r="AH90" s="39">
        <f t="shared" ref="AH90:AH97" si="61">+AG90</f>
        <v>2.2661938775837801E-3</v>
      </c>
      <c r="AI90" s="39">
        <f>+AH90</f>
        <v>2.2661938775837801E-3</v>
      </c>
      <c r="AJ90" s="39">
        <f t="shared" ref="AJ90:AJ98" si="62">+AI90/$AI$104</f>
        <v>1.7007356450526128E-2</v>
      </c>
      <c r="AK90" s="39"/>
      <c r="AL90" s="36">
        <f>+'[4]CDIS Table-4'!U88</f>
        <v>0</v>
      </c>
      <c r="AM90" s="39">
        <f t="shared" ref="AM90:AM97" si="63">+AL90</f>
        <v>0</v>
      </c>
      <c r="AN90" s="39">
        <f t="shared" ref="AN90:AN98" si="64">+AM90/$AB$104</f>
        <v>0</v>
      </c>
      <c r="AO90" s="39">
        <f t="shared" ref="AO90:AO97" si="65">+AM90</f>
        <v>0</v>
      </c>
      <c r="AP90" s="39">
        <f t="shared" ref="AP90:AP98" si="66">+AO90/$AD$104</f>
        <v>0</v>
      </c>
      <c r="AQ90" s="39">
        <f t="shared" ref="AQ90:AQ97" si="67">+AF90</f>
        <v>0</v>
      </c>
      <c r="AR90" s="39">
        <f>+AQ90/$AQ$99</f>
        <v>0</v>
      </c>
      <c r="AS90" s="39">
        <f t="shared" ref="AS90:AS97" si="68">+AR90</f>
        <v>0</v>
      </c>
      <c r="AT90" s="39">
        <f>+AS90/$AS$99</f>
        <v>0</v>
      </c>
    </row>
    <row r="91" spans="3:46" s="150" customFormat="1">
      <c r="C91" s="197" t="s">
        <v>79</v>
      </c>
      <c r="D91" s="196">
        <f t="shared" si="50"/>
        <v>261.3344448025706</v>
      </c>
      <c r="E91" s="196">
        <f t="shared" si="51"/>
        <v>35.377358490566039</v>
      </c>
      <c r="F91" s="171">
        <f>HLOOKUP($C91,'[4]Interest shifted to EU'!$L$2:$AT$8,F$2,0)/E$106</f>
        <v>24.764150943396228</v>
      </c>
      <c r="G91" s="171">
        <f>HLOOKUP($C91,'[4]Interest shifted to EU'!$L$2:$AT$8,G$2,0)/E$106</f>
        <v>0</v>
      </c>
      <c r="H91" s="171">
        <f>HLOOKUP($C91,'[4]Interest shifted to EU'!$L$2:$AT$8,H$2,0)/E$106</f>
        <v>0</v>
      </c>
      <c r="I91" s="171">
        <f>HLOOKUP($C91,'[4]Interest shifted to EU'!$L$2:$AT$8,I$2,0)/E$106</f>
        <v>0</v>
      </c>
      <c r="J91" s="171">
        <f>HLOOKUP($C91,'[4]Interest shifted to EU'!$L$2:$AT$8,J$2,0)/E$106</f>
        <v>0</v>
      </c>
      <c r="K91" s="171">
        <f>HLOOKUP($C91,'[4]Interest shifted to EU'!$L$2:$AT$8,K$2,0)/E$106</f>
        <v>10.613207547169811</v>
      </c>
      <c r="L91" s="196">
        <f t="shared" si="52"/>
        <v>225.95708631200455</v>
      </c>
      <c r="M91" s="178">
        <f>AC91*'[4]Non-EU tax havens'!$K$8</f>
        <v>32.190416622877841</v>
      </c>
      <c r="N91" s="183">
        <f>AC91*'[4]Non-EU tax havens'!$K$13</f>
        <v>193.7666696891267</v>
      </c>
      <c r="O91" s="196">
        <f t="shared" si="53"/>
        <v>4362.6411599551784</v>
      </c>
      <c r="P91" s="196">
        <f t="shared" si="54"/>
        <v>838.08962264150944</v>
      </c>
      <c r="Q91" s="171">
        <f>HLOOKUP($C91,'[4]Non EU income shifted to EU'!$B$2:$AI$9,Q$2+1,0)/E$106</f>
        <v>287.97169811320754</v>
      </c>
      <c r="R91" s="171">
        <f>HLOOKUP($C91,'[4]Non EU income shifted to EU'!$B$2:$AI$9,R$2+1,0)/E$106</f>
        <v>5.4245283018867925</v>
      </c>
      <c r="S91" s="171">
        <f>HLOOKUP($C91,'[4]Non EU income shifted to EU'!$B$2:$AI$9,S$2+1,0)/E$106</f>
        <v>247.52358490566039</v>
      </c>
      <c r="T91" s="171">
        <f>HLOOKUP($C91,'[4]Non EU income shifted to EU'!$B$2:$AI$9,T$2+1,0)/E$106</f>
        <v>79.009433962264154</v>
      </c>
      <c r="U91" s="171">
        <f>HLOOKUP($C91,'[4]Non EU income shifted to EU'!$B$2:$AI$9,U$2+1,0)/E$106</f>
        <v>4.4811320754716979</v>
      </c>
      <c r="V91" s="171">
        <f>HLOOKUP($C91,'[4]Non EU income shifted to EU'!$B$2:$AI$9,V$2+1,0)/E$106</f>
        <v>213.67924528301887</v>
      </c>
      <c r="W91" s="196">
        <f t="shared" si="55"/>
        <v>3524.5515373136691</v>
      </c>
      <c r="X91" s="178">
        <f>IFERROR(IFERROR(VLOOKUP(C91,'[4]Swiss pivot'!$E$3:$H$54,4,0),VLOOKUP($C91,'[4]Breakdown non-EU havens'!$F$59:$H$86,3,0)/$E$106),AJ91*'[4]Non-EU tax havens'!$I$8)</f>
        <v>629.24302125395377</v>
      </c>
      <c r="Y91" s="177">
        <f>AE91*'[4]Non-EU tax havens'!$I$13</f>
        <v>2895.3085160597152</v>
      </c>
      <c r="AA91" s="36">
        <f>+'[4]CDIS Table-4'!O89</f>
        <v>2.8851092306469567E-3</v>
      </c>
      <c r="AB91" s="39">
        <f t="shared" si="56"/>
        <v>2.8851092306469567E-3</v>
      </c>
      <c r="AC91" s="39">
        <f t="shared" si="57"/>
        <v>6.5584973356582537E-3</v>
      </c>
      <c r="AD91" s="39">
        <f t="shared" si="58"/>
        <v>2.8851092306469567E-3</v>
      </c>
      <c r="AE91" s="39">
        <f t="shared" si="59"/>
        <v>8.6605921304425335E-3</v>
      </c>
      <c r="AF91" s="39"/>
      <c r="AG91" s="36">
        <f t="shared" si="60"/>
        <v>2.8851092306469567E-3</v>
      </c>
      <c r="AH91" s="39">
        <f t="shared" si="61"/>
        <v>2.8851092306469567E-3</v>
      </c>
      <c r="AI91" s="39">
        <f>+AH91</f>
        <v>2.8851092306469567E-3</v>
      </c>
      <c r="AJ91" s="39">
        <f t="shared" si="62"/>
        <v>2.1652199121035692E-2</v>
      </c>
      <c r="AK91" s="39"/>
      <c r="AL91" s="36">
        <f>+'[4]CDIS Table-4'!U89</f>
        <v>0</v>
      </c>
      <c r="AM91" s="39">
        <f t="shared" si="63"/>
        <v>0</v>
      </c>
      <c r="AN91" s="39">
        <f t="shared" si="64"/>
        <v>0</v>
      </c>
      <c r="AO91" s="39">
        <f t="shared" si="65"/>
        <v>0</v>
      </c>
      <c r="AP91" s="39">
        <f t="shared" si="66"/>
        <v>0</v>
      </c>
      <c r="AQ91" s="39">
        <f t="shared" si="67"/>
        <v>0</v>
      </c>
      <c r="AR91" s="39">
        <f t="shared" ref="AR91:AR97" si="69">+AQ91/$AQ$99</f>
        <v>0</v>
      </c>
      <c r="AS91" s="39">
        <f t="shared" si="68"/>
        <v>0</v>
      </c>
      <c r="AT91" s="39">
        <f t="shared" ref="AT91:AT97" si="70">+AS91/$AS$99</f>
        <v>0</v>
      </c>
    </row>
    <row r="92" spans="3:46" s="150" customFormat="1">
      <c r="C92" s="197" t="s">
        <v>80</v>
      </c>
      <c r="D92" s="196">
        <f t="shared" si="50"/>
        <v>750.93332897111065</v>
      </c>
      <c r="E92" s="196">
        <f t="shared" si="51"/>
        <v>239.74056603773587</v>
      </c>
      <c r="F92" s="171">
        <f>HLOOKUP($C92,'[4]Interest shifted to EU'!$L$2:$AT$8,F$2,0)/E$106</f>
        <v>3.1839622641509435</v>
      </c>
      <c r="G92" s="171">
        <f>HLOOKUP($C92,'[4]Interest shifted to EU'!$L$2:$AT$8,G$2,0)/E$106</f>
        <v>0</v>
      </c>
      <c r="H92" s="171">
        <f>HLOOKUP($C92,'[4]Interest shifted to EU'!$L$2:$AT$8,H$2,0)/E$106</f>
        <v>0</v>
      </c>
      <c r="I92" s="171">
        <f>HLOOKUP($C92,'[4]Interest shifted to EU'!$L$2:$AT$8,I$2,0)/E$106</f>
        <v>0</v>
      </c>
      <c r="J92" s="171">
        <f>HLOOKUP($C92,'[4]Interest shifted to EU'!$L$2:$AT$8,J$2,0)/E$106</f>
        <v>6.6037735849056602</v>
      </c>
      <c r="K92" s="171">
        <f>HLOOKUP($C92,'[4]Interest shifted to EU'!$L$2:$AT$8,K$2,0)/E$106</f>
        <v>229.95283018867926</v>
      </c>
      <c r="L92" s="196">
        <f t="shared" si="52"/>
        <v>511.19276293337475</v>
      </c>
      <c r="M92" s="178">
        <f>AC92*'[4]Non-EU tax havens'!$K$8</f>
        <v>72.825810785608084</v>
      </c>
      <c r="N92" s="183">
        <f>AC92*'[4]Non-EU tax havens'!$K$13</f>
        <v>438.36695214776665</v>
      </c>
      <c r="O92" s="196">
        <f t="shared" si="53"/>
        <v>9300.2826713687609</v>
      </c>
      <c r="P92" s="196">
        <f t="shared" si="54"/>
        <v>1326.5330188679245</v>
      </c>
      <c r="Q92" s="171">
        <f>HLOOKUP($C92,'[4]Non EU income shifted to EU'!$B$2:$AI$9,Q$2+1,0)/E$106</f>
        <v>50.70754716981132</v>
      </c>
      <c r="R92" s="171">
        <f>HLOOKUP($C92,'[4]Non EU income shifted to EU'!$B$2:$AI$9,R$2+1,0)/E$106</f>
        <v>1.2971698113207548</v>
      </c>
      <c r="S92" s="171">
        <f>HLOOKUP($C92,'[4]Non EU income shifted to EU'!$B$2:$AI$9,S$2+1,0)/E$106</f>
        <v>531.83962264150944</v>
      </c>
      <c r="T92" s="171">
        <f>HLOOKUP($C92,'[4]Non EU income shifted to EU'!$B$2:$AI$9,T$2+1,0)/E$106</f>
        <v>69.575471698113205</v>
      </c>
      <c r="U92" s="171">
        <f>HLOOKUP($C92,'[4]Non EU income shifted to EU'!$B$2:$AI$9,U$2+1,0)/E$106</f>
        <v>1.0613207547169812</v>
      </c>
      <c r="V92" s="171">
        <f>HLOOKUP($C92,'[4]Non EU income shifted to EU'!$B$2:$AI$9,V$2+1,0)/E$106</f>
        <v>672.05188679245282</v>
      </c>
      <c r="W92" s="196">
        <f t="shared" si="55"/>
        <v>7973.7496525008373</v>
      </c>
      <c r="X92" s="178">
        <f>IFERROR(IFERROR(VLOOKUP(C92,'[4]Swiss pivot'!$E$3:$H$54,4,0),VLOOKUP($C92,'[4]Breakdown non-EU havens'!$F$59:$H$86,3,0)/$E$106),AJ92*'[4]Non-EU tax havens'!$I$8)</f>
        <v>1423.5644645691455</v>
      </c>
      <c r="Y92" s="177">
        <f>AE92*'[4]Non-EU tax havens'!$I$13</f>
        <v>6550.1851879316919</v>
      </c>
      <c r="AA92" s="36">
        <f>+'[4]CDIS Table-4'!O90</f>
        <v>6.5271108910588127E-3</v>
      </c>
      <c r="AB92" s="39">
        <f t="shared" si="56"/>
        <v>6.5271108910588127E-3</v>
      </c>
      <c r="AC92" s="39">
        <f t="shared" si="57"/>
        <v>1.4837580128276779E-2</v>
      </c>
      <c r="AD92" s="39">
        <f t="shared" si="58"/>
        <v>6.5271108910588127E-3</v>
      </c>
      <c r="AE92" s="39">
        <f t="shared" si="59"/>
        <v>1.9593242646467748E-2</v>
      </c>
      <c r="AF92" s="39"/>
      <c r="AG92" s="36">
        <f t="shared" si="60"/>
        <v>6.5271108910588127E-3</v>
      </c>
      <c r="AH92" s="39">
        <f t="shared" si="61"/>
        <v>6.5271108910588127E-3</v>
      </c>
      <c r="AI92" s="39">
        <f>+AH92</f>
        <v>6.5271108910588127E-3</v>
      </c>
      <c r="AJ92" s="39">
        <f t="shared" si="62"/>
        <v>4.8984732777897333E-2</v>
      </c>
      <c r="AK92" s="39"/>
      <c r="AL92" s="36">
        <f>+'[4]CDIS Table-4'!U90</f>
        <v>0</v>
      </c>
      <c r="AM92" s="39">
        <f t="shared" si="63"/>
        <v>0</v>
      </c>
      <c r="AN92" s="39">
        <f t="shared" si="64"/>
        <v>0</v>
      </c>
      <c r="AO92" s="39">
        <f t="shared" si="65"/>
        <v>0</v>
      </c>
      <c r="AP92" s="39">
        <f t="shared" si="66"/>
        <v>0</v>
      </c>
      <c r="AQ92" s="39">
        <f t="shared" si="67"/>
        <v>0</v>
      </c>
      <c r="AR92" s="39">
        <f t="shared" si="69"/>
        <v>0</v>
      </c>
      <c r="AS92" s="39">
        <f t="shared" si="68"/>
        <v>0</v>
      </c>
      <c r="AT92" s="39">
        <f t="shared" si="70"/>
        <v>0</v>
      </c>
    </row>
    <row r="93" spans="3:46" s="150" customFormat="1">
      <c r="C93" s="197" t="s">
        <v>81</v>
      </c>
      <c r="D93" s="196">
        <f t="shared" si="50"/>
        <v>446.61136009609896</v>
      </c>
      <c r="E93" s="196">
        <f t="shared" si="51"/>
        <v>122.87735849056604</v>
      </c>
      <c r="F93" s="171">
        <f>HLOOKUP($C93,'[4]Interest shifted to EU'!$L$2:$AT$8,F$2,0)/E$106</f>
        <v>10.849056603773585</v>
      </c>
      <c r="G93" s="171">
        <f>HLOOKUP($C93,'[4]Interest shifted to EU'!$L$2:$AT$8,G$2,0)/E$106</f>
        <v>0</v>
      </c>
      <c r="H93" s="171">
        <f>HLOOKUP($C93,'[4]Interest shifted to EU'!$L$2:$AT$8,H$2,0)/E$106</f>
        <v>0</v>
      </c>
      <c r="I93" s="171">
        <f>HLOOKUP($C93,'[4]Interest shifted to EU'!$L$2:$AT$8,I$2,0)/E$106</f>
        <v>41.037735849056602</v>
      </c>
      <c r="J93" s="171">
        <f>HLOOKUP($C93,'[4]Interest shifted to EU'!$L$2:$AT$8,J$2,0)/E$106</f>
        <v>2.5943396226415096</v>
      </c>
      <c r="K93" s="171">
        <f>HLOOKUP($C93,'[4]Interest shifted to EU'!$L$2:$AT$8,K$2,0)/E$106</f>
        <v>68.396226415094347</v>
      </c>
      <c r="L93" s="196">
        <f t="shared" si="52"/>
        <v>323.73400160553291</v>
      </c>
      <c r="M93" s="178">
        <f>AC93*'[4]Non-EU tax havens'!$K$8</f>
        <v>46.119962674168448</v>
      </c>
      <c r="N93" s="183">
        <f>AC93*'[4]Non-EU tax havens'!$K$13</f>
        <v>277.61403893136446</v>
      </c>
      <c r="O93" s="196">
        <f t="shared" si="53"/>
        <v>5464.5663803871194</v>
      </c>
      <c r="P93" s="196">
        <f t="shared" si="54"/>
        <v>1115.4481132075471</v>
      </c>
      <c r="Q93" s="171">
        <f>HLOOKUP($C93,'[4]Non EU income shifted to EU'!$B$2:$AI$9,Q$2+1,0)/E$106</f>
        <v>275.94339622641508</v>
      </c>
      <c r="R93" s="171">
        <f>HLOOKUP($C93,'[4]Non EU income shifted to EU'!$B$2:$AI$9,R$2+1,0)/E$106</f>
        <v>0</v>
      </c>
      <c r="S93" s="171">
        <f>HLOOKUP($C93,'[4]Non EU income shifted to EU'!$B$2:$AI$9,S$2+1,0)/E$106</f>
        <v>346.22641509433964</v>
      </c>
      <c r="T93" s="171">
        <f>HLOOKUP($C93,'[4]Non EU income shifted to EU'!$B$2:$AI$9,T$2+1,0)/E$106</f>
        <v>102.59433962264151</v>
      </c>
      <c r="U93" s="171">
        <f>HLOOKUP($C93,'[4]Non EU income shifted to EU'!$B$2:$AI$9,U$2+1,0)/E$106</f>
        <v>1.5330188679245285</v>
      </c>
      <c r="V93" s="171">
        <f>HLOOKUP($C93,'[4]Non EU income shifted to EU'!$B$2:$AI$9,V$2+1,0)/E$106</f>
        <v>389.15094339622641</v>
      </c>
      <c r="W93" s="196">
        <f t="shared" si="55"/>
        <v>4349.1182671795723</v>
      </c>
      <c r="X93" s="178">
        <f>IFERROR(IFERROR(VLOOKUP(C93,'[4]Swiss pivot'!$E$3:$H$54,4,0),VLOOKUP($C93,'[4]Breakdown non-EU havens'!$F$59:$H$86,3,0)/$E$106),AJ93*'[4]Non-EU tax havens'!$I$8)</f>
        <v>200.94204892041597</v>
      </c>
      <c r="Y93" s="177">
        <f>AE93*'[4]Non-EU tax havens'!$I$13</f>
        <v>4148.1762182591565</v>
      </c>
      <c r="AA93" s="36">
        <f>+'[4]CDIS Table-4'!O91</f>
        <v>4.1335634635362092E-3</v>
      </c>
      <c r="AB93" s="39">
        <f t="shared" si="56"/>
        <v>4.1335634635362092E-3</v>
      </c>
      <c r="AC93" s="39">
        <f t="shared" si="57"/>
        <v>9.3965125044147453E-3</v>
      </c>
      <c r="AD93" s="39">
        <f t="shared" si="58"/>
        <v>4.1335634635362092E-3</v>
      </c>
      <c r="AE93" s="39">
        <f t="shared" si="59"/>
        <v>1.2408232874759784E-2</v>
      </c>
      <c r="AF93" s="39"/>
      <c r="AG93" s="36">
        <f t="shared" si="60"/>
        <v>4.1335634635362092E-3</v>
      </c>
      <c r="AH93" s="39">
        <f t="shared" si="61"/>
        <v>4.1335634635362092E-3</v>
      </c>
      <c r="AI93" s="39">
        <f>+AH93</f>
        <v>4.1335634635362092E-3</v>
      </c>
      <c r="AJ93" s="39">
        <f t="shared" si="62"/>
        <v>3.10216120212039E-2</v>
      </c>
      <c r="AK93" s="39"/>
      <c r="AL93" s="36">
        <f>+'[4]CDIS Table-4'!U91</f>
        <v>0</v>
      </c>
      <c r="AM93" s="39">
        <f t="shared" si="63"/>
        <v>0</v>
      </c>
      <c r="AN93" s="39">
        <f t="shared" si="64"/>
        <v>0</v>
      </c>
      <c r="AO93" s="39">
        <f t="shared" si="65"/>
        <v>0</v>
      </c>
      <c r="AP93" s="39">
        <f t="shared" si="66"/>
        <v>0</v>
      </c>
      <c r="AQ93" s="39">
        <f t="shared" si="67"/>
        <v>0</v>
      </c>
      <c r="AR93" s="39">
        <f t="shared" si="69"/>
        <v>0</v>
      </c>
      <c r="AS93" s="39">
        <f t="shared" si="68"/>
        <v>0</v>
      </c>
      <c r="AT93" s="39">
        <f t="shared" si="70"/>
        <v>0</v>
      </c>
    </row>
    <row r="94" spans="3:46" s="150" customFormat="1">
      <c r="C94" s="197" t="s">
        <v>82</v>
      </c>
      <c r="D94" s="196">
        <f t="shared" si="50"/>
        <v>416.88240502719157</v>
      </c>
      <c r="E94" s="196">
        <f t="shared" si="51"/>
        <v>220.51886792452831</v>
      </c>
      <c r="F94" s="171">
        <f>HLOOKUP($C94,'[4]Interest shifted to EU'!$L$2:$AT$8,F$2,0)/E$106</f>
        <v>31.839622641509436</v>
      </c>
      <c r="G94" s="171">
        <f>HLOOKUP($C94,'[4]Interest shifted to EU'!$L$2:$AT$8,G$2,0)/E$106</f>
        <v>0</v>
      </c>
      <c r="H94" s="171">
        <f>HLOOKUP($C94,'[4]Interest shifted to EU'!$L$2:$AT$8,H$2,0)/E$106</f>
        <v>0</v>
      </c>
      <c r="I94" s="171">
        <f>HLOOKUP($C94,'[4]Interest shifted to EU'!$L$2:$AT$8,I$2,0)/E$106</f>
        <v>0</v>
      </c>
      <c r="J94" s="171">
        <f>HLOOKUP($C94,'[4]Interest shifted to EU'!$L$2:$AT$8,J$2,0)/E$106</f>
        <v>0</v>
      </c>
      <c r="K94" s="171">
        <f>HLOOKUP($C94,'[4]Interest shifted to EU'!$L$2:$AT$8,K$2,0)/E$106</f>
        <v>188.67924528301887</v>
      </c>
      <c r="L94" s="196">
        <f t="shared" si="52"/>
        <v>196.36353710266323</v>
      </c>
      <c r="M94" s="178">
        <f>AC94*'[4]Non-EU tax havens'!$K$8</f>
        <v>27.974444935745485</v>
      </c>
      <c r="N94" s="183">
        <f>AC94*'[4]Non-EU tax havens'!$K$13</f>
        <v>168.38909216691775</v>
      </c>
      <c r="O94" s="196">
        <f t="shared" si="53"/>
        <v>3192.7615487167022</v>
      </c>
      <c r="P94" s="196">
        <f t="shared" si="54"/>
        <v>676.65094339622647</v>
      </c>
      <c r="Q94" s="171">
        <f>HLOOKUP($C94,'[4]Non EU income shifted to EU'!$B$2:$AI$9,Q$2+1,0)/E$106</f>
        <v>61.79245283018868</v>
      </c>
      <c r="R94" s="171">
        <f>HLOOKUP($C94,'[4]Non EU income shifted to EU'!$B$2:$AI$9,R$2+1,0)/E$106</f>
        <v>1.179245283018868</v>
      </c>
      <c r="S94" s="171">
        <f>HLOOKUP($C94,'[4]Non EU income shifted to EU'!$B$2:$AI$9,S$2+1,0)/E$106</f>
        <v>142.68867924528303</v>
      </c>
      <c r="T94" s="171">
        <f>HLOOKUP($C94,'[4]Non EU income shifted to EU'!$B$2:$AI$9,T$2+1,0)/E$106</f>
        <v>81.367924528301884</v>
      </c>
      <c r="U94" s="171">
        <f>HLOOKUP($C94,'[4]Non EU income shifted to EU'!$B$2:$AI$9,U$2+1,0)/E$106</f>
        <v>0.35377358490566035</v>
      </c>
      <c r="V94" s="171">
        <f>HLOOKUP($C94,'[4]Non EU income shifted to EU'!$B$2:$AI$9,V$2+1,0)/E$106</f>
        <v>389.26886792452837</v>
      </c>
      <c r="W94" s="196">
        <f t="shared" si="55"/>
        <v>2516.1106053204758</v>
      </c>
      <c r="X94" s="178">
        <f>IFERROR(IFERROR(VLOOKUP(C94,'[4]Swiss pivot'!$E$3:$H$54,4,0),VLOOKUP($C94,'[4]Breakdown non-EU havens'!$F$59:$H$86,3,0)/$E$106),AJ94*'[4]Non-EU tax havens'!$I$8)</f>
        <v>0</v>
      </c>
      <c r="Y94" s="177">
        <f>AE94*'[4]Non-EU tax havens'!$I$13</f>
        <v>2516.1106053204758</v>
      </c>
      <c r="AA94" s="36">
        <f>+'[4]CDIS Table-4'!O93</f>
        <v>2.5072471180439433E-3</v>
      </c>
      <c r="AB94" s="39">
        <f t="shared" si="56"/>
        <v>2.5072471180439433E-3</v>
      </c>
      <c r="AC94" s="39">
        <f t="shared" si="57"/>
        <v>5.6995324020507488E-3</v>
      </c>
      <c r="AD94" s="39">
        <f t="shared" si="58"/>
        <v>2.5072471180439433E-3</v>
      </c>
      <c r="AE94" s="39">
        <f t="shared" si="59"/>
        <v>7.5263163102968185E-3</v>
      </c>
      <c r="AF94" s="39"/>
      <c r="AG94" s="36">
        <f t="shared" si="60"/>
        <v>2.5072471180439433E-3</v>
      </c>
      <c r="AH94" s="39">
        <f t="shared" si="61"/>
        <v>2.5072471180439433E-3</v>
      </c>
      <c r="AI94" s="39"/>
      <c r="AJ94" s="39">
        <f t="shared" si="62"/>
        <v>0</v>
      </c>
      <c r="AK94" s="39"/>
      <c r="AL94" s="36">
        <f>+'[4]CDIS Table-4'!U93</f>
        <v>0</v>
      </c>
      <c r="AM94" s="39">
        <f t="shared" si="63"/>
        <v>0</v>
      </c>
      <c r="AN94" s="39">
        <f t="shared" si="64"/>
        <v>0</v>
      </c>
      <c r="AO94" s="39">
        <f t="shared" si="65"/>
        <v>0</v>
      </c>
      <c r="AP94" s="39">
        <f t="shared" si="66"/>
        <v>0</v>
      </c>
      <c r="AQ94" s="39">
        <f t="shared" si="67"/>
        <v>0</v>
      </c>
      <c r="AR94" s="39">
        <f t="shared" si="69"/>
        <v>0</v>
      </c>
      <c r="AS94" s="39">
        <f t="shared" si="68"/>
        <v>0</v>
      </c>
      <c r="AT94" s="39">
        <f t="shared" si="70"/>
        <v>0</v>
      </c>
    </row>
    <row r="95" spans="3:46" s="150" customFormat="1">
      <c r="C95" s="197" t="s">
        <v>83</v>
      </c>
      <c r="D95" s="196">
        <f t="shared" si="50"/>
        <v>566.2762885420517</v>
      </c>
      <c r="E95" s="196">
        <f t="shared" si="51"/>
        <v>73.584905660377359</v>
      </c>
      <c r="F95" s="171">
        <f>HLOOKUP($C95,'[4]Interest shifted to EU'!$L$2:$AT$8,F$2,0)/E$106</f>
        <v>10.377358490566039</v>
      </c>
      <c r="G95" s="171">
        <f>HLOOKUP($C95,'[4]Interest shifted to EU'!$L$2:$AT$8,G$2,0)/E$106</f>
        <v>0</v>
      </c>
      <c r="H95" s="171">
        <f>HLOOKUP($C95,'[4]Interest shifted to EU'!$L$2:$AT$8,H$2,0)/E$106</f>
        <v>0</v>
      </c>
      <c r="I95" s="171">
        <f>HLOOKUP($C95,'[4]Interest shifted to EU'!$L$2:$AT$8,I$2,0)/E$106</f>
        <v>9.1981132075471699</v>
      </c>
      <c r="J95" s="171">
        <f>HLOOKUP($C95,'[4]Interest shifted to EU'!$L$2:$AT$8,J$2,0)/E$106</f>
        <v>8.0188679245283012</v>
      </c>
      <c r="K95" s="171">
        <f>HLOOKUP($C95,'[4]Interest shifted to EU'!$L$2:$AT$8,K$2,0)/E$106</f>
        <v>45.990566037735853</v>
      </c>
      <c r="L95" s="196">
        <f t="shared" si="52"/>
        <v>492.69138288167431</v>
      </c>
      <c r="M95" s="178">
        <f>AC95*'[4]Non-EU tax havens'!$K$8</f>
        <v>70.190057503057474</v>
      </c>
      <c r="N95" s="183">
        <f>AC95*'[4]Non-EU tax havens'!$K$13</f>
        <v>422.50132537861685</v>
      </c>
      <c r="O95" s="196">
        <f t="shared" si="53"/>
        <v>8652.9657607605805</v>
      </c>
      <c r="P95" s="196">
        <f t="shared" si="54"/>
        <v>967.80660377358492</v>
      </c>
      <c r="Q95" s="171">
        <f>HLOOKUP($C95,'[4]Non EU income shifted to EU'!$B$2:$AI$9,Q$2+1,0)/E$106</f>
        <v>57.783018867924532</v>
      </c>
      <c r="R95" s="171">
        <f>HLOOKUP($C95,'[4]Non EU income shifted to EU'!$B$2:$AI$9,R$2+1,0)/E$106</f>
        <v>1.4150943396226414</v>
      </c>
      <c r="S95" s="171">
        <f>HLOOKUP($C95,'[4]Non EU income shifted to EU'!$B$2:$AI$9,S$2+1,0)/E$106</f>
        <v>354.95283018867923</v>
      </c>
      <c r="T95" s="171">
        <f>HLOOKUP($C95,'[4]Non EU income shifted to EU'!$B$2:$AI$9,T$2+1,0)/E$106</f>
        <v>110.84905660377359</v>
      </c>
      <c r="U95" s="171">
        <f>HLOOKUP($C95,'[4]Non EU income shifted to EU'!$B$2:$AI$9,U$2+1,0)/E$106</f>
        <v>0</v>
      </c>
      <c r="V95" s="171">
        <f>HLOOKUP($C95,'[4]Non EU income shifted to EU'!$B$2:$AI$9,V$2+1,0)/E$106</f>
        <v>442.80660377358492</v>
      </c>
      <c r="W95" s="196">
        <f t="shared" si="55"/>
        <v>7685.1591569869952</v>
      </c>
      <c r="X95" s="178">
        <f>IFERROR(IFERROR(VLOOKUP(C95,'[4]Swiss pivot'!$E$3:$H$54,4,0),VLOOKUP($C95,'[4]Breakdown non-EU havens'!$F$59:$H$86,3,0)/$E$106),AJ95*'[4]Non-EU tax havens'!$I$8)</f>
        <v>1372.0420074906169</v>
      </c>
      <c r="Y95" s="177">
        <f>AE95*'[4]Non-EU tax havens'!$I$13</f>
        <v>6313.1171494963783</v>
      </c>
      <c r="AA95" s="36">
        <f>+'[4]CDIS Table-4'!O94</f>
        <v>6.2908779707371073E-3</v>
      </c>
      <c r="AB95" s="39">
        <f t="shared" si="56"/>
        <v>6.2908779707371073E-3</v>
      </c>
      <c r="AC95" s="39">
        <f t="shared" si="57"/>
        <v>1.4300569965172054E-2</v>
      </c>
      <c r="AD95" s="39">
        <f t="shared" si="58"/>
        <v>6.2908779707371073E-3</v>
      </c>
      <c r="AE95" s="39">
        <f t="shared" si="59"/>
        <v>1.8884112832956025E-2</v>
      </c>
      <c r="AF95" s="39"/>
      <c r="AG95" s="36">
        <f t="shared" si="60"/>
        <v>6.2908779707371073E-3</v>
      </c>
      <c r="AH95" s="39">
        <f t="shared" si="61"/>
        <v>6.2908779707371073E-3</v>
      </c>
      <c r="AI95" s="39">
        <f>+AH95</f>
        <v>6.2908779707371073E-3</v>
      </c>
      <c r="AJ95" s="39">
        <f t="shared" si="62"/>
        <v>4.7211849389145237E-2</v>
      </c>
      <c r="AK95" s="39"/>
      <c r="AL95" s="36">
        <f>+'[4]CDIS Table-4'!U94</f>
        <v>0</v>
      </c>
      <c r="AM95" s="39">
        <f t="shared" si="63"/>
        <v>0</v>
      </c>
      <c r="AN95" s="39">
        <f t="shared" si="64"/>
        <v>0</v>
      </c>
      <c r="AO95" s="39">
        <f t="shared" si="65"/>
        <v>0</v>
      </c>
      <c r="AP95" s="39">
        <f t="shared" si="66"/>
        <v>0</v>
      </c>
      <c r="AQ95" s="39">
        <f t="shared" si="67"/>
        <v>0</v>
      </c>
      <c r="AR95" s="39">
        <f t="shared" si="69"/>
        <v>0</v>
      </c>
      <c r="AS95" s="39">
        <f t="shared" si="68"/>
        <v>0</v>
      </c>
      <c r="AT95" s="39">
        <f t="shared" si="70"/>
        <v>0</v>
      </c>
    </row>
    <row r="96" spans="3:46" s="150" customFormat="1">
      <c r="C96" s="197" t="s">
        <v>84</v>
      </c>
      <c r="D96" s="196">
        <f t="shared" si="50"/>
        <v>227.41852592700846</v>
      </c>
      <c r="E96" s="196">
        <f t="shared" si="51"/>
        <v>160.25943396226415</v>
      </c>
      <c r="F96" s="171">
        <f>HLOOKUP($C96,'[4]Interest shifted to EU'!$L$2:$AT$8,F$2,0)/E$106</f>
        <v>1.0613207547169812</v>
      </c>
      <c r="G96" s="171">
        <f>HLOOKUP($C96,'[4]Interest shifted to EU'!$L$2:$AT$8,G$2,0)/E$106</f>
        <v>0</v>
      </c>
      <c r="H96" s="171">
        <f>HLOOKUP($C96,'[4]Interest shifted to EU'!$L$2:$AT$8,H$2,0)/E$106</f>
        <v>0</v>
      </c>
      <c r="I96" s="171">
        <f>HLOOKUP($C96,'[4]Interest shifted to EU'!$L$2:$AT$8,I$2,0)/E$106</f>
        <v>4.4811320754716979</v>
      </c>
      <c r="J96" s="171">
        <f>HLOOKUP($C96,'[4]Interest shifted to EU'!$L$2:$AT$8,J$2,0)/E$106</f>
        <v>2.5943396226415096</v>
      </c>
      <c r="K96" s="171">
        <f>HLOOKUP($C96,'[4]Interest shifted to EU'!$L$2:$AT$8,K$2,0)/E$106</f>
        <v>152.12264150943398</v>
      </c>
      <c r="L96" s="196">
        <f t="shared" si="52"/>
        <v>67.159091964744306</v>
      </c>
      <c r="M96" s="178">
        <f>AC96*'[4]Non-EU tax havens'!$K$8</f>
        <v>9.5676536887811316</v>
      </c>
      <c r="N96" s="183">
        <f>AC96*'[4]Non-EU tax havens'!$K$13</f>
        <v>57.591438275963171</v>
      </c>
      <c r="O96" s="196">
        <f t="shared" si="53"/>
        <v>1216.7908834499456</v>
      </c>
      <c r="P96" s="196">
        <f t="shared" si="54"/>
        <v>169.22169811320754</v>
      </c>
      <c r="Q96" s="171">
        <f>HLOOKUP($C96,'[4]Non EU income shifted to EU'!$B$2:$AI$9,Q$2+1,0)/E$106</f>
        <v>11.79245283018868</v>
      </c>
      <c r="R96" s="171">
        <f>HLOOKUP($C96,'[4]Non EU income shifted to EU'!$B$2:$AI$9,R$2+1,0)/E$106</f>
        <v>0</v>
      </c>
      <c r="S96" s="171">
        <f>HLOOKUP($C96,'[4]Non EU income shifted to EU'!$B$2:$AI$9,S$2+1,0)/E$106</f>
        <v>0.11792452830188681</v>
      </c>
      <c r="T96" s="171">
        <f>HLOOKUP($C96,'[4]Non EU income shifted to EU'!$B$2:$AI$9,T$2+1,0)/E$106</f>
        <v>63.679245283018872</v>
      </c>
      <c r="U96" s="171">
        <f>HLOOKUP($C96,'[4]Non EU income shifted to EU'!$B$2:$AI$9,U$2+1,0)/E$106</f>
        <v>0</v>
      </c>
      <c r="V96" s="171">
        <f>HLOOKUP($C96,'[4]Non EU income shifted to EU'!$B$2:$AI$9,V$2+1,0)/E$106</f>
        <v>93.632075471698116</v>
      </c>
      <c r="W96" s="196">
        <f t="shared" si="55"/>
        <v>1047.569185336738</v>
      </c>
      <c r="X96" s="178">
        <f>IFERROR(IFERROR(VLOOKUP(C96,'[4]Swiss pivot'!$E$3:$H$54,4,0),VLOOKUP($C96,'[4]Breakdown non-EU havens'!$F$59:$H$86,3,0)/$E$106),AJ96*'[4]Non-EU tax havens'!$I$8)</f>
        <v>187.02396380795739</v>
      </c>
      <c r="Y96" s="177">
        <f>AE96*'[4]Non-EU tax havens'!$I$13</f>
        <v>860.54522152878064</v>
      </c>
      <c r="AA96" s="36">
        <f>+'[4]CDIS Table-4'!O96</f>
        <v>8.5751378419618787E-4</v>
      </c>
      <c r="AB96" s="39">
        <f t="shared" si="56"/>
        <v>8.5751378419618787E-4</v>
      </c>
      <c r="AC96" s="39">
        <f t="shared" si="57"/>
        <v>1.9493202576873663E-3</v>
      </c>
      <c r="AD96" s="39">
        <f t="shared" si="58"/>
        <v>8.5751378419618787E-4</v>
      </c>
      <c r="AE96" s="39">
        <f t="shared" si="59"/>
        <v>2.5741060519535912E-3</v>
      </c>
      <c r="AF96" s="39"/>
      <c r="AG96" s="36">
        <f t="shared" si="60"/>
        <v>8.5751378419618787E-4</v>
      </c>
      <c r="AH96" s="39">
        <f t="shared" si="61"/>
        <v>8.5751378419618787E-4</v>
      </c>
      <c r="AI96" s="39">
        <f>+AH96</f>
        <v>8.5751378419618787E-4</v>
      </c>
      <c r="AJ96" s="39">
        <f t="shared" si="62"/>
        <v>6.4354787705161566E-3</v>
      </c>
      <c r="AK96" s="39"/>
      <c r="AL96" s="36">
        <f>+'[4]CDIS Table-4'!U96</f>
        <v>0</v>
      </c>
      <c r="AM96" s="39">
        <f t="shared" si="63"/>
        <v>0</v>
      </c>
      <c r="AN96" s="39">
        <f t="shared" si="64"/>
        <v>0</v>
      </c>
      <c r="AO96" s="39">
        <f t="shared" si="65"/>
        <v>0</v>
      </c>
      <c r="AP96" s="39">
        <f t="shared" si="66"/>
        <v>0</v>
      </c>
      <c r="AQ96" s="39">
        <f t="shared" si="67"/>
        <v>0</v>
      </c>
      <c r="AR96" s="39">
        <f t="shared" si="69"/>
        <v>0</v>
      </c>
      <c r="AS96" s="39">
        <f t="shared" si="68"/>
        <v>0</v>
      </c>
      <c r="AT96" s="39">
        <f t="shared" si="70"/>
        <v>0</v>
      </c>
    </row>
    <row r="97" spans="3:46" s="150" customFormat="1">
      <c r="C97" s="197" t="s">
        <v>85</v>
      </c>
      <c r="D97" s="196">
        <f t="shared" si="50"/>
        <v>107.39498766127119</v>
      </c>
      <c r="E97" s="196">
        <f t="shared" si="51"/>
        <v>60.023584905660385</v>
      </c>
      <c r="F97" s="171">
        <f>HLOOKUP($C97,'[4]Interest shifted to EU'!$L$2:$AT$8,F$2,0)/E$106</f>
        <v>1.5330188679245285</v>
      </c>
      <c r="G97" s="171">
        <f>HLOOKUP($C97,'[4]Interest shifted to EU'!$L$2:$AT$8,G$2,0)/E$106</f>
        <v>0</v>
      </c>
      <c r="H97" s="171">
        <f>HLOOKUP($C97,'[4]Interest shifted to EU'!$L$2:$AT$8,H$2,0)/E$106</f>
        <v>0</v>
      </c>
      <c r="I97" s="171">
        <f>HLOOKUP($C97,'[4]Interest shifted to EU'!$L$2:$AT$8,I$2,0)/E$106</f>
        <v>6.6037735849056602</v>
      </c>
      <c r="J97" s="171">
        <f>HLOOKUP($C97,'[4]Interest shifted to EU'!$L$2:$AT$8,J$2,0)/E$106</f>
        <v>0</v>
      </c>
      <c r="K97" s="171">
        <f>HLOOKUP($C97,'[4]Interest shifted to EU'!$L$2:$AT$8,K$2,0)/E$106</f>
        <v>51.886792452830193</v>
      </c>
      <c r="L97" s="196">
        <f t="shared" si="52"/>
        <v>47.371402755610809</v>
      </c>
      <c r="M97" s="178">
        <f>AC97*'[4]Non-EU tax havens'!$K$8</f>
        <v>6.7486495582070223</v>
      </c>
      <c r="N97" s="183">
        <f>AC97*'[4]Non-EU tax havens'!$K$13</f>
        <v>40.622753197403789</v>
      </c>
      <c r="O97" s="196">
        <f t="shared" si="53"/>
        <v>829.83423587855941</v>
      </c>
      <c r="P97" s="196">
        <f t="shared" si="54"/>
        <v>90.919811320754718</v>
      </c>
      <c r="Q97" s="171">
        <f>HLOOKUP($C97,'[4]Non EU income shifted to EU'!$B$2:$AI$9,Q$2+1,0)/E$106</f>
        <v>5.7783018867924536</v>
      </c>
      <c r="R97" s="171">
        <f>HLOOKUP($C97,'[4]Non EU income shifted to EU'!$B$2:$AI$9,R$2+1,0)/E$106</f>
        <v>0</v>
      </c>
      <c r="S97" s="171">
        <f>HLOOKUP($C97,'[4]Non EU income shifted to EU'!$B$2:$AI$9,S$2+1,0)/E$106</f>
        <v>21.580188679245285</v>
      </c>
      <c r="T97" s="171">
        <f>HLOOKUP($C97,'[4]Non EU income shifted to EU'!$B$2:$AI$9,T$2+1,0)/E$106</f>
        <v>14.150943396226415</v>
      </c>
      <c r="U97" s="171">
        <f>HLOOKUP($C97,'[4]Non EU income shifted to EU'!$B$2:$AI$9,U$2+1,0)/E$106</f>
        <v>0</v>
      </c>
      <c r="V97" s="171">
        <f>HLOOKUP($C97,'[4]Non EU income shifted to EU'!$B$2:$AI$9,V$2+1,0)/E$106</f>
        <v>49.410377358490564</v>
      </c>
      <c r="W97" s="196">
        <f t="shared" si="55"/>
        <v>738.91442455780475</v>
      </c>
      <c r="X97" s="178">
        <f>IFERROR(IFERROR(VLOOKUP(C97,'[4]Swiss pivot'!$E$3:$H$54,4,0),VLOOKUP($C97,'[4]Breakdown non-EU havens'!$F$59:$H$86,3,0)/$E$106),AJ97*'[4]Non-EU tax havens'!$I$8)</f>
        <v>131.91940592568523</v>
      </c>
      <c r="Y97" s="177">
        <f>AE97*'[4]Non-EU tax havens'!$I$13</f>
        <v>606.99501863211958</v>
      </c>
      <c r="AA97" s="36">
        <f>+'[4]CDIS Table-4'!O97</f>
        <v>6.0485676103200138E-4</v>
      </c>
      <c r="AB97" s="39">
        <f t="shared" si="56"/>
        <v>6.0485676103200138E-4</v>
      </c>
      <c r="AC97" s="39">
        <f t="shared" si="57"/>
        <v>1.3749744424039409E-3</v>
      </c>
      <c r="AD97" s="39">
        <f t="shared" si="58"/>
        <v>6.0485676103200138E-4</v>
      </c>
      <c r="AE97" s="39">
        <f t="shared" si="59"/>
        <v>1.8156739609695987E-3</v>
      </c>
      <c r="AF97" s="39"/>
      <c r="AG97" s="36">
        <f t="shared" si="60"/>
        <v>6.0485676103200138E-4</v>
      </c>
      <c r="AH97" s="39">
        <f t="shared" si="61"/>
        <v>6.0485676103200138E-4</v>
      </c>
      <c r="AI97" s="39">
        <f>+AH97</f>
        <v>6.0485676103200138E-4</v>
      </c>
      <c r="AJ97" s="39">
        <f t="shared" si="62"/>
        <v>4.5393355961891408E-3</v>
      </c>
      <c r="AK97" s="39"/>
      <c r="AL97" s="36">
        <f>+'[4]CDIS Table-4'!U97</f>
        <v>0</v>
      </c>
      <c r="AM97" s="39">
        <f t="shared" si="63"/>
        <v>0</v>
      </c>
      <c r="AN97" s="39">
        <f t="shared" si="64"/>
        <v>0</v>
      </c>
      <c r="AO97" s="39">
        <f t="shared" si="65"/>
        <v>0</v>
      </c>
      <c r="AP97" s="39">
        <f t="shared" si="66"/>
        <v>0</v>
      </c>
      <c r="AQ97" s="39">
        <f t="shared" si="67"/>
        <v>0</v>
      </c>
      <c r="AR97" s="39">
        <f t="shared" si="69"/>
        <v>0</v>
      </c>
      <c r="AS97" s="39">
        <f t="shared" si="68"/>
        <v>0</v>
      </c>
      <c r="AT97" s="39">
        <f t="shared" si="70"/>
        <v>0</v>
      </c>
    </row>
    <row r="98" spans="3:46" ht="40" customHeight="1">
      <c r="C98" s="217" t="s">
        <v>367</v>
      </c>
      <c r="D98" s="175">
        <f>+E98+L98</f>
        <v>13696.68090222586</v>
      </c>
      <c r="E98" s="172">
        <f>SUM(F98:K98)</f>
        <v>6500.668617063242</v>
      </c>
      <c r="F98" s="488">
        <f>AR98*'[4]Interest shifted to EU'!$AU$13</f>
        <v>964.46685475514994</v>
      </c>
      <c r="G98" s="488">
        <f>AR98*'[4]Interest shifted to EU'!$AU$14</f>
        <v>772.06132675405217</v>
      </c>
      <c r="H98" s="488">
        <f>AR98*'[4]Interest shifted to EU'!$AU$15</f>
        <v>-1845.2927468305666</v>
      </c>
      <c r="I98" s="489">
        <f>AR98*'[4]Interest shifted to EU'!$AU$16</f>
        <v>1555.5109679332566</v>
      </c>
      <c r="J98" s="489">
        <f>AR98*'[4]Interest shifted to EU'!$AU$17</f>
        <v>4287.0751303194411</v>
      </c>
      <c r="K98" s="489">
        <f>AR98*'[4]Interest shifted to EU'!$AU$18</f>
        <v>766.84708413190856</v>
      </c>
      <c r="L98" s="170">
        <f>SUM(M98:N98)</f>
        <v>7196.0122851626184</v>
      </c>
      <c r="M98" s="169">
        <f>AC98*'[4]Non-EU tax havens'!$M$8</f>
        <v>913.26820012234043</v>
      </c>
      <c r="N98" s="174">
        <f>AC98*'[4]Non-EU tax havens'!$M$13</f>
        <v>6282.7440850402782</v>
      </c>
      <c r="O98" s="173">
        <f>+P98+W98</f>
        <v>129124.61477445156</v>
      </c>
      <c r="P98" s="172">
        <f>SUM(Q98:V98)</f>
        <v>35420.827091275911</v>
      </c>
      <c r="Q98" s="488">
        <f>AR98*'[4]Non EU income shifted to EU'!$AJ$13</f>
        <v>997.5882905307426</v>
      </c>
      <c r="R98" s="488">
        <f>AR98*'[4]Non EU income shifted to EU'!$AJ$14</f>
        <v>995.5782590586972</v>
      </c>
      <c r="S98" s="488">
        <f>AR98*'[4]Non EU income shifted to EU'!$AJ$15</f>
        <v>26578.412936729535</v>
      </c>
      <c r="T98" s="489">
        <f>AR98*'[4]Non EU income shifted to EU'!$AJ$16</f>
        <v>1690.5577092858205</v>
      </c>
      <c r="U98" s="489">
        <f>AR98*'[4]Non EU income shifted to EU'!$AJ$17</f>
        <v>-138.80997657838248</v>
      </c>
      <c r="V98" s="489">
        <f>AR98*'[4]Non EU income shifted to EU'!$AJ$18</f>
        <v>5297.4998722494938</v>
      </c>
      <c r="W98" s="170">
        <f>SUM(X98:Z98)</f>
        <v>93703.787683175644</v>
      </c>
      <c r="X98" s="169">
        <f>AJ98*'[4]Non-EU tax havens'!$O$8</f>
        <v>11479.528361509078</v>
      </c>
      <c r="Y98" s="168">
        <f>AE98*'[4]Non-EU tax havens'!$O$13</f>
        <v>82224.25932166657</v>
      </c>
      <c r="Z98" s="159"/>
      <c r="AA98" s="167">
        <f>+'[4]CDIS Table-4'!O110</f>
        <v>9.6767440901410859E-2</v>
      </c>
      <c r="AB98" s="39">
        <f>+AA98</f>
        <v>9.6767440901410859E-2</v>
      </c>
      <c r="AC98" s="39">
        <f t="shared" si="57"/>
        <v>0.21997399494925085</v>
      </c>
      <c r="AD98" s="39">
        <f>+AB98</f>
        <v>9.6767440901410859E-2</v>
      </c>
      <c r="AE98" s="39">
        <f t="shared" si="59"/>
        <v>0.29047889357239154</v>
      </c>
      <c r="AG98" s="167">
        <f t="shared" si="60"/>
        <v>9.6767440901410859E-2</v>
      </c>
      <c r="AH98" s="39">
        <f>+AG98</f>
        <v>9.6767440901410859E-2</v>
      </c>
      <c r="AI98" s="39">
        <f>+AH98</f>
        <v>9.6767440901410859E-2</v>
      </c>
      <c r="AJ98" s="39">
        <f t="shared" si="62"/>
        <v>0.72622134253148118</v>
      </c>
      <c r="AK98" s="150"/>
      <c r="AL98" s="167">
        <f>+'[4]CDIS Table-4'!U88</f>
        <v>0</v>
      </c>
      <c r="AM98" s="39">
        <f>+AL98</f>
        <v>0</v>
      </c>
      <c r="AN98" s="39">
        <f t="shared" si="64"/>
        <v>0</v>
      </c>
      <c r="AO98" s="39">
        <f>+AM98</f>
        <v>0</v>
      </c>
      <c r="AP98" s="39">
        <f t="shared" si="66"/>
        <v>0</v>
      </c>
      <c r="AQ98" s="39">
        <f>+AB98</f>
        <v>9.6767440901410859E-2</v>
      </c>
      <c r="AR98" s="39">
        <f>+AQ98/$AQ$99</f>
        <v>0.94327807209518211</v>
      </c>
      <c r="AS98" s="39">
        <f>+AD98</f>
        <v>9.6767440901410859E-2</v>
      </c>
      <c r="AT98" s="39">
        <f>+AS98/$AS$99</f>
        <v>0.94327807209518211</v>
      </c>
    </row>
    <row r="99" spans="3:46" ht="40" customHeight="1">
      <c r="C99" s="216" t="s">
        <v>8</v>
      </c>
      <c r="D99" s="163">
        <f t="shared" ref="D99:Y99" si="71">SUMIF(D9:D98,"&gt;-999999")-D44</f>
        <v>137908.43051424163</v>
      </c>
      <c r="E99" s="162">
        <f t="shared" si="71"/>
        <v>80042.641371887381</v>
      </c>
      <c r="F99" s="165">
        <f t="shared" si="71"/>
        <v>7989.89631517624</v>
      </c>
      <c r="G99" s="161">
        <f t="shared" si="71"/>
        <v>986.67447064275689</v>
      </c>
      <c r="H99" s="161">
        <f t="shared" si="71"/>
        <v>7307.9746212943837</v>
      </c>
      <c r="I99" s="161">
        <f t="shared" si="71"/>
        <v>14638.082465558144</v>
      </c>
      <c r="J99" s="161">
        <f t="shared" si="71"/>
        <v>7820.4564007446515</v>
      </c>
      <c r="K99" s="161">
        <f t="shared" si="71"/>
        <v>41299.557098471159</v>
      </c>
      <c r="L99" s="162">
        <f t="shared" si="71"/>
        <v>61866.912675596366</v>
      </c>
      <c r="M99" s="165">
        <f t="shared" si="71"/>
        <v>11076.396336091981</v>
      </c>
      <c r="N99" s="164">
        <f t="shared" si="71"/>
        <v>50790.516339504378</v>
      </c>
      <c r="O99" s="163">
        <f t="shared" si="71"/>
        <v>936032.10190262261</v>
      </c>
      <c r="P99" s="162">
        <f t="shared" si="71"/>
        <v>384478.81099417974</v>
      </c>
      <c r="Q99" s="490">
        <f t="shared" si="71"/>
        <v>40048.491354856305</v>
      </c>
      <c r="R99" s="161">
        <f t="shared" si="71"/>
        <v>2538.7529923459215</v>
      </c>
      <c r="S99" s="161">
        <f t="shared" si="71"/>
        <v>141020.2200385356</v>
      </c>
      <c r="T99" s="161">
        <f t="shared" si="71"/>
        <v>90343.360700117701</v>
      </c>
      <c r="U99" s="161">
        <f t="shared" si="71"/>
        <v>4702.8119364819677</v>
      </c>
      <c r="V99" s="164">
        <f t="shared" si="71"/>
        <v>105825.17397184209</v>
      </c>
      <c r="W99" s="161">
        <f t="shared" si="71"/>
        <v>565393.97953201365</v>
      </c>
      <c r="X99" s="490">
        <f t="shared" si="71"/>
        <v>64193.813340093162</v>
      </c>
      <c r="Y99" s="160">
        <f t="shared" si="71"/>
        <v>502385.43416428764</v>
      </c>
      <c r="Z99" s="159"/>
      <c r="AF99" s="39"/>
      <c r="AG99" s="36"/>
      <c r="AH99" s="39"/>
      <c r="AI99" s="39"/>
      <c r="AJ99" s="39"/>
      <c r="AK99" s="39"/>
      <c r="AQ99" s="39">
        <f>+SUM(AQ9:AQ98)</f>
        <v>0.10258633563533795</v>
      </c>
      <c r="AR99" s="39">
        <f>+AQ99/$AB$104</f>
        <v>0.23320164165446033</v>
      </c>
      <c r="AS99" s="39">
        <f>+SUM(AS9:AS98)</f>
        <v>0.10258633563533795</v>
      </c>
      <c r="AT99" s="39">
        <f>+SUM(AT9:AT98)</f>
        <v>1</v>
      </c>
    </row>
    <row r="100" spans="3:46" ht="41" customHeight="1" thickBot="1">
      <c r="C100" s="215" t="s">
        <v>368</v>
      </c>
      <c r="D100" s="156">
        <f>+E100+L100</f>
        <v>91640.515974124326</v>
      </c>
      <c r="E100" s="155">
        <f t="shared" ref="E100:N100" si="72">+E98+E44+E8</f>
        <v>56928.558085257697</v>
      </c>
      <c r="F100" s="152">
        <f t="shared" si="72"/>
        <v>6781.0391758136593</v>
      </c>
      <c r="G100" s="153">
        <f t="shared" si="72"/>
        <v>978.81194095678632</v>
      </c>
      <c r="H100" s="153">
        <f t="shared" si="72"/>
        <v>721.58727165257869</v>
      </c>
      <c r="I100" s="153">
        <f t="shared" si="72"/>
        <v>11075.956387315233</v>
      </c>
      <c r="J100" s="153">
        <f t="shared" si="72"/>
        <v>6844.6811590604038</v>
      </c>
      <c r="K100" s="153">
        <f t="shared" si="72"/>
        <v>30526.482150459029</v>
      </c>
      <c r="L100" s="155">
        <f t="shared" si="72"/>
        <v>34711.957888866629</v>
      </c>
      <c r="M100" s="152">
        <f t="shared" si="72"/>
        <v>6299.1181205998391</v>
      </c>
      <c r="N100" s="154">
        <f t="shared" si="72"/>
        <v>28412.839768266789</v>
      </c>
      <c r="O100" s="156">
        <f>+P100+W100</f>
        <v>721455.56473236717</v>
      </c>
      <c r="P100" s="155">
        <f t="shared" ref="P100:Y100" si="73">+P98+P44+P8</f>
        <v>301195.83730067249</v>
      </c>
      <c r="Q100" s="152">
        <f t="shared" si="73"/>
        <v>25006.861409730467</v>
      </c>
      <c r="R100" s="153">
        <f t="shared" si="73"/>
        <v>2383.7854774081202</v>
      </c>
      <c r="S100" s="153">
        <f t="shared" si="73"/>
        <v>127510.3915649758</v>
      </c>
      <c r="T100" s="153">
        <f t="shared" si="73"/>
        <v>74318.206059627671</v>
      </c>
      <c r="U100" s="153">
        <f t="shared" si="73"/>
        <v>3688.4311448923249</v>
      </c>
      <c r="V100" s="154">
        <f t="shared" si="73"/>
        <v>68288.161644038089</v>
      </c>
      <c r="W100" s="153">
        <f t="shared" si="73"/>
        <v>420259.72743169474</v>
      </c>
      <c r="X100" s="152">
        <f t="shared" si="73"/>
        <v>47062.932038619678</v>
      </c>
      <c r="Y100" s="151">
        <f t="shared" si="73"/>
        <v>373196.7953930751</v>
      </c>
      <c r="AG100" s="36"/>
      <c r="AH100" s="39"/>
      <c r="AI100" s="39"/>
      <c r="AJ100" s="39"/>
      <c r="AK100" s="39"/>
    </row>
    <row r="101" spans="3:46" s="150" customFormat="1" ht="16" thickTop="1">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AG101" s="36">
        <f>+AA101</f>
        <v>0</v>
      </c>
      <c r="AH101" s="39">
        <f>+AG101</f>
        <v>0</v>
      </c>
      <c r="AI101" s="39">
        <f>+AH101</f>
        <v>0</v>
      </c>
      <c r="AJ101" s="39">
        <f>+AI101/$AI$104</f>
        <v>0</v>
      </c>
      <c r="AK101" s="39"/>
    </row>
    <row r="102" spans="3:46" ht="16" thickBot="1">
      <c r="AG102" s="158"/>
    </row>
    <row r="103" spans="3:46" ht="16" thickBot="1">
      <c r="C103" s="214" t="s">
        <v>371</v>
      </c>
      <c r="D103" s="213">
        <f t="shared" ref="D103:N103" si="74">D100/(D100+O100)</f>
        <v>0.1127056422341856</v>
      </c>
      <c r="E103" s="213">
        <f t="shared" si="74"/>
        <v>0.15896308327141201</v>
      </c>
      <c r="F103" s="213">
        <f t="shared" si="74"/>
        <v>0.21332139118672738</v>
      </c>
      <c r="G103" s="213">
        <f t="shared" si="74"/>
        <v>0.29108805461247944</v>
      </c>
      <c r="H103" s="213">
        <f t="shared" si="74"/>
        <v>5.6272021862183372E-3</v>
      </c>
      <c r="I103" s="213">
        <f t="shared" si="74"/>
        <v>0.12970390562934492</v>
      </c>
      <c r="J103" s="213">
        <f t="shared" si="74"/>
        <v>0.64982513824445043</v>
      </c>
      <c r="K103" s="213">
        <f t="shared" si="74"/>
        <v>0.3089267033532434</v>
      </c>
      <c r="L103" s="212">
        <f t="shared" si="74"/>
        <v>7.6294765166341011E-2</v>
      </c>
      <c r="M103" s="212">
        <f t="shared" si="74"/>
        <v>0.11804490460551621</v>
      </c>
      <c r="N103" s="212">
        <f t="shared" si="74"/>
        <v>7.074740564143156E-2</v>
      </c>
    </row>
    <row r="104" spans="3:46">
      <c r="AA104" s="39"/>
      <c r="AB104" s="39">
        <f>+SUM(AB9:AB102)</f>
        <v>0.43990400285149894</v>
      </c>
      <c r="AC104" s="39">
        <f>+AB104/$AB$104</f>
        <v>1</v>
      </c>
      <c r="AD104" s="39">
        <f>+SUM(AD9:AD102)</f>
        <v>0.3331307129111431</v>
      </c>
      <c r="AE104" s="39">
        <f>SUM(AE9:AE102)</f>
        <v>1</v>
      </c>
      <c r="AG104" s="150"/>
      <c r="AH104" s="39">
        <f>+SUM(AH9:AH101)</f>
        <v>0.43990400285149894</v>
      </c>
      <c r="AI104" s="39">
        <f>+SUM(AI9:AI102)</f>
        <v>0.13324786154603555</v>
      </c>
      <c r="AJ104" s="39">
        <f>+SUM(AJ9:AJ102)</f>
        <v>1</v>
      </c>
      <c r="AK104" s="39"/>
      <c r="AL104" s="39"/>
      <c r="AM104" s="39">
        <f>+SUM(AM9:AM102)</f>
        <v>0</v>
      </c>
      <c r="AN104" s="39">
        <f>+AM104/$AB$104</f>
        <v>0</v>
      </c>
      <c r="AO104" s="39">
        <f>+SUM(AO9:AO102)</f>
        <v>0</v>
      </c>
      <c r="AP104" s="39">
        <f>SUM(AP9:AP102)</f>
        <v>0</v>
      </c>
    </row>
    <row r="105" spans="3:46">
      <c r="AG105" s="150"/>
      <c r="AH105" s="150"/>
      <c r="AI105" s="150"/>
      <c r="AJ105" s="150"/>
      <c r="AK105" s="150"/>
    </row>
    <row r="106" spans="3:46" ht="20">
      <c r="C106" s="1" t="s">
        <v>337</v>
      </c>
      <c r="D106" s="1"/>
      <c r="E106" s="341" t="s">
        <v>372</v>
      </c>
    </row>
    <row r="107" spans="3:46">
      <c r="M107" s="149">
        <f>+M9+M13+M22++M12+M24+M26+M27+M30+M32+M33+M41+M43+M44+M98</f>
        <v>3979.8848768795579</v>
      </c>
    </row>
    <row r="108" spans="3:46">
      <c r="M108" s="211">
        <f>+M99-M107</f>
        <v>7096.5114592124228</v>
      </c>
    </row>
  </sheetData>
  <mergeCells count="19">
    <mergeCell ref="AI8:AJ8"/>
    <mergeCell ref="AB7:AE7"/>
    <mergeCell ref="AA6:AV6"/>
    <mergeCell ref="AS8:AT8"/>
    <mergeCell ref="AB8:AC8"/>
    <mergeCell ref="AD8:AE8"/>
    <mergeCell ref="AQ8:AR8"/>
    <mergeCell ref="AM8:AN8"/>
    <mergeCell ref="AO8:AP8"/>
    <mergeCell ref="AG7:AJ7"/>
    <mergeCell ref="C3:Y3"/>
    <mergeCell ref="E6:E7"/>
    <mergeCell ref="L6:L7"/>
    <mergeCell ref="P6:P7"/>
    <mergeCell ref="W6:W7"/>
    <mergeCell ref="D6:D7"/>
    <mergeCell ref="O6:O7"/>
    <mergeCell ref="D5:N5"/>
    <mergeCell ref="O5:Y5"/>
  </mergeCells>
  <pageMargins left="0.7" right="0.7" top="0.75" bottom="0.75" header="0.3" footer="0.3"/>
  <pageSetup scale="31" orientation="landscape"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9" tint="0.39997558519241921"/>
    <pageSetUpPr fitToPage="1"/>
  </sheetPr>
  <dimension ref="A1:N94"/>
  <sheetViews>
    <sheetView zoomScale="85" zoomScaleNormal="85" zoomScalePageLayoutView="85" workbookViewId="0">
      <pane xSplit="2" ySplit="7" topLeftCell="C66" activePane="bottomRight" state="frozen"/>
      <selection activeCell="B5" sqref="B5"/>
      <selection pane="topRight" activeCell="B5" sqref="B5"/>
      <selection pane="bottomLeft" activeCell="B5" sqref="B5"/>
      <selection pane="bottomRight" activeCell="B53" sqref="B53:B88"/>
    </sheetView>
  </sheetViews>
  <sheetFormatPr defaultColWidth="10.81640625" defaultRowHeight="15.5"/>
  <cols>
    <col min="1" max="1" width="17.453125" style="146" hidden="1" customWidth="1"/>
    <col min="2" max="2" width="19" style="146" customWidth="1"/>
    <col min="3" max="13" width="12.81640625" style="146" customWidth="1"/>
    <col min="14" max="16384" width="10.81640625" style="146"/>
  </cols>
  <sheetData>
    <row r="1" spans="2:14" ht="16" thickBot="1"/>
    <row r="2" spans="2:14" ht="16" hidden="1" thickBot="1">
      <c r="E2" s="146">
        <v>2</v>
      </c>
      <c r="F2" s="146">
        <v>3</v>
      </c>
      <c r="G2" s="146">
        <v>4</v>
      </c>
      <c r="H2" s="146">
        <v>5</v>
      </c>
      <c r="I2" s="146">
        <v>6</v>
      </c>
      <c r="J2" s="146">
        <v>7</v>
      </c>
      <c r="L2" s="146">
        <v>8</v>
      </c>
      <c r="M2" s="146">
        <v>9</v>
      </c>
    </row>
    <row r="3" spans="2:14" ht="32" customHeight="1" thickTop="1">
      <c r="B3" s="897" t="s">
        <v>373</v>
      </c>
      <c r="C3" s="898"/>
      <c r="D3" s="898"/>
      <c r="E3" s="898"/>
      <c r="F3" s="898"/>
      <c r="G3" s="898"/>
      <c r="H3" s="898"/>
      <c r="I3" s="898"/>
      <c r="J3" s="898"/>
      <c r="K3" s="898"/>
      <c r="L3" s="898"/>
      <c r="M3" s="899"/>
    </row>
    <row r="4" spans="2:14" ht="32" customHeight="1">
      <c r="B4" s="210"/>
      <c r="C4" s="3" t="s">
        <v>49</v>
      </c>
      <c r="D4" s="3" t="s">
        <v>50</v>
      </c>
      <c r="E4" s="3" t="s">
        <v>51</v>
      </c>
      <c r="F4" s="3" t="s">
        <v>52</v>
      </c>
      <c r="G4" s="3" t="s">
        <v>53</v>
      </c>
      <c r="H4" s="3" t="s">
        <v>54</v>
      </c>
      <c r="I4" s="3" t="s">
        <v>55</v>
      </c>
      <c r="J4" s="3" t="s">
        <v>56</v>
      </c>
      <c r="K4" s="3" t="s">
        <v>57</v>
      </c>
      <c r="L4" s="3" t="s">
        <v>58</v>
      </c>
      <c r="M4" s="209" t="s">
        <v>60</v>
      </c>
    </row>
    <row r="5" spans="2:14" ht="21" customHeight="1">
      <c r="B5" s="185"/>
      <c r="C5" s="911" t="s">
        <v>374</v>
      </c>
      <c r="D5" s="912"/>
      <c r="E5" s="912"/>
      <c r="F5" s="912"/>
      <c r="G5" s="912"/>
      <c r="H5" s="912"/>
      <c r="I5" s="912"/>
      <c r="J5" s="912"/>
      <c r="K5" s="912"/>
      <c r="L5" s="912"/>
      <c r="M5" s="913"/>
    </row>
    <row r="6" spans="2:14" ht="85" customHeight="1">
      <c r="B6" s="185"/>
      <c r="C6" s="900" t="s">
        <v>349</v>
      </c>
      <c r="D6" s="900" t="s">
        <v>350</v>
      </c>
      <c r="E6" s="206" t="s">
        <v>25</v>
      </c>
      <c r="F6" s="206" t="s">
        <v>187</v>
      </c>
      <c r="G6" s="206" t="s">
        <v>20</v>
      </c>
      <c r="H6" s="206" t="s">
        <v>19</v>
      </c>
      <c r="I6" s="206" t="s">
        <v>87</v>
      </c>
      <c r="J6" s="206" t="s">
        <v>23</v>
      </c>
      <c r="K6" s="900" t="s">
        <v>351</v>
      </c>
      <c r="L6" s="206" t="s">
        <v>21</v>
      </c>
      <c r="M6" s="205" t="s">
        <v>352</v>
      </c>
      <c r="N6" s="159"/>
    </row>
    <row r="7" spans="2:14" ht="18" customHeight="1">
      <c r="B7" s="185"/>
      <c r="C7" s="900"/>
      <c r="D7" s="900"/>
      <c r="E7" s="206"/>
      <c r="F7" s="206"/>
      <c r="G7" s="206"/>
      <c r="H7" s="206"/>
      <c r="I7" s="206"/>
      <c r="J7" s="206"/>
      <c r="K7" s="901"/>
      <c r="L7" s="206"/>
      <c r="M7" s="205"/>
      <c r="N7" s="159"/>
    </row>
    <row r="8" spans="2:14" ht="40" customHeight="1">
      <c r="B8" s="483" t="s">
        <v>76</v>
      </c>
      <c r="C8" s="484">
        <f t="shared" ref="C8:M8" si="0">SUMIF(C9:C43,"&gt;-999999999")-(C11+C23+C29+C31)-C40</f>
        <v>1751575.2520845423</v>
      </c>
      <c r="D8" s="484">
        <f t="shared" si="0"/>
        <v>1054622.6474443628</v>
      </c>
      <c r="E8" s="485">
        <f t="shared" si="0"/>
        <v>128961.35844677093</v>
      </c>
      <c r="F8" s="485">
        <f t="shared" si="0"/>
        <v>3661.9613645212703</v>
      </c>
      <c r="G8" s="485">
        <f t="shared" si="0"/>
        <v>259313.02145023903</v>
      </c>
      <c r="H8" s="485">
        <f t="shared" si="0"/>
        <v>150579.65275902595</v>
      </c>
      <c r="I8" s="485">
        <f t="shared" si="0"/>
        <v>323.4562426734762</v>
      </c>
      <c r="J8" s="485">
        <f t="shared" si="0"/>
        <v>511783.19718113216</v>
      </c>
      <c r="K8" s="484">
        <f t="shared" si="0"/>
        <v>696952.60464017943</v>
      </c>
      <c r="L8" s="485">
        <f t="shared" si="0"/>
        <v>430943.28515948798</v>
      </c>
      <c r="M8" s="487">
        <f t="shared" si="0"/>
        <v>266009.3194806914</v>
      </c>
      <c r="N8" s="159"/>
    </row>
    <row r="9" spans="2:14" ht="14" customHeight="1">
      <c r="B9" s="199" t="s">
        <v>27</v>
      </c>
      <c r="C9" s="196">
        <f t="shared" ref="C9:C43" si="1">+D9+K9</f>
        <v>5751.3045289728207</v>
      </c>
      <c r="D9" s="196">
        <f t="shared" ref="D9:D43" si="2">SUM(E9:J9)</f>
        <v>-510.18355296630523</v>
      </c>
      <c r="E9" s="171">
        <v>-615.9062407435307</v>
      </c>
      <c r="F9" s="171">
        <v>1.1876887982666315</v>
      </c>
      <c r="G9" s="171">
        <v>104.53499897895882</v>
      </c>
      <c r="H9" s="171">
        <v>0</v>
      </c>
      <c r="I9" s="171">
        <v>0</v>
      </c>
      <c r="J9" s="171">
        <v>0</v>
      </c>
      <c r="K9" s="196">
        <f t="shared" ref="K9:K43" si="3">+SUM(L9:M9)</f>
        <v>6261.4880819391255</v>
      </c>
      <c r="L9" s="178">
        <v>0</v>
      </c>
      <c r="M9" s="177">
        <v>6261.4880819391255</v>
      </c>
      <c r="N9" s="159"/>
    </row>
    <row r="10" spans="2:14" ht="14" customHeight="1">
      <c r="B10" s="199" t="s">
        <v>91</v>
      </c>
      <c r="C10" s="196">
        <f t="shared" si="1"/>
        <v>7318.7924249048392</v>
      </c>
      <c r="D10" s="196">
        <f t="shared" si="2"/>
        <v>1217.7256328869876</v>
      </c>
      <c r="E10" s="171">
        <v>433.33276310420302</v>
      </c>
      <c r="F10" s="171">
        <v>0</v>
      </c>
      <c r="G10" s="171">
        <v>31.043161596114651</v>
      </c>
      <c r="H10" s="171">
        <v>0</v>
      </c>
      <c r="I10" s="171">
        <v>24.278676011084276</v>
      </c>
      <c r="J10" s="171">
        <v>729.07103217558551</v>
      </c>
      <c r="K10" s="196">
        <f t="shared" si="3"/>
        <v>6101.0667920178512</v>
      </c>
      <c r="L10" s="178">
        <v>5916.3417119005753</v>
      </c>
      <c r="M10" s="177">
        <v>184.72508011727587</v>
      </c>
      <c r="N10" s="159"/>
    </row>
    <row r="11" spans="2:14" ht="14" customHeight="1">
      <c r="B11" s="199" t="s">
        <v>25</v>
      </c>
      <c r="C11" s="196">
        <f t="shared" si="1"/>
        <v>77227.403659880831</v>
      </c>
      <c r="D11" s="196">
        <f t="shared" si="2"/>
        <v>70582.422042409831</v>
      </c>
      <c r="E11" s="171">
        <v>20788.002304599999</v>
      </c>
      <c r="F11" s="171">
        <v>0</v>
      </c>
      <c r="G11" s="171">
        <v>597.283169100387</v>
      </c>
      <c r="H11" s="171">
        <v>2364.4478514807347</v>
      </c>
      <c r="I11" s="171">
        <v>3.3023002324771502</v>
      </c>
      <c r="J11" s="171">
        <v>46829.386416996225</v>
      </c>
      <c r="K11" s="196">
        <f t="shared" si="3"/>
        <v>6644.981617471004</v>
      </c>
      <c r="L11" s="178">
        <v>6082.885119108968</v>
      </c>
      <c r="M11" s="177">
        <v>562.09649836203607</v>
      </c>
      <c r="N11" s="159"/>
    </row>
    <row r="12" spans="2:14" ht="14" customHeight="1">
      <c r="B12" s="199" t="s">
        <v>43</v>
      </c>
      <c r="C12" s="196">
        <f t="shared" si="1"/>
        <v>53961.816978863833</v>
      </c>
      <c r="D12" s="196">
        <f t="shared" si="2"/>
        <v>14156.0272973137</v>
      </c>
      <c r="E12" s="171">
        <v>-745.27540271346413</v>
      </c>
      <c r="F12" s="171">
        <v>0</v>
      </c>
      <c r="G12" s="171">
        <v>512.79770691542603</v>
      </c>
      <c r="H12" s="171">
        <v>12953.845602215399</v>
      </c>
      <c r="I12" s="171">
        <v>0</v>
      </c>
      <c r="J12" s="171">
        <v>1434.6593908963389</v>
      </c>
      <c r="K12" s="196">
        <f t="shared" si="3"/>
        <v>39805.78968155013</v>
      </c>
      <c r="L12" s="178">
        <v>32630.135823720724</v>
      </c>
      <c r="M12" s="177">
        <v>7175.6538578294058</v>
      </c>
      <c r="N12" s="159"/>
    </row>
    <row r="13" spans="2:14" ht="14" customHeight="1">
      <c r="B13" s="199" t="s">
        <v>112</v>
      </c>
      <c r="C13" s="196">
        <f t="shared" si="1"/>
        <v>-343.04542126512609</v>
      </c>
      <c r="D13" s="196">
        <f t="shared" si="2"/>
        <v>-399.87876187403094</v>
      </c>
      <c r="E13" s="171">
        <v>-395.96937972779762</v>
      </c>
      <c r="F13" s="171">
        <v>0</v>
      </c>
      <c r="G13" s="171">
        <v>-25.057090527813411</v>
      </c>
      <c r="H13" s="171">
        <v>7.1182937871358636</v>
      </c>
      <c r="I13" s="171">
        <v>0</v>
      </c>
      <c r="J13" s="171">
        <v>14.029414594444203</v>
      </c>
      <c r="K13" s="196">
        <f t="shared" si="3"/>
        <v>56.833340608904848</v>
      </c>
      <c r="L13" s="178">
        <v>0</v>
      </c>
      <c r="M13" s="177">
        <v>56.833340608904848</v>
      </c>
      <c r="N13" s="159"/>
    </row>
    <row r="14" spans="2:14" ht="14" customHeight="1">
      <c r="B14" s="199" t="s">
        <v>92</v>
      </c>
      <c r="C14" s="196">
        <f t="shared" si="1"/>
        <v>1551.0008039169954</v>
      </c>
      <c r="D14" s="196">
        <f t="shared" si="2"/>
        <v>1550.5597432151119</v>
      </c>
      <c r="E14" s="171">
        <v>1547.5407387583773</v>
      </c>
      <c r="F14" s="171">
        <v>0</v>
      </c>
      <c r="G14" s="171">
        <v>3.0190044567345171</v>
      </c>
      <c r="H14" s="171">
        <v>0</v>
      </c>
      <c r="I14" s="171">
        <v>0</v>
      </c>
      <c r="J14" s="171">
        <v>0</v>
      </c>
      <c r="K14" s="196">
        <f t="shared" si="3"/>
        <v>0.44106070188354352</v>
      </c>
      <c r="L14" s="178">
        <v>0</v>
      </c>
      <c r="M14" s="177">
        <v>0.44106070188354352</v>
      </c>
      <c r="N14" s="159"/>
    </row>
    <row r="15" spans="2:14" ht="14" customHeight="1">
      <c r="B15" s="199" t="s">
        <v>41</v>
      </c>
      <c r="C15" s="196">
        <f t="shared" si="1"/>
        <v>11938.815067608886</v>
      </c>
      <c r="D15" s="196">
        <f t="shared" si="2"/>
        <v>6947.7556777800946</v>
      </c>
      <c r="E15" s="171">
        <v>688.75809239170087</v>
      </c>
      <c r="F15" s="171">
        <v>0.87803495095367745</v>
      </c>
      <c r="G15" s="171">
        <v>311.37174497136255</v>
      </c>
      <c r="H15" s="171">
        <v>0</v>
      </c>
      <c r="I15" s="171">
        <v>2.6393183847410779</v>
      </c>
      <c r="J15" s="171">
        <v>5944.1084870813365</v>
      </c>
      <c r="K15" s="196">
        <f t="shared" si="3"/>
        <v>4991.0593898287916</v>
      </c>
      <c r="L15" s="178">
        <v>2885.6897561444289</v>
      </c>
      <c r="M15" s="177">
        <v>2105.3696336843623</v>
      </c>
      <c r="N15" s="159"/>
    </row>
    <row r="16" spans="2:14" ht="14" customHeight="1">
      <c r="B16" s="199" t="s">
        <v>93</v>
      </c>
      <c r="C16" s="196">
        <f t="shared" si="1"/>
        <v>-13.320891907351287</v>
      </c>
      <c r="D16" s="196">
        <f t="shared" si="2"/>
        <v>-13.320891907351287</v>
      </c>
      <c r="E16" s="171">
        <v>-13.342167683968011</v>
      </c>
      <c r="F16" s="171">
        <v>0</v>
      </c>
      <c r="G16" s="171">
        <v>0</v>
      </c>
      <c r="H16" s="171">
        <v>0</v>
      </c>
      <c r="I16" s="171">
        <v>2.1275776616723623E-2</v>
      </c>
      <c r="J16" s="171">
        <v>0</v>
      </c>
      <c r="K16" s="196">
        <f t="shared" si="3"/>
        <v>0</v>
      </c>
      <c r="L16" s="178">
        <v>0</v>
      </c>
      <c r="M16" s="177">
        <v>0</v>
      </c>
      <c r="N16" s="159"/>
    </row>
    <row r="17" spans="1:14" ht="14" customHeight="1">
      <c r="B17" s="199" t="s">
        <v>94</v>
      </c>
      <c r="C17" s="196">
        <f t="shared" si="1"/>
        <v>7422.1405339289504</v>
      </c>
      <c r="D17" s="196">
        <f t="shared" si="2"/>
        <v>6702.4478420130827</v>
      </c>
      <c r="E17" s="171">
        <v>2869.2161758254474</v>
      </c>
      <c r="F17" s="171">
        <v>1.2132012951053943</v>
      </c>
      <c r="G17" s="171">
        <v>-53.71461390771826</v>
      </c>
      <c r="H17" s="171">
        <v>0</v>
      </c>
      <c r="I17" s="171">
        <v>0</v>
      </c>
      <c r="J17" s="171">
        <v>3885.7330788002478</v>
      </c>
      <c r="K17" s="196">
        <f t="shared" si="3"/>
        <v>719.69269191586739</v>
      </c>
      <c r="L17" s="178">
        <v>341.72397790533307</v>
      </c>
      <c r="M17" s="177">
        <v>377.96871401053431</v>
      </c>
      <c r="N17" s="159"/>
    </row>
    <row r="18" spans="1:14" ht="14" customHeight="1">
      <c r="B18" s="199" t="s">
        <v>32</v>
      </c>
      <c r="C18" s="196">
        <f t="shared" si="1"/>
        <v>211426.84952728514</v>
      </c>
      <c r="D18" s="196">
        <f t="shared" si="2"/>
        <v>167111.73061028757</v>
      </c>
      <c r="E18" s="171">
        <v>129603.05769863859</v>
      </c>
      <c r="F18" s="171">
        <v>25.302012443013588</v>
      </c>
      <c r="G18" s="171">
        <v>4380.8156204039342</v>
      </c>
      <c r="H18" s="171">
        <v>-1059.5520526108169</v>
      </c>
      <c r="I18" s="171">
        <v>56.370290984260471</v>
      </c>
      <c r="J18" s="171">
        <v>34105.737040428598</v>
      </c>
      <c r="K18" s="196">
        <f t="shared" si="3"/>
        <v>44315.118916997555</v>
      </c>
      <c r="L18" s="178">
        <v>37780.597323555892</v>
      </c>
      <c r="M18" s="177">
        <v>6534.5215934416628</v>
      </c>
      <c r="N18" s="159"/>
    </row>
    <row r="19" spans="1:14" ht="14" customHeight="1">
      <c r="B19" s="199" t="s">
        <v>34</v>
      </c>
      <c r="C19" s="196">
        <f t="shared" si="1"/>
        <v>117080.72903831323</v>
      </c>
      <c r="D19" s="196">
        <f t="shared" si="2"/>
        <v>83334.884111057312</v>
      </c>
      <c r="E19" s="171">
        <v>12670.048319309652</v>
      </c>
      <c r="F19" s="171">
        <v>2248.4638879098088</v>
      </c>
      <c r="G19" s="171">
        <v>867.31616177123362</v>
      </c>
      <c r="H19" s="171">
        <v>3212.6818336911897</v>
      </c>
      <c r="I19" s="171">
        <v>0</v>
      </c>
      <c r="J19" s="171">
        <v>64336.373908375426</v>
      </c>
      <c r="K19" s="196">
        <f t="shared" si="3"/>
        <v>33745.844927255923</v>
      </c>
      <c r="L19" s="178">
        <v>28481.744770550868</v>
      </c>
      <c r="M19" s="177">
        <v>5264.1001567050553</v>
      </c>
      <c r="N19" s="159"/>
    </row>
    <row r="20" spans="1:14" ht="14" customHeight="1">
      <c r="B20" s="199" t="s">
        <v>40</v>
      </c>
      <c r="C20" s="196">
        <f t="shared" si="1"/>
        <v>1443.8093338526871</v>
      </c>
      <c r="D20" s="196">
        <f t="shared" si="2"/>
        <v>1441.1824464352067</v>
      </c>
      <c r="E20" s="171">
        <v>1064.1392372357113</v>
      </c>
      <c r="F20" s="171">
        <v>272.8383396111642</v>
      </c>
      <c r="G20" s="171">
        <v>10.338372525366655</v>
      </c>
      <c r="H20" s="171">
        <v>0</v>
      </c>
      <c r="I20" s="171">
        <v>0</v>
      </c>
      <c r="J20" s="171">
        <v>93.866497062964427</v>
      </c>
      <c r="K20" s="196">
        <f t="shared" si="3"/>
        <v>2.6268874174804751</v>
      </c>
      <c r="L20" s="178">
        <v>0</v>
      </c>
      <c r="M20" s="177">
        <v>2.6268874174804751</v>
      </c>
      <c r="N20" s="159"/>
    </row>
    <row r="21" spans="1:14" ht="14" customHeight="1">
      <c r="B21" s="199" t="s">
        <v>95</v>
      </c>
      <c r="C21" s="196">
        <f t="shared" si="1"/>
        <v>1642.8486517275869</v>
      </c>
      <c r="D21" s="196">
        <f t="shared" si="2"/>
        <v>1619.9802880579182</v>
      </c>
      <c r="E21" s="171">
        <v>1273.275233362968</v>
      </c>
      <c r="F21" s="171">
        <v>0</v>
      </c>
      <c r="G21" s="171">
        <v>0</v>
      </c>
      <c r="H21" s="171">
        <v>291.13022871400608</v>
      </c>
      <c r="I21" s="171">
        <v>0</v>
      </c>
      <c r="J21" s="171">
        <v>55.57482598094397</v>
      </c>
      <c r="K21" s="196">
        <f t="shared" si="3"/>
        <v>22.868363669668724</v>
      </c>
      <c r="L21" s="178">
        <v>0</v>
      </c>
      <c r="M21" s="177">
        <v>22.868363669668724</v>
      </c>
      <c r="N21" s="159"/>
    </row>
    <row r="22" spans="1:14" ht="14" customHeight="1">
      <c r="B22" s="199" t="s">
        <v>113</v>
      </c>
      <c r="C22" s="196">
        <f t="shared" si="1"/>
        <v>45.011783060774256</v>
      </c>
      <c r="D22" s="196">
        <f t="shared" si="2"/>
        <v>42.75702931559205</v>
      </c>
      <c r="E22" s="171">
        <v>42.591284040911582</v>
      </c>
      <c r="F22" s="171">
        <v>0.16574527468047132</v>
      </c>
      <c r="G22" s="171">
        <v>0</v>
      </c>
      <c r="H22" s="171">
        <v>0</v>
      </c>
      <c r="I22" s="171">
        <v>0</v>
      </c>
      <c r="J22" s="171">
        <v>0</v>
      </c>
      <c r="K22" s="196">
        <f t="shared" si="3"/>
        <v>2.2547537451822066</v>
      </c>
      <c r="L22" s="178">
        <v>0</v>
      </c>
      <c r="M22" s="177">
        <v>2.2547537451822066</v>
      </c>
      <c r="N22" s="159"/>
    </row>
    <row r="23" spans="1:14" ht="14" customHeight="1">
      <c r="B23" s="199" t="s">
        <v>20</v>
      </c>
      <c r="C23" s="196">
        <f t="shared" si="1"/>
        <v>49321.082766263266</v>
      </c>
      <c r="D23" s="196">
        <f t="shared" si="2"/>
        <v>49106.659561809574</v>
      </c>
      <c r="E23" s="171">
        <v>-7702.2503961466</v>
      </c>
      <c r="F23" s="171">
        <v>8.2617583142837301</v>
      </c>
      <c r="G23" s="171">
        <v>15352.363185136815</v>
      </c>
      <c r="H23" s="171">
        <v>19108.017977024119</v>
      </c>
      <c r="I23" s="171">
        <v>0</v>
      </c>
      <c r="J23" s="171">
        <v>22340.267037480953</v>
      </c>
      <c r="K23" s="196">
        <f t="shared" si="3"/>
        <v>214.42320445369114</v>
      </c>
      <c r="L23" s="178">
        <v>0</v>
      </c>
      <c r="M23" s="177">
        <v>214.42320445369114</v>
      </c>
      <c r="N23" s="159"/>
    </row>
    <row r="24" spans="1:14" ht="14" customHeight="1">
      <c r="B24" s="199" t="s">
        <v>114</v>
      </c>
      <c r="C24" s="196">
        <f t="shared" si="1"/>
        <v>1754.4086298838288</v>
      </c>
      <c r="D24" s="196">
        <f t="shared" si="2"/>
        <v>217.17041498534263</v>
      </c>
      <c r="E24" s="171">
        <v>-127.480499936223</v>
      </c>
      <c r="F24" s="171">
        <v>110.80752105681026</v>
      </c>
      <c r="G24" s="171">
        <v>78.134790238010439</v>
      </c>
      <c r="H24" s="171">
        <v>155.70860362674495</v>
      </c>
      <c r="I24" s="171">
        <v>0</v>
      </c>
      <c r="J24" s="171">
        <v>0</v>
      </c>
      <c r="K24" s="196">
        <f t="shared" si="3"/>
        <v>1537.2382148984861</v>
      </c>
      <c r="L24" s="178">
        <v>1311.7567452905103</v>
      </c>
      <c r="M24" s="177">
        <v>225.4814696079759</v>
      </c>
      <c r="N24" s="159"/>
    </row>
    <row r="25" spans="1:14" ht="14" customHeight="1">
      <c r="B25" s="199" t="s">
        <v>33</v>
      </c>
      <c r="C25" s="196">
        <f t="shared" si="1"/>
        <v>12295.918666332425</v>
      </c>
      <c r="D25" s="196">
        <f t="shared" si="2"/>
        <v>8279.2378085001892</v>
      </c>
      <c r="E25" s="171">
        <v>831.62656857086438</v>
      </c>
      <c r="F25" s="171">
        <v>11.048642862847675</v>
      </c>
      <c r="G25" s="171">
        <v>2124.3154442421769</v>
      </c>
      <c r="H25" s="171">
        <v>-597.17046177811812</v>
      </c>
      <c r="I25" s="171">
        <v>84.314868692089362</v>
      </c>
      <c r="J25" s="171">
        <v>5825.1027459103288</v>
      </c>
      <c r="K25" s="196">
        <f t="shared" si="3"/>
        <v>4016.6808578322361</v>
      </c>
      <c r="L25" s="178">
        <v>3552.28115846539</v>
      </c>
      <c r="M25" s="177">
        <v>464.39969936684611</v>
      </c>
      <c r="N25" s="159"/>
    </row>
    <row r="26" spans="1:14" ht="14" customHeight="1">
      <c r="B26" s="199" t="s">
        <v>31</v>
      </c>
      <c r="C26" s="196">
        <f t="shared" si="1"/>
        <v>63379.8102207966</v>
      </c>
      <c r="D26" s="196">
        <f t="shared" si="2"/>
        <v>27882.46846265455</v>
      </c>
      <c r="E26" s="171">
        <v>13875.26778368908</v>
      </c>
      <c r="F26" s="171">
        <v>0.10243480824884013</v>
      </c>
      <c r="G26" s="171">
        <v>413.02631758289124</v>
      </c>
      <c r="H26" s="171">
        <v>0</v>
      </c>
      <c r="I26" s="171">
        <v>0</v>
      </c>
      <c r="J26" s="171">
        <v>13594.07192657433</v>
      </c>
      <c r="K26" s="196">
        <f t="shared" si="3"/>
        <v>35497.341758142051</v>
      </c>
      <c r="L26" s="178">
        <v>10267.61553167849</v>
      </c>
      <c r="M26" s="177">
        <v>25229.726226463565</v>
      </c>
      <c r="N26" s="159"/>
    </row>
    <row r="27" spans="1:14" ht="14" customHeight="1">
      <c r="A27" s="146" t="s">
        <v>361</v>
      </c>
      <c r="B27" s="199" t="s">
        <v>48</v>
      </c>
      <c r="C27" s="196">
        <f t="shared" si="1"/>
        <v>5141.6799102938876</v>
      </c>
      <c r="D27" s="196">
        <f t="shared" si="2"/>
        <v>2561.2355055777798</v>
      </c>
      <c r="E27" s="171">
        <v>1072.8952116912624</v>
      </c>
      <c r="F27" s="171">
        <v>4.5337791897297662E-2</v>
      </c>
      <c r="G27" s="171">
        <v>0</v>
      </c>
      <c r="H27" s="171">
        <v>0</v>
      </c>
      <c r="I27" s="171">
        <v>0</v>
      </c>
      <c r="J27" s="171">
        <v>1488.2949560946199</v>
      </c>
      <c r="K27" s="196">
        <f t="shared" si="3"/>
        <v>2580.4444047161078</v>
      </c>
      <c r="L27" s="178">
        <v>0</v>
      </c>
      <c r="M27" s="177">
        <v>2580.4444047161078</v>
      </c>
      <c r="N27" s="159"/>
    </row>
    <row r="28" spans="1:14" ht="14" customHeight="1">
      <c r="B28" s="185" t="s">
        <v>96</v>
      </c>
      <c r="C28" s="196">
        <f t="shared" si="1"/>
        <v>-4.2620184009749282</v>
      </c>
      <c r="D28" s="196">
        <f t="shared" si="2"/>
        <v>-4.5411252294764637</v>
      </c>
      <c r="E28" s="171">
        <v>-5.8779063725395622</v>
      </c>
      <c r="F28" s="171">
        <v>1.3367811430630989</v>
      </c>
      <c r="G28" s="171">
        <v>0</v>
      </c>
      <c r="H28" s="171">
        <v>0</v>
      </c>
      <c r="I28" s="171"/>
      <c r="J28" s="171">
        <v>0</v>
      </c>
      <c r="K28" s="196">
        <f t="shared" si="3"/>
        <v>0.27910682850153545</v>
      </c>
      <c r="L28" s="178">
        <v>0</v>
      </c>
      <c r="M28" s="177">
        <v>0.27910682850153545</v>
      </c>
      <c r="N28" s="159"/>
    </row>
    <row r="29" spans="1:14" ht="14" customHeight="1">
      <c r="B29" s="185" t="s">
        <v>19</v>
      </c>
      <c r="C29" s="196">
        <f t="shared" si="1"/>
        <v>97895.943290237556</v>
      </c>
      <c r="D29" s="196">
        <f t="shared" si="2"/>
        <v>73692.697455079891</v>
      </c>
      <c r="E29" s="171">
        <v>34534.949480493509</v>
      </c>
      <c r="F29" s="171">
        <v>0</v>
      </c>
      <c r="G29" s="171">
        <v>7307.021577140571</v>
      </c>
      <c r="H29" s="171">
        <v>11353.671380697848</v>
      </c>
      <c r="I29" s="171">
        <v>0</v>
      </c>
      <c r="J29" s="171">
        <v>20497.055016747963</v>
      </c>
      <c r="K29" s="196">
        <f t="shared" si="3"/>
        <v>24203.245835157664</v>
      </c>
      <c r="L29" s="178">
        <v>22456.171759956647</v>
      </c>
      <c r="M29" s="177">
        <v>1747.074075201017</v>
      </c>
      <c r="N29" s="159"/>
    </row>
    <row r="30" spans="1:14" ht="14" customHeight="1">
      <c r="B30" s="185" t="s">
        <v>38</v>
      </c>
      <c r="C30" s="196">
        <f t="shared" si="1"/>
        <v>11941.637583040174</v>
      </c>
      <c r="D30" s="196">
        <f t="shared" si="2"/>
        <v>9875.5786568872227</v>
      </c>
      <c r="E30" s="171">
        <v>-2420.2689672782058</v>
      </c>
      <c r="F30" s="171">
        <v>5.9972282742800352E-4</v>
      </c>
      <c r="G30" s="171">
        <v>60.949648084594592</v>
      </c>
      <c r="H30" s="171">
        <v>0</v>
      </c>
      <c r="I30" s="171">
        <v>0</v>
      </c>
      <c r="J30" s="171">
        <v>12234.897376358007</v>
      </c>
      <c r="K30" s="196">
        <f t="shared" si="3"/>
        <v>2066.0589261529512</v>
      </c>
      <c r="L30" s="178">
        <v>0</v>
      </c>
      <c r="M30" s="177">
        <v>2066.0589261529512</v>
      </c>
      <c r="N30" s="159"/>
    </row>
    <row r="31" spans="1:14" ht="14" customHeight="1">
      <c r="B31" s="185" t="s">
        <v>23</v>
      </c>
      <c r="C31" s="196">
        <f t="shared" si="1"/>
        <v>159709.27141464892</v>
      </c>
      <c r="D31" s="196">
        <f t="shared" si="2"/>
        <v>90747.933385031094</v>
      </c>
      <c r="E31" s="171">
        <v>37015.66453731605</v>
      </c>
      <c r="F31" s="171">
        <v>977.87459018250672</v>
      </c>
      <c r="G31" s="171">
        <v>7241.864399864744</v>
      </c>
      <c r="H31" s="171">
        <v>9152.7213614192351</v>
      </c>
      <c r="I31" s="171">
        <v>40.864565927558992</v>
      </c>
      <c r="J31" s="171">
        <v>36318.943930321002</v>
      </c>
      <c r="K31" s="196">
        <f t="shared" si="3"/>
        <v>68961.338029617822</v>
      </c>
      <c r="L31" s="178">
        <v>56497.637432704418</v>
      </c>
      <c r="M31" s="177">
        <v>12463.700596913404</v>
      </c>
      <c r="N31" s="159"/>
    </row>
    <row r="32" spans="1:14" ht="14" customHeight="1">
      <c r="B32" s="185" t="s">
        <v>116</v>
      </c>
      <c r="C32" s="196">
        <f t="shared" si="1"/>
        <v>2181.5869325030612</v>
      </c>
      <c r="D32" s="196">
        <f t="shared" si="2"/>
        <v>-356.38484814082602</v>
      </c>
      <c r="E32" s="171">
        <v>-386.08379980683003</v>
      </c>
      <c r="F32" s="171">
        <v>0.65770219700894816</v>
      </c>
      <c r="G32" s="171">
        <v>29.041249468995034</v>
      </c>
      <c r="H32" s="171">
        <v>0</v>
      </c>
      <c r="I32" s="171">
        <v>0</v>
      </c>
      <c r="J32" s="171">
        <v>0</v>
      </c>
      <c r="K32" s="196">
        <f t="shared" si="3"/>
        <v>2537.9717806438871</v>
      </c>
      <c r="L32" s="178">
        <v>0</v>
      </c>
      <c r="M32" s="177">
        <v>2537.9717806438871</v>
      </c>
      <c r="N32" s="159"/>
    </row>
    <row r="33" spans="1:14" ht="14" customHeight="1">
      <c r="B33" s="185" t="s">
        <v>117</v>
      </c>
      <c r="C33" s="196">
        <f t="shared" si="1"/>
        <v>17841.830948986506</v>
      </c>
      <c r="D33" s="196">
        <f t="shared" si="2"/>
        <v>12610.991648048961</v>
      </c>
      <c r="E33" s="171">
        <v>12160.414384293175</v>
      </c>
      <c r="F33" s="171">
        <v>0</v>
      </c>
      <c r="G33" s="171">
        <v>115.11282002981895</v>
      </c>
      <c r="H33" s="171">
        <v>0</v>
      </c>
      <c r="I33" s="171">
        <v>0</v>
      </c>
      <c r="J33" s="171">
        <v>335.46444372596585</v>
      </c>
      <c r="K33" s="196">
        <f t="shared" si="3"/>
        <v>5230.839300937545</v>
      </c>
      <c r="L33" s="178">
        <v>0</v>
      </c>
      <c r="M33" s="177">
        <v>5230.839300937545</v>
      </c>
      <c r="N33" s="159"/>
    </row>
    <row r="34" spans="1:14" ht="14" customHeight="1">
      <c r="B34" s="185" t="s">
        <v>97</v>
      </c>
      <c r="C34" s="196">
        <f t="shared" si="1"/>
        <v>-8300.0134877695091</v>
      </c>
      <c r="D34" s="196">
        <f t="shared" si="2"/>
        <v>-8306.0486783043289</v>
      </c>
      <c r="E34" s="171">
        <v>-9819.6407950871999</v>
      </c>
      <c r="F34" s="171">
        <v>0</v>
      </c>
      <c r="G34" s="171">
        <v>-60.156873900061136</v>
      </c>
      <c r="H34" s="171">
        <v>0</v>
      </c>
      <c r="I34" s="171">
        <v>0</v>
      </c>
      <c r="J34" s="171">
        <v>1573.7489906829326</v>
      </c>
      <c r="K34" s="196">
        <f t="shared" si="3"/>
        <v>6.0351905348197761</v>
      </c>
      <c r="L34" s="178">
        <v>0</v>
      </c>
      <c r="M34" s="177">
        <v>6.0351905348197761</v>
      </c>
      <c r="N34" s="159"/>
    </row>
    <row r="35" spans="1:14" ht="14" customHeight="1">
      <c r="B35" s="185" t="s">
        <v>42</v>
      </c>
      <c r="C35" s="196">
        <f t="shared" si="1"/>
        <v>913.12167095701648</v>
      </c>
      <c r="D35" s="196">
        <f t="shared" si="2"/>
        <v>10.430603019293073</v>
      </c>
      <c r="E35" s="171">
        <v>-513.62600494397748</v>
      </c>
      <c r="F35" s="171">
        <v>0.49172749178789138</v>
      </c>
      <c r="G35" s="171">
        <v>167.70241013896438</v>
      </c>
      <c r="H35" s="171">
        <v>0</v>
      </c>
      <c r="I35" s="171">
        <v>0</v>
      </c>
      <c r="J35" s="171">
        <v>355.86247033251828</v>
      </c>
      <c r="K35" s="196">
        <f t="shared" si="3"/>
        <v>902.69106793772335</v>
      </c>
      <c r="L35" s="178">
        <v>0</v>
      </c>
      <c r="M35" s="177">
        <v>902.69106793772335</v>
      </c>
      <c r="N35" s="159"/>
    </row>
    <row r="36" spans="1:14" ht="14" customHeight="1">
      <c r="A36" s="146" t="s">
        <v>119</v>
      </c>
      <c r="B36" s="185" t="s">
        <v>98</v>
      </c>
      <c r="C36" s="196">
        <f t="shared" si="1"/>
        <v>295.3660782125985</v>
      </c>
      <c r="D36" s="196">
        <f t="shared" si="2"/>
        <v>283.7216173452324</v>
      </c>
      <c r="E36" s="171">
        <v>264.54930876521507</v>
      </c>
      <c r="F36" s="171">
        <v>0</v>
      </c>
      <c r="G36" s="171">
        <v>0</v>
      </c>
      <c r="H36" s="171">
        <v>0</v>
      </c>
      <c r="I36" s="171">
        <v>0</v>
      </c>
      <c r="J36" s="171">
        <v>19.172308580017337</v>
      </c>
      <c r="K36" s="196">
        <f t="shared" si="3"/>
        <v>11.644460867366092</v>
      </c>
      <c r="L36" s="178">
        <v>0</v>
      </c>
      <c r="M36" s="177">
        <v>11.644460867366092</v>
      </c>
      <c r="N36" s="159"/>
    </row>
    <row r="37" spans="1:14" ht="14" customHeight="1">
      <c r="B37" s="185" t="s">
        <v>99</v>
      </c>
      <c r="C37" s="196">
        <f t="shared" si="1"/>
        <v>-23.17763931395919</v>
      </c>
      <c r="D37" s="196">
        <f t="shared" si="2"/>
        <v>-24.905432023456282</v>
      </c>
      <c r="E37" s="171">
        <v>-24.860545189177721</v>
      </c>
      <c r="F37" s="171">
        <v>-4.4886834278559232E-2</v>
      </c>
      <c r="G37" s="171">
        <v>0</v>
      </c>
      <c r="H37" s="171">
        <v>0</v>
      </c>
      <c r="I37" s="171">
        <v>0</v>
      </c>
      <c r="J37" s="171">
        <v>0</v>
      </c>
      <c r="K37" s="196">
        <f t="shared" si="3"/>
        <v>1.7277927094970913</v>
      </c>
      <c r="L37" s="178">
        <v>0</v>
      </c>
      <c r="M37" s="177">
        <v>1.7277927094970913</v>
      </c>
      <c r="N37" s="159"/>
    </row>
    <row r="38" spans="1:14" ht="14" customHeight="1">
      <c r="B38" s="185" t="s">
        <v>30</v>
      </c>
      <c r="C38" s="196">
        <f t="shared" si="1"/>
        <v>10181.739415194243</v>
      </c>
      <c r="D38" s="196">
        <f t="shared" si="2"/>
        <v>3622.4207306510007</v>
      </c>
      <c r="E38" s="171">
        <v>-3066.2105270970255</v>
      </c>
      <c r="F38" s="171">
        <v>15.84816114101875</v>
      </c>
      <c r="G38" s="171">
        <v>2307.3896754350289</v>
      </c>
      <c r="H38" s="171">
        <v>-732.27055177521595</v>
      </c>
      <c r="I38" s="171">
        <v>9.2651582362935549</v>
      </c>
      <c r="J38" s="171">
        <v>5088.3988147109012</v>
      </c>
      <c r="K38" s="196">
        <f t="shared" si="3"/>
        <v>6559.3186845432419</v>
      </c>
      <c r="L38" s="178">
        <v>5567.2824289672672</v>
      </c>
      <c r="M38" s="177">
        <v>992.03625557597479</v>
      </c>
      <c r="N38" s="159"/>
    </row>
    <row r="39" spans="1:14" ht="14" customHeight="1">
      <c r="B39" s="185" t="s">
        <v>100</v>
      </c>
      <c r="C39" s="196">
        <f t="shared" si="1"/>
        <v>31146.006388506787</v>
      </c>
      <c r="D39" s="196">
        <f t="shared" si="2"/>
        <v>22127.550497897446</v>
      </c>
      <c r="E39" s="171">
        <v>11741.65564652445</v>
      </c>
      <c r="F39" s="171">
        <v>4.6620851891726627</v>
      </c>
      <c r="G39" s="171">
        <v>537.47488592858201</v>
      </c>
      <c r="H39" s="171">
        <v>209.25389308022665</v>
      </c>
      <c r="I39" s="171">
        <v>0</v>
      </c>
      <c r="J39" s="171">
        <v>9634.5039871750123</v>
      </c>
      <c r="K39" s="196">
        <f t="shared" si="3"/>
        <v>9018.4558906093389</v>
      </c>
      <c r="L39" s="178">
        <v>8735.6687563038304</v>
      </c>
      <c r="M39" s="177">
        <v>282.78713430550852</v>
      </c>
      <c r="N39" s="159"/>
    </row>
    <row r="40" spans="1:14" ht="14" customHeight="1">
      <c r="B40" s="185" t="s">
        <v>21</v>
      </c>
      <c r="C40" s="196">
        <f t="shared" si="1"/>
        <v>55211.576234721724</v>
      </c>
      <c r="D40" s="196">
        <f t="shared" si="2"/>
        <v>45774.956453113162</v>
      </c>
      <c r="E40" s="171">
        <v>2080.9177681414535</v>
      </c>
      <c r="F40" s="171">
        <v>8.1678915044821601</v>
      </c>
      <c r="G40" s="171">
        <v>2200.5737200124231</v>
      </c>
      <c r="H40" s="171">
        <v>3383.4501356892692</v>
      </c>
      <c r="I40" s="171">
        <v>45.027409454487682</v>
      </c>
      <c r="J40" s="171">
        <v>38056.819528311047</v>
      </c>
      <c r="K40" s="196">
        <f t="shared" si="3"/>
        <v>9436.6197816085623</v>
      </c>
      <c r="L40" s="178">
        <v>0</v>
      </c>
      <c r="M40" s="177">
        <v>9436.6197816085623</v>
      </c>
      <c r="N40" s="159"/>
    </row>
    <row r="41" spans="1:14" ht="14" customHeight="1">
      <c r="B41" s="185" t="s">
        <v>44</v>
      </c>
      <c r="C41" s="196">
        <f t="shared" si="1"/>
        <v>1537.4335278325104</v>
      </c>
      <c r="D41" s="196">
        <f t="shared" si="2"/>
        <v>1473.2650093428642</v>
      </c>
      <c r="E41" s="171">
        <v>61.264790593573771</v>
      </c>
      <c r="F41" s="171">
        <v>-1.9907452305176425E-2</v>
      </c>
      <c r="G41" s="171">
        <v>0</v>
      </c>
      <c r="H41" s="171">
        <v>0</v>
      </c>
      <c r="I41" s="171">
        <v>11.699414270835703</v>
      </c>
      <c r="J41" s="171">
        <v>1400.3207119307599</v>
      </c>
      <c r="K41" s="196">
        <f t="shared" si="3"/>
        <v>64.168518489646203</v>
      </c>
      <c r="L41" s="178">
        <v>0</v>
      </c>
      <c r="M41" s="177">
        <v>64.168518489646203</v>
      </c>
      <c r="N41" s="159"/>
    </row>
    <row r="42" spans="1:14" ht="14" customHeight="1">
      <c r="B42" s="185" t="s">
        <v>28</v>
      </c>
      <c r="C42" s="196">
        <f t="shared" si="1"/>
        <v>178911.81455327503</v>
      </c>
      <c r="D42" s="196">
        <f t="shared" si="2"/>
        <v>127425.76276870121</v>
      </c>
      <c r="E42" s="171">
        <v>-7215.0931222393356</v>
      </c>
      <c r="F42" s="171">
        <v>966.97625512017873</v>
      </c>
      <c r="G42" s="171">
        <v>9845.1054887291903</v>
      </c>
      <c r="H42" s="171">
        <v>29627.559175909941</v>
      </c>
      <c r="I42" s="171">
        <v>125.68868391817556</v>
      </c>
      <c r="J42" s="171">
        <v>94075.52628726307</v>
      </c>
      <c r="K42" s="196">
        <f t="shared" si="3"/>
        <v>51486.051784573821</v>
      </c>
      <c r="L42" s="178">
        <v>27117.231554607602</v>
      </c>
      <c r="M42" s="177">
        <v>24368.820229966223</v>
      </c>
      <c r="N42" s="159"/>
    </row>
    <row r="43" spans="1:14" ht="14" customHeight="1">
      <c r="B43" s="185" t="s">
        <v>11</v>
      </c>
      <c r="C43" s="196">
        <f t="shared" si="1"/>
        <v>1003153.5983449486</v>
      </c>
      <c r="D43" s="196">
        <f t="shared" si="2"/>
        <v>563743.02633283485</v>
      </c>
      <c r="E43" s="171">
        <v>-35888.639431204974</v>
      </c>
      <c r="F43" s="171">
        <v>0</v>
      </c>
      <c r="G43" s="171">
        <v>237552.46052707723</v>
      </c>
      <c r="H43" s="171">
        <v>106511.34819416545</v>
      </c>
      <c r="I43" s="171">
        <v>9.1785563993794046</v>
      </c>
      <c r="J43" s="171">
        <v>255558.67848639775</v>
      </c>
      <c r="K43" s="196">
        <f t="shared" si="3"/>
        <v>439410.57201211381</v>
      </c>
      <c r="L43" s="178">
        <v>266355.21562039707</v>
      </c>
      <c r="M43" s="177">
        <v>173055.35639171675</v>
      </c>
      <c r="N43" s="159"/>
    </row>
    <row r="44" spans="1:14" ht="40" customHeight="1">
      <c r="B44" s="195" t="s">
        <v>77</v>
      </c>
      <c r="C44" s="192">
        <f t="shared" ref="C44:M44" si="4">+SUM(C45:C51)</f>
        <v>207789.78846278359</v>
      </c>
      <c r="D44" s="192">
        <f t="shared" si="4"/>
        <v>22170.092096658031</v>
      </c>
      <c r="E44" s="161">
        <f t="shared" si="4"/>
        <v>12356.026878230501</v>
      </c>
      <c r="F44" s="161">
        <f t="shared" si="4"/>
        <v>4051.7033510616852</v>
      </c>
      <c r="G44" s="161">
        <f t="shared" si="4"/>
        <v>-221.49061857383253</v>
      </c>
      <c r="H44" s="161">
        <f t="shared" si="4"/>
        <v>-605.76330637259639</v>
      </c>
      <c r="I44" s="161">
        <f t="shared" si="4"/>
        <v>0</v>
      </c>
      <c r="J44" s="161">
        <f t="shared" si="4"/>
        <v>6589.6157923122691</v>
      </c>
      <c r="K44" s="192">
        <f t="shared" si="4"/>
        <v>185619.69636612563</v>
      </c>
      <c r="L44" s="161">
        <f t="shared" si="4"/>
        <v>0</v>
      </c>
      <c r="M44" s="160">
        <f t="shared" si="4"/>
        <v>185619.69636612563</v>
      </c>
      <c r="N44" s="159"/>
    </row>
    <row r="45" spans="1:14">
      <c r="B45" s="199" t="s">
        <v>37</v>
      </c>
      <c r="C45" s="196">
        <f t="shared" ref="C45:C88" si="5">+D45+K45</f>
        <v>22255.332501510988</v>
      </c>
      <c r="D45" s="196">
        <f t="shared" ref="D45:D51" si="6">SUM(E45:J45)</f>
        <v>21280.177618859641</v>
      </c>
      <c r="E45" s="171">
        <v>17705.220291142199</v>
      </c>
      <c r="F45" s="171">
        <v>1.9262341254779852E-2</v>
      </c>
      <c r="G45" s="171">
        <v>-166.6414552863763</v>
      </c>
      <c r="H45" s="171">
        <v>1601.6293248446195</v>
      </c>
      <c r="I45" s="171">
        <v>0</v>
      </c>
      <c r="J45" s="171">
        <v>2139.950195817943</v>
      </c>
      <c r="K45" s="196">
        <f t="shared" ref="K45:K51" si="7">+SUM(L45:M45)</f>
        <v>975.15488265134627</v>
      </c>
      <c r="L45" s="178">
        <v>0</v>
      </c>
      <c r="M45" s="177">
        <v>975.15488265134627</v>
      </c>
      <c r="N45" s="159"/>
    </row>
    <row r="46" spans="1:14">
      <c r="A46" s="219" t="s">
        <v>171</v>
      </c>
      <c r="B46" s="185" t="s">
        <v>47</v>
      </c>
      <c r="C46" s="196">
        <f t="shared" si="5"/>
        <v>149504.8853445545</v>
      </c>
      <c r="D46" s="196">
        <f t="shared" si="6"/>
        <v>21.119639583179378</v>
      </c>
      <c r="E46" s="171">
        <v>-3233.462590341649</v>
      </c>
      <c r="F46" s="171">
        <v>43.26140806395388</v>
      </c>
      <c r="G46" s="171">
        <v>-47.743435304795341</v>
      </c>
      <c r="H46" s="171">
        <v>310.64859227388001</v>
      </c>
      <c r="I46" s="171">
        <v>0</v>
      </c>
      <c r="J46" s="171">
        <v>2948.4156648917897</v>
      </c>
      <c r="K46" s="196">
        <f t="shared" si="7"/>
        <v>149483.76570497133</v>
      </c>
      <c r="L46" s="178">
        <v>0</v>
      </c>
      <c r="M46" s="177">
        <v>149483.76570497133</v>
      </c>
      <c r="N46" s="159"/>
    </row>
    <row r="47" spans="1:14">
      <c r="B47" s="185" t="s">
        <v>121</v>
      </c>
      <c r="C47" s="196">
        <f t="shared" si="5"/>
        <v>3281.1683549992799</v>
      </c>
      <c r="D47" s="196">
        <f t="shared" si="6"/>
        <v>-9.6820721270468759</v>
      </c>
      <c r="E47" s="171">
        <v>-9.7127999951406991</v>
      </c>
      <c r="F47" s="171">
        <v>3.0727868093823073E-2</v>
      </c>
      <c r="G47" s="171">
        <v>0</v>
      </c>
      <c r="H47" s="171">
        <v>0</v>
      </c>
      <c r="I47" s="171">
        <v>0</v>
      </c>
      <c r="J47" s="171">
        <v>0</v>
      </c>
      <c r="K47" s="196">
        <f t="shared" si="7"/>
        <v>3290.8504271263268</v>
      </c>
      <c r="L47" s="178">
        <v>0</v>
      </c>
      <c r="M47" s="177">
        <v>3290.8504271263268</v>
      </c>
      <c r="N47" s="159"/>
    </row>
    <row r="48" spans="1:14">
      <c r="B48" s="185" t="s">
        <v>122</v>
      </c>
      <c r="C48" s="196">
        <f t="shared" si="5"/>
        <v>391.54700629603752</v>
      </c>
      <c r="D48" s="196">
        <f t="shared" si="6"/>
        <v>-4.8489462310344802</v>
      </c>
      <c r="E48" s="178">
        <v>-4.8563999975702998</v>
      </c>
      <c r="F48" s="178">
        <v>7.4537665358196262E-3</v>
      </c>
      <c r="G48" s="178">
        <v>0</v>
      </c>
      <c r="H48" s="178">
        <v>0</v>
      </c>
      <c r="I48" s="178">
        <v>0</v>
      </c>
      <c r="J48" s="178">
        <v>0</v>
      </c>
      <c r="K48" s="196">
        <f t="shared" si="7"/>
        <v>396.39595252707198</v>
      </c>
      <c r="L48" s="178">
        <v>0</v>
      </c>
      <c r="M48" s="177">
        <v>396.39595252707198</v>
      </c>
      <c r="N48" s="159"/>
    </row>
    <row r="49" spans="1:14" ht="14" customHeight="1">
      <c r="B49" s="185" t="s">
        <v>45</v>
      </c>
      <c r="C49" s="196">
        <f t="shared" si="5"/>
        <v>15361.297585290473</v>
      </c>
      <c r="D49" s="196">
        <f t="shared" si="6"/>
        <v>94.674979832904555</v>
      </c>
      <c r="E49" s="171">
        <v>92.109593166567365</v>
      </c>
      <c r="F49" s="171">
        <v>2.5653866663371852</v>
      </c>
      <c r="G49" s="171">
        <v>0</v>
      </c>
      <c r="H49" s="171">
        <v>0</v>
      </c>
      <c r="I49" s="171">
        <v>0</v>
      </c>
      <c r="J49" s="171">
        <v>0</v>
      </c>
      <c r="K49" s="196">
        <f t="shared" si="7"/>
        <v>15266.622605457569</v>
      </c>
      <c r="L49" s="178">
        <v>0</v>
      </c>
      <c r="M49" s="177">
        <v>15266.622605457569</v>
      </c>
      <c r="N49" s="159"/>
    </row>
    <row r="50" spans="1:14" ht="14" customHeight="1">
      <c r="A50" s="219" t="s">
        <v>172</v>
      </c>
      <c r="B50" s="185" t="s">
        <v>46</v>
      </c>
      <c r="C50" s="196">
        <f t="shared" si="5"/>
        <v>2479.6631017541658</v>
      </c>
      <c r="D50" s="196">
        <f t="shared" si="6"/>
        <v>2357.9721290491707</v>
      </c>
      <c r="E50" s="171">
        <v>-612.51301653476582</v>
      </c>
      <c r="F50" s="171">
        <v>3992.3077904930865</v>
      </c>
      <c r="G50" s="171">
        <v>-5.0313530205898207</v>
      </c>
      <c r="H50" s="171">
        <v>-2518.0412234910959</v>
      </c>
      <c r="I50" s="171">
        <v>0</v>
      </c>
      <c r="J50" s="171">
        <v>1501.2499316025358</v>
      </c>
      <c r="K50" s="196">
        <f t="shared" si="7"/>
        <v>121.69097270499515</v>
      </c>
      <c r="L50" s="178">
        <v>0</v>
      </c>
      <c r="M50" s="177">
        <v>121.69097270499515</v>
      </c>
      <c r="N50" s="159"/>
    </row>
    <row r="51" spans="1:14" ht="14" customHeight="1">
      <c r="B51" s="185" t="s">
        <v>39</v>
      </c>
      <c r="C51" s="196">
        <f t="shared" si="5"/>
        <v>14515.894568378182</v>
      </c>
      <c r="D51" s="196">
        <f t="shared" si="6"/>
        <v>-1569.3212523087877</v>
      </c>
      <c r="E51" s="171">
        <v>-1580.75819920914</v>
      </c>
      <c r="F51" s="171">
        <v>13.511321862423356</v>
      </c>
      <c r="G51" s="171">
        <v>-2.0743749620710741</v>
      </c>
      <c r="H51" s="171">
        <v>0</v>
      </c>
      <c r="I51" s="171">
        <v>0</v>
      </c>
      <c r="J51" s="171">
        <v>0</v>
      </c>
      <c r="K51" s="196">
        <f t="shared" si="7"/>
        <v>16085.21582068697</v>
      </c>
      <c r="L51" s="178">
        <v>0</v>
      </c>
      <c r="M51" s="177">
        <v>16085.21582068697</v>
      </c>
      <c r="N51" s="159"/>
    </row>
    <row r="52" spans="1:14" ht="40" customHeight="1">
      <c r="B52" s="195" t="s">
        <v>124</v>
      </c>
      <c r="C52" s="193">
        <f t="shared" si="5"/>
        <v>386836.76953536895</v>
      </c>
      <c r="D52" s="181">
        <f t="shared" ref="D52:M52" si="8">+SUM(D53:D88)</f>
        <v>93746.188854985419</v>
      </c>
      <c r="E52" s="161">
        <f t="shared" si="8"/>
        <v>5117.7426292332102</v>
      </c>
      <c r="F52" s="161">
        <f t="shared" si="8"/>
        <v>2760.3769895008863</v>
      </c>
      <c r="G52" s="161">
        <f t="shared" si="8"/>
        <v>15204.420168688473</v>
      </c>
      <c r="H52" s="191">
        <f t="shared" si="8"/>
        <v>26842.336063761708</v>
      </c>
      <c r="I52" s="191">
        <f t="shared" si="8"/>
        <v>1156.0654949586703</v>
      </c>
      <c r="J52" s="191">
        <f t="shared" si="8"/>
        <v>42665.247508842469</v>
      </c>
      <c r="K52" s="192">
        <f t="shared" si="8"/>
        <v>293090.58068038354</v>
      </c>
      <c r="L52" s="191">
        <f t="shared" si="8"/>
        <v>0</v>
      </c>
      <c r="M52" s="190">
        <f t="shared" si="8"/>
        <v>293090.58068038354</v>
      </c>
      <c r="N52" s="159"/>
    </row>
    <row r="53" spans="1:14" ht="14" customHeight="1">
      <c r="B53" s="185" t="s">
        <v>173</v>
      </c>
      <c r="C53" s="196">
        <f t="shared" si="5"/>
        <v>2.4230958874476558</v>
      </c>
      <c r="D53" s="181">
        <f t="shared" ref="D53:D90" si="9">SUM(E53:J53)</f>
        <v>7.2045163267565493E-2</v>
      </c>
      <c r="E53" s="180">
        <v>0</v>
      </c>
      <c r="F53" s="180">
        <v>7.2045163267565493E-2</v>
      </c>
      <c r="G53" s="180">
        <v>0</v>
      </c>
      <c r="H53" s="178">
        <v>0</v>
      </c>
      <c r="I53" s="178">
        <v>0</v>
      </c>
      <c r="J53" s="178">
        <v>0</v>
      </c>
      <c r="K53" s="184">
        <f t="shared" ref="K53:K88" si="10">+SUM(L53:M53)</f>
        <v>2.3510507241800904</v>
      </c>
      <c r="L53" s="178">
        <v>0</v>
      </c>
      <c r="M53" s="177">
        <v>2.3510507241800904</v>
      </c>
      <c r="N53" s="159"/>
    </row>
    <row r="54" spans="1:14" ht="14" customHeight="1">
      <c r="B54" s="185" t="s">
        <v>174</v>
      </c>
      <c r="C54" s="196">
        <f t="shared" si="5"/>
        <v>213.58223370985496</v>
      </c>
      <c r="D54" s="181">
        <f t="shared" si="9"/>
        <v>9.0370808639742266E-3</v>
      </c>
      <c r="E54" s="180">
        <v>0</v>
      </c>
      <c r="F54" s="180">
        <v>9.0370808639742266E-3</v>
      </c>
      <c r="G54" s="180">
        <v>0</v>
      </c>
      <c r="H54" s="178">
        <v>0</v>
      </c>
      <c r="I54" s="178">
        <v>0</v>
      </c>
      <c r="J54" s="178">
        <v>0</v>
      </c>
      <c r="K54" s="184">
        <f t="shared" si="10"/>
        <v>213.57319662899098</v>
      </c>
      <c r="L54" s="178">
        <v>0</v>
      </c>
      <c r="M54" s="177">
        <v>213.57319662899098</v>
      </c>
      <c r="N54" s="159"/>
    </row>
    <row r="55" spans="1:14" ht="14" customHeight="1">
      <c r="B55" s="185" t="s">
        <v>175</v>
      </c>
      <c r="C55" s="196">
        <f t="shared" si="5"/>
        <v>13.266053840261437</v>
      </c>
      <c r="D55" s="181">
        <f t="shared" si="9"/>
        <v>2.7753790269925284E-2</v>
      </c>
      <c r="E55" s="180">
        <v>0</v>
      </c>
      <c r="F55" s="180">
        <v>2.7753790269925284E-2</v>
      </c>
      <c r="G55" s="180">
        <v>0</v>
      </c>
      <c r="H55" s="178">
        <v>0</v>
      </c>
      <c r="I55" s="178">
        <v>0</v>
      </c>
      <c r="J55" s="178">
        <v>0</v>
      </c>
      <c r="K55" s="184">
        <f t="shared" si="10"/>
        <v>13.238300049991512</v>
      </c>
      <c r="L55" s="178">
        <v>0</v>
      </c>
      <c r="M55" s="177">
        <v>13.238300049991512</v>
      </c>
      <c r="N55" s="159"/>
    </row>
    <row r="56" spans="1:14" ht="14" customHeight="1">
      <c r="B56" s="185" t="s">
        <v>176</v>
      </c>
      <c r="C56" s="196">
        <f t="shared" si="5"/>
        <v>123.33728275211953</v>
      </c>
      <c r="D56" s="181">
        <f t="shared" si="9"/>
        <v>0</v>
      </c>
      <c r="E56" s="180">
        <v>0</v>
      </c>
      <c r="F56" s="180">
        <v>0</v>
      </c>
      <c r="G56" s="180">
        <v>0</v>
      </c>
      <c r="H56" s="178">
        <v>0</v>
      </c>
      <c r="I56" s="178">
        <v>0</v>
      </c>
      <c r="J56" s="178">
        <v>0</v>
      </c>
      <c r="K56" s="184">
        <f t="shared" si="10"/>
        <v>123.33728275211953</v>
      </c>
      <c r="L56" s="178">
        <v>0</v>
      </c>
      <c r="M56" s="177">
        <v>123.33728275211953</v>
      </c>
      <c r="N56" s="159"/>
    </row>
    <row r="57" spans="1:14" ht="14" customHeight="1">
      <c r="A57" s="219" t="s">
        <v>177</v>
      </c>
      <c r="B57" s="185" t="s">
        <v>178</v>
      </c>
      <c r="C57" s="196">
        <f t="shared" si="5"/>
        <v>1544.8356546338973</v>
      </c>
      <c r="D57" s="181">
        <f t="shared" si="9"/>
        <v>390.86531552018306</v>
      </c>
      <c r="E57" s="180">
        <v>0</v>
      </c>
      <c r="F57" s="180">
        <v>0</v>
      </c>
      <c r="G57" s="180">
        <v>0</v>
      </c>
      <c r="H57" s="178">
        <v>390.86531552018306</v>
      </c>
      <c r="I57" s="178">
        <v>0</v>
      </c>
      <c r="J57" s="178">
        <v>0</v>
      </c>
      <c r="K57" s="184">
        <f t="shared" si="10"/>
        <v>1153.9703391137143</v>
      </c>
      <c r="L57" s="178">
        <v>0</v>
      </c>
      <c r="M57" s="177">
        <v>1153.9703391137143</v>
      </c>
      <c r="N57" s="159"/>
    </row>
    <row r="58" spans="1:14" ht="14" customHeight="1">
      <c r="A58" s="219" t="s">
        <v>179</v>
      </c>
      <c r="B58" s="185" t="s">
        <v>180</v>
      </c>
      <c r="C58" s="196">
        <f t="shared" si="5"/>
        <v>811.20778638926799</v>
      </c>
      <c r="D58" s="181">
        <f t="shared" si="9"/>
        <v>-192.90087561766276</v>
      </c>
      <c r="E58" s="180">
        <v>-199.11239990038001</v>
      </c>
      <c r="F58" s="180">
        <v>6.6724964965108207</v>
      </c>
      <c r="G58" s="180">
        <v>-0.46097221379357206</v>
      </c>
      <c r="H58" s="178">
        <v>0</v>
      </c>
      <c r="I58" s="178">
        <v>0</v>
      </c>
      <c r="J58" s="178">
        <v>0</v>
      </c>
      <c r="K58" s="184">
        <f t="shared" si="10"/>
        <v>1004.1086620069308</v>
      </c>
      <c r="L58" s="178">
        <v>0</v>
      </c>
      <c r="M58" s="177">
        <v>1004.1086620069308</v>
      </c>
      <c r="N58" s="159"/>
    </row>
    <row r="59" spans="1:14" ht="14" customHeight="1">
      <c r="B59" s="185" t="s">
        <v>181</v>
      </c>
      <c r="C59" s="196">
        <f t="shared" si="5"/>
        <v>216.25147493540092</v>
      </c>
      <c r="D59" s="181">
        <f t="shared" si="9"/>
        <v>23.79012539556178</v>
      </c>
      <c r="E59" s="180">
        <v>0</v>
      </c>
      <c r="F59" s="180">
        <v>13.372153363827056</v>
      </c>
      <c r="G59" s="180">
        <v>10.417972031734726</v>
      </c>
      <c r="H59" s="178">
        <v>0</v>
      </c>
      <c r="I59" s="178">
        <v>0</v>
      </c>
      <c r="J59" s="178">
        <v>0</v>
      </c>
      <c r="K59" s="184">
        <f t="shared" si="10"/>
        <v>192.46134953983915</v>
      </c>
      <c r="L59" s="178">
        <v>0</v>
      </c>
      <c r="M59" s="177">
        <v>192.46134953983915</v>
      </c>
      <c r="N59" s="159"/>
    </row>
    <row r="60" spans="1:14" ht="14" customHeight="1">
      <c r="B60" s="185" t="s">
        <v>182</v>
      </c>
      <c r="C60" s="196">
        <f t="shared" si="5"/>
        <v>5.266852257878341</v>
      </c>
      <c r="D60" s="181">
        <f t="shared" si="9"/>
        <v>8.065746991227575E-2</v>
      </c>
      <c r="E60" s="180">
        <v>0</v>
      </c>
      <c r="F60" s="180">
        <v>0</v>
      </c>
      <c r="G60" s="180">
        <v>0</v>
      </c>
      <c r="H60" s="178">
        <v>0</v>
      </c>
      <c r="I60" s="178">
        <v>8.065746991227575E-2</v>
      </c>
      <c r="J60" s="178">
        <v>0</v>
      </c>
      <c r="K60" s="184">
        <f t="shared" si="10"/>
        <v>5.1861947879660653</v>
      </c>
      <c r="L60" s="178">
        <v>0</v>
      </c>
      <c r="M60" s="177">
        <v>5.1861947879660653</v>
      </c>
      <c r="N60" s="159"/>
    </row>
    <row r="61" spans="1:14" ht="14" customHeight="1">
      <c r="B61" s="185" t="s">
        <v>89</v>
      </c>
      <c r="C61" s="196">
        <f t="shared" si="5"/>
        <v>69457.285062833456</v>
      </c>
      <c r="D61" s="181">
        <f t="shared" si="9"/>
        <v>45189.249403021218</v>
      </c>
      <c r="E61" s="180">
        <v>0</v>
      </c>
      <c r="F61" s="180">
        <v>0</v>
      </c>
      <c r="G61" s="180">
        <v>12238.812276219338</v>
      </c>
      <c r="H61" s="178">
        <v>7295.2314096845521</v>
      </c>
      <c r="I61" s="178">
        <v>0</v>
      </c>
      <c r="J61" s="178">
        <v>25655.205717117329</v>
      </c>
      <c r="K61" s="184">
        <f t="shared" si="10"/>
        <v>24268.035659812238</v>
      </c>
      <c r="L61" s="178">
        <v>0</v>
      </c>
      <c r="M61" s="177">
        <v>24268.035659812238</v>
      </c>
      <c r="N61" s="159"/>
    </row>
    <row r="62" spans="1:14" ht="14" customHeight="1">
      <c r="A62" s="219" t="s">
        <v>375</v>
      </c>
      <c r="B62" s="185" t="s">
        <v>183</v>
      </c>
      <c r="C62" s="196">
        <f t="shared" si="5"/>
        <v>-5.3465463947633669</v>
      </c>
      <c r="D62" s="181">
        <f t="shared" si="9"/>
        <v>0</v>
      </c>
      <c r="E62" s="180">
        <v>0</v>
      </c>
      <c r="F62" s="180">
        <v>0</v>
      </c>
      <c r="G62" s="180">
        <v>0</v>
      </c>
      <c r="H62" s="178">
        <v>0</v>
      </c>
      <c r="I62" s="178">
        <v>0</v>
      </c>
      <c r="J62" s="178">
        <v>0</v>
      </c>
      <c r="K62" s="184">
        <f t="shared" si="10"/>
        <v>-5.3465463947633669</v>
      </c>
      <c r="L62" s="178">
        <v>0</v>
      </c>
      <c r="M62" s="177">
        <v>-5.3465463947633669</v>
      </c>
      <c r="N62" s="159"/>
    </row>
    <row r="63" spans="1:14" ht="14" customHeight="1">
      <c r="A63" s="219" t="s">
        <v>376</v>
      </c>
      <c r="B63" s="185" t="s">
        <v>364</v>
      </c>
      <c r="C63" s="196">
        <f t="shared" si="5"/>
        <v>155035.98067250533</v>
      </c>
      <c r="D63" s="181">
        <f t="shared" si="9"/>
        <v>5269.6923767666385</v>
      </c>
      <c r="E63" s="180">
        <v>44.921699977526004</v>
      </c>
      <c r="F63" s="180">
        <v>947.17370135434703</v>
      </c>
      <c r="G63" s="180">
        <v>0</v>
      </c>
      <c r="H63" s="178">
        <v>4206.9428079563804</v>
      </c>
      <c r="I63" s="178">
        <v>0</v>
      </c>
      <c r="J63" s="178">
        <v>70.654167478384963</v>
      </c>
      <c r="K63" s="184">
        <f t="shared" si="10"/>
        <v>149766.28829573869</v>
      </c>
      <c r="L63" s="178">
        <v>0</v>
      </c>
      <c r="M63" s="177">
        <v>149766.28829573869</v>
      </c>
      <c r="N63" s="159"/>
    </row>
    <row r="64" spans="1:14" ht="14" customHeight="1">
      <c r="B64" s="189" t="s">
        <v>185</v>
      </c>
      <c r="C64" s="196">
        <f t="shared" si="5"/>
        <v>56964.833106419734</v>
      </c>
      <c r="D64" s="181">
        <f t="shared" si="9"/>
        <v>13256.949435024355</v>
      </c>
      <c r="E64" s="180">
        <v>116.55359994169</v>
      </c>
      <c r="F64" s="180">
        <v>0</v>
      </c>
      <c r="G64" s="180">
        <v>1975.9573944261465</v>
      </c>
      <c r="H64" s="178">
        <v>5047.5296945826385</v>
      </c>
      <c r="I64" s="178">
        <v>0</v>
      </c>
      <c r="J64" s="178">
        <v>6116.9087460738792</v>
      </c>
      <c r="K64" s="184">
        <f t="shared" si="10"/>
        <v>43707.883671395379</v>
      </c>
      <c r="L64" s="178">
        <v>0</v>
      </c>
      <c r="M64" s="177">
        <v>43707.883671395379</v>
      </c>
      <c r="N64" s="159"/>
    </row>
    <row r="65" spans="1:14" ht="14" customHeight="1">
      <c r="B65" s="185" t="s">
        <v>186</v>
      </c>
      <c r="C65" s="196">
        <f t="shared" si="5"/>
        <v>115.53068522180237</v>
      </c>
      <c r="D65" s="181">
        <f t="shared" si="9"/>
        <v>-15.625466992182631</v>
      </c>
      <c r="E65" s="180">
        <v>-15.625466992182631</v>
      </c>
      <c r="F65" s="180">
        <v>0</v>
      </c>
      <c r="G65" s="180">
        <v>0</v>
      </c>
      <c r="H65" s="178">
        <v>0</v>
      </c>
      <c r="I65" s="178">
        <v>0</v>
      </c>
      <c r="J65" s="178">
        <v>0</v>
      </c>
      <c r="K65" s="184">
        <f t="shared" si="10"/>
        <v>131.156152213985</v>
      </c>
      <c r="L65" s="178">
        <v>0</v>
      </c>
      <c r="M65" s="177">
        <v>131.156152213985</v>
      </c>
      <c r="N65" s="159"/>
    </row>
    <row r="66" spans="1:14" ht="14" customHeight="1">
      <c r="B66" s="185" t="s">
        <v>187</v>
      </c>
      <c r="C66" s="196">
        <f t="shared" si="5"/>
        <v>7272.0437159187277</v>
      </c>
      <c r="D66" s="181">
        <f t="shared" si="9"/>
        <v>6685.621793657202</v>
      </c>
      <c r="E66" s="180">
        <v>511.86027526694767</v>
      </c>
      <c r="F66" s="180">
        <v>1703.0350937789067</v>
      </c>
      <c r="G66" s="180">
        <v>42.526332755038055</v>
      </c>
      <c r="H66" s="178">
        <v>413.60010672989881</v>
      </c>
      <c r="I66" s="178">
        <v>9.9983183989815156</v>
      </c>
      <c r="J66" s="178">
        <v>4004.6016667274293</v>
      </c>
      <c r="K66" s="184">
        <f t="shared" si="10"/>
        <v>586.42192226152565</v>
      </c>
      <c r="L66" s="178">
        <v>0</v>
      </c>
      <c r="M66" s="177">
        <v>586.42192226152565</v>
      </c>
      <c r="N66" s="159"/>
    </row>
    <row r="67" spans="1:14" ht="14" customHeight="1">
      <c r="B67" s="185" t="s">
        <v>188</v>
      </c>
      <c r="C67" s="196">
        <f t="shared" si="5"/>
        <v>3383.267548608057</v>
      </c>
      <c r="D67" s="181">
        <f t="shared" si="9"/>
        <v>2893.9692759729851</v>
      </c>
      <c r="E67" s="180">
        <v>-15.518602577421515</v>
      </c>
      <c r="F67" s="180">
        <v>2.9005118065748583</v>
      </c>
      <c r="G67" s="180">
        <v>664.33854490831129</v>
      </c>
      <c r="H67" s="178">
        <v>2242.2488218355206</v>
      </c>
      <c r="I67" s="178">
        <v>0</v>
      </c>
      <c r="J67" s="178">
        <v>0</v>
      </c>
      <c r="K67" s="184">
        <f t="shared" si="10"/>
        <v>489.29827263507195</v>
      </c>
      <c r="L67" s="178">
        <v>0</v>
      </c>
      <c r="M67" s="177">
        <v>489.29827263507195</v>
      </c>
      <c r="N67" s="159"/>
    </row>
    <row r="68" spans="1:14" ht="14" customHeight="1">
      <c r="B68" s="185" t="s">
        <v>189</v>
      </c>
      <c r="C68" s="196">
        <f t="shared" si="5"/>
        <v>4.1725997786207163</v>
      </c>
      <c r="D68" s="181">
        <f t="shared" si="9"/>
        <v>0.17023905159586764</v>
      </c>
      <c r="E68" s="180">
        <v>0</v>
      </c>
      <c r="F68" s="180">
        <v>0.17023905159586764</v>
      </c>
      <c r="G68" s="180">
        <v>0</v>
      </c>
      <c r="H68" s="178">
        <v>0</v>
      </c>
      <c r="I68" s="178">
        <v>0</v>
      </c>
      <c r="J68" s="178">
        <v>0</v>
      </c>
      <c r="K68" s="184">
        <f t="shared" si="10"/>
        <v>4.0023607270248487</v>
      </c>
      <c r="L68" s="178">
        <v>0</v>
      </c>
      <c r="M68" s="177">
        <v>4.0023607270248487</v>
      </c>
      <c r="N68" s="159"/>
    </row>
    <row r="69" spans="1:14" ht="14" customHeight="1">
      <c r="B69" s="185" t="s">
        <v>190</v>
      </c>
      <c r="C69" s="196">
        <f t="shared" si="5"/>
        <v>956.28691439342447</v>
      </c>
      <c r="D69" s="181">
        <f t="shared" si="9"/>
        <v>772.20380508388087</v>
      </c>
      <c r="E69" s="180">
        <v>-47.349899976311001</v>
      </c>
      <c r="F69" s="180">
        <v>36.061658076690634</v>
      </c>
      <c r="G69" s="180">
        <v>0</v>
      </c>
      <c r="H69" s="178">
        <v>783.49204698350127</v>
      </c>
      <c r="I69" s="178">
        <v>0</v>
      </c>
      <c r="J69" s="178">
        <v>0</v>
      </c>
      <c r="K69" s="184">
        <f t="shared" si="10"/>
        <v>184.0831093095436</v>
      </c>
      <c r="L69" s="178">
        <v>0</v>
      </c>
      <c r="M69" s="177">
        <v>184.0831093095436</v>
      </c>
      <c r="N69" s="159"/>
    </row>
    <row r="70" spans="1:14" ht="14" customHeight="1">
      <c r="A70" s="219" t="s">
        <v>191</v>
      </c>
      <c r="B70" s="185" t="s">
        <v>365</v>
      </c>
      <c r="C70" s="196">
        <f t="shared" si="5"/>
        <v>3266.3938197704301</v>
      </c>
      <c r="D70" s="181">
        <f t="shared" si="9"/>
        <v>3039.5056282634091</v>
      </c>
      <c r="E70" s="180">
        <v>1.8990497800651365</v>
      </c>
      <c r="F70" s="180">
        <v>4.4517843408043891</v>
      </c>
      <c r="G70" s="180">
        <v>0</v>
      </c>
      <c r="H70" s="178">
        <v>2756.1113336412345</v>
      </c>
      <c r="I70" s="178">
        <v>0</v>
      </c>
      <c r="J70" s="178">
        <v>277.04346050130516</v>
      </c>
      <c r="K70" s="184">
        <f t="shared" si="10"/>
        <v>226.88819150702102</v>
      </c>
      <c r="L70" s="178">
        <v>0</v>
      </c>
      <c r="M70" s="177">
        <v>226.88819150702102</v>
      </c>
      <c r="N70" s="159"/>
    </row>
    <row r="71" spans="1:14" ht="14" customHeight="1">
      <c r="A71" s="219" t="s">
        <v>192</v>
      </c>
      <c r="B71" s="185" t="s">
        <v>24</v>
      </c>
      <c r="C71" s="196">
        <f t="shared" si="5"/>
        <v>44685.10692140615</v>
      </c>
      <c r="D71" s="181">
        <f t="shared" si="9"/>
        <v>10281.541351931135</v>
      </c>
      <c r="E71" s="180">
        <v>4273.6319978619003</v>
      </c>
      <c r="F71" s="180">
        <v>10.313566947786425</v>
      </c>
      <c r="G71" s="180">
        <v>59.234929472474008</v>
      </c>
      <c r="H71" s="178">
        <v>1681.6892334032877</v>
      </c>
      <c r="I71" s="178">
        <v>0</v>
      </c>
      <c r="J71" s="178">
        <v>4256.6716242456878</v>
      </c>
      <c r="K71" s="184">
        <f t="shared" si="10"/>
        <v>34403.565569475017</v>
      </c>
      <c r="L71" s="178">
        <v>0</v>
      </c>
      <c r="M71" s="177">
        <v>34403.565569475017</v>
      </c>
      <c r="N71" s="159"/>
    </row>
    <row r="72" spans="1:14" ht="14" customHeight="1">
      <c r="B72" s="185" t="s">
        <v>193</v>
      </c>
      <c r="C72" s="196">
        <f t="shared" si="5"/>
        <v>154.23105587659745</v>
      </c>
      <c r="D72" s="181">
        <f t="shared" si="9"/>
        <v>5.1282404161474346</v>
      </c>
      <c r="E72" s="180">
        <v>0</v>
      </c>
      <c r="F72" s="180">
        <v>4.7011768660379651</v>
      </c>
      <c r="G72" s="180">
        <v>0</v>
      </c>
      <c r="H72" s="178">
        <v>0</v>
      </c>
      <c r="I72" s="178">
        <v>0.42706355010946995</v>
      </c>
      <c r="J72" s="178">
        <v>0</v>
      </c>
      <c r="K72" s="184">
        <f t="shared" si="10"/>
        <v>149.10281546045002</v>
      </c>
      <c r="L72" s="178">
        <v>0</v>
      </c>
      <c r="M72" s="177">
        <v>149.10281546045002</v>
      </c>
      <c r="N72" s="159"/>
    </row>
    <row r="73" spans="1:14" ht="14" customHeight="1">
      <c r="B73" s="185" t="s">
        <v>194</v>
      </c>
      <c r="C73" s="196">
        <f t="shared" si="5"/>
        <v>216.85439044033095</v>
      </c>
      <c r="D73" s="181">
        <f t="shared" si="9"/>
        <v>116.7561119437278</v>
      </c>
      <c r="E73" s="180">
        <v>94.699799952622001</v>
      </c>
      <c r="F73" s="180">
        <v>22.056311991105794</v>
      </c>
      <c r="G73" s="180">
        <v>0</v>
      </c>
      <c r="H73" s="178">
        <v>0</v>
      </c>
      <c r="I73" s="178">
        <v>0</v>
      </c>
      <c r="J73" s="178">
        <v>0</v>
      </c>
      <c r="K73" s="184">
        <f t="shared" si="10"/>
        <v>100.09827849660314</v>
      </c>
      <c r="L73" s="178">
        <v>0</v>
      </c>
      <c r="M73" s="177">
        <v>100.09827849660314</v>
      </c>
      <c r="N73" s="159"/>
    </row>
    <row r="74" spans="1:14" ht="14" customHeight="1">
      <c r="B74" s="185" t="s">
        <v>195</v>
      </c>
      <c r="C74" s="196">
        <f t="shared" si="5"/>
        <v>968.79224367855647</v>
      </c>
      <c r="D74" s="181">
        <f t="shared" si="9"/>
        <v>600.95805395320735</v>
      </c>
      <c r="E74" s="180">
        <v>0</v>
      </c>
      <c r="F74" s="180">
        <v>0</v>
      </c>
      <c r="G74" s="180">
        <v>0</v>
      </c>
      <c r="H74" s="178">
        <v>600.95805395320735</v>
      </c>
      <c r="I74" s="178">
        <v>0</v>
      </c>
      <c r="J74" s="178">
        <v>0</v>
      </c>
      <c r="K74" s="184">
        <f t="shared" si="10"/>
        <v>367.83418972534912</v>
      </c>
      <c r="L74" s="178">
        <v>0</v>
      </c>
      <c r="M74" s="177">
        <v>367.83418972534912</v>
      </c>
      <c r="N74" s="159"/>
    </row>
    <row r="75" spans="1:14" ht="14" customHeight="1">
      <c r="A75" s="219" t="s">
        <v>196</v>
      </c>
      <c r="B75" s="185" t="s">
        <v>197</v>
      </c>
      <c r="C75" s="196">
        <f t="shared" si="5"/>
        <v>2669.583642106104</v>
      </c>
      <c r="D75" s="181">
        <f t="shared" si="9"/>
        <v>0.44800131878256805</v>
      </c>
      <c r="E75" s="180">
        <v>0</v>
      </c>
      <c r="F75" s="180">
        <v>0.44800131878256805</v>
      </c>
      <c r="G75" s="180">
        <v>0</v>
      </c>
      <c r="H75" s="178">
        <v>0</v>
      </c>
      <c r="I75" s="178">
        <v>0</v>
      </c>
      <c r="J75" s="178">
        <v>0</v>
      </c>
      <c r="K75" s="184">
        <f t="shared" si="10"/>
        <v>2669.1356407873213</v>
      </c>
      <c r="L75" s="178">
        <v>0</v>
      </c>
      <c r="M75" s="177">
        <v>2669.1356407873213</v>
      </c>
      <c r="N75" s="159"/>
    </row>
    <row r="76" spans="1:14" ht="14" customHeight="1">
      <c r="B76" s="185" t="s">
        <v>87</v>
      </c>
      <c r="C76" s="196">
        <f t="shared" si="5"/>
        <v>2106.4968673421495</v>
      </c>
      <c r="D76" s="181">
        <f t="shared" si="9"/>
        <v>2099.4714887082591</v>
      </c>
      <c r="E76" s="180">
        <v>415.5509993243021</v>
      </c>
      <c r="F76" s="180">
        <v>6.0878081894871046E-2</v>
      </c>
      <c r="G76" s="180">
        <v>213.59369108922525</v>
      </c>
      <c r="H76" s="178">
        <v>324.70646467316948</v>
      </c>
      <c r="I76" s="178">
        <v>1145.5594555396672</v>
      </c>
      <c r="J76" s="178">
        <v>0</v>
      </c>
      <c r="K76" s="184">
        <f t="shared" si="10"/>
        <v>7.025378633890341</v>
      </c>
      <c r="L76" s="178">
        <v>0</v>
      </c>
      <c r="M76" s="220">
        <v>7.025378633890341</v>
      </c>
      <c r="N76" s="159"/>
    </row>
    <row r="77" spans="1:14" ht="14" customHeight="1">
      <c r="A77" s="219" t="s">
        <v>198</v>
      </c>
      <c r="B77" s="185" t="s">
        <v>134</v>
      </c>
      <c r="C77" s="196">
        <f t="shared" si="5"/>
        <v>1071.704268069549</v>
      </c>
      <c r="D77" s="181">
        <f t="shared" si="9"/>
        <v>322.6688292329535</v>
      </c>
      <c r="E77" s="180">
        <v>322.95059983842998</v>
      </c>
      <c r="F77" s="180">
        <v>-0.28177060547647398</v>
      </c>
      <c r="G77" s="180">
        <v>0</v>
      </c>
      <c r="H77" s="178">
        <v>0</v>
      </c>
      <c r="I77" s="178">
        <v>0</v>
      </c>
      <c r="J77" s="178">
        <v>0</v>
      </c>
      <c r="K77" s="184">
        <f t="shared" si="10"/>
        <v>749.03543883659552</v>
      </c>
      <c r="L77" s="178">
        <v>0</v>
      </c>
      <c r="M77" s="177">
        <v>749.03543883659552</v>
      </c>
      <c r="N77" s="159"/>
    </row>
    <row r="78" spans="1:14" ht="14" customHeight="1">
      <c r="B78" s="185" t="s">
        <v>199</v>
      </c>
      <c r="C78" s="196">
        <f t="shared" si="5"/>
        <v>2.2011967451673256</v>
      </c>
      <c r="D78" s="181">
        <f t="shared" si="9"/>
        <v>0</v>
      </c>
      <c r="E78" s="180">
        <v>0</v>
      </c>
      <c r="F78" s="180">
        <v>0</v>
      </c>
      <c r="G78" s="180">
        <v>0</v>
      </c>
      <c r="H78" s="178">
        <v>0</v>
      </c>
      <c r="I78" s="178">
        <v>0</v>
      </c>
      <c r="J78" s="178">
        <v>0</v>
      </c>
      <c r="K78" s="184">
        <f t="shared" si="10"/>
        <v>2.2011967451673256</v>
      </c>
      <c r="L78" s="178">
        <v>0</v>
      </c>
      <c r="M78" s="177">
        <v>2.2011967451673256</v>
      </c>
      <c r="N78" s="159"/>
    </row>
    <row r="79" spans="1:14" ht="14" customHeight="1">
      <c r="B79" s="185" t="s">
        <v>200</v>
      </c>
      <c r="C79" s="196">
        <f t="shared" si="5"/>
        <v>31.796067267748899</v>
      </c>
      <c r="D79" s="181">
        <f t="shared" si="9"/>
        <v>0</v>
      </c>
      <c r="E79" s="180">
        <v>0</v>
      </c>
      <c r="F79" s="180">
        <v>0</v>
      </c>
      <c r="G79" s="180">
        <v>0</v>
      </c>
      <c r="H79" s="178">
        <v>0</v>
      </c>
      <c r="I79" s="178">
        <v>0</v>
      </c>
      <c r="J79" s="178">
        <v>0</v>
      </c>
      <c r="K79" s="184">
        <f t="shared" si="10"/>
        <v>31.796067267748899</v>
      </c>
      <c r="L79" s="178">
        <v>0</v>
      </c>
      <c r="M79" s="177">
        <v>31.796067267748899</v>
      </c>
      <c r="N79" s="159"/>
    </row>
    <row r="80" spans="1:14" ht="14" customHeight="1">
      <c r="B80" s="185" t="s">
        <v>201</v>
      </c>
      <c r="C80" s="196">
        <f t="shared" si="5"/>
        <v>3155.0149882749065</v>
      </c>
      <c r="D80" s="181">
        <f t="shared" si="9"/>
        <v>6.0673393508282949</v>
      </c>
      <c r="E80" s="180">
        <v>-0.80130599959911608</v>
      </c>
      <c r="F80" s="180">
        <v>6.8686453504274105</v>
      </c>
      <c r="G80" s="180">
        <v>0</v>
      </c>
      <c r="H80" s="178">
        <v>0</v>
      </c>
      <c r="I80" s="178">
        <v>0</v>
      </c>
      <c r="J80" s="178">
        <v>0</v>
      </c>
      <c r="K80" s="184">
        <f t="shared" si="10"/>
        <v>3148.9476489240783</v>
      </c>
      <c r="L80" s="178">
        <v>0</v>
      </c>
      <c r="M80" s="177">
        <v>3148.9476489240783</v>
      </c>
      <c r="N80" s="159"/>
    </row>
    <row r="81" spans="1:14" ht="14" customHeight="1">
      <c r="B81" s="185" t="s">
        <v>202</v>
      </c>
      <c r="C81" s="196">
        <f t="shared" si="5"/>
        <v>149.47889266090402</v>
      </c>
      <c r="D81" s="181">
        <f t="shared" si="9"/>
        <v>0.28278646073447922</v>
      </c>
      <c r="E81" s="180">
        <v>0</v>
      </c>
      <c r="F81" s="180">
        <v>0.28278646073447922</v>
      </c>
      <c r="G81" s="180">
        <v>0</v>
      </c>
      <c r="H81" s="178">
        <v>0</v>
      </c>
      <c r="I81" s="178">
        <v>0</v>
      </c>
      <c r="J81" s="178">
        <v>0</v>
      </c>
      <c r="K81" s="184">
        <f t="shared" si="10"/>
        <v>149.19610620016954</v>
      </c>
      <c r="L81" s="178">
        <v>0</v>
      </c>
      <c r="M81" s="177">
        <v>149.19610620016954</v>
      </c>
      <c r="N81" s="159"/>
    </row>
    <row r="82" spans="1:14">
      <c r="B82" s="185" t="s">
        <v>22</v>
      </c>
      <c r="C82" s="196">
        <f t="shared" si="5"/>
        <v>30328.204654972891</v>
      </c>
      <c r="D82" s="181">
        <f t="shared" si="9"/>
        <v>3019.45065550662</v>
      </c>
      <c r="E82" s="180">
        <v>-365.44409981717001</v>
      </c>
      <c r="F82" s="180">
        <v>1.7718538272047677</v>
      </c>
      <c r="G82" s="180">
        <v>0</v>
      </c>
      <c r="H82" s="178">
        <v>1098.9607747981333</v>
      </c>
      <c r="I82" s="178">
        <v>0</v>
      </c>
      <c r="J82" s="178">
        <v>2284.1621266984521</v>
      </c>
      <c r="K82" s="184">
        <f t="shared" si="10"/>
        <v>27308.753999466273</v>
      </c>
      <c r="L82" s="178">
        <v>0</v>
      </c>
      <c r="M82" s="177">
        <v>27308.753999466273</v>
      </c>
      <c r="N82" s="159"/>
    </row>
    <row r="83" spans="1:14">
      <c r="B83" s="185" t="s">
        <v>524</v>
      </c>
      <c r="C83" s="196">
        <f t="shared" si="5"/>
        <v>-0.10058821358700398</v>
      </c>
      <c r="D83" s="181">
        <f t="shared" si="9"/>
        <v>8.0949907943786027E-3</v>
      </c>
      <c r="E83" s="180">
        <v>0</v>
      </c>
      <c r="F83" s="180">
        <v>8.0949907943786027E-3</v>
      </c>
      <c r="G83" s="180">
        <v>0</v>
      </c>
      <c r="H83" s="178">
        <v>0</v>
      </c>
      <c r="I83" s="178">
        <v>0</v>
      </c>
      <c r="J83" s="178">
        <v>0</v>
      </c>
      <c r="K83" s="184">
        <f t="shared" si="10"/>
        <v>-0.10868320438138258</v>
      </c>
      <c r="L83" s="178">
        <v>0</v>
      </c>
      <c r="M83" s="177">
        <v>-0.10868320438138258</v>
      </c>
      <c r="N83" s="159"/>
    </row>
    <row r="84" spans="1:14">
      <c r="B84" s="185" t="s">
        <v>523</v>
      </c>
      <c r="C84" s="196">
        <f t="shared" si="5"/>
        <v>-39.267764691463398</v>
      </c>
      <c r="D84" s="181">
        <f t="shared" si="9"/>
        <v>-1.1054972739637652</v>
      </c>
      <c r="E84" s="180">
        <v>-1.2140999993926</v>
      </c>
      <c r="F84" s="180">
        <v>0.10860272542883488</v>
      </c>
      <c r="G84" s="180">
        <v>0</v>
      </c>
      <c r="H84" s="178">
        <v>0</v>
      </c>
      <c r="I84" s="178">
        <v>0</v>
      </c>
      <c r="J84" s="178">
        <v>0</v>
      </c>
      <c r="K84" s="184">
        <f t="shared" si="10"/>
        <v>-38.162267417499635</v>
      </c>
      <c r="L84" s="178">
        <v>0</v>
      </c>
      <c r="M84" s="177">
        <v>-38.162267417499635</v>
      </c>
      <c r="N84" s="159"/>
    </row>
    <row r="85" spans="1:14">
      <c r="B85" s="185" t="s">
        <v>522</v>
      </c>
      <c r="C85" s="196">
        <f t="shared" si="5"/>
        <v>9.3345135764596208</v>
      </c>
      <c r="D85" s="181">
        <f t="shared" si="9"/>
        <v>3.2920241160652609E-3</v>
      </c>
      <c r="E85" s="180">
        <v>0</v>
      </c>
      <c r="F85" s="180">
        <v>3.2920241160652609E-3</v>
      </c>
      <c r="G85" s="180">
        <v>0</v>
      </c>
      <c r="H85" s="178">
        <v>0</v>
      </c>
      <c r="I85" s="178">
        <v>0</v>
      </c>
      <c r="J85" s="178">
        <v>0</v>
      </c>
      <c r="K85" s="184">
        <f t="shared" si="10"/>
        <v>9.3312215523435551</v>
      </c>
      <c r="L85" s="178">
        <v>0</v>
      </c>
      <c r="M85" s="177">
        <v>9.3312215523435551</v>
      </c>
      <c r="N85" s="159"/>
    </row>
    <row r="86" spans="1:14" ht="23">
      <c r="A86" s="219" t="s">
        <v>377</v>
      </c>
      <c r="B86" s="185" t="s">
        <v>206</v>
      </c>
      <c r="C86" s="196">
        <f t="shared" si="5"/>
        <v>1.3098229245816537</v>
      </c>
      <c r="D86" s="181">
        <f t="shared" si="9"/>
        <v>1.2875289252840306E-2</v>
      </c>
      <c r="E86" s="180">
        <v>0</v>
      </c>
      <c r="F86" s="180">
        <v>1.2875289252840306E-2</v>
      </c>
      <c r="G86" s="180">
        <v>0</v>
      </c>
      <c r="H86" s="178">
        <v>0</v>
      </c>
      <c r="I86" s="178">
        <v>0</v>
      </c>
      <c r="J86" s="178">
        <v>0</v>
      </c>
      <c r="K86" s="184">
        <f t="shared" si="10"/>
        <v>1.2969476353288134</v>
      </c>
      <c r="L86" s="178">
        <v>0</v>
      </c>
      <c r="M86" s="177">
        <v>1.2969476353288134</v>
      </c>
      <c r="N86" s="159"/>
    </row>
    <row r="87" spans="1:14">
      <c r="B87" s="185" t="s">
        <v>207</v>
      </c>
      <c r="C87" s="196">
        <f t="shared" si="5"/>
        <v>1877.8346026243687</v>
      </c>
      <c r="D87" s="181">
        <f t="shared" si="9"/>
        <v>-19.183317518677327</v>
      </c>
      <c r="E87" s="180">
        <v>-19.259517447815881</v>
      </c>
      <c r="F87" s="180">
        <v>7.6199929138552142E-2</v>
      </c>
      <c r="G87" s="180">
        <v>0</v>
      </c>
      <c r="H87" s="178">
        <v>0</v>
      </c>
      <c r="I87" s="178">
        <v>0</v>
      </c>
      <c r="J87" s="178">
        <v>0</v>
      </c>
      <c r="K87" s="184">
        <f t="shared" si="10"/>
        <v>1897.017920143046</v>
      </c>
      <c r="L87" s="178">
        <v>0</v>
      </c>
      <c r="M87" s="177">
        <v>1897.017920143046</v>
      </c>
      <c r="N87" s="159"/>
    </row>
    <row r="88" spans="1:14">
      <c r="B88" s="185" t="s">
        <v>18</v>
      </c>
      <c r="C88" s="196">
        <f t="shared" si="5"/>
        <v>67.575746846713315</v>
      </c>
      <c r="D88" s="181">
        <f t="shared" si="9"/>
        <v>0</v>
      </c>
      <c r="E88" s="180">
        <v>0</v>
      </c>
      <c r="F88" s="180">
        <v>0</v>
      </c>
      <c r="G88" s="180">
        <v>0</v>
      </c>
      <c r="H88" s="178">
        <v>0</v>
      </c>
      <c r="I88" s="178">
        <v>0</v>
      </c>
      <c r="J88" s="178">
        <v>0</v>
      </c>
      <c r="K88" s="184">
        <f t="shared" si="10"/>
        <v>67.575746846713315</v>
      </c>
      <c r="L88" s="178">
        <v>0</v>
      </c>
      <c r="M88" s="177">
        <v>67.575746846713315</v>
      </c>
      <c r="N88" s="159"/>
    </row>
    <row r="89" spans="1:14" ht="40" customHeight="1">
      <c r="B89" s="176" t="s">
        <v>367</v>
      </c>
      <c r="C89" s="175">
        <f>+C90-C52-C44-SUM(C9:C43)</f>
        <v>65442.279878934845</v>
      </c>
      <c r="D89" s="172">
        <f t="shared" si="9"/>
        <v>8149.1365600186236</v>
      </c>
      <c r="E89" s="488">
        <f t="shared" ref="E89:M89" si="11">+E90-SUM(E53:E88,E45:E51,E9:E43)</f>
        <v>1695.0643598457973</v>
      </c>
      <c r="F89" s="488">
        <f t="shared" si="11"/>
        <v>157.77461322254021</v>
      </c>
      <c r="G89" s="488">
        <f t="shared" si="11"/>
        <v>52.206651127664372</v>
      </c>
      <c r="H89" s="489">
        <f t="shared" si="11"/>
        <v>4894.8933912306093</v>
      </c>
      <c r="I89" s="489">
        <f t="shared" si="11"/>
        <v>50.851350316125036</v>
      </c>
      <c r="J89" s="489">
        <f t="shared" si="11"/>
        <v>1298.3461942758877</v>
      </c>
      <c r="K89" s="170">
        <f t="shared" si="11"/>
        <v>57293.143318916205</v>
      </c>
      <c r="L89" s="169">
        <f t="shared" si="11"/>
        <v>0</v>
      </c>
      <c r="M89" s="168">
        <f t="shared" si="11"/>
        <v>57293.143318916089</v>
      </c>
      <c r="N89" s="159"/>
    </row>
    <row r="90" spans="1:14" ht="40" customHeight="1">
      <c r="B90" s="166" t="s">
        <v>8</v>
      </c>
      <c r="C90" s="163">
        <f>+D90+K90</f>
        <v>2851009.3673273819</v>
      </c>
      <c r="D90" s="162">
        <f t="shared" si="9"/>
        <v>1508592.7338534682</v>
      </c>
      <c r="E90" s="165">
        <v>234847.47600848484</v>
      </c>
      <c r="F90" s="161">
        <v>11626.120558307652</v>
      </c>
      <c r="G90" s="161">
        <v>307047.26370273624</v>
      </c>
      <c r="H90" s="161">
        <v>227073.42761395685</v>
      </c>
      <c r="I90" s="161">
        <v>1619.5673635627952</v>
      </c>
      <c r="J90" s="161">
        <v>726378.87860641989</v>
      </c>
      <c r="K90" s="162">
        <f>+SUM(L90:M90)</f>
        <v>1342416.6334739137</v>
      </c>
      <c r="L90" s="165">
        <v>515979.979471258</v>
      </c>
      <c r="M90" s="160">
        <v>826436.65400265553</v>
      </c>
      <c r="N90" s="159"/>
    </row>
    <row r="91" spans="1:14" ht="39.75" customHeight="1" thickBot="1">
      <c r="B91" s="218" t="s">
        <v>368</v>
      </c>
      <c r="C91" s="156">
        <f>+D91+K91</f>
        <v>2024807.3204262606</v>
      </c>
      <c r="D91" s="155">
        <f t="shared" ref="D91:M91" si="12">+D89+D44+D8</f>
        <v>1084941.8761010394</v>
      </c>
      <c r="E91" s="152">
        <f t="shared" si="12"/>
        <v>143012.44968484723</v>
      </c>
      <c r="F91" s="153">
        <f t="shared" si="12"/>
        <v>7871.4393288054962</v>
      </c>
      <c r="G91" s="153">
        <f t="shared" si="12"/>
        <v>259143.73748279287</v>
      </c>
      <c r="H91" s="153">
        <f t="shared" si="12"/>
        <v>154868.78284388396</v>
      </c>
      <c r="I91" s="153">
        <f t="shared" si="12"/>
        <v>374.30759298960123</v>
      </c>
      <c r="J91" s="153">
        <f t="shared" si="12"/>
        <v>519671.1591677203</v>
      </c>
      <c r="K91" s="155">
        <f t="shared" si="12"/>
        <v>939865.44432522124</v>
      </c>
      <c r="L91" s="152">
        <f t="shared" si="12"/>
        <v>430943.28515948798</v>
      </c>
      <c r="M91" s="151">
        <f t="shared" si="12"/>
        <v>508922.15916573314</v>
      </c>
    </row>
    <row r="92" spans="1:14" s="150" customFormat="1" ht="16" thickTop="1">
      <c r="D92" s="146"/>
      <c r="E92" s="146"/>
      <c r="F92" s="146"/>
      <c r="G92" s="146"/>
      <c r="H92" s="146"/>
      <c r="I92" s="146"/>
      <c r="J92" s="146"/>
      <c r="K92" s="146"/>
      <c r="L92" s="146"/>
      <c r="M92" s="146"/>
    </row>
    <row r="94" spans="1:14" s="150" customFormat="1">
      <c r="B94" s="1" t="s">
        <v>337</v>
      </c>
      <c r="C94" s="1"/>
      <c r="D94" s="1">
        <v>0.90165899999999999</v>
      </c>
      <c r="E94" s="146"/>
      <c r="F94" s="146"/>
      <c r="G94" s="146"/>
      <c r="H94" s="146"/>
      <c r="I94" s="146"/>
      <c r="J94" s="146"/>
      <c r="K94" s="146"/>
      <c r="L94" s="146"/>
      <c r="M94" s="146"/>
    </row>
  </sheetData>
  <mergeCells count="5">
    <mergeCell ref="D6:D7"/>
    <mergeCell ref="K6:K7"/>
    <mergeCell ref="B3:M3"/>
    <mergeCell ref="C6:C7"/>
    <mergeCell ref="C5:M5"/>
  </mergeCells>
  <pageMargins left="0.7" right="0.7" top="0.75" bottom="0.75" header="0.3" footer="0.3"/>
  <pageSetup scale="47"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9" tint="0.39997558519241921"/>
    <pageSetUpPr fitToPage="1"/>
  </sheetPr>
  <dimension ref="A3:AC105"/>
  <sheetViews>
    <sheetView zoomScale="58" zoomScaleNormal="70" zoomScalePageLayoutView="70" workbookViewId="0">
      <pane xSplit="2" ySplit="9" topLeftCell="C98" activePane="bottomRight" state="frozen"/>
      <selection activeCell="B5" sqref="B5"/>
      <selection pane="topRight" activeCell="B5" sqref="B5"/>
      <selection pane="bottomLeft" activeCell="B5" sqref="B5"/>
      <selection pane="bottomRight" activeCell="G105" sqref="G105"/>
    </sheetView>
  </sheetViews>
  <sheetFormatPr defaultColWidth="10.81640625" defaultRowHeight="15.5"/>
  <cols>
    <col min="1" max="1" width="17.453125" style="146" hidden="1" customWidth="1"/>
    <col min="2" max="2" width="19" style="146" customWidth="1"/>
    <col min="3" max="24" width="11.453125" style="146" customWidth="1"/>
    <col min="25" max="26" width="10.81640625" style="146"/>
    <col min="27" max="27" width="13.6328125" style="146" customWidth="1"/>
    <col min="28" max="16384" width="10.81640625" style="146"/>
  </cols>
  <sheetData>
    <row r="3" spans="2:29" ht="16" thickBot="1"/>
    <row r="4" spans="2:29" ht="16" hidden="1" thickBot="1">
      <c r="E4" s="146">
        <v>2</v>
      </c>
      <c r="F4" s="146">
        <v>3</v>
      </c>
      <c r="G4" s="146">
        <v>4</v>
      </c>
      <c r="H4" s="146">
        <v>5</v>
      </c>
      <c r="I4" s="146">
        <v>6</v>
      </c>
      <c r="J4" s="146">
        <v>7</v>
      </c>
      <c r="L4" s="146">
        <v>8</v>
      </c>
      <c r="M4" s="146">
        <v>9</v>
      </c>
      <c r="P4" s="146">
        <v>2</v>
      </c>
      <c r="Q4" s="146">
        <v>3</v>
      </c>
      <c r="R4" s="146">
        <v>4</v>
      </c>
      <c r="S4" s="146">
        <v>5</v>
      </c>
      <c r="T4" s="146">
        <v>6</v>
      </c>
      <c r="U4" s="146">
        <v>7</v>
      </c>
      <c r="W4" s="146">
        <v>8</v>
      </c>
      <c r="X4" s="146">
        <v>9</v>
      </c>
    </row>
    <row r="5" spans="2:29" ht="32" customHeight="1" thickTop="1">
      <c r="B5" s="897" t="s">
        <v>378</v>
      </c>
      <c r="C5" s="898"/>
      <c r="D5" s="898"/>
      <c r="E5" s="898"/>
      <c r="F5" s="898"/>
      <c r="G5" s="898"/>
      <c r="H5" s="898"/>
      <c r="I5" s="898"/>
      <c r="J5" s="898"/>
      <c r="K5" s="898"/>
      <c r="L5" s="898"/>
      <c r="M5" s="898"/>
      <c r="N5" s="898"/>
      <c r="O5" s="898"/>
      <c r="P5" s="898"/>
      <c r="Q5" s="898"/>
      <c r="R5" s="898"/>
      <c r="S5" s="898"/>
      <c r="T5" s="898"/>
      <c r="U5" s="898"/>
      <c r="V5" s="898"/>
      <c r="W5" s="898"/>
      <c r="X5" s="899"/>
    </row>
    <row r="6" spans="2:29" ht="32" customHeight="1">
      <c r="B6" s="210"/>
      <c r="C6" s="3" t="s">
        <v>49</v>
      </c>
      <c r="D6" s="3" t="s">
        <v>50</v>
      </c>
      <c r="E6" s="3" t="s">
        <v>51</v>
      </c>
      <c r="F6" s="3" t="s">
        <v>52</v>
      </c>
      <c r="G6" s="3" t="s">
        <v>53</v>
      </c>
      <c r="H6" s="3" t="s">
        <v>54</v>
      </c>
      <c r="I6" s="3" t="s">
        <v>55</v>
      </c>
      <c r="J6" s="3" t="s">
        <v>56</v>
      </c>
      <c r="K6" s="3" t="s">
        <v>57</v>
      </c>
      <c r="L6" s="3" t="s">
        <v>58</v>
      </c>
      <c r="M6" s="3" t="s">
        <v>59</v>
      </c>
      <c r="N6" s="3" t="s">
        <v>60</v>
      </c>
      <c r="O6" s="3" t="s">
        <v>61</v>
      </c>
      <c r="P6" s="3" t="s">
        <v>62</v>
      </c>
      <c r="Q6" s="3" t="s">
        <v>63</v>
      </c>
      <c r="R6" s="3" t="s">
        <v>102</v>
      </c>
      <c r="S6" s="3" t="s">
        <v>103</v>
      </c>
      <c r="T6" s="3" t="s">
        <v>104</v>
      </c>
      <c r="U6" s="3" t="s">
        <v>105</v>
      </c>
      <c r="V6" s="3" t="s">
        <v>106</v>
      </c>
      <c r="W6" s="3" t="s">
        <v>107</v>
      </c>
      <c r="X6" s="209" t="s">
        <v>108</v>
      </c>
    </row>
    <row r="7" spans="2:29" ht="21" customHeight="1">
      <c r="B7" s="185"/>
      <c r="C7" s="902" t="s">
        <v>379</v>
      </c>
      <c r="D7" s="903" t="s">
        <v>380</v>
      </c>
      <c r="E7" s="903"/>
      <c r="F7" s="903"/>
      <c r="G7" s="903"/>
      <c r="H7" s="903"/>
      <c r="I7" s="903"/>
      <c r="J7" s="903"/>
      <c r="K7" s="903"/>
      <c r="L7" s="903"/>
      <c r="M7" s="904"/>
      <c r="N7" s="903" t="s">
        <v>381</v>
      </c>
      <c r="O7" s="903" t="s">
        <v>380</v>
      </c>
      <c r="P7" s="903"/>
      <c r="Q7" s="903"/>
      <c r="R7" s="903"/>
      <c r="S7" s="903"/>
      <c r="T7" s="903"/>
      <c r="U7" s="903"/>
      <c r="V7" s="903"/>
      <c r="W7" s="903"/>
      <c r="X7" s="905"/>
    </row>
    <row r="8" spans="2:29" ht="85" customHeight="1">
      <c r="B8" s="185"/>
      <c r="C8" s="900" t="s">
        <v>349</v>
      </c>
      <c r="D8" s="900" t="s">
        <v>350</v>
      </c>
      <c r="E8" s="206" t="s">
        <v>25</v>
      </c>
      <c r="F8" s="206" t="s">
        <v>187</v>
      </c>
      <c r="G8" s="206" t="s">
        <v>20</v>
      </c>
      <c r="H8" s="208" t="s">
        <v>19</v>
      </c>
      <c r="I8" s="206" t="s">
        <v>87</v>
      </c>
      <c r="J8" s="208" t="s">
        <v>23</v>
      </c>
      <c r="K8" s="900" t="s">
        <v>351</v>
      </c>
      <c r="L8" s="208" t="s">
        <v>21</v>
      </c>
      <c r="M8" s="207" t="s">
        <v>352</v>
      </c>
      <c r="N8" s="900" t="s">
        <v>349</v>
      </c>
      <c r="O8" s="900" t="s">
        <v>350</v>
      </c>
      <c r="P8" s="206" t="s">
        <v>25</v>
      </c>
      <c r="Q8" s="206" t="s">
        <v>187</v>
      </c>
      <c r="R8" s="206" t="s">
        <v>20</v>
      </c>
      <c r="S8" s="208" t="s">
        <v>19</v>
      </c>
      <c r="T8" s="206" t="s">
        <v>87</v>
      </c>
      <c r="U8" s="208" t="s">
        <v>23</v>
      </c>
      <c r="V8" s="914" t="s">
        <v>351</v>
      </c>
      <c r="W8" s="208" t="s">
        <v>21</v>
      </c>
      <c r="X8" s="205" t="s">
        <v>352</v>
      </c>
    </row>
    <row r="9" spans="2:29" ht="17.25" customHeight="1">
      <c r="B9" s="185"/>
      <c r="C9" s="900"/>
      <c r="D9" s="900"/>
      <c r="E9" s="206"/>
      <c r="F9" s="206"/>
      <c r="G9" s="206"/>
      <c r="H9" s="206"/>
      <c r="I9" s="206"/>
      <c r="J9" s="206"/>
      <c r="K9" s="901"/>
      <c r="L9" s="206"/>
      <c r="M9" s="207"/>
      <c r="N9" s="900"/>
      <c r="O9" s="900"/>
      <c r="P9" s="206"/>
      <c r="Q9" s="206"/>
      <c r="R9" s="206"/>
      <c r="S9" s="206"/>
      <c r="T9" s="206"/>
      <c r="U9" s="206"/>
      <c r="V9" s="915"/>
      <c r="W9" s="206"/>
      <c r="X9" s="205"/>
    </row>
    <row r="10" spans="2:29" ht="40" customHeight="1">
      <c r="B10" s="483" t="s">
        <v>76</v>
      </c>
      <c r="C10" s="484">
        <f t="shared" ref="C10:X10" si="0">+SUM(C11:C45)</f>
        <v>555825.4648924513</v>
      </c>
      <c r="D10" s="484">
        <f t="shared" si="0"/>
        <v>308934.44819795765</v>
      </c>
      <c r="E10" s="485">
        <f t="shared" si="0"/>
        <v>30014.215005798884</v>
      </c>
      <c r="F10" s="485">
        <f t="shared" si="0"/>
        <v>940.09987448265179</v>
      </c>
      <c r="G10" s="485">
        <f t="shared" si="0"/>
        <v>97712.173271961219</v>
      </c>
      <c r="H10" s="485">
        <f t="shared" si="0"/>
        <v>84768.775251389976</v>
      </c>
      <c r="I10" s="485">
        <f t="shared" si="0"/>
        <v>4687.7575702291815</v>
      </c>
      <c r="J10" s="485">
        <f t="shared" si="0"/>
        <v>90773.923385621601</v>
      </c>
      <c r="K10" s="484">
        <f t="shared" si="0"/>
        <v>246891.01669449365</v>
      </c>
      <c r="L10" s="485">
        <f t="shared" si="0"/>
        <v>37866.35741890411</v>
      </c>
      <c r="M10" s="486">
        <f t="shared" si="0"/>
        <v>209024.6592755896</v>
      </c>
      <c r="N10" s="484">
        <f t="shared" si="0"/>
        <v>742133.31210799818</v>
      </c>
      <c r="O10" s="484">
        <f t="shared" si="0"/>
        <v>446838.1232496507</v>
      </c>
      <c r="P10" s="485">
        <f t="shared" si="0"/>
        <v>54640.255943413787</v>
      </c>
      <c r="Q10" s="485">
        <f t="shared" si="0"/>
        <v>1551.5539586605914</v>
      </c>
      <c r="R10" s="485">
        <f t="shared" si="0"/>
        <v>109869.57668679694</v>
      </c>
      <c r="S10" s="485">
        <f t="shared" si="0"/>
        <v>63799.814655484981</v>
      </c>
      <c r="T10" s="485">
        <f t="shared" si="0"/>
        <v>137.0467254613215</v>
      </c>
      <c r="U10" s="485">
        <f t="shared" si="0"/>
        <v>216839.8752798331</v>
      </c>
      <c r="V10" s="484">
        <f t="shared" si="0"/>
        <v>295295.18885834748</v>
      </c>
      <c r="W10" s="485">
        <f t="shared" si="0"/>
        <v>182588.42557035392</v>
      </c>
      <c r="X10" s="487">
        <f t="shared" si="0"/>
        <v>112706.76328799357</v>
      </c>
    </row>
    <row r="11" spans="2:29" ht="14" customHeight="1">
      <c r="B11" s="199" t="s">
        <v>27</v>
      </c>
      <c r="C11" s="196">
        <f>1000*C105*(TableC2!D9+TableC2!O9)/(TableC2!$D$100+TableC2!$O$100)</f>
        <v>26764.751602336928</v>
      </c>
      <c r="D11" s="196">
        <f>1000*C105*(TableC2!E9+TableC2!P9)/(TableC2!$D$100+TableC2!$O$100)</f>
        <v>6811.264662699351</v>
      </c>
      <c r="E11" s="171">
        <f>1000*C105*(TableC2!F9+TableC2!Q9)/(TableC2!$D$100+TableC2!$O$100)</f>
        <v>234.51374922610768</v>
      </c>
      <c r="F11" s="171">
        <f>1000*C105*(TableC2!G9+TableC2!R9)/(TableC2!$D$100+TableC2!$O$100)</f>
        <v>0.95722121948159322</v>
      </c>
      <c r="G11" s="171">
        <f>1000*C105*(TableC2!H9+TableC2!S9)/(TableC2!$D$100+TableC2!$O$100)</f>
        <v>3511.7588364955905</v>
      </c>
      <c r="H11" s="171">
        <f>1000*C105*(TableC2!I9+TableC2!T9)/(TableC2!$D$100+TableC2!$O$100)</f>
        <v>642.93136563195094</v>
      </c>
      <c r="I11" s="171">
        <f>1000*C105*(TableC2!J9+TableC2!U9)/(TableC2!$D$100+TableC2!$O$100)</f>
        <v>57.400857445031846</v>
      </c>
      <c r="J11" s="171">
        <f>1000*C105*(TableC2!K9+TableC2!V9)/(TableC2!$D$100+TableC2!$O$100)</f>
        <v>2363.7026326811883</v>
      </c>
      <c r="K11" s="196">
        <f>1000*C105*(TableC2!L9+TableC2!W9)/(TableC2!$D$100+TableC2!$O$100)</f>
        <v>19953.486939637576</v>
      </c>
      <c r="L11" s="178">
        <f>1000*C105*(TableC2!M9+TableC2!X9)/(TableC2!$D$100+TableC2!$O$100)</f>
        <v>918.1987599565648</v>
      </c>
      <c r="M11" s="183">
        <f>1000*C105*(TableC2!N9+TableC2!Y9)/(TableC2!$D$100+TableC2!$O$100)</f>
        <v>19035.288179681014</v>
      </c>
      <c r="N11" s="196">
        <f>1000*C105*TableC3!C9/TableC3!$C$91</f>
        <v>2436.7977761439151</v>
      </c>
      <c r="O11" s="196">
        <f>1000*C105*TableC3!D9/TableC3!$C$91</f>
        <v>-216.16211435695462</v>
      </c>
      <c r="P11" s="171">
        <f>1000*C105*TableC3!E9/TableC3!$C$91</f>
        <v>-260.95626656462986</v>
      </c>
      <c r="Q11" s="171">
        <f>1000*C105*TableC3!F9/TableC3!$C$91</f>
        <v>0.50321755834481285</v>
      </c>
      <c r="R11" s="171">
        <f>1000*C105*TableC3!G9/TableC3!$C$91</f>
        <v>44.290934649330424</v>
      </c>
      <c r="S11" s="171">
        <f>1000*C105*TableC3!H9/TableC3!$C$91</f>
        <v>0</v>
      </c>
      <c r="T11" s="171">
        <f>1000*C105*TableC3!I9/TableC3!$C$91</f>
        <v>0</v>
      </c>
      <c r="U11" s="171">
        <f>1000*C105*TableC3!J9/TableC3!$C$91</f>
        <v>0</v>
      </c>
      <c r="V11" s="196">
        <f>1000*C105*TableC3!K9/TableC3!$C$91</f>
        <v>2652.9598905008693</v>
      </c>
      <c r="W11" s="178">
        <f>1000*C105*TableC3!L9/TableC3!$C$91</f>
        <v>0</v>
      </c>
      <c r="X11" s="177">
        <f>1000*C105*TableC3!M9/TableC3!$C$91</f>
        <v>2652.9598905008693</v>
      </c>
    </row>
    <row r="12" spans="2:29" ht="14" customHeight="1">
      <c r="B12" s="199" t="s">
        <v>91</v>
      </c>
      <c r="C12" s="196">
        <f>1000*C105*(TableC2!D10+TableC2!O10)/(TableC2!$D$100+TableC2!$O$100)</f>
        <v>4176.490116303019</v>
      </c>
      <c r="D12" s="196">
        <f>1000*C105*(TableC2!E10+TableC2!P10)/(TableC2!$D$100+TableC2!$O$100)</f>
        <v>3149.4214939759299</v>
      </c>
      <c r="E12" s="171">
        <f>1000*C105*(TableC2!F10+TableC2!Q10)/(TableC2!$D$100+TableC2!$O$100)</f>
        <v>478.21818391477331</v>
      </c>
      <c r="F12" s="171">
        <f>1000*C105*(TableC2!G10+TableC2!R10)/(TableC2!$D$100+TableC2!$O$100)</f>
        <v>16.815524349324129</v>
      </c>
      <c r="G12" s="171">
        <f>1000*C105*(TableC2!H10+TableC2!S10)/(TableC2!$D$100+TableC2!$O$100)</f>
        <v>922.0496535708786</v>
      </c>
      <c r="H12" s="171">
        <f>1000*C105*(TableC2!I10+TableC2!T10)/(TableC2!$D$100+TableC2!$O$100)</f>
        <v>787.74316361907586</v>
      </c>
      <c r="I12" s="171">
        <f>1000*C105*(TableC2!J10+TableC2!U10)/(TableC2!$D$100+TableC2!$O$100)</f>
        <v>129.57051148708439</v>
      </c>
      <c r="J12" s="171">
        <f>1000*C105*(TableC2!K10+TableC2!V10)/(TableC2!$D$100+TableC2!$O$100)</f>
        <v>815.02445703479395</v>
      </c>
      <c r="K12" s="196">
        <f>1000*C105*(TableC2!L10+TableC2!W10)/(TableC2!$D$100+TableC2!$O$100)</f>
        <v>1027.0686223270893</v>
      </c>
      <c r="L12" s="178">
        <f>1000*C105*(TableC2!M10+TableC2!X10)/(TableC2!$D$100+TableC2!$O$100)</f>
        <v>592.30754839088718</v>
      </c>
      <c r="M12" s="183">
        <f>1000*C105*(TableC2!N10+TableC2!Y10)/(TableC2!$D$100+TableC2!$O$100)</f>
        <v>434.76107393620191</v>
      </c>
      <c r="N12" s="196">
        <f>1000*C105*TableC3!C10/TableC3!$C$91</f>
        <v>3100.9342341766519</v>
      </c>
      <c r="O12" s="196">
        <f>1000*C105*TableC3!D10/TableC3!$C$91</f>
        <v>515.94400874168628</v>
      </c>
      <c r="P12" s="171">
        <f>1000*C105*TableC3!E10/TableC3!$C$91</f>
        <v>183.60083493113359</v>
      </c>
      <c r="Q12" s="171">
        <f>1000*C105*TableC3!F10/TableC3!$C$91</f>
        <v>0</v>
      </c>
      <c r="R12" s="171">
        <f>1000*C105*TableC3!G10/TableC3!$C$91</f>
        <v>13.152825895553592</v>
      </c>
      <c r="S12" s="171">
        <f>1000*C105*TableC3!H10/TableC3!$C$91</f>
        <v>0</v>
      </c>
      <c r="T12" s="171">
        <f>1000*C105*TableC3!I10/TableC3!$C$91</f>
        <v>10.286748582602897</v>
      </c>
      <c r="U12" s="171">
        <f>1000*C105*TableC3!J10/TableC3!$C$91</f>
        <v>308.90359933239614</v>
      </c>
      <c r="V12" s="196">
        <f>1000*C105*TableC3!K10/TableC3!$C$91</f>
        <v>2584.9902254349654</v>
      </c>
      <c r="W12" s="178">
        <f>1000*C105*TableC3!L10/TableC3!$C$91</f>
        <v>2506.7231710371038</v>
      </c>
      <c r="X12" s="177">
        <f>1000*C105*TableC3!M10/TableC3!$C$91</f>
        <v>78.267054397861742</v>
      </c>
    </row>
    <row r="13" spans="2:29" ht="14" customHeight="1">
      <c r="B13" s="199" t="s">
        <v>25</v>
      </c>
      <c r="C13" s="196"/>
      <c r="D13" s="196"/>
      <c r="E13" s="171"/>
      <c r="F13" s="171"/>
      <c r="G13" s="171"/>
      <c r="H13" s="171"/>
      <c r="I13" s="171"/>
      <c r="J13" s="171"/>
      <c r="K13" s="196"/>
      <c r="L13" s="178"/>
      <c r="M13" s="183"/>
      <c r="N13" s="196"/>
      <c r="O13" s="196"/>
      <c r="P13" s="171"/>
      <c r="Q13" s="171"/>
      <c r="R13" s="171"/>
      <c r="S13" s="171"/>
      <c r="T13" s="171"/>
      <c r="U13" s="171"/>
      <c r="V13" s="196"/>
      <c r="W13" s="178"/>
      <c r="X13" s="177"/>
      <c r="AA13" s="222"/>
      <c r="AB13" s="178"/>
      <c r="AC13" s="167"/>
    </row>
    <row r="14" spans="2:29" ht="14" customHeight="1">
      <c r="B14" s="199" t="s">
        <v>43</v>
      </c>
      <c r="C14" s="196">
        <f>1000*C105*(TableC2!D12+TableC2!O12)/(TableC2!$D$100+TableC2!$O$100)</f>
        <v>22849.43556193111</v>
      </c>
      <c r="D14" s="196">
        <f>1000*C105*(TableC2!E12+TableC2!P12)/(TableC2!$D$100+TableC2!$O$100)</f>
        <v>3905.8530028117211</v>
      </c>
      <c r="E14" s="171">
        <f>1000*C105*(TableC2!F12+TableC2!Q12)/(TableC2!$D$100+TableC2!$O$100)</f>
        <v>224.19689561676938</v>
      </c>
      <c r="F14" s="171">
        <f>1000*C105*(TableC2!G12+TableC2!R12)/(TableC2!$D$100+TableC2!$O$100)</f>
        <v>0.95722121948159322</v>
      </c>
      <c r="G14" s="171">
        <f>1000*C105*(TableC2!H12+TableC2!S12)/(TableC2!$D$100+TableC2!$O$100)</f>
        <v>1008.6067935598377</v>
      </c>
      <c r="H14" s="171">
        <f>1000*C105*(TableC2!I12+TableC2!T12)/(TableC2!$D$100+TableC2!$O$100)</f>
        <v>496.02778125954569</v>
      </c>
      <c r="I14" s="171">
        <f>1000*C105*(TableC2!J12+TableC2!U12)/(TableC2!$D$100+TableC2!$O$100)</f>
        <v>290.44374453830557</v>
      </c>
      <c r="J14" s="171">
        <f>1000*C105*(TableC2!K12+TableC2!V12)/(TableC2!$D$100+TableC2!$O$100)</f>
        <v>1885.6205666177814</v>
      </c>
      <c r="K14" s="196">
        <f>1000*C105*(TableC2!L12+TableC2!W12)/(TableC2!$D$100+TableC2!$O$100)</f>
        <v>18943.582559119386</v>
      </c>
      <c r="L14" s="178">
        <f>1000*C105*(TableC2!M12+TableC2!X12)/(TableC2!$D$100+TableC2!$O$100)</f>
        <v>969.73144379000814</v>
      </c>
      <c r="M14" s="183">
        <f>1000*C105*(TableC2!N12+TableC2!Y12)/(TableC2!$D$100+TableC2!$O$100)</f>
        <v>17973.85111532938</v>
      </c>
      <c r="N14" s="196">
        <f>1000*C105*TableC3!C12/TableC3!$C$91</f>
        <v>22863.340820915477</v>
      </c>
      <c r="O14" s="196">
        <f>1000*C105*TableC3!D12/TableC3!$C$91</f>
        <v>5997.8350413114767</v>
      </c>
      <c r="P14" s="171">
        <f>1000*C105*TableC3!E12/TableC3!$C$91</f>
        <v>-315.76930673696774</v>
      </c>
      <c r="Q14" s="171">
        <f>1000*C105*TableC3!F12/TableC3!$C$91</f>
        <v>0</v>
      </c>
      <c r="R14" s="171">
        <f>1000*C105*TableC3!G12/TableC3!$C$91</f>
        <v>217.26971777068886</v>
      </c>
      <c r="S14" s="171">
        <f>1000*C105*TableC3!H12/TableC3!$C$91</f>
        <v>5488.4769180580615</v>
      </c>
      <c r="T14" s="171">
        <f>1000*C105*TableC3!I12/TableC3!$C$91</f>
        <v>0</v>
      </c>
      <c r="U14" s="171">
        <f>1000*C105*TableC3!J12/TableC3!$C$91</f>
        <v>607.85771221969378</v>
      </c>
      <c r="V14" s="196">
        <f>1000*C105*TableC3!K12/TableC3!$C$91</f>
        <v>16865.505779603998</v>
      </c>
      <c r="W14" s="178">
        <f>1000*C105*TableC3!L12/TableC3!$C$91</f>
        <v>13825.218610831853</v>
      </c>
      <c r="X14" s="177">
        <f>1000*C105*TableC3!M12/TableC3!$C$91</f>
        <v>3040.2871687721463</v>
      </c>
      <c r="AA14" s="221"/>
      <c r="AB14" s="178"/>
      <c r="AC14" s="167"/>
    </row>
    <row r="15" spans="2:29" ht="14" customHeight="1">
      <c r="B15" s="199" t="s">
        <v>112</v>
      </c>
      <c r="C15" s="196">
        <f>1000*C105*(TableC2!D13+TableC2!O13)/(TableC2!$D$100+TableC2!$O$100)</f>
        <v>8066.9665431175999</v>
      </c>
      <c r="D15" s="196">
        <f>1000*C105*(TableC2!E13+TableC2!P13)/(TableC2!$D$100+TableC2!$O$100)</f>
        <v>1036.8774520825036</v>
      </c>
      <c r="E15" s="171">
        <f>1000*C105*(TableC2!F13+TableC2!Q13)/(TableC2!$D$100+TableC2!$O$100)</f>
        <v>59.887892798100353</v>
      </c>
      <c r="F15" s="171">
        <f>1000*C105*(TableC2!G13+TableC2!R13)/(TableC2!$D$100+TableC2!$O$100)</f>
        <v>0</v>
      </c>
      <c r="G15" s="171">
        <f>1000*C105*(TableC2!H13+TableC2!S13)/(TableC2!$D$100+TableC2!$O$100)</f>
        <v>268.74790891772744</v>
      </c>
      <c r="H15" s="171">
        <f>1000*C105*(TableC2!I13+TableC2!T13)/(TableC2!$D$100+TableC2!$O$100)</f>
        <v>123.27152455813919</v>
      </c>
      <c r="I15" s="171">
        <f>1000*C105*(TableC2!J13+TableC2!U13)/(TableC2!$D$100+TableC2!$O$100)</f>
        <v>3.4565802598489865</v>
      </c>
      <c r="J15" s="171">
        <f>1000*C105*(TableC2!K13+TableC2!V13)/(TableC2!$D$100+TableC2!$O$100)</f>
        <v>581.51354554868783</v>
      </c>
      <c r="K15" s="196">
        <f>1000*C105*(TableC2!L13+TableC2!W13)/(TableC2!$D$100+TableC2!$O$100)</f>
        <v>7030.0890910350963</v>
      </c>
      <c r="L15" s="178">
        <f>1000*C105*(TableC2!M13+TableC2!X13)/(TableC2!$D$100+TableC2!$O$100)</f>
        <v>212.8083709697442</v>
      </c>
      <c r="M15" s="183">
        <f>1000*C105*(TableC2!N13+TableC2!Y13)/(TableC2!$D$100+TableC2!$O$100)</f>
        <v>6817.2807200653533</v>
      </c>
      <c r="N15" s="196">
        <f>1000*C105*TableC3!C13/TableC3!$C$91</f>
        <v>-145.34655841020276</v>
      </c>
      <c r="O15" s="196">
        <f>1000*C105*TableC3!D13/TableC3!$C$91</f>
        <v>-169.4265488382776</v>
      </c>
      <c r="P15" s="171">
        <f>1000*C105*TableC3!E13/TableC3!$C$91</f>
        <v>-167.77016398297255</v>
      </c>
      <c r="Q15" s="171">
        <f>1000*C105*TableC3!F13/TableC3!$C$91</f>
        <v>0</v>
      </c>
      <c r="R15" s="171">
        <f>1000*C105*TableC3!G13/TableC3!$C$91</f>
        <v>-10.616558759359869</v>
      </c>
      <c r="S15" s="171">
        <f>1000*C105*TableC3!H13/TableC3!$C$91</f>
        <v>3.0159840055504201</v>
      </c>
      <c r="T15" s="171">
        <f>1000*C105*TableC3!I13/TableC3!$C$91</f>
        <v>0</v>
      </c>
      <c r="U15" s="171">
        <f>1000*C105*TableC3!J13/TableC3!$C$91</f>
        <v>5.9441898985043604</v>
      </c>
      <c r="V15" s="196">
        <f>1000*C105*TableC3!K13/TableC3!$C$91</f>
        <v>24.07999042807484</v>
      </c>
      <c r="W15" s="178">
        <f>1000*C105*TableC3!L13/TableC3!$C$91</f>
        <v>0</v>
      </c>
      <c r="X15" s="177">
        <f>1000*C105*TableC3!M13/TableC3!$C$91</f>
        <v>24.07999042807484</v>
      </c>
    </row>
    <row r="16" spans="2:29" ht="14" customHeight="1">
      <c r="B16" s="199" t="s">
        <v>92</v>
      </c>
      <c r="C16" s="196">
        <f>1000*C105*(TableC2!D14+TableC2!O14)/(TableC2!$D$100+TableC2!$O$100)</f>
        <v>2476.5716078283763</v>
      </c>
      <c r="D16" s="196">
        <f>1000*C105*(TableC2!E14+TableC2!P14)/(TableC2!$D$100+TableC2!$O$100)</f>
        <v>2029.0800037256156</v>
      </c>
      <c r="E16" s="171">
        <f>1000*C105*(TableC2!F14+TableC2!Q14)/(TableC2!$D$100+TableC2!$O$100)</f>
        <v>354.9478787073827</v>
      </c>
      <c r="F16" s="171">
        <f>1000*C105*(TableC2!G14+TableC2!R14)/(TableC2!$D$100+TableC2!$O$100)</f>
        <v>5.4602009343951918</v>
      </c>
      <c r="G16" s="171">
        <f>1000*C105*(TableC2!H14+TableC2!S14)/(TableC2!$D$100+TableC2!$O$100)</f>
        <v>573.77259488912557</v>
      </c>
      <c r="H16" s="171">
        <f>1000*C105*(TableC2!I14+TableC2!T14)/(TableC2!$D$100+TableC2!$O$100)</f>
        <v>382.92516540906081</v>
      </c>
      <c r="I16" s="171">
        <f>1000*C105*(TableC2!J14+TableC2!U14)/(TableC2!$D$100+TableC2!$O$100)</f>
        <v>37.563883753884909</v>
      </c>
      <c r="J16" s="171">
        <f>1000*C105*(TableC2!K14+TableC2!V14)/(TableC2!$D$100+TableC2!$O$100)</f>
        <v>674.41028003176643</v>
      </c>
      <c r="K16" s="196">
        <f>1000*C105*(TableC2!L14+TableC2!W14)/(TableC2!$D$100+TableC2!$O$100)</f>
        <v>447.49160410276033</v>
      </c>
      <c r="L16" s="178">
        <f>1000*C105*(TableC2!M14+TableC2!X14)/(TableC2!$D$100+TableC2!$O$100)</f>
        <v>384.66277133699492</v>
      </c>
      <c r="M16" s="183">
        <f>1000*C105*(TableC2!N14+TableC2!Y14)/(TableC2!$D$100+TableC2!$O$100)</f>
        <v>62.828832765765448</v>
      </c>
      <c r="N16" s="196">
        <f>1000*C105*TableC3!C14/TableC3!$C$91</f>
        <v>657.15096301071208</v>
      </c>
      <c r="O16" s="196">
        <f>1000*C105*TableC3!D14/TableC3!$C$91</f>
        <v>656.9640878883672</v>
      </c>
      <c r="P16" s="171">
        <f>1000*C105*TableC3!E14/TableC3!$C$91</f>
        <v>655.68495142301765</v>
      </c>
      <c r="Q16" s="171">
        <f>1000*C105*TableC3!F14/TableC3!$C$91</f>
        <v>0</v>
      </c>
      <c r="R16" s="171">
        <f>1000*C105*TableC3!G14/TableC3!$C$91</f>
        <v>1.2791364653495654</v>
      </c>
      <c r="S16" s="171">
        <f>1000*C105*TableC3!H14/TableC3!$C$91</f>
        <v>0</v>
      </c>
      <c r="T16" s="171">
        <f>1000*C105*TableC3!I14/TableC3!$C$91</f>
        <v>0</v>
      </c>
      <c r="U16" s="171">
        <f>1000*C105*TableC3!J14/TableC3!$C$91</f>
        <v>0</v>
      </c>
      <c r="V16" s="196">
        <f>1000*C105*TableC3!K14/TableC3!$C$91</f>
        <v>0.18687512234485129</v>
      </c>
      <c r="W16" s="178">
        <f>1000*C105*TableC3!L14/TableC3!$C$91</f>
        <v>0</v>
      </c>
      <c r="X16" s="177">
        <f>1000*C105*TableC3!M14/TableC3!$C$91</f>
        <v>0.18687512234485129</v>
      </c>
    </row>
    <row r="17" spans="1:24" ht="14" customHeight="1">
      <c r="B17" s="199" t="s">
        <v>41</v>
      </c>
      <c r="C17" s="196">
        <f>1000*C105*(TableC2!D15+TableC2!O15)/(TableC2!$D$100+TableC2!$O$100)</f>
        <v>4949.3569255007242</v>
      </c>
      <c r="D17" s="196">
        <f>1000*C105*(TableC2!E15+TableC2!P15)/(TableC2!$D$100+TableC2!$O$100)</f>
        <v>4301.0996168851061</v>
      </c>
      <c r="E17" s="171">
        <f>1000*C105*(TableC2!F15+TableC2!Q15)/(TableC2!$D$100+TableC2!$O$100)</f>
        <v>496.03820628522163</v>
      </c>
      <c r="F17" s="171">
        <f>1000*C105*(TableC2!G15+TableC2!R15)/(TableC2!$D$100+TableC2!$O$100)</f>
        <v>19.707794537407878</v>
      </c>
      <c r="G17" s="171">
        <f>1000*C105*(TableC2!H15+TableC2!S15)/(TableC2!$D$100+TableC2!$O$100)</f>
        <v>1602.9483583598519</v>
      </c>
      <c r="H17" s="171">
        <f>1000*C105*(TableC2!I15+TableC2!T15)/(TableC2!$D$100+TableC2!$O$100)</f>
        <v>604.23323513534217</v>
      </c>
      <c r="I17" s="171">
        <f>1000*C105*(TableC2!J15+TableC2!U15)/(TableC2!$D$100+TableC2!$O$100)</f>
        <v>241.26203797798206</v>
      </c>
      <c r="J17" s="171">
        <f>1000*C105*(TableC2!K15+TableC2!V15)/(TableC2!$D$100+TableC2!$O$100)</f>
        <v>1336.9099845892995</v>
      </c>
      <c r="K17" s="196">
        <f>1000*C105*(TableC2!L15+TableC2!W15)/(TableC2!$D$100+TableC2!$O$100)</f>
        <v>648.25730861561897</v>
      </c>
      <c r="L17" s="178">
        <f>1000*C105*(TableC2!M15+TableC2!X15)/(TableC2!$D$100+TableC2!$O$100)</f>
        <v>264.74036616547255</v>
      </c>
      <c r="M17" s="183">
        <f>1000*C105*(TableC2!N15+TableC2!Y15)/(TableC2!$D$100+TableC2!$O$100)</f>
        <v>383.51694245014636</v>
      </c>
      <c r="N17" s="196">
        <f>1000*C105*TableC3!C15/TableC3!$C$91</f>
        <v>5058.4137668221683</v>
      </c>
      <c r="O17" s="196">
        <f>1000*C105*TableC3!D15/TableC3!$C$91</f>
        <v>2943.7278967784951</v>
      </c>
      <c r="P17" s="171">
        <f>1000*C105*TableC3!E15/TableC3!$C$91</f>
        <v>291.82321669566971</v>
      </c>
      <c r="Q17" s="171">
        <f>1000*C105*TableC3!F15/TableC3!$C$91</f>
        <v>0.37201883591489859</v>
      </c>
      <c r="R17" s="171">
        <f>1000*C105*TableC3!G15/TableC3!$C$91</f>
        <v>131.92658672097457</v>
      </c>
      <c r="S17" s="171">
        <f>1000*C105*TableC3!H15/TableC3!$C$91</f>
        <v>0</v>
      </c>
      <c r="T17" s="171">
        <f>1000*C105*TableC3!I15/TableC3!$C$91</f>
        <v>1.1182654540502082</v>
      </c>
      <c r="U17" s="171">
        <f>1000*C105*TableC3!J15/TableC3!$C$91</f>
        <v>2518.4878090718857</v>
      </c>
      <c r="V17" s="196">
        <f>1000*C105*TableC3!K15/TableC3!$C$91</f>
        <v>2114.6858700436728</v>
      </c>
      <c r="W17" s="178">
        <f>1000*C105*TableC3!L15/TableC3!$C$91</f>
        <v>1222.6517210122245</v>
      </c>
      <c r="X17" s="177">
        <f>1000*C105*TableC3!M15/TableC3!$C$91</f>
        <v>892.03414903144801</v>
      </c>
    </row>
    <row r="18" spans="1:24" ht="14" customHeight="1">
      <c r="B18" s="199" t="s">
        <v>93</v>
      </c>
      <c r="C18" s="196">
        <f>1000*C105*(TableC2!D16+TableC2!O16)/(TableC2!$D$100+TableC2!$O$100)</f>
        <v>361.21473672144634</v>
      </c>
      <c r="D18" s="196">
        <f>1000*C105*(TableC2!E16+TableC2!P16)/(TableC2!$D$100+TableC2!$O$100)</f>
        <v>286.57464391747749</v>
      </c>
      <c r="E18" s="171">
        <f>1000*C105*(TableC2!F16+TableC2!Q16)/(TableC2!$D$100+TableC2!$O$100)</f>
        <v>58.44189226925662</v>
      </c>
      <c r="F18" s="171">
        <f>1000*C105*(TableC2!G16+TableC2!R16)/(TableC2!$D$100+TableC2!$O$100)</f>
        <v>0.20178629219188951</v>
      </c>
      <c r="G18" s="171">
        <f>1000*C105*(TableC2!H16+TableC2!S16)/(TableC2!$D$100+TableC2!$O$100)</f>
        <v>48.779190241849413</v>
      </c>
      <c r="H18" s="171">
        <f>1000*C105*(TableC2!I16+TableC2!T16)/(TableC2!$D$100+TableC2!$O$100)</f>
        <v>104.95280763143982</v>
      </c>
      <c r="I18" s="171">
        <f>1000*C105*(TableC2!J16+TableC2!U16)/(TableC2!$D$100+TableC2!$O$100)</f>
        <v>17.540882352242665</v>
      </c>
      <c r="J18" s="171">
        <f>1000*C105*(TableC2!K16+TableC2!V16)/(TableC2!$D$100+TableC2!$O$100)</f>
        <v>56.658085130497085</v>
      </c>
      <c r="K18" s="196">
        <f>1000*C105*(TableC2!L16+TableC2!W16)/(TableC2!$D$100+TableC2!$O$100)</f>
        <v>74.640092803968898</v>
      </c>
      <c r="L18" s="178">
        <f>1000*C105*(TableC2!M16+TableC2!X16)/(TableC2!$D$100+TableC2!$O$100)</f>
        <v>40.19342850228643</v>
      </c>
      <c r="M18" s="183">
        <f>1000*C105*(TableC2!N16+TableC2!Y16)/(TableC2!$D$100+TableC2!$O$100)</f>
        <v>34.446664301682461</v>
      </c>
      <c r="N18" s="196">
        <f>1000*C105*TableC3!C16/TableC3!$C$91</f>
        <v>-5.6439925259677537</v>
      </c>
      <c r="O18" s="196">
        <f>1000*C105*TableC3!D16/TableC3!$C$91</f>
        <v>-5.6439925259677537</v>
      </c>
      <c r="P18" s="171">
        <f>1000*C105*TableC3!E16/TableC3!$C$91</f>
        <v>-5.6530069617160592</v>
      </c>
      <c r="Q18" s="171">
        <f>1000*C105*TableC3!F16/TableC3!$C$91</f>
        <v>0</v>
      </c>
      <c r="R18" s="171">
        <f>1000*C105*TableC3!G16/TableC3!$C$91</f>
        <v>0</v>
      </c>
      <c r="S18" s="171">
        <f>1000*C105*TableC3!H16/TableC3!$C$91</f>
        <v>0</v>
      </c>
      <c r="T18" s="171">
        <f>1000*C105*TableC3!I16/TableC3!$C$91</f>
        <v>9.0144357483060069E-3</v>
      </c>
      <c r="U18" s="171">
        <f>1000*C105*TableC3!J16/TableC3!$C$91</f>
        <v>0</v>
      </c>
      <c r="V18" s="196">
        <f>1000*C105*TableC3!K16/TableC3!$C$91</f>
        <v>0</v>
      </c>
      <c r="W18" s="178">
        <f>1000*C105*TableC3!L16/TableC3!$C$91</f>
        <v>0</v>
      </c>
      <c r="X18" s="177">
        <f>1000*C105*TableC3!M16/TableC3!$C$91</f>
        <v>0</v>
      </c>
    </row>
    <row r="19" spans="1:24" ht="14" customHeight="1">
      <c r="B19" s="199" t="s">
        <v>94</v>
      </c>
      <c r="C19" s="196">
        <f>1000*C105*(TableC2!D17+TableC2!O17)/(TableC2!$D$100+TableC2!$O$100)</f>
        <v>4220.5733061630726</v>
      </c>
      <c r="D19" s="196">
        <f>1000*C105*(TableC2!E17+TableC2!P17)/(TableC2!$D$100+TableC2!$O$100)</f>
        <v>3445.6815548410318</v>
      </c>
      <c r="E19" s="171">
        <f>1000*C105*(TableC2!F17+TableC2!Q17)/(TableC2!$D$100+TableC2!$O$100)</f>
        <v>293.96696567380235</v>
      </c>
      <c r="F19" s="171">
        <f>1000*C105*(TableC2!G17+TableC2!R17)/(TableC2!$D$100+TableC2!$O$100)</f>
        <v>1.6142903375351161</v>
      </c>
      <c r="G19" s="171">
        <f>1000*C105*(TableC2!H17+TableC2!S17)/(TableC2!$D$100+TableC2!$O$100)</f>
        <v>1129.4462842149014</v>
      </c>
      <c r="H19" s="171">
        <f>1000*C105*(TableC2!I17+TableC2!T17)/(TableC2!$D$100+TableC2!$O$100)</f>
        <v>791.89824406993284</v>
      </c>
      <c r="I19" s="171">
        <f>1000*C105*(TableC2!J17+TableC2!U17)/(TableC2!$D$100+TableC2!$O$100)</f>
        <v>78.126166792554514</v>
      </c>
      <c r="J19" s="171">
        <f>1000*C105*(TableC2!K17+TableC2!V17)/(TableC2!$D$100+TableC2!$O$100)</f>
        <v>1150.6296037523055</v>
      </c>
      <c r="K19" s="196">
        <f>1000*C105*(TableC2!L17+TableC2!W17)/(TableC2!$D$100+TableC2!$O$100)</f>
        <v>774.89175132204059</v>
      </c>
      <c r="L19" s="178">
        <f>1000*C105*(TableC2!M17+TableC2!X17)/(TableC2!$D$100+TableC2!$O$100)</f>
        <v>243.01024587649351</v>
      </c>
      <c r="M19" s="183">
        <f>1000*C105*(TableC2!N17+TableC2!Y17)/(TableC2!$D$100+TableC2!$O$100)</f>
        <v>531.88150544554719</v>
      </c>
      <c r="N19" s="196">
        <f>1000*C105*TableC3!C17/TableC3!$C$91</f>
        <v>3144.7222897334336</v>
      </c>
      <c r="O19" s="196">
        <f>1000*C105*TableC3!D17/TableC3!$C$91</f>
        <v>2839.7922443267039</v>
      </c>
      <c r="P19" s="171">
        <f>1000*C105*TableC3!E17/TableC3!$C$91</f>
        <v>1215.6719508254437</v>
      </c>
      <c r="Q19" s="171">
        <f>1000*C105*TableC3!F17/TableC3!$C$91</f>
        <v>0.51402707038636686</v>
      </c>
      <c r="R19" s="171">
        <f>1000*C105*TableC3!G17/TableC3!$C$91</f>
        <v>-22.758602167104172</v>
      </c>
      <c r="S19" s="171">
        <f>1000*C105*TableC3!H17/TableC3!$C$91</f>
        <v>0</v>
      </c>
      <c r="T19" s="171">
        <f>1000*C105*TableC3!I17/TableC3!$C$91</f>
        <v>0</v>
      </c>
      <c r="U19" s="171">
        <f>1000*C105*TableC3!J17/TableC3!$C$91</f>
        <v>1646.3648685979776</v>
      </c>
      <c r="V19" s="196">
        <f>1000*C105*TableC3!K17/TableC3!$C$91</f>
        <v>304.93004540672985</v>
      </c>
      <c r="W19" s="178">
        <f>1000*C105*TableC3!L17/TableC3!$C$91</f>
        <v>144.78666974073269</v>
      </c>
      <c r="X19" s="177">
        <f>1000*C105*TableC3!M17/TableC3!$C$91</f>
        <v>160.14337566599718</v>
      </c>
    </row>
    <row r="20" spans="1:24" ht="14" customHeight="1">
      <c r="B20" s="199" t="s">
        <v>32</v>
      </c>
      <c r="C20" s="196">
        <f>1000*C105*(TableC2!D18+TableC2!O18)/(TableC2!$D$100+TableC2!$O$100)</f>
        <v>37673.181260185484</v>
      </c>
      <c r="D20" s="196">
        <f>1000*C105*(TableC2!E18+TableC2!P18)/(TableC2!$D$100+TableC2!$O$100)</f>
        <v>31284.83072542381</v>
      </c>
      <c r="E20" s="171">
        <f>1000*C105*(TableC2!F18+TableC2!Q18)/(TableC2!$D$100+TableC2!$O$100)</f>
        <v>4469.5697903985147</v>
      </c>
      <c r="F20" s="171">
        <f>1000*C105*(TableC2!G18+TableC2!R18)/(TableC2!$D$100+TableC2!$O$100)</f>
        <v>22.19649214110785</v>
      </c>
      <c r="G20" s="171">
        <f>1000*C105*(TableC2!H18+TableC2!S18)/(TableC2!$D$100+TableC2!$O$100)</f>
        <v>6681.8793970915021</v>
      </c>
      <c r="H20" s="171">
        <f>1000*C105*(TableC2!I18+TableC2!T18)/(TableC2!$D$100+TableC2!$O$100)</f>
        <v>12015.800410522525</v>
      </c>
      <c r="I20" s="171">
        <f>1000*C105*(TableC2!J18+TableC2!U18)/(TableC2!$D$100+TableC2!$O$100)</f>
        <v>402.71142554725549</v>
      </c>
      <c r="J20" s="171">
        <f>1000*C105*(TableC2!K18+TableC2!V18)/(TableC2!$D$100+TableC2!$O$100)</f>
        <v>7692.6732097229014</v>
      </c>
      <c r="K20" s="196">
        <f>1000*C105*(TableC2!L18+TableC2!W18)/(TableC2!$D$100+TableC2!$O$100)</f>
        <v>6388.3505347616783</v>
      </c>
      <c r="L20" s="178">
        <f>1000*C105*(TableC2!M18+TableC2!X18)/(TableC2!$D$100+TableC2!$O$100)</f>
        <v>2623.1139055045269</v>
      </c>
      <c r="M20" s="183">
        <f>1000*C105*(TableC2!N18+TableC2!Y18)/(TableC2!$D$100+TableC2!$O$100)</f>
        <v>3765.2366292571514</v>
      </c>
      <c r="N20" s="196">
        <f>1000*C105*TableC3!C18/TableC3!$C$91</f>
        <v>89580.45503412385</v>
      </c>
      <c r="O20" s="196">
        <f>1000*C105*TableC3!D18/TableC3!$C$91</f>
        <v>70804.369942037927</v>
      </c>
      <c r="P20" s="171">
        <f>1000*C105*TableC3!E18/TableC3!$C$91</f>
        <v>54912.140574461744</v>
      </c>
      <c r="Q20" s="171">
        <f>1000*C105*TableC3!F18/TableC3!$C$91</f>
        <v>10.720330899277364</v>
      </c>
      <c r="R20" s="171">
        <f>1000*C105*TableC3!G18/TableC3!$C$91</f>
        <v>1856.1287630866261</v>
      </c>
      <c r="S20" s="171">
        <f>1000*C105*TableC3!H18/TableC3!$C$91</f>
        <v>-448.92668654634559</v>
      </c>
      <c r="T20" s="171">
        <f>1000*C105*TableC3!I18/TableC3!$C$91</f>
        <v>23.883798713674487</v>
      </c>
      <c r="U20" s="171">
        <f>1000*C105*TableC3!J18/TableC3!$C$91</f>
        <v>14450.42316142295</v>
      </c>
      <c r="V20" s="196">
        <f>1000*C105*TableC3!K18/TableC3!$C$91</f>
        <v>18776.085092085916</v>
      </c>
      <c r="W20" s="178">
        <f>1000*C105*TableC3!L18/TableC3!$C$91</f>
        <v>16007.442324719372</v>
      </c>
      <c r="X20" s="177">
        <f>1000*C105*TableC3!M18/TableC3!$C$91</f>
        <v>2768.6427673665421</v>
      </c>
    </row>
    <row r="21" spans="1:24" ht="14" customHeight="1">
      <c r="B21" s="199" t="s">
        <v>34</v>
      </c>
      <c r="C21" s="196">
        <f>1000*C105*(TableC2!D19+TableC2!O19)/(TableC2!$D$100+TableC2!$O$100)</f>
        <v>66876.130911941436</v>
      </c>
      <c r="D21" s="196">
        <f>1000*C105*(TableC2!E19+TableC2!P19)/(TableC2!$D$100+TableC2!$O$100)</f>
        <v>56081.12560909149</v>
      </c>
      <c r="E21" s="171">
        <f>1000*C105*(TableC2!F19+TableC2!Q19)/(TableC2!$D$100+TableC2!$O$100)</f>
        <v>5054.8592078420816</v>
      </c>
      <c r="F21" s="171">
        <f>1000*C105*(TableC2!G19+TableC2!R19)/(TableC2!$D$100+TableC2!$O$100)</f>
        <v>68.607339345242437</v>
      </c>
      <c r="G21" s="171">
        <f>1000*C105*(TableC2!H19+TableC2!S19)/(TableC2!$D$100+TableC2!$O$100)</f>
        <v>11909.521219569506</v>
      </c>
      <c r="H21" s="171">
        <f>1000*C105*(TableC2!I19+TableC2!T19)/(TableC2!$D$100+TableC2!$O$100)</f>
        <v>20805.414510144888</v>
      </c>
      <c r="I21" s="171">
        <f>1000*C105*(TableC2!J19+TableC2!U19)/(TableC2!$D$100+TableC2!$O$100)</f>
        <v>875.25428249059053</v>
      </c>
      <c r="J21" s="171">
        <f>1000*C105*(TableC2!K19+TableC2!V19)/(TableC2!$D$100+TableC2!$O$100)</f>
        <v>17367.46904969919</v>
      </c>
      <c r="K21" s="196">
        <f>1000*C105*(TableC2!L19+TableC2!W19)/(TableC2!$D$100+TableC2!$O$100)</f>
        <v>10795.005302849944</v>
      </c>
      <c r="L21" s="178">
        <f>1000*C105*(TableC2!M19+TableC2!X19)/(TableC2!$D$100+TableC2!$O$100)</f>
        <v>5463.1018527457336</v>
      </c>
      <c r="M21" s="183">
        <f>1000*C105*(TableC2!N19+TableC2!Y19)/(TableC2!$D$100+TableC2!$O$100)</f>
        <v>5331.9034501042097</v>
      </c>
      <c r="N21" s="196">
        <f>1000*C105*TableC3!C19/TableC3!$C$91</f>
        <v>49606.495137343169</v>
      </c>
      <c r="O21" s="196">
        <f>1000*C105*TableC3!D19/TableC3!$C$91</f>
        <v>35308.556389954116</v>
      </c>
      <c r="P21" s="171">
        <f>1000*C105*TableC3!E19/TableC3!$C$91</f>
        <v>5368.2334873065483</v>
      </c>
      <c r="Q21" s="171">
        <f>1000*C105*TableC3!F19/TableC3!$C$91</f>
        <v>952.66243931219515</v>
      </c>
      <c r="R21" s="171">
        <f>1000*C105*TableC3!G19/TableC3!$C$91</f>
        <v>367.47734076172861</v>
      </c>
      <c r="S21" s="171">
        <f>1000*C105*TableC3!H19/TableC3!$C$91</f>
        <v>1361.1965612947363</v>
      </c>
      <c r="T21" s="171">
        <f>1000*C105*TableC3!I19/TableC3!$C$91</f>
        <v>0</v>
      </c>
      <c r="U21" s="171">
        <f>1000*C105*TableC3!J19/TableC3!$C$91</f>
        <v>27258.986561278911</v>
      </c>
      <c r="V21" s="196">
        <f>1000*C105*TableC3!K19/TableC3!$C$91</f>
        <v>14297.938747389057</v>
      </c>
      <c r="W21" s="178">
        <f>1000*C105*TableC3!L19/TableC3!$C$91</f>
        <v>12067.566926415648</v>
      </c>
      <c r="X21" s="177">
        <f>1000*C105*TableC3!M19/TableC3!$C$91</f>
        <v>2230.371820973407</v>
      </c>
    </row>
    <row r="22" spans="1:24" ht="14" customHeight="1">
      <c r="B22" s="199" t="s">
        <v>40</v>
      </c>
      <c r="C22" s="196">
        <f>1000*C105*(TableC2!D20+TableC2!O20)/(TableC2!$D$100+TableC2!$O$100)</f>
        <v>1701.0552389841946</v>
      </c>
      <c r="D22" s="196">
        <f>1000*C105*(TableC2!E20+TableC2!P20)/(TableC2!$D$100+TableC2!$O$100)</f>
        <v>1433.9335978213683</v>
      </c>
      <c r="E22" s="171">
        <f>1000*C105*(TableC2!F20+TableC2!Q20)/(TableC2!$D$100+TableC2!$O$100)</f>
        <v>217.5052081157294</v>
      </c>
      <c r="F22" s="171">
        <f>1000*C105*(TableC2!G20+TableC2!R20)/(TableC2!$D$100+TableC2!$O$100)</f>
        <v>58.51802473564797</v>
      </c>
      <c r="G22" s="171">
        <f>1000*C105*(TableC2!H20+TableC2!S20)/(TableC2!$D$100+TableC2!$O$100)</f>
        <v>401.14292518133476</v>
      </c>
      <c r="H22" s="171">
        <f>1000*C105*(TableC2!I20+TableC2!T20)/(TableC2!$D$100+TableC2!$O$100)</f>
        <v>247.91305632040397</v>
      </c>
      <c r="I22" s="171">
        <f>1000*C105*(TableC2!J20+TableC2!U20)/(TableC2!$D$100+TableC2!$O$100)</f>
        <v>47.545023217920914</v>
      </c>
      <c r="J22" s="171">
        <f>1000*C105*(TableC2!K20+TableC2!V20)/(TableC2!$D$100+TableC2!$O$100)</f>
        <v>461.30936025033151</v>
      </c>
      <c r="K22" s="196">
        <f>1000*C105*(TableC2!L20+TableC2!W20)/(TableC2!$D$100+TableC2!$O$100)</f>
        <v>267.12164116282622</v>
      </c>
      <c r="L22" s="178">
        <f>1000*C105*(TableC2!M20+TableC2!X20)/(TableC2!$D$100+TableC2!$O$100)</f>
        <v>236.19214278587012</v>
      </c>
      <c r="M22" s="183">
        <f>1000*C105*(TableC2!N20+TableC2!Y20)/(TableC2!$D$100+TableC2!$O$100)</f>
        <v>30.929498376956079</v>
      </c>
      <c r="N22" s="196">
        <f>1000*C105*TableC3!C20/TableC3!$C$91</f>
        <v>611.73449539741489</v>
      </c>
      <c r="O22" s="196">
        <f>1000*C105*TableC3!D20/TableC3!$C$91</f>
        <v>610.62149687945259</v>
      </c>
      <c r="P22" s="171">
        <f>1000*C105*TableC3!E20/TableC3!$C$91</f>
        <v>450.87025278186547</v>
      </c>
      <c r="Q22" s="171">
        <f>1000*C105*TableC3!F20/TableC3!$C$91</f>
        <v>115.60018355175245</v>
      </c>
      <c r="R22" s="171">
        <f>1000*C105*TableC3!G20/TableC3!$C$91</f>
        <v>4.3803145967755226</v>
      </c>
      <c r="S22" s="171">
        <f>1000*C105*TableC3!H20/TableC3!$C$91</f>
        <v>0</v>
      </c>
      <c r="T22" s="171">
        <f>1000*C105*TableC3!I20/TableC3!$C$91</f>
        <v>0</v>
      </c>
      <c r="U22" s="171">
        <f>1000*C105*TableC3!J20/TableC3!$C$91</f>
        <v>39.770745949059098</v>
      </c>
      <c r="V22" s="196">
        <f>1000*C105*TableC3!K20/TableC3!$C$91</f>
        <v>1.1129985179623418</v>
      </c>
      <c r="W22" s="178">
        <f>1000*C105*TableC3!L20/TableC3!$C$91</f>
        <v>0</v>
      </c>
      <c r="X22" s="177">
        <f>1000*C105*TableC3!M20/TableC3!$C$91</f>
        <v>1.1129985179623418</v>
      </c>
    </row>
    <row r="23" spans="1:24" ht="14" customHeight="1">
      <c r="B23" s="199" t="s">
        <v>95</v>
      </c>
      <c r="C23" s="196">
        <f>1000*C105*(TableC2!D21+TableC2!O21)/(TableC2!$D$100+TableC2!$O$100)</f>
        <v>5108.1506859423998</v>
      </c>
      <c r="D23" s="196">
        <f>1000*C105*(TableC2!E21+TableC2!P21)/(TableC2!$D$100+TableC2!$O$100)</f>
        <v>4378.8322247777614</v>
      </c>
      <c r="E23" s="171">
        <f>1000*C105*(TableC2!F21+TableC2!Q21)/(TableC2!$D$100+TableC2!$O$100)</f>
        <v>211.17354719643487</v>
      </c>
      <c r="F23" s="171">
        <f>1000*C105*(TableC2!G21+TableC2!R21)/(TableC2!$D$100+TableC2!$O$100)</f>
        <v>0.80714516876755804</v>
      </c>
      <c r="G23" s="171">
        <f>1000*C105*(TableC2!H21+TableC2!S21)/(TableC2!$D$100+TableC2!$O$100)</f>
        <v>3140.4189527299632</v>
      </c>
      <c r="H23" s="171">
        <f>1000*C105*(TableC2!I21+TableC2!T21)/(TableC2!$D$100+TableC2!$O$100)</f>
        <v>215.38724465415186</v>
      </c>
      <c r="I23" s="171">
        <f>1000*C105*(TableC2!J21+TableC2!U21)/(TableC2!$D$100+TableC2!$O$100)</f>
        <v>14.078866098510563</v>
      </c>
      <c r="J23" s="171">
        <f>1000*C105*(TableC2!K21+TableC2!V21)/(TableC2!$D$100+TableC2!$O$100)</f>
        <v>796.96646892993363</v>
      </c>
      <c r="K23" s="196">
        <f>1000*C105*(TableC2!L21+TableC2!W21)/(TableC2!$D$100+TableC2!$O$100)</f>
        <v>729.31846116463907</v>
      </c>
      <c r="L23" s="178">
        <f>1000*C105*(TableC2!M21+TableC2!X21)/(TableC2!$D$100+TableC2!$O$100)</f>
        <v>160.38695197451332</v>
      </c>
      <c r="M23" s="183">
        <f>1000*C105*(TableC2!N21+TableC2!Y21)/(TableC2!$D$100+TableC2!$O$100)</f>
        <v>568.93150919012578</v>
      </c>
      <c r="N23" s="196">
        <f>1000*C105*TableC3!C21/TableC3!$C$91</f>
        <v>696.06641778466178</v>
      </c>
      <c r="O23" s="196">
        <f>1000*C105*TableC3!D21/TableC3!$C$91</f>
        <v>686.37721119621301</v>
      </c>
      <c r="P23" s="171">
        <f>1000*C105*TableC3!E21/TableC3!$C$91</f>
        <v>539.48008516115692</v>
      </c>
      <c r="Q23" s="171">
        <f>1000*C105*TableC3!F21/TableC3!$C$91</f>
        <v>0</v>
      </c>
      <c r="R23" s="171">
        <f>1000*C105*TableC3!G21/TableC3!$C$91</f>
        <v>0</v>
      </c>
      <c r="S23" s="171">
        <f>1000*C105*TableC3!H21/TableC3!$C$91</f>
        <v>123.35036170050664</v>
      </c>
      <c r="T23" s="171">
        <f>1000*C105*TableC3!I21/TableC3!$C$91</f>
        <v>0</v>
      </c>
      <c r="U23" s="171">
        <f>1000*C105*TableC3!J21/TableC3!$C$91</f>
        <v>23.546764334549344</v>
      </c>
      <c r="V23" s="196">
        <f>1000*C105*TableC3!K21/TableC3!$C$91</f>
        <v>9.6892065884488296</v>
      </c>
      <c r="W23" s="178">
        <f>1000*C105*TableC3!L21/TableC3!$C$91</f>
        <v>0</v>
      </c>
      <c r="X23" s="177">
        <f>1000*C105*TableC3!M21/TableC3!$C$91</f>
        <v>9.6892065884488296</v>
      </c>
    </row>
    <row r="24" spans="1:24" ht="14" customHeight="1">
      <c r="B24" s="199" t="s">
        <v>113</v>
      </c>
      <c r="C24" s="196">
        <f>1000*C105*(TableC2!D22+TableC2!O22)/(TableC2!$D$100+TableC2!$O$100)</f>
        <v>583.16371689122411</v>
      </c>
      <c r="D24" s="196">
        <f>1000*C105*(TableC2!E22+TableC2!P22)/(TableC2!$D$100+TableC2!$O$100)</f>
        <v>219.54467164339243</v>
      </c>
      <c r="E24" s="171">
        <f>1000*C105*(TableC2!F22+TableC2!Q22)/(TableC2!$D$100+TableC2!$O$100)</f>
        <v>5.1034505019513983</v>
      </c>
      <c r="F24" s="171">
        <f>1000*C105*(TableC2!G22+TableC2!R22)/(TableC2!$D$100+TableC2!$O$100)</f>
        <v>0</v>
      </c>
      <c r="G24" s="171">
        <f>1000*C105*(TableC2!H22+TableC2!S22)/(TableC2!$D$100+TableC2!$O$100)</f>
        <v>91.97250238493298</v>
      </c>
      <c r="H24" s="171">
        <f>1000*C105*(TableC2!I22+TableC2!T22)/(TableC2!$D$100+TableC2!$O$100)</f>
        <v>50.451375746533976</v>
      </c>
      <c r="I24" s="171">
        <f>1000*C105*(TableC2!J22+TableC2!U22)/(TableC2!$D$100+TableC2!$O$100)</f>
        <v>2.0184939816192546</v>
      </c>
      <c r="J24" s="171">
        <f>1000*C105*(TableC2!K22+TableC2!V22)/(TableC2!$D$100+TableC2!$O$100)</f>
        <v>69.998849028354797</v>
      </c>
      <c r="K24" s="196">
        <f>1000*C105*(TableC2!L22+TableC2!W22)/(TableC2!$D$100+TableC2!$O$100)</f>
        <v>363.61904524783159</v>
      </c>
      <c r="L24" s="178">
        <f>1000*C105*(TableC2!M22+TableC2!X22)/(TableC2!$D$100+TableC2!$O$100)</f>
        <v>77.233282242100472</v>
      </c>
      <c r="M24" s="183">
        <f>1000*C105*(TableC2!N22+TableC2!Y22)/(TableC2!$D$100+TableC2!$O$100)</f>
        <v>286.38576300573112</v>
      </c>
      <c r="N24" s="196">
        <f>1000*C105*TableC3!C22/TableC3!$C$91</f>
        <v>19.071258061578714</v>
      </c>
      <c r="O24" s="196">
        <f>1000*C105*TableC3!D22/TableC3!$C$91</f>
        <v>18.115930642497766</v>
      </c>
      <c r="P24" s="171">
        <f>1000*C105*TableC3!E22/TableC3!$C$91</f>
        <v>18.04570523281669</v>
      </c>
      <c r="Q24" s="171">
        <f>1000*C105*TableC3!F22/TableC3!$C$91</f>
        <v>7.0225409681074394E-2</v>
      </c>
      <c r="R24" s="171">
        <f>1000*C105*TableC3!G22/TableC3!$C$91</f>
        <v>0</v>
      </c>
      <c r="S24" s="171">
        <f>1000*C105*TableC3!H22/TableC3!$C$91</f>
        <v>0</v>
      </c>
      <c r="T24" s="171">
        <f>1000*C105*TableC3!I22/TableC3!$C$91</f>
        <v>0</v>
      </c>
      <c r="U24" s="171">
        <f>1000*C105*TableC3!J22/TableC3!$C$91</f>
        <v>0</v>
      </c>
      <c r="V24" s="196">
        <f>1000*C105*TableC3!K22/TableC3!$C$91</f>
        <v>0.95532741908094676</v>
      </c>
      <c r="W24" s="178">
        <f>1000*C105*TableC3!L22/TableC3!$C$91</f>
        <v>0</v>
      </c>
      <c r="X24" s="177">
        <f>1000*C105*TableC3!M22/TableC3!$C$91</f>
        <v>0.95532741908094676</v>
      </c>
    </row>
    <row r="25" spans="1:24" ht="14" customHeight="1">
      <c r="B25" s="199" t="s">
        <v>20</v>
      </c>
      <c r="C25" s="196"/>
      <c r="D25" s="196"/>
      <c r="E25" s="171"/>
      <c r="F25" s="171"/>
      <c r="G25" s="171"/>
      <c r="H25" s="171"/>
      <c r="I25" s="171"/>
      <c r="J25" s="171"/>
      <c r="K25" s="196"/>
      <c r="L25" s="178"/>
      <c r="M25" s="183"/>
      <c r="N25" s="196"/>
      <c r="O25" s="196"/>
      <c r="P25" s="171"/>
      <c r="Q25" s="171"/>
      <c r="R25" s="171"/>
      <c r="S25" s="171"/>
      <c r="T25" s="171"/>
      <c r="U25" s="171"/>
      <c r="V25" s="196"/>
      <c r="W25" s="178"/>
      <c r="X25" s="177"/>
    </row>
    <row r="26" spans="1:24" ht="14" customHeight="1">
      <c r="B26" s="199" t="s">
        <v>114</v>
      </c>
      <c r="C26" s="196">
        <f>1000*C105*(TableC2!D24+TableC2!O24)/(TableC2!$D$100+TableC2!$O$100)</f>
        <v>4301.4198320834639</v>
      </c>
      <c r="D26" s="196">
        <f>1000*C105*(TableC2!E24+TableC2!P24)/(TableC2!$D$100+TableC2!$O$100)</f>
        <v>336.13305300354841</v>
      </c>
      <c r="E26" s="171">
        <f>1000*C105*(TableC2!F24+TableC2!Q24)/(TableC2!$D$100+TableC2!$O$100)</f>
        <v>76.703589564208457</v>
      </c>
      <c r="F26" s="171">
        <f>1000*C105*(TableC2!G24+TableC2!R24)/(TableC2!$D$100+TableC2!$O$100)</f>
        <v>34.183360419375866</v>
      </c>
      <c r="G26" s="171">
        <f>1000*C105*(TableC2!H24+TableC2!S24)/(TableC2!$D$100+TableC2!$O$100)</f>
        <v>-33.139728434237149</v>
      </c>
      <c r="H26" s="171">
        <f>1000*C105*(TableC2!I24+TableC2!T24)/(TableC2!$D$100+TableC2!$O$100)</f>
        <v>60.810357513978985</v>
      </c>
      <c r="I26" s="171">
        <f>1000*C105*(TableC2!J24+TableC2!U24)/(TableC2!$D$100+TableC2!$O$100)</f>
        <v>167.59674263846094</v>
      </c>
      <c r="J26" s="171">
        <f>1000*C105*(TableC2!K24+TableC2!V24)/(TableC2!$D$100+TableC2!$O$100)</f>
        <v>29.978731301761272</v>
      </c>
      <c r="K26" s="196">
        <f>1000*C105*(TableC2!L24+TableC2!W24)/(TableC2!$D$100+TableC2!$O$100)</f>
        <v>3965.286779079915</v>
      </c>
      <c r="L26" s="178">
        <f>1000*C105*(TableC2!M24+TableC2!X24)/(TableC2!$D$100+TableC2!$O$100)</f>
        <v>505.23883946054258</v>
      </c>
      <c r="M26" s="183">
        <f>1000*C105*(TableC2!N24+TableC2!Y24)/(TableC2!$D$100+TableC2!$O$100)</f>
        <v>3460.0479396193728</v>
      </c>
      <c r="N26" s="196">
        <f>1000*C105*TableC3!C24/TableC3!$C$91</f>
        <v>743.33379952533028</v>
      </c>
      <c r="O26" s="196">
        <f>1000*C105*TableC3!D24/TableC3!$C$91</f>
        <v>92.013973806226005</v>
      </c>
      <c r="P26" s="171">
        <f>1000*C105*TableC3!E24/TableC3!$C$91</f>
        <v>-54.012823904802616</v>
      </c>
      <c r="Q26" s="171">
        <f>1000*C105*TableC3!F24/TableC3!$C$91</f>
        <v>46.948569586434317</v>
      </c>
      <c r="R26" s="171">
        <f>1000*C105*TableC3!G24/TableC3!$C$91</f>
        <v>33.105303698022091</v>
      </c>
      <c r="S26" s="171">
        <f>1000*C105*TableC3!H24/TableC3!$C$91</f>
        <v>65.97292442657222</v>
      </c>
      <c r="T26" s="171">
        <f>1000*C105*TableC3!I24/TableC3!$C$91</f>
        <v>0</v>
      </c>
      <c r="U26" s="171">
        <f>1000*C105*TableC3!J24/TableC3!$C$91</f>
        <v>0</v>
      </c>
      <c r="V26" s="196">
        <f>1000*C105*TableC3!K24/TableC3!$C$91</f>
        <v>651.3198257191043</v>
      </c>
      <c r="W26" s="178">
        <f>1000*C105*TableC3!L24/TableC3!$C$91</f>
        <v>555.78450135322362</v>
      </c>
      <c r="X26" s="177">
        <f>1000*C105*TableC3!M24/TableC3!$C$91</f>
        <v>95.535324365880754</v>
      </c>
    </row>
    <row r="27" spans="1:24" ht="14" customHeight="1">
      <c r="B27" s="199" t="s">
        <v>33</v>
      </c>
      <c r="C27" s="196">
        <f>1000*C105*(TableC2!D25+TableC2!O25)/(TableC2!$D$100+TableC2!$O$100)</f>
        <v>25608.325730890843</v>
      </c>
      <c r="D27" s="196">
        <f>1000*C105*(TableC2!E25+TableC2!P25)/(TableC2!$D$100+TableC2!$O$100)</f>
        <v>22707.255988201945</v>
      </c>
      <c r="E27" s="171">
        <f>1000*C105*(TableC2!F25+TableC2!Q25)/(TableC2!$D$100+TableC2!$O$100)</f>
        <v>1548.5106745533633</v>
      </c>
      <c r="F27" s="171">
        <f>1000*C105*(TableC2!G25+TableC2!R25)/(TableC2!$D$100+TableC2!$O$100)</f>
        <v>27.182154958058753</v>
      </c>
      <c r="G27" s="171">
        <f>1000*C105*(TableC2!H25+TableC2!S25)/(TableC2!$D$100+TableC2!$O$100)</f>
        <v>5854.1958159556643</v>
      </c>
      <c r="H27" s="171">
        <f>1000*C105*(TableC2!I25+TableC2!T25)/(TableC2!$D$100+TableC2!$O$100)</f>
        <v>11069.559283740924</v>
      </c>
      <c r="I27" s="171">
        <f>1000*C105*(TableC2!J25+TableC2!U25)/(TableC2!$D$100+TableC2!$O$100)</f>
        <v>231.29302709894148</v>
      </c>
      <c r="J27" s="171">
        <f>1000*C105*(TableC2!K25+TableC2!V25)/(TableC2!$D$100+TableC2!$O$100)</f>
        <v>3976.5150318949968</v>
      </c>
      <c r="K27" s="196">
        <f>1000*C105*(TableC2!L25+TableC2!W25)/(TableC2!$D$100+TableC2!$O$100)</f>
        <v>2901.0697426888964</v>
      </c>
      <c r="L27" s="178">
        <f>1000*C105*(TableC2!M25+TableC2!X25)/(TableC2!$D$100+TableC2!$O$100)</f>
        <v>1839.7016812756979</v>
      </c>
      <c r="M27" s="183">
        <f>1000*C105*(TableC2!N25+TableC2!Y25)/(TableC2!$D$100+TableC2!$O$100)</f>
        <v>1061.3680614131981</v>
      </c>
      <c r="N27" s="196">
        <f>1000*C105*TableC3!C25/TableC3!$C$91</f>
        <v>5209.7167018065411</v>
      </c>
      <c r="O27" s="196">
        <f>1000*C105*TableC3!D25/TableC3!$C$91</f>
        <v>3507.8699412084675</v>
      </c>
      <c r="P27" s="171">
        <f>1000*C105*TableC3!E25/TableC3!$C$91</f>
        <v>352.35584599405831</v>
      </c>
      <c r="Q27" s="171">
        <f>1000*C105*TableC3!F25/TableC3!$C$91</f>
        <v>4.6812524396798096</v>
      </c>
      <c r="R27" s="171">
        <f>1000*C105*TableC3!G25/TableC3!$C$91</f>
        <v>900.06139029505266</v>
      </c>
      <c r="S27" s="171">
        <f>1000*C105*TableC3!H25/TableC3!$C$91</f>
        <v>-253.01801459288194</v>
      </c>
      <c r="T27" s="171">
        <f>1000*C105*TableC3!I25/TableC3!$C$91</f>
        <v>35.723770753179764</v>
      </c>
      <c r="U27" s="171">
        <f>1000*C105*TableC3!J25/TableC3!$C$91</f>
        <v>2468.0656963193787</v>
      </c>
      <c r="V27" s="196">
        <f>1000*C105*TableC3!K25/TableC3!$C$91</f>
        <v>1701.8467605980738</v>
      </c>
      <c r="W27" s="178">
        <f>1000*C105*TableC3!L25/TableC3!$C$91</f>
        <v>1505.0830265689972</v>
      </c>
      <c r="X27" s="177">
        <f>1000*C105*TableC3!M25/TableC3!$C$91</f>
        <v>196.76373402907689</v>
      </c>
    </row>
    <row r="28" spans="1:24" ht="14" customHeight="1">
      <c r="B28" s="199" t="s">
        <v>31</v>
      </c>
      <c r="C28" s="196">
        <f>1000*C105*(TableC2!D26+TableC2!O26)/(TableC2!$D$100+TableC2!$O$100)</f>
        <v>15593.395637624197</v>
      </c>
      <c r="D28" s="196">
        <f>1000*C105*(TableC2!E26+TableC2!P26)/(TableC2!$D$100+TableC2!$O$100)</f>
        <v>8779.9330599592413</v>
      </c>
      <c r="E28" s="171">
        <f>1000*C105*(TableC2!F26+TableC2!Q26)/(TableC2!$D$100+TableC2!$O$100)</f>
        <v>616.68346869138168</v>
      </c>
      <c r="F28" s="171">
        <f>1000*C105*(TableC2!G26+TableC2!R26)/(TableC2!$D$100+TableC2!$O$100)</f>
        <v>5.743327316889558</v>
      </c>
      <c r="G28" s="171">
        <f>1000*C105*(TableC2!H26+TableC2!S26)/(TableC2!$D$100+TableC2!$O$100)</f>
        <v>5621.4131177538811</v>
      </c>
      <c r="H28" s="171">
        <f>1000*C105*(TableC2!I26+TableC2!T26)/(TableC2!$D$100+TableC2!$O$100)</f>
        <v>1004.4011428526622</v>
      </c>
      <c r="I28" s="171"/>
      <c r="J28" s="171">
        <f>1000*C105*(TableC2!K26+TableC2!V26)/(TableC2!$D$100+TableC2!$O$100)</f>
        <v>1496.8786487662301</v>
      </c>
      <c r="K28" s="196">
        <f>1000*C105*(TableC2!L26+TableC2!W26)/(TableC2!$D$100+TableC2!$O$100)</f>
        <v>6813.4625776649573</v>
      </c>
      <c r="L28" s="178">
        <f>1000*C105*(TableC2!M26+TableC2!X26)/(TableC2!$D$100+TableC2!$O$100)</f>
        <v>1305.0463434482438</v>
      </c>
      <c r="M28" s="183">
        <f>1000*C105*(TableC2!N26+TableC2!Y26)/(TableC2!$D$100+TableC2!$O$100)</f>
        <v>5508.4162342167137</v>
      </c>
      <c r="N28" s="196">
        <f>1000*C105*TableC3!C26/TableC3!$C$91</f>
        <v>26853.695508633427</v>
      </c>
      <c r="O28" s="196">
        <f>1000*C105*TableC3!D26/TableC3!$C$91</f>
        <v>11813.656675789727</v>
      </c>
      <c r="P28" s="171">
        <f>1000*C105*TableC3!E26/TableC3!$C$91</f>
        <v>5878.8786975836802</v>
      </c>
      <c r="Q28" s="171">
        <f>1000*C105*TableC3!F26/TableC3!$C$91</f>
        <v>4.3401094774768029E-2</v>
      </c>
      <c r="R28" s="171">
        <f>1000*C105*TableC3!G26/TableC3!$C$91</f>
        <v>174.99709971967928</v>
      </c>
      <c r="S28" s="171">
        <f>1000*C105*TableC3!H26/TableC3!$C$91</f>
        <v>0</v>
      </c>
      <c r="T28" s="171">
        <f>1000*C105*TableC3!I26/TableC3!$C$91</f>
        <v>0</v>
      </c>
      <c r="U28" s="171">
        <f>1000*C105*TableC3!J26/TableC3!$C$91</f>
        <v>5759.7374773915926</v>
      </c>
      <c r="V28" s="196">
        <f>1000*C105*TableC3!K26/TableC3!$C$91</f>
        <v>15040.038832843702</v>
      </c>
      <c r="W28" s="178">
        <f>1000*C105*TableC3!L26/TableC3!$C$91</f>
        <v>4350.3352270521209</v>
      </c>
      <c r="X28" s="177">
        <f>1000*C105*TableC3!M26/TableC3!$C$91</f>
        <v>10689.703605791583</v>
      </c>
    </row>
    <row r="29" spans="1:24" ht="14" customHeight="1">
      <c r="A29" s="146" t="s">
        <v>361</v>
      </c>
      <c r="B29" s="199" t="s">
        <v>48</v>
      </c>
      <c r="C29" s="196">
        <f>1000*C105*(TableC2!D27+TableC2!O27)/(TableC2!$D$100+TableC2!$O$100)</f>
        <v>8883.4392955831736</v>
      </c>
      <c r="D29" s="196">
        <f>1000*C105*(TableC2!E27+TableC2!P27)/(TableC2!$D$100+TableC2!$O$100)</f>
        <v>1681.1633084712539</v>
      </c>
      <c r="E29" s="171">
        <f>1000*C105*(TableC2!F27+TableC2!Q27)/(TableC2!$D$100+TableC2!$O$100)</f>
        <v>85.403148112142091</v>
      </c>
      <c r="F29" s="171">
        <f>1000*C105*(TableC2!G27+TableC2!R27)/(TableC2!$D$100+TableC2!$O$100)</f>
        <v>19.144424389631862</v>
      </c>
      <c r="G29" s="171">
        <f>1000*C105*(TableC2!H27+TableC2!S27)/(TableC2!$D$100+TableC2!$O$100)</f>
        <v>817.33419902615242</v>
      </c>
      <c r="H29" s="171">
        <f>1000*C105*(TableC2!I27+TableC2!T27)/(TableC2!$D$100+TableC2!$O$100)</f>
        <v>171.43539456224099</v>
      </c>
      <c r="I29" s="171">
        <f>1000*C105*(TableC2!J27+TableC2!U27)/(TableC2!$D$100+TableC2!$O$100)</f>
        <v>4.0738267348220205</v>
      </c>
      <c r="J29" s="171">
        <f>1000*C105*(TableC2!K27+TableC2!V27)/(TableC2!$D$100+TableC2!$O$100)</f>
        <v>583.77231564626459</v>
      </c>
      <c r="K29" s="196">
        <f>1000*C105*(TableC2!L27+TableC2!W27)/(TableC2!$D$100+TableC2!$O$100)</f>
        <v>7202.2759871119197</v>
      </c>
      <c r="L29" s="178">
        <f>1000*C105*(TableC2!M27+TableC2!X27)/(TableC2!$D$100+TableC2!$O$100)</f>
        <v>1434.7999796050649</v>
      </c>
      <c r="M29" s="183">
        <f>1000*C105*(TableC2!N27+TableC2!Y27)/(TableC2!$D$100+TableC2!$O$100)</f>
        <v>5767.4760075068561</v>
      </c>
      <c r="N29" s="196">
        <f>1000*C105*TableC3!C27/TableC3!$C$91</f>
        <v>2178.5030001333807</v>
      </c>
      <c r="O29" s="196">
        <f>1000*C105*TableC3!D27/TableC3!$C$91</f>
        <v>1085.1821448041887</v>
      </c>
      <c r="P29" s="171">
        <f>1000*C105*TableC3!E27/TableC3!$C$91</f>
        <v>454.58011355758595</v>
      </c>
      <c r="Q29" s="171">
        <f>1000*C105*TableC3!F27/TableC3!$C$91</f>
        <v>1.9209386307760343E-2</v>
      </c>
      <c r="R29" s="171">
        <f>1000*C105*TableC3!G27/TableC3!$C$91</f>
        <v>0</v>
      </c>
      <c r="S29" s="171">
        <f>1000*C105*TableC3!H27/TableC3!$C$91</f>
        <v>0</v>
      </c>
      <c r="T29" s="171">
        <f>1000*C105*TableC3!I27/TableC3!$C$91</f>
        <v>0</v>
      </c>
      <c r="U29" s="171">
        <f>1000*C105*TableC3!J27/TableC3!$C$91</f>
        <v>630.58282186029498</v>
      </c>
      <c r="V29" s="196">
        <f>1000*C105*TableC3!K27/TableC3!$C$91</f>
        <v>1093.320855329192</v>
      </c>
      <c r="W29" s="178">
        <f>1000*C105*TableC3!L27/TableC3!$C$91</f>
        <v>0</v>
      </c>
      <c r="X29" s="177">
        <f>1000*C105*TableC3!M27/TableC3!$C$91</f>
        <v>1093.320855329192</v>
      </c>
    </row>
    <row r="30" spans="1:24" ht="14" customHeight="1">
      <c r="B30" s="185" t="s">
        <v>96</v>
      </c>
      <c r="C30" s="196">
        <f>1000*C105*(TableC2!D28+TableC2!O28)/(TableC2!$D$100+TableC2!$O$100)</f>
        <v>339.5571647733567</v>
      </c>
      <c r="D30" s="196">
        <f>1000*C105*(TableC2!E28+TableC2!P28)/(TableC2!$D$100+TableC2!$O$100)</f>
        <v>248.25928013659117</v>
      </c>
      <c r="E30" s="171">
        <f>1000*C105*(TableC2!F28+TableC2!Q28)/(TableC2!$D$100+TableC2!$O$100)</f>
        <v>31.199655453531427</v>
      </c>
      <c r="F30" s="171">
        <f>1000*C105*(TableC2!G28+TableC2!R28)/(TableC2!$D$100+TableC2!$O$100)</f>
        <v>1.3452419479459305</v>
      </c>
      <c r="G30" s="171">
        <f>1000*C105*(TableC2!H28+TableC2!S28)/(TableC2!$D$100+TableC2!$O$100)</f>
        <v>80.11500232230938</v>
      </c>
      <c r="H30" s="171">
        <f>1000*C105*(TableC2!I28+TableC2!T28)/(TableC2!$D$100+TableC2!$O$100)</f>
        <v>85.426703886055677</v>
      </c>
      <c r="I30" s="171">
        <f>1000*C105*(TableC2!J28+TableC2!U28)/(TableC2!$D$100+TableC2!$O$100)</f>
        <v>3.6928173373142461</v>
      </c>
      <c r="J30" s="171">
        <f>1000*C105*(TableC2!K28+TableC2!V28)/(TableC2!$D$100+TableC2!$O$100)</f>
        <v>46.479859189434528</v>
      </c>
      <c r="K30" s="196">
        <f>1000*C105*(TableC2!L28+TableC2!W28)/(TableC2!$D$100+TableC2!$O$100)</f>
        <v>91.297884636765488</v>
      </c>
      <c r="L30" s="178">
        <f>1000*C105*(TableC2!M28+TableC2!X28)/(TableC2!$D$100+TableC2!$O$100)</f>
        <v>37.041552369265112</v>
      </c>
      <c r="M30" s="183">
        <f>1000*C105*(TableC2!N28+TableC2!Y28)/(TableC2!$D$100+TableC2!$O$100)</f>
        <v>54.256332267500376</v>
      </c>
      <c r="N30" s="196">
        <f>1000*C105*TableC3!C28/TableC3!$C$91</f>
        <v>-1.8057949999102247</v>
      </c>
      <c r="O30" s="196">
        <f>1000*C105*TableC3!D28/TableC3!$C$91</f>
        <v>-1.9240511095585504</v>
      </c>
      <c r="P30" s="171">
        <f>1000*C105*TableC3!E28/TableC3!$C$91</f>
        <v>-2.4904383179210088</v>
      </c>
      <c r="Q30" s="171">
        <f>1000*C105*TableC3!F28/TableC3!$C$91</f>
        <v>0.56638720836245859</v>
      </c>
      <c r="R30" s="171">
        <f>1000*C105*TableC3!G28/TableC3!$C$91</f>
        <v>0</v>
      </c>
      <c r="S30" s="171">
        <f>1000*C105*TableC3!H28/TableC3!$C$91</f>
        <v>0</v>
      </c>
      <c r="T30" s="171">
        <f>1000*C105*TableC3!I28/TableC3!$C$91</f>
        <v>0</v>
      </c>
      <c r="U30" s="171">
        <f>1000*C105*TableC3!J28/TableC3!$C$91</f>
        <v>0</v>
      </c>
      <c r="V30" s="196">
        <f>1000*C105*TableC3!K28/TableC3!$C$91</f>
        <v>0.11825610964832581</v>
      </c>
      <c r="W30" s="178">
        <f>1000*C105*TableC3!L28/TableC3!$C$91</f>
        <v>0</v>
      </c>
      <c r="X30" s="177">
        <f>1000*C105*TableC3!M28/TableC3!$C$91</f>
        <v>0.11825610964832581</v>
      </c>
    </row>
    <row r="31" spans="1:24" ht="14" customHeight="1">
      <c r="B31" s="185" t="s">
        <v>19</v>
      </c>
      <c r="C31" s="196"/>
      <c r="D31" s="196"/>
      <c r="E31" s="171"/>
      <c r="F31" s="171"/>
      <c r="G31" s="171"/>
      <c r="H31" s="171"/>
      <c r="I31" s="171"/>
      <c r="J31" s="171"/>
      <c r="K31" s="196"/>
      <c r="L31" s="178"/>
      <c r="M31" s="183"/>
      <c r="N31" s="196"/>
      <c r="O31" s="196"/>
      <c r="P31" s="171"/>
      <c r="Q31" s="171"/>
      <c r="R31" s="171"/>
      <c r="S31" s="171"/>
      <c r="T31" s="171"/>
      <c r="U31" s="171"/>
      <c r="V31" s="196"/>
      <c r="W31" s="178"/>
      <c r="X31" s="177"/>
    </row>
    <row r="32" spans="1:24" ht="14" customHeight="1">
      <c r="B32" s="185" t="s">
        <v>38</v>
      </c>
      <c r="C32" s="196">
        <f>1000*C105*(TableC2!D30+TableC2!O30)/(TableC2!$D$100+TableC2!$O$100)</f>
        <v>18022.998644899868</v>
      </c>
      <c r="D32" s="196">
        <f>1000*C105*(TableC2!E30+TableC2!P30)/(TableC2!$D$100+TableC2!$O$100)</f>
        <v>3874.9091550460366</v>
      </c>
      <c r="E32" s="171">
        <f>1000*C105*(TableC2!F30+TableC2!Q30)/(TableC2!$D$100+TableC2!$O$100)</f>
        <v>271.76678701597109</v>
      </c>
      <c r="F32" s="171">
        <f>1000*C105*(TableC2!G30+TableC2!R30)/(TableC2!$D$100+TableC2!$O$100)</f>
        <v>0</v>
      </c>
      <c r="G32" s="171">
        <f>1000*C105*(TableC2!H30+TableC2!S30)/(TableC2!$D$100+TableC2!$O$100)</f>
        <v>644.70470626444887</v>
      </c>
      <c r="H32" s="171">
        <f>1000*C105*(TableC2!I30+TableC2!T30)/(TableC2!$D$100+TableC2!$O$100)</f>
        <v>342.82735377901309</v>
      </c>
      <c r="I32" s="171">
        <f>1000*C105*(TableC2!J30+TableC2!U30)/(TableC2!$D$100+TableC2!$O$100)</f>
        <v>94.111668047595828</v>
      </c>
      <c r="J32" s="171">
        <f>1000*C105*(TableC2!K30+TableC2!V30)/(TableC2!$D$100+TableC2!$O$100)</f>
        <v>2521.4986399390082</v>
      </c>
      <c r="K32" s="196">
        <f>1000*C105*(TableC2!L30+TableC2!W30)/(TableC2!$D$100+TableC2!$O$100)</f>
        <v>14148.089489853828</v>
      </c>
      <c r="L32" s="178">
        <f>1000*C105*(TableC2!M30+TableC2!X30)/(TableC2!$D$100+TableC2!$O$100)</f>
        <v>653.21964755840202</v>
      </c>
      <c r="M32" s="183">
        <f>1000*C105*(TableC2!N30+TableC2!Y30)/(TableC2!$D$100+TableC2!$O$100)</f>
        <v>13494.869842295428</v>
      </c>
      <c r="N32" s="196">
        <f>1000*C105*TableC3!C30/TableC3!$C$91</f>
        <v>5059.6096519107505</v>
      </c>
      <c r="O32" s="196">
        <f>1000*C105*TableC3!D30/TableC3!$C$91</f>
        <v>4184.231244930279</v>
      </c>
      <c r="P32" s="171">
        <f>1000*C105*TableC3!E30/TableC3!$C$91</f>
        <v>-1025.4553566800937</v>
      </c>
      <c r="Q32" s="171">
        <f>1000*C105*TableC3!F30/TableC3!$C$91</f>
        <v>2.5409943862602345E-4</v>
      </c>
      <c r="R32" s="171">
        <f>1000*C105*TableC3!G30/TableC3!$C$91</f>
        <v>25.824048467803923</v>
      </c>
      <c r="S32" s="171">
        <f>1000*C105*TableC3!H30/TableC3!$C$91</f>
        <v>0</v>
      </c>
      <c r="T32" s="171">
        <f>1000*C105*TableC3!I30/TableC3!$C$91</f>
        <v>0</v>
      </c>
      <c r="U32" s="171">
        <f>1000*C105*TableC3!J30/TableC3!$C$91</f>
        <v>5183.8622990431295</v>
      </c>
      <c r="V32" s="196">
        <f>1000*C105*TableC3!K30/TableC3!$C$91</f>
        <v>875.37840698047125</v>
      </c>
      <c r="W32" s="178">
        <f>1000*C105*TableC3!L30/TableC3!$C$91</f>
        <v>0</v>
      </c>
      <c r="X32" s="177">
        <f>1000*C105*TableC3!M30/TableC3!$C$91</f>
        <v>875.37840698047125</v>
      </c>
    </row>
    <row r="33" spans="1:24" ht="14" customHeight="1">
      <c r="B33" s="185" t="s">
        <v>23</v>
      </c>
      <c r="C33" s="196"/>
      <c r="D33" s="196"/>
      <c r="E33" s="171"/>
      <c r="F33" s="171"/>
      <c r="G33" s="171"/>
      <c r="H33" s="171"/>
      <c r="I33" s="171"/>
      <c r="J33" s="171"/>
      <c r="K33" s="196"/>
      <c r="L33" s="178"/>
      <c r="M33" s="183"/>
      <c r="N33" s="196"/>
      <c r="O33" s="196"/>
      <c r="P33" s="171"/>
      <c r="Q33" s="171"/>
      <c r="R33" s="171"/>
      <c r="S33" s="171"/>
      <c r="T33" s="171"/>
      <c r="U33" s="171"/>
      <c r="V33" s="196"/>
      <c r="W33" s="178"/>
      <c r="X33" s="177"/>
    </row>
    <row r="34" spans="1:24" ht="14" customHeight="1">
      <c r="B34" s="185" t="s">
        <v>116</v>
      </c>
      <c r="C34" s="196">
        <f>1000*C105*(TableC2!D32+TableC2!O32)/(TableC2!$D$100+TableC2!$O$100)</f>
        <v>2793.1017390877737</v>
      </c>
      <c r="D34" s="196">
        <f>1000*C105*(TableC2!E32+TableC2!P32)/(TableC2!$D$100+TableC2!$O$100)</f>
        <v>508.87906145370169</v>
      </c>
      <c r="E34" s="171">
        <f>1000*C105*(TableC2!F32+TableC2!Q32)/(TableC2!$D$100+TableC2!$O$100)</f>
        <v>60.91579872965179</v>
      </c>
      <c r="F34" s="171">
        <f>1000*C105*(TableC2!G32+TableC2!R32)/(TableC2!$D$100+TableC2!$O$100)</f>
        <v>0</v>
      </c>
      <c r="G34" s="171">
        <f>1000*C105*(TableC2!H32+TableC2!S32)/(TableC2!$D$100+TableC2!$O$100)</f>
        <v>151.23371281322719</v>
      </c>
      <c r="H34" s="171">
        <f>1000*C105*(TableC2!I32+TableC2!T32)/(TableC2!$D$100+TableC2!$O$100)</f>
        <v>114.63753166887275</v>
      </c>
      <c r="I34" s="171">
        <f>1000*C105*(TableC2!J32+TableC2!U32)/(TableC2!$D$100+TableC2!$O$100)</f>
        <v>5.3580914365956707</v>
      </c>
      <c r="J34" s="171">
        <f>1000*C105*(TableC2!K32+TableC2!V32)/(TableC2!$D$100+TableC2!$O$100)</f>
        <v>176.73392680535437</v>
      </c>
      <c r="K34" s="196">
        <f>1000*C105*(TableC2!L32+TableC2!W32)/(TableC2!$D$100+TableC2!$O$100)</f>
        <v>2284.2226776340726</v>
      </c>
      <c r="L34" s="178">
        <f>1000*C105*(TableC2!M32+TableC2!X32)/(TableC2!$D$100+TableC2!$O$100)</f>
        <v>235.53847525389452</v>
      </c>
      <c r="M34" s="183">
        <f>1000*C105*(TableC2!N32+TableC2!Y32)/(TableC2!$D$100+TableC2!$O$100)</f>
        <v>2048.6842023801782</v>
      </c>
      <c r="N34" s="196">
        <f>1000*C105*TableC3!C32/TableC3!$C$91</f>
        <v>924.32702160139911</v>
      </c>
      <c r="O34" s="196">
        <f>1000*C105*TableC3!D32/TableC3!$C$91</f>
        <v>-150.99840410572975</v>
      </c>
      <c r="P34" s="171">
        <f>1000*C105*TableC3!E32/TableC3!$C$91</f>
        <v>-163.58169525453795</v>
      </c>
      <c r="Q34" s="171">
        <f>1000*C105*TableC3!F32/TableC3!$C$91</f>
        <v>0.27866499556103508</v>
      </c>
      <c r="R34" s="171">
        <f>1000*C105*TableC3!G32/TableC3!$C$91</f>
        <v>12.304626153247149</v>
      </c>
      <c r="S34" s="171">
        <f>1000*C105*TableC3!H32/TableC3!$C$91</f>
        <v>0</v>
      </c>
      <c r="T34" s="171">
        <f>1000*C105*TableC3!I32/TableC3!$C$91</f>
        <v>0</v>
      </c>
      <c r="U34" s="171">
        <f>1000*C105*TableC3!J32/TableC3!$C$91</f>
        <v>0</v>
      </c>
      <c r="V34" s="196">
        <f>1000*C105*TableC3!K32/TableC3!$C$91</f>
        <v>1075.3254257071287</v>
      </c>
      <c r="W34" s="178">
        <f>1000*C105*TableC3!L32/TableC3!$C$91</f>
        <v>0</v>
      </c>
      <c r="X34" s="177">
        <f>1000*C105*TableC3!M32/TableC3!$C$91</f>
        <v>1075.3254257071287</v>
      </c>
    </row>
    <row r="35" spans="1:24" ht="14" customHeight="1">
      <c r="B35" s="185" t="s">
        <v>117</v>
      </c>
      <c r="C35" s="196">
        <f>1000*C105*(TableC2!D33+TableC2!O33)/(TableC2!$D$100+TableC2!$O$100)</f>
        <v>7198.3393496637809</v>
      </c>
      <c r="D35" s="196">
        <f>1000*C105*(TableC2!E33+TableC2!P33)/(TableC2!$D$100+TableC2!$O$100)</f>
        <v>2912.9363050789038</v>
      </c>
      <c r="E35" s="171">
        <f>1000*C105*(TableC2!F33+TableC2!Q33)/(TableC2!$D$100+TableC2!$O$100)</f>
        <v>172.4503361854174</v>
      </c>
      <c r="F35" s="171">
        <f>1000*C105*(TableC2!G33+TableC2!R33)/(TableC2!$D$100+TableC2!$O$100)</f>
        <v>3.8288848779263729</v>
      </c>
      <c r="G35" s="171">
        <f>1000*C105*(TableC2!H33+TableC2!S33)/(TableC2!$D$100+TableC2!$O$100)</f>
        <v>1663.5708409454992</v>
      </c>
      <c r="H35" s="171">
        <f>1000*C105*(TableC2!I33+TableC2!T33)/(TableC2!$D$100+TableC2!$O$100)</f>
        <v>272.26413771357284</v>
      </c>
      <c r="I35" s="171">
        <f>1000*C105*(TableC2!J33+TableC2!U33)/(TableC2!$D$100+TableC2!$O$100)</f>
        <v>152.08425758927208</v>
      </c>
      <c r="J35" s="171">
        <f>1000*C105*(TableC2!K33+TableC2!V33)/(TableC2!$D$100+TableC2!$O$100)</f>
        <v>648.73784776721675</v>
      </c>
      <c r="K35" s="196">
        <f>1000*C105*(TableC2!L33+TableC2!W33)/(TableC2!$D$100+TableC2!$O$100)</f>
        <v>4285.4030445848775</v>
      </c>
      <c r="L35" s="178">
        <f>1000*C105*(TableC2!M33+TableC2!X33)/(TableC2!$D$100+TableC2!$O$100)</f>
        <v>243.90028944861547</v>
      </c>
      <c r="M35" s="183">
        <f>1000*C105*(TableC2!N33+TableC2!Y33)/(TableC2!$D$100+TableC2!$O$100)</f>
        <v>4041.5027551362618</v>
      </c>
      <c r="N35" s="196">
        <f>1000*C105*TableC3!C33/TableC3!$C$91</f>
        <v>7559.4908528675924</v>
      </c>
      <c r="O35" s="196">
        <f>1000*C105*TableC3!D33/TableC3!$C$91</f>
        <v>5343.2114832604129</v>
      </c>
      <c r="P35" s="171">
        <f>1000*C105*TableC3!E33/TableC3!$C$91</f>
        <v>5152.3042432125267</v>
      </c>
      <c r="Q35" s="171">
        <f>1000*C105*TableC3!F33/TableC3!$C$91</f>
        <v>0</v>
      </c>
      <c r="R35" s="171">
        <f>1000*C105*TableC3!G33/TableC3!$C$91</f>
        <v>48.772702339310108</v>
      </c>
      <c r="S35" s="171">
        <f>1000*C105*TableC3!H33/TableC3!$C$91</f>
        <v>0</v>
      </c>
      <c r="T35" s="171">
        <f>1000*C105*TableC3!I33/TableC3!$C$91</f>
        <v>0</v>
      </c>
      <c r="U35" s="171">
        <f>1000*C105*TableC3!J33/TableC3!$C$91</f>
        <v>142.13453770857564</v>
      </c>
      <c r="V35" s="196">
        <f>1000*C105*TableC3!K33/TableC3!$C$91</f>
        <v>2216.2793696071794</v>
      </c>
      <c r="W35" s="178">
        <f>1000*C105*TableC3!L33/TableC3!$C$91</f>
        <v>0</v>
      </c>
      <c r="X35" s="177">
        <f>1000*C105*TableC3!M33/TableC3!$C$91</f>
        <v>2216.2793696071794</v>
      </c>
    </row>
    <row r="36" spans="1:24" ht="14" customHeight="1">
      <c r="B36" s="185" t="s">
        <v>97</v>
      </c>
      <c r="C36" s="196">
        <f>1000*C105*(TableC2!D34+TableC2!O34)/(TableC2!$D$100+TableC2!$O$100)</f>
        <v>4737.7359785520221</v>
      </c>
      <c r="D36" s="196">
        <f>1000*C105*(TableC2!E34+TableC2!P34)/(TableC2!$D$100+TableC2!$O$100)</f>
        <v>4120.724599539486</v>
      </c>
      <c r="E36" s="171">
        <f>1000*C105*(TableC2!F34+TableC2!Q34)/(TableC2!$D$100+TableC2!$O$100)</f>
        <v>384.87973947229011</v>
      </c>
      <c r="F36" s="171">
        <f>1000*C105*(TableC2!G34+TableC2!R34)/(TableC2!$D$100+TableC2!$O$100)</f>
        <v>4.7083468178107557</v>
      </c>
      <c r="G36" s="171">
        <f>1000*C105*(TableC2!H34+TableC2!S34)/(TableC2!$D$100+TableC2!$O$100)</f>
        <v>1371.225197074619</v>
      </c>
      <c r="H36" s="171">
        <f>1000*C105*(TableC2!I34+TableC2!T34)/(TableC2!$D$100+TableC2!$O$100)</f>
        <v>915.22259227053075</v>
      </c>
      <c r="I36" s="171">
        <f>1000*C105*(TableC2!J34+TableC2!U34)/(TableC2!$D$100+TableC2!$O$100)</f>
        <v>162.99617369934907</v>
      </c>
      <c r="J36" s="171">
        <f>1000*C105*(TableC2!K34+TableC2!V34)/(TableC2!$D$100+TableC2!$O$100)</f>
        <v>1281.6925502048862</v>
      </c>
      <c r="K36" s="196">
        <f>1000*C105*(TableC2!L34+TableC2!W34)/(TableC2!$D$100+TableC2!$O$100)</f>
        <v>617.01137901253617</v>
      </c>
      <c r="L36" s="178">
        <f>1000*C105*(TableC2!M34+TableC2!X34)/(TableC2!$D$100+TableC2!$O$100)</f>
        <v>447.6719631788423</v>
      </c>
      <c r="M36" s="183">
        <f>1000*C105*(TableC2!N34+TableC2!Y34)/(TableC2!$D$100+TableC2!$O$100)</f>
        <v>169.33941583369392</v>
      </c>
      <c r="N36" s="196">
        <f>1000*C105*TableC3!C34/TableC3!$C$91</f>
        <v>-3516.6724883151846</v>
      </c>
      <c r="O36" s="196">
        <f>1000*C105*TableC3!D34/TableC3!$C$91</f>
        <v>-3519.2295671135284</v>
      </c>
      <c r="P36" s="171">
        <f>1000*C105*TableC3!E34/TableC3!$C$91</f>
        <v>-4160.5306642098758</v>
      </c>
      <c r="Q36" s="171">
        <f>1000*C105*TableC3!F34/TableC3!$C$91</f>
        <v>0</v>
      </c>
      <c r="R36" s="171">
        <f>1000*C105*TableC3!G34/TableC3!$C$91</f>
        <v>-25.488154174583382</v>
      </c>
      <c r="S36" s="171">
        <f>1000*C105*TableC3!H34/TableC3!$C$91</f>
        <v>0</v>
      </c>
      <c r="T36" s="171">
        <f>1000*C105*TableC3!I34/TableC3!$C$91</f>
        <v>0</v>
      </c>
      <c r="U36" s="171">
        <f>1000*C105*TableC3!J34/TableC3!$C$91</f>
        <v>666.789251270931</v>
      </c>
      <c r="V36" s="196">
        <f>1000*C105*TableC3!K34/TableC3!$C$91</f>
        <v>2.5570787983435497</v>
      </c>
      <c r="W36" s="178">
        <f>1000*C105*TableC3!L34/TableC3!$C$91</f>
        <v>0</v>
      </c>
      <c r="X36" s="177">
        <f>1000*C105*TableC3!M34/TableC3!$C$91</f>
        <v>2.5570787983435497</v>
      </c>
    </row>
    <row r="37" spans="1:24" ht="14" customHeight="1">
      <c r="B37" s="185" t="s">
        <v>42</v>
      </c>
      <c r="C37" s="196">
        <f>1000*C105*(TableC2!D35+TableC2!O35)/(TableC2!$D$100+TableC2!$O$100)</f>
        <v>3053.6973610704354</v>
      </c>
      <c r="D37" s="196">
        <f>1000*C105*(TableC2!E35+TableC2!P35)/(TableC2!$D$100+TableC2!$O$100)</f>
        <v>2745.7492012092393</v>
      </c>
      <c r="E37" s="171">
        <f>1000*C105*(TableC2!F35+TableC2!Q35)/(TableC2!$D$100+TableC2!$O$100)</f>
        <v>273.60879296067804</v>
      </c>
      <c r="F37" s="171">
        <f>1000*C105*(TableC2!G35+TableC2!R35)/(TableC2!$D$100+TableC2!$O$100)</f>
        <v>1.3452419479459305</v>
      </c>
      <c r="G37" s="171">
        <f>1000*C105*(TableC2!H35+TableC2!S35)/(TableC2!$D$100+TableC2!$O$100)</f>
        <v>763.38755901394916</v>
      </c>
      <c r="H37" s="171">
        <f>1000*C105*(TableC2!I35+TableC2!T35)/(TableC2!$D$100+TableC2!$O$100)</f>
        <v>646.90623792990164</v>
      </c>
      <c r="I37" s="171">
        <f>1000*C105*(TableC2!J35+TableC2!U35)/(TableC2!$D$100+TableC2!$O$100)</f>
        <v>38.08217879105316</v>
      </c>
      <c r="J37" s="171">
        <f>1000*C105*(TableC2!K35+TableC2!V35)/(TableC2!$D$100+TableC2!$O$100)</f>
        <v>1022.4191905657116</v>
      </c>
      <c r="K37" s="196">
        <f>1000*C105*(TableC2!L35+TableC2!W35)/(TableC2!$D$100+TableC2!$O$100)</f>
        <v>307.94815986119602</v>
      </c>
      <c r="L37" s="178">
        <f>1000*C105*(TableC2!M35+TableC2!X35)/(TableC2!$D$100+TableC2!$O$100)</f>
        <v>209.20163513434537</v>
      </c>
      <c r="M37" s="183">
        <f>1000*C105*(TableC2!N35+TableC2!Y35)/(TableC2!$D$100+TableC2!$O$100)</f>
        <v>98.746524726850694</v>
      </c>
      <c r="N37" s="196">
        <f>1000*C105*TableC3!C35/TableC3!$C$91</f>
        <v>386.88489644874949</v>
      </c>
      <c r="O37" s="196">
        <f>1000*C105*TableC3!D35/TableC3!$C$91</f>
        <v>4.4193921767159274</v>
      </c>
      <c r="P37" s="171">
        <f>1000*C105*TableC3!E35/TableC3!$C$91</f>
        <v>-217.62066333161169</v>
      </c>
      <c r="Q37" s="171">
        <f>1000*C105*TableC3!F35/TableC3!$C$91</f>
        <v>0.20834237735478839</v>
      </c>
      <c r="R37" s="171">
        <f>1000*C105*TableC3!G35/TableC3!$C$91</f>
        <v>71.054637782080562</v>
      </c>
      <c r="S37" s="171">
        <f>1000*C105*TableC3!H35/TableC3!$C$91</f>
        <v>0</v>
      </c>
      <c r="T37" s="171">
        <f>1000*C105*TableC3!I35/TableC3!$C$91</f>
        <v>0</v>
      </c>
      <c r="U37" s="171">
        <f>1000*C105*TableC3!J35/TableC3!$C$91</f>
        <v>150.77707534889228</v>
      </c>
      <c r="V37" s="196">
        <f>1000*C105*TableC3!K35/TableC3!$C$91</f>
        <v>382.46550427203351</v>
      </c>
      <c r="W37" s="178">
        <f>1000*C105*TableC3!L35/TableC3!$C$91</f>
        <v>0</v>
      </c>
      <c r="X37" s="177">
        <f>1000*C105*TableC3!M35/TableC3!$C$91</f>
        <v>382.46550427203351</v>
      </c>
    </row>
    <row r="38" spans="1:24" ht="14" customHeight="1">
      <c r="A38" s="146" t="s">
        <v>119</v>
      </c>
      <c r="B38" s="185" t="s">
        <v>98</v>
      </c>
      <c r="C38" s="196">
        <f>1000*C105*(TableC2!D36+TableC2!O36)/(TableC2!$D$100+TableC2!$O$100)</f>
        <v>928.81101091655808</v>
      </c>
      <c r="D38" s="196">
        <f>1000*C105*(TableC2!E36+TableC2!P36)/(TableC2!$D$100+TableC2!$O$100)</f>
        <v>794.15747773739974</v>
      </c>
      <c r="E38" s="171">
        <f>1000*C105*(TableC2!F36+TableC2!Q36)/(TableC2!$D$100+TableC2!$O$100)</f>
        <v>186.34730676953845</v>
      </c>
      <c r="F38" s="171">
        <f>1000*C105*(TableC2!G36+TableC2!R36)/(TableC2!$D$100+TableC2!$O$100)</f>
        <v>2.6904838958918611</v>
      </c>
      <c r="G38" s="171">
        <f>1000*C105*(TableC2!H36+TableC2!S36)/(TableC2!$D$100+TableC2!$O$100)</f>
        <v>136.27064517971678</v>
      </c>
      <c r="H38" s="171">
        <f>1000*C105*(TableC2!I36+TableC2!T36)/(TableC2!$D$100+TableC2!$O$100)</f>
        <v>277.32375691261939</v>
      </c>
      <c r="I38" s="171">
        <f>1000*C105*(TableC2!J36+TableC2!U36)/(TableC2!$D$100+TableC2!$O$100)</f>
        <v>11.424653637315949</v>
      </c>
      <c r="J38" s="171">
        <f>1000*C105*(TableC2!K36+TableC2!V36)/(TableC2!$D$100+TableC2!$O$100)</f>
        <v>180.10063134231729</v>
      </c>
      <c r="K38" s="196">
        <f>1000*C105*(TableC2!L36+TableC2!W36)/(TableC2!$D$100+TableC2!$O$100)</f>
        <v>134.65353317915839</v>
      </c>
      <c r="L38" s="178">
        <f>1000*C105*(TableC2!M36+TableC2!X36)/(TableC2!$D$100+TableC2!$O$100)</f>
        <v>102.76302318222875</v>
      </c>
      <c r="M38" s="183">
        <f>1000*C105*(TableC2!N36+TableC2!Y36)/(TableC2!$D$100+TableC2!$O$100)</f>
        <v>31.890509996929659</v>
      </c>
      <c r="N38" s="196">
        <f>1000*C105*TableC3!C36/TableC3!$C$91</f>
        <v>125.14506907276498</v>
      </c>
      <c r="O38" s="196">
        <f>1000*C105*TableC3!D36/TableC3!$C$91</f>
        <v>120.21137164758963</v>
      </c>
      <c r="P38" s="171">
        <f>1000*C105*TableC3!E36/TableC3!$C$91</f>
        <v>112.08816435157898</v>
      </c>
      <c r="Q38" s="171">
        <f>1000*C105*TableC3!F36/TableC3!$C$91</f>
        <v>0</v>
      </c>
      <c r="R38" s="171">
        <f>1000*C105*TableC3!G36/TableC3!$C$91</f>
        <v>0</v>
      </c>
      <c r="S38" s="171">
        <f>1000*C105*TableC3!H36/TableC3!$C$91</f>
        <v>0</v>
      </c>
      <c r="T38" s="171">
        <f>1000*C105*TableC3!I36/TableC3!$C$91</f>
        <v>0</v>
      </c>
      <c r="U38" s="171">
        <f>1000*C105*TableC3!J36/TableC3!$C$91</f>
        <v>8.1232072960106567</v>
      </c>
      <c r="V38" s="196">
        <f>1000*C105*TableC3!K36/TableC3!$C$91</f>
        <v>4.9336974251753505</v>
      </c>
      <c r="W38" s="178">
        <f>1000*C105*TableC3!L36/TableC3!$C$91</f>
        <v>0</v>
      </c>
      <c r="X38" s="177">
        <f>1000*C105*TableC3!M36/TableC3!$C$91</f>
        <v>4.9336974251753505</v>
      </c>
    </row>
    <row r="39" spans="1:24" ht="14" customHeight="1">
      <c r="B39" s="185" t="s">
        <v>99</v>
      </c>
      <c r="C39" s="196">
        <f>1000*C105*(TableC2!D37+TableC2!O37)/(TableC2!$D$100+TableC2!$O$100)</f>
        <v>366.82054802829822</v>
      </c>
      <c r="D39" s="196">
        <f>1000*C105*(TableC2!E37+TableC2!P37)/(TableC2!$D$100+TableC2!$O$100)</f>
        <v>289.65204827102707</v>
      </c>
      <c r="E39" s="171">
        <f>1000*C105*(TableC2!F37+TableC2!Q37)/(TableC2!$D$100+TableC2!$O$100)</f>
        <v>47.872918115939825</v>
      </c>
      <c r="F39" s="171">
        <v>0</v>
      </c>
      <c r="G39" s="171">
        <f>1000*C105*(TableC2!H37+TableC2!S37)/(TableC2!$D$100+TableC2!$O$100)</f>
        <v>103.70914898711281</v>
      </c>
      <c r="H39" s="171">
        <f>1000*C105*(TableC2!I37+TableC2!T37)/(TableC2!$D$100+TableC2!$O$100)</f>
        <v>60.835100153541148</v>
      </c>
      <c r="I39" s="171">
        <f>1000*C105*(TableC2!J37+TableC2!U37)/(TableC2!$D$100+TableC2!$O$100)</f>
        <v>1.0386048761196318</v>
      </c>
      <c r="J39" s="171">
        <f>1000*C105*(TableC2!K37+TableC2!V37)/(TableC2!$D$100+TableC2!$O$100)</f>
        <v>73.505792242421819</v>
      </c>
      <c r="K39" s="196">
        <f>1000*C105*(TableC2!L37+TableC2!W37)/(TableC2!$D$100+TableC2!$O$100)</f>
        <v>77.168499757271107</v>
      </c>
      <c r="L39" s="178">
        <f>1000*C105*(TableC2!M37+TableC2!X37)/(TableC2!$D$100+TableC2!$O$100)</f>
        <v>41.558377655927529</v>
      </c>
      <c r="M39" s="183">
        <f>1000*C105*(TableC2!N37+TableC2!Y37)/(TableC2!$D$100+TableC2!$O$100)</f>
        <v>35.610122101343585</v>
      </c>
      <c r="N39" s="196">
        <f>1000*C105*TableC3!C37/TableC3!$C$91</f>
        <v>-9.8202450682277966</v>
      </c>
      <c r="O39" s="196">
        <f>1000*C105*TableC3!D37/TableC3!$C$91</f>
        <v>-10.552301840900924</v>
      </c>
      <c r="P39" s="171">
        <f>1000*C105*TableC3!E37/TableC3!$C$91</f>
        <v>-10.533283522987636</v>
      </c>
      <c r="Q39" s="171">
        <f>1000*C105*TableC3!F37/TableC3!$C$91</f>
        <v>-1.9018317913287199E-2</v>
      </c>
      <c r="R39" s="171">
        <f>1000*C105*TableC3!G37/TableC3!$C$91</f>
        <v>0</v>
      </c>
      <c r="S39" s="171">
        <f>1000*C105*TableC3!H37/TableC3!$C$91</f>
        <v>0</v>
      </c>
      <c r="T39" s="171">
        <f>1000*C105*TableC3!I37/TableC3!$C$91</f>
        <v>0</v>
      </c>
      <c r="U39" s="171">
        <f>1000*C105*TableC3!J37/TableC3!$C$91</f>
        <v>0</v>
      </c>
      <c r="V39" s="196">
        <f>1000*C105*TableC3!K37/TableC3!$C$91</f>
        <v>0.73205677267312697</v>
      </c>
      <c r="W39" s="178">
        <f>1000*C105*TableC3!L37/TableC3!$C$91</f>
        <v>0</v>
      </c>
      <c r="X39" s="177">
        <f>1000*C105*TableC3!M37/TableC3!$C$91</f>
        <v>0.73205677267312697</v>
      </c>
    </row>
    <row r="40" spans="1:24" ht="14" customHeight="1">
      <c r="B40" s="185" t="s">
        <v>30</v>
      </c>
      <c r="C40" s="196">
        <f>1000*C105*(TableC2!D38+TableC2!O38)/(TableC2!$D$100+TableC2!$O$100)</f>
        <v>18664.518356004857</v>
      </c>
      <c r="D40" s="196">
        <f>1000*C105*(TableC2!E38+TableC2!P38)/(TableC2!$D$100+TableC2!$O$100)</f>
        <v>15682.346620083066</v>
      </c>
      <c r="E40" s="171">
        <f>1000*C105*(TableC2!F38+TableC2!Q38)/(TableC2!$D$100+TableC2!$O$100)</f>
        <v>1154.1980270244094</v>
      </c>
      <c r="F40" s="171">
        <f>1000*C105*(TableC2!G38+TableC2!R38)/(TableC2!$D$100+TableC2!$O$100)</f>
        <v>16.183380684881428</v>
      </c>
      <c r="G40" s="171">
        <f>1000*C105*(TableC2!H38+TableC2!S38)/(TableC2!$D$100+TableC2!$O$100)</f>
        <v>3393.2770276528981</v>
      </c>
      <c r="H40" s="171">
        <f>1000*C105*(TableC2!I38+TableC2!T38)/(TableC2!$D$100+TableC2!$O$100)</f>
        <v>5224.1627898378292</v>
      </c>
      <c r="I40" s="171">
        <f>1000*C105*(TableC2!J38+TableC2!U38)/(TableC2!$D$100+TableC2!$O$100)</f>
        <v>246.63114559964487</v>
      </c>
      <c r="J40" s="171">
        <f>1000*C105*(TableC2!K38+TableC2!V38)/(TableC2!$D$100+TableC2!$O$100)</f>
        <v>5647.8942492834058</v>
      </c>
      <c r="K40" s="196">
        <f>1000*C105*(TableC2!L38+TableC2!W38)/(TableC2!$D$100+TableC2!$O$100)</f>
        <v>2982.1717359217914</v>
      </c>
      <c r="L40" s="178">
        <f>1000*C105*(TableC2!M38+TableC2!X38)/(TableC2!$D$100+TableC2!$O$100)</f>
        <v>1316.6536273719</v>
      </c>
      <c r="M40" s="183">
        <f>1000*C105*(TableC2!N38+TableC2!Y38)/(TableC2!$D$100+TableC2!$O$100)</f>
        <v>1665.5181085498912</v>
      </c>
      <c r="N40" s="196">
        <f>1000*C105*TableC3!C38/TableC3!$C$91</f>
        <v>4313.9499637403787</v>
      </c>
      <c r="O40" s="196">
        <f>1000*C105*TableC3!D38/TableC3!$C$91</f>
        <v>1534.8007980172961</v>
      </c>
      <c r="P40" s="171">
        <f>1000*C105*TableC3!E38/TableC3!$C$91</f>
        <v>-1299.1374315130449</v>
      </c>
      <c r="Q40" s="171">
        <f>1000*C105*TableC3!F38/TableC3!$C$91</f>
        <v>6.7147833382598137</v>
      </c>
      <c r="R40" s="171">
        <f>1000*C105*TableC3!G38/TableC3!$C$91</f>
        <v>977.6289886012537</v>
      </c>
      <c r="S40" s="171">
        <f>1000*C105*TableC3!H38/TableC3!$C$91</f>
        <v>-310.25921912366823</v>
      </c>
      <c r="T40" s="171">
        <f>1000*C105*TableC3!I38/TableC3!$C$91</f>
        <v>3.9255992917930063</v>
      </c>
      <c r="U40" s="171">
        <f>1000*C105*TableC3!J38/TableC3!$C$91</f>
        <v>2155.9280774227027</v>
      </c>
      <c r="V40" s="196">
        <f>1000*C105*TableC3!K38/TableC3!$C$91</f>
        <v>2779.1491657230827</v>
      </c>
      <c r="W40" s="178">
        <f>1000*C105*TableC3!L38/TableC3!$C$91</f>
        <v>2358.8285707582713</v>
      </c>
      <c r="X40" s="177">
        <f>1000*C105*TableC3!M38/TableC3!$C$91</f>
        <v>420.32059496481168</v>
      </c>
    </row>
    <row r="41" spans="1:24" ht="14" customHeight="1">
      <c r="B41" s="185" t="s">
        <v>100</v>
      </c>
      <c r="C41" s="196">
        <f>1000*C105*(TableC2!D39+TableC2!O39)/(TableC2!$D$100+TableC2!$O$100)</f>
        <v>11125.638096578623</v>
      </c>
      <c r="D41" s="196">
        <f>1000*C105*(TableC2!E39+TableC2!P39)/(TableC2!$D$100+TableC2!$O$100)</f>
        <v>9400.4068844527028</v>
      </c>
      <c r="E41" s="171">
        <f>1000*C105*(TableC2!F39+TableC2!Q39)/(TableC2!$D$100+TableC2!$O$100)</f>
        <v>1003.0176426857049</v>
      </c>
      <c r="F41" s="171">
        <f>1000*C105*(TableC2!G39+TableC2!R39)/(TableC2!$D$100+TableC2!$O$100)</f>
        <v>86.095484668539555</v>
      </c>
      <c r="G41" s="171">
        <f>1000*C105*(TableC2!H39+TableC2!S39)/(TableC2!$D$100+TableC2!$O$100)</f>
        <v>3392.7088919148728</v>
      </c>
      <c r="H41" s="171">
        <f>1000*C105*(TableC2!I39+TableC2!T39)/(TableC2!$D$100+TableC2!$O$100)</f>
        <v>2556.3586355730031</v>
      </c>
      <c r="I41" s="171">
        <f>1000*C105*(TableC2!J39+TableC2!U39)/(TableC2!$D$100+TableC2!$O$100)</f>
        <v>231.80120835289742</v>
      </c>
      <c r="J41" s="171">
        <f>1000*C105*(TableC2!K39+TableC2!V39)/(TableC2!$D$100+TableC2!$O$100)</f>
        <v>2130.4250212576844</v>
      </c>
      <c r="K41" s="196">
        <f>1000*C105*(TableC2!L39+TableC2!W39)/(TableC2!$D$100+TableC2!$O$100)</f>
        <v>1725.2312121259217</v>
      </c>
      <c r="L41" s="178">
        <f>1000*C105*(TableC2!M39+TableC2!X39)/(TableC2!$D$100+TableC2!$O$100)</f>
        <v>424.37972776866565</v>
      </c>
      <c r="M41" s="183">
        <f>1000*C105*(TableC2!N39+TableC2!Y39)/(TableC2!$D$100+TableC2!$O$100)</f>
        <v>1300.8514843572559</v>
      </c>
      <c r="N41" s="196">
        <f>1000*C105*TableC3!C39/TableC3!$C$91</f>
        <v>13196.400698474679</v>
      </c>
      <c r="O41" s="196">
        <f>1000*C105*TableC3!D39/TableC3!$C$91</f>
        <v>9375.3279057227774</v>
      </c>
      <c r="P41" s="171">
        <f>1000*C105*TableC3!E39/TableC3!$C$91</f>
        <v>4974.8783469145419</v>
      </c>
      <c r="Q41" s="171">
        <f>1000*C105*TableC3!F39/TableC3!$C$91</f>
        <v>1.975301214522615</v>
      </c>
      <c r="R41" s="171">
        <f>1000*C105*TableC3!G39/TableC3!$C$91</f>
        <v>227.72530999986674</v>
      </c>
      <c r="S41" s="171">
        <f>1000*C105*TableC3!H39/TableC3!$C$91</f>
        <v>88.65978470425776</v>
      </c>
      <c r="T41" s="171">
        <f>1000*C105*TableC3!I39/TableC3!$C$91</f>
        <v>0</v>
      </c>
      <c r="U41" s="171">
        <f>1000*C105*TableC3!J39/TableC3!$C$91</f>
        <v>4082.0891628895874</v>
      </c>
      <c r="V41" s="196">
        <f>1000*C105*TableC3!K39/TableC3!$C$91</f>
        <v>3821.0727927519001</v>
      </c>
      <c r="W41" s="178">
        <f>1000*C105*TableC3!L39/TableC3!$C$91</f>
        <v>3701.257356701456</v>
      </c>
      <c r="X41" s="177">
        <f>1000*C105*TableC3!M39/TableC3!$C$91</f>
        <v>119.81543605044432</v>
      </c>
    </row>
    <row r="42" spans="1:24" ht="14" customHeight="1">
      <c r="B42" s="185" t="s">
        <v>21</v>
      </c>
      <c r="C42" s="196"/>
      <c r="D42" s="196"/>
      <c r="E42" s="171"/>
      <c r="F42" s="171"/>
      <c r="G42" s="171"/>
      <c r="H42" s="171"/>
      <c r="I42" s="171"/>
      <c r="J42" s="171"/>
      <c r="K42" s="196"/>
      <c r="L42" s="178"/>
      <c r="M42" s="183"/>
      <c r="N42" s="196"/>
      <c r="O42" s="196"/>
      <c r="P42" s="171"/>
      <c r="Q42" s="171"/>
      <c r="R42" s="171"/>
      <c r="S42" s="171"/>
      <c r="T42" s="171"/>
      <c r="U42" s="171"/>
      <c r="V42" s="196"/>
      <c r="W42" s="178"/>
      <c r="X42" s="177"/>
    </row>
    <row r="43" spans="1:24" ht="14" customHeight="1">
      <c r="B43" s="185" t="s">
        <v>44</v>
      </c>
      <c r="C43" s="196">
        <f>1000*C105*(TableC2!D41+TableC2!O41)/(TableC2!$D$100+TableC2!$O$100)</f>
        <v>5074.5494601272303</v>
      </c>
      <c r="D43" s="196">
        <f>1000*C105*(TableC2!E41+TableC2!P41)/(TableC2!$D$100+TableC2!$O$100)</f>
        <v>1548.3074725884276</v>
      </c>
      <c r="E43" s="171">
        <f>1000*C105*(TableC2!F41+TableC2!Q41)/(TableC2!$D$100+TableC2!$O$100)</f>
        <v>225.65710952283743</v>
      </c>
      <c r="F43" s="171">
        <f>1000*C105*(TableC2!G41+TableC2!R41)/(TableC2!$D$100+TableC2!$O$100)</f>
        <v>1.8187203170150268</v>
      </c>
      <c r="G43" s="171">
        <f>1000*C105*(TableC2!H41+TableC2!S41)/(TableC2!$D$100+TableC2!$O$100)</f>
        <v>578.49695775370753</v>
      </c>
      <c r="H43" s="171">
        <f>1000*C105*(TableC2!I41+TableC2!T41)/(TableC2!$D$100+TableC2!$O$100)</f>
        <v>201.14984154803852</v>
      </c>
      <c r="I43" s="171">
        <f>1000*C105*(TableC2!J41+TableC2!U41)/(TableC2!$D$100+TableC2!$O$100)</f>
        <v>33.710872396595214</v>
      </c>
      <c r="J43" s="171">
        <f>1000*C105*(TableC2!K41+TableC2!V41)/(TableC2!$D$100+TableC2!$O$100)</f>
        <v>507.47397105023356</v>
      </c>
      <c r="K43" s="196">
        <f>1000*C105*(TableC2!L41+TableC2!W41)/(TableC2!$D$100+TableC2!$O$100)</f>
        <v>3526.2419875388027</v>
      </c>
      <c r="L43" s="178">
        <f>1000*C105*(TableC2!M41+TableC2!X41)/(TableC2!$D$100+TableC2!$O$100)</f>
        <v>352.87901893465391</v>
      </c>
      <c r="M43" s="183">
        <f>1000*C105*(TableC2!N41+TableC2!Y41)/(TableC2!$D$100+TableC2!$O$100)</f>
        <v>3173.362968604149</v>
      </c>
      <c r="N43" s="196">
        <f>1000*C105*TableC3!C41/TableC3!$C$91</f>
        <v>651.40257879206115</v>
      </c>
      <c r="O43" s="196">
        <f>1000*C105*TableC3!D41/TableC3!$C$91</f>
        <v>624.21471169750703</v>
      </c>
      <c r="P43" s="171">
        <f>1000*C105*TableC3!E41/TableC3!$C$91</f>
        <v>25.957572707596878</v>
      </c>
      <c r="Q43" s="171">
        <f>1000*C105*TableC3!F41/TableC3!$C$91</f>
        <v>-8.43468386373359E-3</v>
      </c>
      <c r="R43" s="171">
        <f>1000*C105*TableC3!G41/TableC3!$C$91</f>
        <v>0</v>
      </c>
      <c r="S43" s="171">
        <f>1000*C105*TableC3!H41/TableC3!$C$91</f>
        <v>0</v>
      </c>
      <c r="T43" s="171">
        <f>1000*C105*TableC3!I41/TableC3!$C$91</f>
        <v>4.9569808960282149</v>
      </c>
      <c r="U43" s="171">
        <f>1000*C105*TableC3!J41/TableC3!$C$91</f>
        <v>593.30859277774562</v>
      </c>
      <c r="V43" s="196">
        <f>1000*C105*TableC3!K41/TableC3!$C$91</f>
        <v>27.187867094554004</v>
      </c>
      <c r="W43" s="178">
        <f>1000*C105*TableC3!L41/TableC3!$C$91</f>
        <v>0</v>
      </c>
      <c r="X43" s="177">
        <f>1000*C105*TableC3!M41/TableC3!$C$91</f>
        <v>27.187867094554004</v>
      </c>
    </row>
    <row r="44" spans="1:24" ht="14" customHeight="1">
      <c r="B44" s="185" t="s">
        <v>28</v>
      </c>
      <c r="C44" s="196">
        <f>1000*C105*(TableC2!D42+TableC2!O42)/(TableC2!$D$100+TableC2!$O$100)</f>
        <v>97023.031282236436</v>
      </c>
      <c r="D44" s="196">
        <f>1000*C105*(TableC2!E42+TableC2!P42)/(TableC2!$D$100+TableC2!$O$100)</f>
        <v>73653.189337188407</v>
      </c>
      <c r="E44" s="171">
        <f>1000*C105*(TableC2!F42+TableC2!Q42)/(TableC2!$D$100+TableC2!$O$100)</f>
        <v>7695.3451856523343</v>
      </c>
      <c r="F44" s="171">
        <f>1000*C105*(TableC2!G42+TableC2!R42)/(TableC2!$D$100+TableC2!$O$100)</f>
        <v>224.63447580032786</v>
      </c>
      <c r="G44" s="171">
        <f>1000*C105*(TableC2!H42+TableC2!S42)/(TableC2!$D$100+TableC2!$O$100)</f>
        <v>24465.078034176942</v>
      </c>
      <c r="H44" s="171">
        <f>1000*C105*(TableC2!I42+TableC2!T42)/(TableC2!$D$100+TableC2!$O$100)</f>
        <v>19387.811133308151</v>
      </c>
      <c r="I44" s="171">
        <f>1000*C105*(TableC2!J42+TableC2!U42)/(TableC2!$D$100+TableC2!$O$100)</f>
        <v>1073.7978128908587</v>
      </c>
      <c r="J44" s="171">
        <f>1000*C105*(TableC2!K42+TableC2!V42)/(TableC2!$D$100+TableC2!$O$100)</f>
        <v>20806.522695359807</v>
      </c>
      <c r="K44" s="196">
        <f>1000*C105*(TableC2!L42+TableC2!W42)/(TableC2!$D$100+TableC2!$O$100)</f>
        <v>23369.841945048029</v>
      </c>
      <c r="L44" s="178">
        <f>1000*C105*(TableC2!M42+TableC2!X42)/(TableC2!$D$100+TableC2!$O$100)</f>
        <v>5883.5728546347218</v>
      </c>
      <c r="M44" s="183">
        <f>1000*C105*(TableC2!N42+TableC2!Y42)/(TableC2!$D$100+TableC2!$O$100)</f>
        <v>17486.269090413301</v>
      </c>
      <c r="N44" s="196">
        <f>1000*C105*TableC3!C42/TableC3!$C$91</f>
        <v>75804.004053869401</v>
      </c>
      <c r="O44" s="196">
        <f>1000*C105*TableC3!D42/TableC3!$C$91</f>
        <v>53989.632051994689</v>
      </c>
      <c r="P44" s="171">
        <f>1000*C105*TableC3!E42/TableC3!$C$91</f>
        <v>-3056.9973797030279</v>
      </c>
      <c r="Q44" s="171">
        <f>1000*C105*TableC3!F42/TableC3!$C$91</f>
        <v>409.70280328412048</v>
      </c>
      <c r="R44" s="171">
        <f>1000*C105*TableC3!G42/TableC3!$C$91</f>
        <v>4171.3199222859166</v>
      </c>
      <c r="S44" s="171">
        <f>1000*C105*TableC3!H42/TableC3!$C$91</f>
        <v>12553.042522567277</v>
      </c>
      <c r="T44" s="171">
        <f>1000*C105*TableC3!I42/TableC3!$C$91</f>
        <v>53.253640789729964</v>
      </c>
      <c r="U44" s="171">
        <f>1000*C105*TableC3!J42/TableC3!$C$91</f>
        <v>39859.310542770676</v>
      </c>
      <c r="V44" s="196">
        <f>1000*C105*TableC3!K42/TableC3!$C$91</f>
        <v>21814.372001874715</v>
      </c>
      <c r="W44" s="178">
        <f>1000*C105*TableC3!L42/TableC3!$C$91</f>
        <v>11489.42978320244</v>
      </c>
      <c r="X44" s="177">
        <f>1000*C105*TableC3!M42/TableC3!$C$91</f>
        <v>10324.942218672275</v>
      </c>
    </row>
    <row r="45" spans="1:24" ht="14" customHeight="1">
      <c r="B45" s="185" t="s">
        <v>11</v>
      </c>
      <c r="C45" s="196">
        <f>1000*C105*(TableC2!D43+TableC2!O43)/(TableC2!$D$100+TableC2!$O$100)</f>
        <v>146303.04319048332</v>
      </c>
      <c r="D45" s="196">
        <f>1000*C105*(TableC2!E43+TableC2!P43)/(TableC2!$D$100+TableC2!$O$100)</f>
        <v>41286.326085840046</v>
      </c>
      <c r="E45" s="171">
        <f>1000*C105*(TableC2!F43+TableC2!Q43)/(TableC2!$D$100+TableC2!$O$100)</f>
        <v>4021.2319567433606</v>
      </c>
      <c r="F45" s="171">
        <f>1000*C105*(TableC2!G43+TableC2!R43)/(TableC2!$D$100+TableC2!$O$100)</f>
        <v>315.35330615982792</v>
      </c>
      <c r="G45" s="171">
        <f>1000*C105*(TableC2!H43+TableC2!S43)/(TableC2!$D$100+TableC2!$O$100)</f>
        <v>17417.547526353443</v>
      </c>
      <c r="H45" s="171">
        <f>1000*C105*(TableC2!I43+TableC2!T43)/(TableC2!$D$100+TableC2!$O$100)</f>
        <v>5108.69337343606</v>
      </c>
      <c r="I45" s="171">
        <f>1000*C105*(TableC2!J43+TableC2!U43)/(TableC2!$D$100+TableC2!$O$100)</f>
        <v>33.09173315951378</v>
      </c>
      <c r="J45" s="171">
        <f>1000*C105*(TableC2!K43+TableC2!V43)/(TableC2!$D$100+TableC2!$O$100)</f>
        <v>14390.408189987837</v>
      </c>
      <c r="K45" s="196">
        <f>1000*C105*(TableC2!L43+TableC2!W43)/(TableC2!$D$100+TableC2!$O$100)</f>
        <v>105016.71710464329</v>
      </c>
      <c r="L45" s="178">
        <f>1000*C105*(TableC2!M43+TableC2!X43)/(TableC2!$D$100+TableC2!$O$100)</f>
        <v>10647.509312381893</v>
      </c>
      <c r="M45" s="183">
        <f>1000*C105*(TableC2!N43+TableC2!Y43)/(TableC2!$D$100+TableC2!$O$100)</f>
        <v>94369.207792261412</v>
      </c>
      <c r="N45" s="196">
        <f>1000*C105*TableC3!C43/TableC3!$C$91</f>
        <v>425030.95519692817</v>
      </c>
      <c r="O45" s="196">
        <f>1000*C105*TableC3!D43/TableC3!$C$91</f>
        <v>238854.98428472877</v>
      </c>
      <c r="P45" s="171">
        <f>1000*C105*TableC3!E43/TableC3!$C$91</f>
        <v>-15205.829619043006</v>
      </c>
      <c r="Q45" s="171">
        <f>1000*C105*TableC3!F43/TableC3!$C$91</f>
        <v>0</v>
      </c>
      <c r="R45" s="171">
        <f>1000*C105*TableC3!G43/TableC3!$C$91</f>
        <v>100649.74035260873</v>
      </c>
      <c r="S45" s="171">
        <f>1000*C105*TableC3!H43/TableC3!$C$91</f>
        <v>45128.303518990921</v>
      </c>
      <c r="T45" s="171">
        <f>1000*C105*TableC3!I43/TableC3!$C$91</f>
        <v>3.8889065445146649</v>
      </c>
      <c r="U45" s="171">
        <f>1000*C105*TableC3!J43/TableC3!$C$91</f>
        <v>108278.88112562764</v>
      </c>
      <c r="V45" s="196">
        <f>1000*C105*TableC3!K43/TableC3!$C$91</f>
        <v>186175.97091219941</v>
      </c>
      <c r="W45" s="178">
        <f>1000*C105*TableC3!L43/TableC3!$C$91</f>
        <v>112853.31768096048</v>
      </c>
      <c r="X45" s="177">
        <f>1000*C105*TableC3!M43/TableC3!$C$91</f>
        <v>73322.653231238917</v>
      </c>
    </row>
    <row r="46" spans="1:24" ht="40" customHeight="1">
      <c r="B46" s="195" t="s">
        <v>77</v>
      </c>
      <c r="C46" s="192">
        <f>1000*C105*(TableC2!D44+TableC2!O44)/(TableC2!$D$100+TableC2!$O$100)</f>
        <v>151383.63849035607</v>
      </c>
      <c r="D46" s="192">
        <f>1000*C105*(TableC2!E44+TableC2!P44)/(TableC2!$D$100+TableC2!$O$100)</f>
        <v>24692.258583330848</v>
      </c>
      <c r="E46" s="161">
        <f>1000*C105*(TableC2!F44+TableC2!Q44)/(TableC2!$D$100+TableC2!$O$100)</f>
        <v>1455.1314212802617</v>
      </c>
      <c r="F46" s="161">
        <f>1000*C105*(TableC2!G44+TableC2!R44)/(TableC2!$D$100+TableC2!$O$100)</f>
        <v>740.05483270592197</v>
      </c>
      <c r="G46" s="161">
        <f>1000*C105*(TableC2!H44+TableC2!S44)/(TableC2!$D$100+TableC2!$O$100)</f>
        <v>11489.808750145852</v>
      </c>
      <c r="H46" s="161">
        <f>1000*C105*(TableC2!I44+TableC2!T44)/(TableC2!$D$100+TableC2!$O$100)</f>
        <v>1905.9453811473959</v>
      </c>
      <c r="I46" s="161">
        <f>1000*C105*(TableC2!J44+TableC2!U44)/(TableC2!$D$100+TableC2!$O$100)</f>
        <v>2014.1020475119071</v>
      </c>
      <c r="J46" s="161">
        <f>1000*C105*(TableC2!K44+TableC2!V44)/(TableC2!$D$100+TableC2!$O$100)</f>
        <v>7087.2161505395161</v>
      </c>
      <c r="K46" s="192">
        <f>1000*C105*(TableC2!L44+TableC2!W44)/(TableC2!$D$100+TableC2!$O$100)</f>
        <v>126691.37990702521</v>
      </c>
      <c r="L46" s="161">
        <f>1000*C105*(TableC2!M44+TableC2!X44)/(TableC2!$D$100+TableC2!$O$100)</f>
        <v>5360.4351594924738</v>
      </c>
      <c r="M46" s="164">
        <f>1000*C105*(TableC2!N44+TableC2!Y44)/(TableC2!$D$100+TableC2!$O$100)</f>
        <v>121330.94474753275</v>
      </c>
      <c r="N46" s="192">
        <f>1000*C105*TableC3!C44/TableC3!$C$91</f>
        <v>88039.451202900906</v>
      </c>
      <c r="O46" s="192">
        <f>1000*C105*TableC3!D44/TableC3!$C$91</f>
        <v>9393.3525595610809</v>
      </c>
      <c r="P46" s="171">
        <f>1000*C105*TableC3!E44/TableC3!$C$91</f>
        <v>5235.1842381443157</v>
      </c>
      <c r="Q46" s="171">
        <f>1000*C105*TableC3!F44/TableC3!$C$91</f>
        <v>1716.6856085823206</v>
      </c>
      <c r="R46" s="171">
        <f>1000*C105*TableC3!G44/TableC3!$C$91</f>
        <v>-93.844421567057978</v>
      </c>
      <c r="S46" s="171">
        <f>1000*C105*TableC3!H44/TableC3!$C$91</f>
        <v>-256.65875809604586</v>
      </c>
      <c r="T46" s="171">
        <f>1000*C105*TableC3!I44/TableC3!$C$91</f>
        <v>0</v>
      </c>
      <c r="U46" s="171">
        <f>1000*C105*TableC3!J44/TableC3!$C$91</f>
        <v>2791.985892497546</v>
      </c>
      <c r="V46" s="192">
        <f>1000*C105*TableC3!K44/TableC3!$C$91</f>
        <v>78646.09864333985</v>
      </c>
      <c r="W46" s="161">
        <f>1000*C105*TableC3!L44/TableC3!$C$91</f>
        <v>0</v>
      </c>
      <c r="X46" s="160">
        <f>1000*C105*TableC3!M44/TableC3!$C$91</f>
        <v>78646.09864333985</v>
      </c>
    </row>
    <row r="47" spans="1:24">
      <c r="B47" s="199" t="s">
        <v>37</v>
      </c>
      <c r="C47" s="196">
        <f>1000*C105*(TableC2!D45+TableC2!O45)/(TableC2!$D$100+TableC2!$O$100)</f>
        <v>23736.87405697448</v>
      </c>
      <c r="D47" s="196">
        <f>1000*C105*(TableC2!E45+TableC2!P45)/(TableC2!$D$100+TableC2!$O$100)</f>
        <v>6034.733646739578</v>
      </c>
      <c r="E47" s="171">
        <f>1000*C105*(TableC2!F45+TableC2!Q45)/(TableC2!$D$100+TableC2!$O$100)</f>
        <v>526.71925715542011</v>
      </c>
      <c r="F47" s="171">
        <f>1000*C105*(TableC2!G45+TableC2!R45)/(TableC2!$D$100+TableC2!$O$100)</f>
        <v>0.57433273168895582</v>
      </c>
      <c r="G47" s="171">
        <f>1000*C105*(TableC2!H45+TableC2!S45)/(TableC2!$D$100+TableC2!$O$100)</f>
        <v>1301.7301799182962</v>
      </c>
      <c r="H47" s="171">
        <f>1000*C105*(TableC2!I45+TableC2!T45)/(TableC2!$D$100+TableC2!$O$100)</f>
        <v>568.2289265643924</v>
      </c>
      <c r="I47" s="171">
        <f>1000*C105*(TableC2!J45+TableC2!U45)/(TableC2!$D$100+TableC2!$O$100)</f>
        <v>967.10177698774862</v>
      </c>
      <c r="J47" s="171">
        <f>1000*C105*(TableC2!K45+TableC2!V45)/(TableC2!$D$100+TableC2!$O$100)</f>
        <v>2670.3791733820312</v>
      </c>
      <c r="K47" s="196">
        <f>1000*C105*(TableC2!L45+TableC2!W45)/(TableC2!$D$100+TableC2!$O$100)</f>
        <v>17702.140410234904</v>
      </c>
      <c r="L47" s="178">
        <f>1000*C105*(TableC2!M45+TableC2!X45)/(TableC2!$D$100+TableC2!$O$100)</f>
        <v>420.42779261170546</v>
      </c>
      <c r="M47" s="183">
        <f>1000*C105*(TableC2!N45+TableC2!Y45)/(TableC2!$D$100+TableC2!$O$100)</f>
        <v>17281.712617623201</v>
      </c>
      <c r="N47" s="196">
        <f>1000*C105*TableC3!C45/TableC3!$C$91</f>
        <v>9429.4684751654295</v>
      </c>
      <c r="O47" s="196">
        <f>1000*C105*TableC3!D45/TableC3!$C$91</f>
        <v>9016.3004299906279</v>
      </c>
      <c r="P47" s="171">
        <f>1000*C105*TableC3!E45/TableC3!$C$91</f>
        <v>7501.6096286069787</v>
      </c>
      <c r="Q47" s="171">
        <f>1000*C105*TableC3!F45/TableC3!$C$91</f>
        <v>8.1613536714175549E-3</v>
      </c>
      <c r="R47" s="171">
        <f>1000*C105*TableC3!G45/TableC3!$C$91</f>
        <v>-70.605116736489606</v>
      </c>
      <c r="S47" s="171">
        <f>1000*C105*TableC3!H45/TableC3!$C$91</f>
        <v>678.60200365451612</v>
      </c>
      <c r="T47" s="171">
        <f>1000*C105*TableC3!I45/TableC3!$C$91</f>
        <v>0</v>
      </c>
      <c r="U47" s="171">
        <f>1000*C105*TableC3!J45/TableC3!$C$91</f>
        <v>906.6857531119515</v>
      </c>
      <c r="V47" s="196">
        <f>1000*C105*TableC3!K45/TableC3!$C$91</f>
        <v>413.16804517480119</v>
      </c>
      <c r="W47" s="178">
        <f>1000*C105*TableC3!L45/TableC3!$C$91</f>
        <v>0</v>
      </c>
      <c r="X47" s="177">
        <f>1000*C105*TableC3!M45/TableC3!$C$91</f>
        <v>413.16804517480119</v>
      </c>
    </row>
    <row r="48" spans="1:24">
      <c r="A48" s="219" t="s">
        <v>171</v>
      </c>
      <c r="B48" s="185" t="s">
        <v>47</v>
      </c>
      <c r="C48" s="196">
        <f>1000*C105*(TableC2!D46+TableC2!O46)/(TableC2!$D$100+TableC2!$O$100)</f>
        <v>82047.137554681598</v>
      </c>
      <c r="D48" s="196">
        <f>1000*C105*(TableC2!E46+TableC2!P46)/(TableC2!$D$100+TableC2!$O$100)</f>
        <v>6664.609109565311</v>
      </c>
      <c r="E48" s="171">
        <f>1000*C105*(TableC2!F46+TableC2!Q46)/(TableC2!$D$100+TableC2!$O$100)</f>
        <v>301.22930550835156</v>
      </c>
      <c r="F48" s="171">
        <f>1000*C105*(TableC2!G46+TableC2!R46)/(TableC2!$D$100+TableC2!$O$100)</f>
        <v>14.358318292223897</v>
      </c>
      <c r="G48" s="171">
        <f>1000*C105*(TableC2!H46+TableC2!S46)/(TableC2!$D$100+TableC2!$O$100)</f>
        <v>4277.1134483029737</v>
      </c>
      <c r="H48" s="171">
        <f>1000*C105*(TableC2!I46+TableC2!T46)/(TableC2!$D$100+TableC2!$O$100)</f>
        <v>462.65536577336371</v>
      </c>
      <c r="I48" s="171">
        <f>1000*C105*(TableC2!J46+TableC2!U46)/(TableC2!$D$100+TableC2!$O$100)</f>
        <v>59.731366086455992</v>
      </c>
      <c r="J48" s="171">
        <f>1000*C105*(TableC2!K46+TableC2!V46)/(TableC2!$D$100+TableC2!$O$100)</f>
        <v>1549.5213056019411</v>
      </c>
      <c r="K48" s="196">
        <f>1000*C105*(TableC2!L46+TableC2!W46)/(TableC2!$D$100+TableC2!$O$100)</f>
        <v>75382.528445116288</v>
      </c>
      <c r="L48" s="178">
        <f>1000*C105*(TableC2!M46+TableC2!X46)/(TableC2!$D$100+TableC2!$O$100)</f>
        <v>2229.3455188022149</v>
      </c>
      <c r="M48" s="183">
        <f>1000*C105*(TableC2!N46+TableC2!Y46)/(TableC2!$D$100+TableC2!$O$100)</f>
        <v>73153.182926314097</v>
      </c>
      <c r="N48" s="196">
        <f>1000*C105*TableC3!C46/TableC3!$C$91</f>
        <v>63344.441299359874</v>
      </c>
      <c r="O48" s="196">
        <f>1000*C105*TableC3!D46/TableC3!$C$91</f>
        <v>8.9482813003546529</v>
      </c>
      <c r="P48" s="171">
        <f>1000*C105*TableC3!E46/TableC3!$C$91</f>
        <v>-1370.0012596613992</v>
      </c>
      <c r="Q48" s="171">
        <f>1000*C105*TableC3!F46/TableC3!$C$91</f>
        <v>18.329633291375213</v>
      </c>
      <c r="R48" s="171">
        <f>1000*C105*TableC3!G46/TableC3!$C$91</f>
        <v>-20.228644890931314</v>
      </c>
      <c r="S48" s="171">
        <f>1000*C105*TableC3!H46/TableC3!$C$91</f>
        <v>131.62019068922893</v>
      </c>
      <c r="T48" s="171">
        <f>1000*C105*TableC3!I46/TableC3!$C$91</f>
        <v>0</v>
      </c>
      <c r="U48" s="171">
        <f>1000*C105*TableC3!J46/TableC3!$C$91</f>
        <v>1249.2283618720808</v>
      </c>
      <c r="V48" s="196">
        <f>1000*C105*TableC3!K46/TableC3!$C$91</f>
        <v>63335.493018059526</v>
      </c>
      <c r="W48" s="178">
        <f>1000*C105*TableC3!L46/TableC3!$C$91</f>
        <v>0</v>
      </c>
      <c r="X48" s="177">
        <f>1000*C105*TableC3!M46/TableC3!$C$91</f>
        <v>63335.493018059526</v>
      </c>
    </row>
    <row r="49" spans="1:24">
      <c r="B49" s="185" t="s">
        <v>121</v>
      </c>
      <c r="C49" s="196">
        <f>1000*C105*(TableC2!D47+TableC2!O47)/(TableC2!$D$100+TableC2!$O$100)</f>
        <v>1990.4840002414287</v>
      </c>
      <c r="D49" s="196">
        <f>1000*C105*(TableC2!E47+TableC2!P47)/(TableC2!$D$100+TableC2!$O$100)</f>
        <v>547.36526525843135</v>
      </c>
      <c r="E49" s="171">
        <f>1000*C105*(TableC2!F47+TableC2!Q47)/(TableC2!$D$100+TableC2!$O$100)</f>
        <v>25.618380663775969</v>
      </c>
      <c r="F49" s="171">
        <f>1000*C105*(TableC2!G47+TableC2!R47)/(TableC2!$D$100+TableC2!$O$100)</f>
        <v>23.07991388239596</v>
      </c>
      <c r="G49" s="171">
        <f>1000*C105*(TableC2!H47+TableC2!S47)/(TableC2!$D$100+TableC2!$O$100)</f>
        <v>322.93816488803583</v>
      </c>
      <c r="H49" s="171">
        <f>1000*C105*(TableC2!I47+TableC2!T47)/(TableC2!$D$100+TableC2!$O$100)</f>
        <v>42.383631894118274</v>
      </c>
      <c r="I49" s="171">
        <f>1000*C105*(TableC2!J47+TableC2!U47)/(TableC2!$D$100+TableC2!$O$100)</f>
        <v>54.163531569511825</v>
      </c>
      <c r="J49" s="171">
        <f>1000*C105*(TableC2!K47+TableC2!V47)/(TableC2!$D$100+TableC2!$O$100)</f>
        <v>79.181642360593543</v>
      </c>
      <c r="K49" s="196">
        <f>1000*C105*(TableC2!L47+TableC2!W47)/(TableC2!$D$100+TableC2!$O$100)</f>
        <v>1443.1187349829972</v>
      </c>
      <c r="L49" s="178">
        <f>1000*C105*(TableC2!M47+TableC2!X47)/(TableC2!$D$100+TableC2!$O$100)</f>
        <v>287.4906120268779</v>
      </c>
      <c r="M49" s="183">
        <f>1000*C105*(TableC2!N47+TableC2!Y47)/(TableC2!$D$100+TableC2!$O$100)</f>
        <v>1155.6281229561196</v>
      </c>
      <c r="N49" s="196">
        <f>1000*C105*TableC3!C47/TableC3!$C$91</f>
        <v>1390.2139436953155</v>
      </c>
      <c r="O49" s="196">
        <f>1000*C105*TableC3!D47/TableC3!$C$91</f>
        <v>-4.1022435360185234</v>
      </c>
      <c r="P49" s="171">
        <f>1000*C105*TableC3!E47/TableC3!$C$91</f>
        <v>-4.1152627736992038</v>
      </c>
      <c r="Q49" s="171">
        <f>1000*C105*TableC3!F47/TableC3!$C$91</f>
        <v>1.3019237680680546E-2</v>
      </c>
      <c r="R49" s="171">
        <f>1000*C105*TableC3!G47/TableC3!$C$91</f>
        <v>0</v>
      </c>
      <c r="S49" s="171">
        <f>1000*C105*TableC3!H47/TableC3!$C$91</f>
        <v>0</v>
      </c>
      <c r="T49" s="171">
        <f>1000*C105*TableC3!I47/TableC3!$C$91</f>
        <v>0</v>
      </c>
      <c r="U49" s="171">
        <f>1000*C105*TableC3!J47/TableC3!$C$91</f>
        <v>0</v>
      </c>
      <c r="V49" s="196">
        <f>1000*C105*TableC3!K47/TableC3!$C$91</f>
        <v>1394.316187231334</v>
      </c>
      <c r="W49" s="178">
        <f>1000*C105*TableC3!L47/TableC3!$C$91</f>
        <v>0</v>
      </c>
      <c r="X49" s="177">
        <f>1000*C105*TableC3!M47/TableC3!$C$91</f>
        <v>1394.316187231334</v>
      </c>
    </row>
    <row r="50" spans="1:24">
      <c r="B50" s="185" t="s">
        <v>122</v>
      </c>
      <c r="C50" s="196">
        <f>1000*C105*(TableC2!D48+TableC2!O48)/(TableC2!$D$100+TableC2!$O$100)</f>
        <v>1722.0205990055304</v>
      </c>
      <c r="D50" s="196">
        <f>1000*C105*(TableC2!E48+TableC2!P48)/(TableC2!$D$100+TableC2!$O$100)</f>
        <v>473.54023536025363</v>
      </c>
      <c r="E50" s="178">
        <f>1000*C105*(TableC2!F48+TableC2!Q48)/(TableC2!$D$100+TableC2!$O$100)</f>
        <v>22.16314183426562</v>
      </c>
      <c r="F50" s="178">
        <f>1000*C105*(TableC2!G48+TableC2!R48)/(TableC2!$D$100+TableC2!$O$100)</f>
        <v>19.967046770503522</v>
      </c>
      <c r="G50" s="178">
        <f>1000*C105*(TableC2!H48+TableC2!S48)/(TableC2!$D$100+TableC2!$O$100)</f>
        <v>279.38238743682007</v>
      </c>
      <c r="H50" s="178">
        <f>1000*C105*(TableC2!I48+TableC2!T48)/(TableC2!$D$100+TableC2!$O$100)</f>
        <v>36.667206153622409</v>
      </c>
      <c r="I50" s="178">
        <f>1000*C105*(TableC2!J48+TableC2!U48)/(TableC2!$D$100+TableC2!$O$100)</f>
        <v>46.858310373895385</v>
      </c>
      <c r="J50" s="178">
        <f>1000*C105*(TableC2!K48+TableC2!V48)/(TableC2!$D$100+TableC2!$O$100)</f>
        <v>68.502142791146554</v>
      </c>
      <c r="K50" s="196">
        <f>1000*C105*(TableC2!L48+TableC2!W48)/(TableC2!$D$100+TableC2!$O$100)</f>
        <v>1248.4803636452768</v>
      </c>
      <c r="L50" s="178">
        <f>1000*C105*(TableC2!M48+TableC2!X48)/(TableC2!$D$100+TableC2!$O$100)</f>
        <v>248.71576755751039</v>
      </c>
      <c r="M50" s="183">
        <f>1000*C105*(TableC2!N48+TableC2!Y48)/(TableC2!$D$100+TableC2!$O$100)</f>
        <v>999.76459608776634</v>
      </c>
      <c r="N50" s="196">
        <f>1000*C105*TableC3!C48/TableC3!$C$91</f>
        <v>165.89642739164731</v>
      </c>
      <c r="O50" s="196">
        <f>1000*C105*TableC3!D48/TableC3!$C$91</f>
        <v>-2.0544732647875548</v>
      </c>
      <c r="P50" s="178">
        <f>1000*C105*TableC3!E48/TableC3!$C$91</f>
        <v>-2.057631386849581</v>
      </c>
      <c r="Q50" s="178">
        <f>1000*C105*TableC3!F48/TableC3!$C$91</f>
        <v>3.1581220620263621E-3</v>
      </c>
      <c r="R50" s="178">
        <f>1000*C105*TableC3!G48/TableC3!$C$91</f>
        <v>0</v>
      </c>
      <c r="S50" s="178">
        <f>1000*C105*TableC3!H48/TableC3!$C$91</f>
        <v>0</v>
      </c>
      <c r="T50" s="178">
        <f>1000*C105*TableC3!I48/TableC3!$C$91</f>
        <v>0</v>
      </c>
      <c r="U50" s="178">
        <f>1000*C105*TableC3!J48/TableC3!$C$91</f>
        <v>0</v>
      </c>
      <c r="V50" s="196">
        <f>1000*C105*TableC3!K48/TableC3!$C$91</f>
        <v>167.95090065643481</v>
      </c>
      <c r="W50" s="178">
        <f>1000*C105*TableC3!L48/TableC3!$C$91</f>
        <v>0</v>
      </c>
      <c r="X50" s="177">
        <f>1000*C105*TableC3!M48/TableC3!$C$91</f>
        <v>167.95090065643481</v>
      </c>
    </row>
    <row r="51" spans="1:24" ht="14" customHeight="1">
      <c r="B51" s="185" t="s">
        <v>45</v>
      </c>
      <c r="C51" s="196">
        <f>1000*C105*(TableC2!D49+TableC2!O49)/(TableC2!$D$100+TableC2!$O$100)</f>
        <v>16872.453159696535</v>
      </c>
      <c r="D51" s="196">
        <f>1000*C105*(TableC2!E49+TableC2!P49)/(TableC2!$D$100+TableC2!$O$100)</f>
        <v>3989.1613883414211</v>
      </c>
      <c r="E51" s="171">
        <f>1000*C105*(TableC2!F49+TableC2!Q49)/(TableC2!$D$100+TableC2!$O$100)</f>
        <v>85.451236368825661</v>
      </c>
      <c r="F51" s="171">
        <f>1000*C105*(TableC2!G49+TableC2!R49)/(TableC2!$D$100+TableC2!$O$100)</f>
        <v>10.529433414297527</v>
      </c>
      <c r="G51" s="171">
        <f>1000*C105*(TableC2!H49+TableC2!S49)/(TableC2!$D$100+TableC2!$O$100)</f>
        <v>3017.9527579172895</v>
      </c>
      <c r="H51" s="171">
        <f>1000*C105*(TableC2!I49+TableC2!T49)/(TableC2!$D$100+TableC2!$O$100)</f>
        <v>249.75140458841048</v>
      </c>
      <c r="I51" s="171">
        <f>1000*C105*(TableC2!J49+TableC2!U49)/(TableC2!$D$100+TableC2!$O$100)</f>
        <v>10.074377217162633</v>
      </c>
      <c r="J51" s="171">
        <f>1000*C105*(TableC2!K49+TableC2!V49)/(TableC2!$D$100+TableC2!$O$100)</f>
        <v>615.40217883543505</v>
      </c>
      <c r="K51" s="196">
        <f>1000*C105*(TableC2!L49+TableC2!W49)/(TableC2!$D$100+TableC2!$O$100)</f>
        <v>12883.291771355116</v>
      </c>
      <c r="L51" s="178">
        <f>1000*C105*(TableC2!M49+TableC2!X49)/(TableC2!$D$100+TableC2!$O$100)</f>
        <v>399.95863642682912</v>
      </c>
      <c r="M51" s="183">
        <f>1000*C105*(TableC2!N49+TableC2!Y49)/(TableC2!$D$100+TableC2!$O$100)</f>
        <v>12483.333134928287</v>
      </c>
      <c r="N51" s="196">
        <f>1000*C105*TableC3!C49/TableC3!$C$91</f>
        <v>6508.5017852821156</v>
      </c>
      <c r="O51" s="196">
        <f>1000*C105*TableC3!D49/TableC3!$C$91</f>
        <v>40.113295888106165</v>
      </c>
      <c r="P51" s="171">
        <f>1000*C105*TableC3!E49/TableC3!$C$91</f>
        <v>39.026354918107458</v>
      </c>
      <c r="Q51" s="171">
        <f>1000*C105*TableC3!F49/TableC3!$C$91</f>
        <v>1.0869409699987123</v>
      </c>
      <c r="R51" s="171">
        <f>1000*C105*TableC3!G49/TableC3!$C$91</f>
        <v>0</v>
      </c>
      <c r="S51" s="171">
        <f>1000*C105*TableC3!H49/TableC3!$C$91</f>
        <v>0</v>
      </c>
      <c r="T51" s="171">
        <f>1000*C105*TableC3!I49/TableC3!$C$91</f>
        <v>0</v>
      </c>
      <c r="U51" s="171">
        <f>1000*C105*TableC3!J49/TableC3!$C$91</f>
        <v>0</v>
      </c>
      <c r="V51" s="196">
        <f>1000*C105*TableC3!K49/TableC3!$C$91</f>
        <v>6468.3884893940094</v>
      </c>
      <c r="W51" s="178">
        <f>1000*C105*TableC3!L49/TableC3!$C$91</f>
        <v>0</v>
      </c>
      <c r="X51" s="177">
        <f>1000*C105*TableC3!M49/TableC3!$C$91</f>
        <v>6468.3884893940094</v>
      </c>
    </row>
    <row r="52" spans="1:24" ht="14" customHeight="1">
      <c r="A52" s="219" t="s">
        <v>172</v>
      </c>
      <c r="B52" s="185" t="s">
        <v>46</v>
      </c>
      <c r="C52" s="196">
        <f>1000*C105*(TableC2!D50+TableC2!O50)/(TableC2!$D$100+TableC2!$O$100)</f>
        <v>18006.652405357112</v>
      </c>
      <c r="D52" s="196">
        <f>1000*C105*(TableC2!E50+TableC2!P50)/(TableC2!$D$100+TableC2!$O$100)</f>
        <v>5287.5781954507938</v>
      </c>
      <c r="E52" s="171">
        <f>1000*C105*(TableC2!F50+TableC2!Q50)/(TableC2!$D$100+TableC2!$O$100)</f>
        <v>417.88775175885684</v>
      </c>
      <c r="F52" s="171">
        <f>1000*C105*(TableC2!G50+TableC2!R50)/(TableC2!$D$100+TableC2!$O$100)</f>
        <v>664.84523907844095</v>
      </c>
      <c r="G52" s="171">
        <f>1000*C105*(TableC2!H50+TableC2!S50)/(TableC2!$D$100+TableC2!$O$100)</f>
        <v>1436.8374716361982</v>
      </c>
      <c r="H52" s="171">
        <f>1000*C105*(TableC2!I50+TableC2!T50)/(TableC2!$D$100+TableC2!$O$100)</f>
        <v>223.07222213192912</v>
      </c>
      <c r="I52" s="171">
        <f>1000*C105*(TableC2!J50+TableC2!U50)/(TableC2!$D$100+TableC2!$O$100)</f>
        <v>871.04143957044357</v>
      </c>
      <c r="J52" s="171">
        <f>1000*C105*(TableC2!K50+TableC2!V50)/(TableC2!$D$100+TableC2!$O$100)</f>
        <v>1673.8940712749261</v>
      </c>
      <c r="K52" s="196">
        <f>1000*C105*(TableC2!L50+TableC2!W50)/(TableC2!$D$100+TableC2!$O$100)</f>
        <v>12719.074209906319</v>
      </c>
      <c r="L52" s="178">
        <f>1000*C105*(TableC2!M50+TableC2!X50)/(TableC2!$D$100+TableC2!$O$100)</f>
        <v>716.11919899641714</v>
      </c>
      <c r="M52" s="183">
        <f>1000*C105*(TableC2!N50+TableC2!Y50)/(TableC2!$D$100+TableC2!$O$100)</f>
        <v>12002.955010909902</v>
      </c>
      <c r="N52" s="196">
        <f>1000*C105*TableC3!C50/TableC3!$C$91</f>
        <v>1050.6203421330308</v>
      </c>
      <c r="O52" s="196">
        <f>1000*C105*TableC3!D50/TableC3!$C$91</f>
        <v>999.06051076425376</v>
      </c>
      <c r="P52" s="171">
        <f>1000*C105*TableC3!E50/TableC3!$C$91</f>
        <v>-259.5185751392807</v>
      </c>
      <c r="Q52" s="171">
        <f>1000*C105*TableC3!F50/TableC3!$C$91</f>
        <v>1691.5200189013597</v>
      </c>
      <c r="R52" s="171">
        <f>1000*C105*TableC3!G50/TableC3!$C$91</f>
        <v>-2.1317580715479765</v>
      </c>
      <c r="S52" s="171">
        <f>1000*C105*TableC3!H50/TableC3!$C$91</f>
        <v>-1066.8809524397909</v>
      </c>
      <c r="T52" s="171">
        <f>1000*C105*TableC3!I50/TableC3!$C$91</f>
        <v>0</v>
      </c>
      <c r="U52" s="171">
        <f>1000*C105*TableC3!J50/TableC3!$C$91</f>
        <v>636.07177751351367</v>
      </c>
      <c r="V52" s="196">
        <f>1000*C105*TableC3!K50/TableC3!$C$91</f>
        <v>51.559831368776997</v>
      </c>
      <c r="W52" s="178">
        <f>1000*C105*TableC3!L50/TableC3!$C$91</f>
        <v>0</v>
      </c>
      <c r="X52" s="177">
        <f>1000*C105*TableC3!M50/TableC3!$C$91</f>
        <v>51.559831368776997</v>
      </c>
    </row>
    <row r="53" spans="1:24" ht="14" customHeight="1">
      <c r="B53" s="185" t="s">
        <v>39</v>
      </c>
      <c r="C53" s="196">
        <f>1000*C105*(TableC2!D51+TableC2!O51)/(TableC2!$D$100+TableC2!$O$100)</f>
        <v>7008.0167143993822</v>
      </c>
      <c r="D53" s="196">
        <f>1000*C105*(TableC2!E51+TableC2!P51)/(TableC2!$D$100+TableC2!$O$100)</f>
        <v>1695.270742615063</v>
      </c>
      <c r="E53" s="171">
        <f>1000*C105*(TableC2!F51+TableC2!Q51)/(TableC2!$D$100+TableC2!$O$100)</f>
        <v>76.062347990765858</v>
      </c>
      <c r="F53" s="171">
        <f>1000*C105*(TableC2!G51+TableC2!R51)/(TableC2!$D$100+TableC2!$O$100)</f>
        <v>6.7005485363711514</v>
      </c>
      <c r="G53" s="171">
        <f>1000*C105*(TableC2!H51+TableC2!S51)/(TableC2!$D$100+TableC2!$O$100)</f>
        <v>853.85434004623539</v>
      </c>
      <c r="H53" s="171">
        <f>1000*C105*(TableC2!I51+TableC2!T51)/(TableC2!$D$100+TableC2!$O$100)</f>
        <v>323.18662404155941</v>
      </c>
      <c r="I53" s="171">
        <f>1000*C105*(TableC2!J51+TableC2!U51)/(TableC2!$D$100+TableC2!$O$100)</f>
        <v>5.131245706688798</v>
      </c>
      <c r="J53" s="171">
        <f>1000*C105*(TableC2!K51+TableC2!V51)/(TableC2!$D$100+TableC2!$O$100)</f>
        <v>430.33563629344252</v>
      </c>
      <c r="K53" s="196">
        <f>1000*C105*(TableC2!L51+TableC2!W51)/(TableC2!$D$100+TableC2!$O$100)</f>
        <v>5312.7459717843185</v>
      </c>
      <c r="L53" s="178">
        <f>1000*C105*(TableC2!M51+TableC2!X51)/(TableC2!$D$100+TableC2!$O$100)</f>
        <v>1058.3776330709193</v>
      </c>
      <c r="M53" s="183">
        <f>1000*C105*(TableC2!N51+TableC2!Y51)/(TableC2!$D$100+TableC2!$O$100)</f>
        <v>4254.3683387134006</v>
      </c>
      <c r="N53" s="196">
        <f>1000*C105*TableC3!C51/TableC3!$C$91</f>
        <v>6150.3089298735085</v>
      </c>
      <c r="O53" s="196">
        <f>1000*C105*TableC3!D51/TableC3!$C$91</f>
        <v>-664.9132415814579</v>
      </c>
      <c r="P53" s="171">
        <f>1000*C105*TableC3!E51/TableC3!$C$91</f>
        <v>-669.75901641954181</v>
      </c>
      <c r="Q53" s="171">
        <f>1000*C105*TableC3!F51/TableC3!$C$91</f>
        <v>5.7246767061729846</v>
      </c>
      <c r="R53" s="171">
        <f>1000*C105*TableC3!G51/TableC3!$C$91</f>
        <v>-0.87890186808908233</v>
      </c>
      <c r="S53" s="171">
        <f>1000*C105*TableC3!H51/TableC3!$C$91</f>
        <v>0</v>
      </c>
      <c r="T53" s="171">
        <f>1000*C105*TableC3!I51/TableC3!$C$91</f>
        <v>0</v>
      </c>
      <c r="U53" s="171">
        <f>1000*C105*TableC3!J51/TableC3!$C$91</f>
        <v>0</v>
      </c>
      <c r="V53" s="196">
        <f>1000*C105*TableC3!K51/TableC3!$C$91</f>
        <v>6815.222171454966</v>
      </c>
      <c r="W53" s="178">
        <f>1000*C105*TableC3!L51/TableC3!$C$91</f>
        <v>0</v>
      </c>
      <c r="X53" s="177">
        <f>1000*C105*TableC3!M51/TableC3!$C$91</f>
        <v>6815.222171454966</v>
      </c>
    </row>
    <row r="54" spans="1:24" ht="40" customHeight="1">
      <c r="B54" s="195" t="s">
        <v>124</v>
      </c>
      <c r="C54" s="196">
        <f>1000*C105*(TableC2!D52+TableC2!O52)/(TableC2!$D$100+TableC2!$O$100)</f>
        <v>0</v>
      </c>
      <c r="D54" s="181">
        <f>1000*C105*(TableC2!E52+TableC2!P52)/(TableC2!$D$100+TableC2!$O$100)</f>
        <v>0</v>
      </c>
      <c r="E54" s="161">
        <f>1000*C105*(TableC2!F52+TableC2!Q52)/(TableC2!$D$100+TableC2!$O$100)</f>
        <v>0</v>
      </c>
      <c r="F54" s="161">
        <f>1000*C105*(TableC2!G52+TableC2!R52)/(TableC2!$D$100+TableC2!$O$100)</f>
        <v>0</v>
      </c>
      <c r="G54" s="161">
        <f>1000*C105*(TableC2!H52+TableC2!S52)/(TableC2!$D$100+TableC2!$O$100)</f>
        <v>0</v>
      </c>
      <c r="H54" s="191">
        <f>1000*C105*(TableC2!I52+TableC2!T52)/(TableC2!$D$100+TableC2!$O$100)</f>
        <v>0</v>
      </c>
      <c r="I54" s="191">
        <f>1000*C105*(TableC2!J52+TableC2!U52)/(TableC2!$D$100+TableC2!$O$100)</f>
        <v>0</v>
      </c>
      <c r="J54" s="191">
        <f>1000*C105*(TableC2!K52+TableC2!V52)/(TableC2!$D$100+TableC2!$O$100)</f>
        <v>0</v>
      </c>
      <c r="K54" s="192">
        <f>1000*C105*(TableC2!L52+TableC2!W52)/(TableC2!$D$100+TableC2!$O$100)</f>
        <v>0</v>
      </c>
      <c r="L54" s="191">
        <f>1000*C105*(TableC2!M52+TableC2!X52)/(TableC2!$D$100+TableC2!$O$100)</f>
        <v>0</v>
      </c>
      <c r="M54" s="194">
        <f>1000*C105*(TableC2!N52+TableC2!Y52)/(TableC2!$D$100+TableC2!$O$100)</f>
        <v>0</v>
      </c>
      <c r="N54" s="193">
        <f>1000*C105*TableC3!C52/TableC3!$C$91</f>
        <v>163900.72460705516</v>
      </c>
      <c r="O54" s="181">
        <f>1000*C105*TableC3!D52/TableC3!$C$91</f>
        <v>39719.771987903281</v>
      </c>
      <c r="P54" s="161">
        <f>1000*C105*TableC3!E52/TableC3!$C$91</f>
        <v>2168.360898813281</v>
      </c>
      <c r="Q54" s="161">
        <f>1000*C105*TableC3!F52/TableC3!$C$91</f>
        <v>1169.5573544139802</v>
      </c>
      <c r="R54" s="161">
        <f>1000*C105*TableC3!G52/TableC3!$C$91</f>
        <v>6442.0336408851035</v>
      </c>
      <c r="S54" s="191">
        <f>1000*C105*TableC3!H52/TableC3!$C$91</f>
        <v>11372.957995386172</v>
      </c>
      <c r="T54" s="191">
        <f>1000*C105*TableC3!I52/TableC3!$C$91</f>
        <v>489.81892942732668</v>
      </c>
      <c r="U54" s="191">
        <f>1000*C105*TableC3!J52/TableC3!$C$91</f>
        <v>18077.043168977423</v>
      </c>
      <c r="V54" s="192">
        <f>1000*C105*TableC3!K52/TableC3!$C$91</f>
        <v>124180.95261915185</v>
      </c>
      <c r="W54" s="191">
        <f>1000*C105*TableC3!L52/TableC3!$C$91</f>
        <v>0</v>
      </c>
      <c r="X54" s="190">
        <f>1000*C105*TableC3!M52/TableC3!$C$91</f>
        <v>124180.95261915185</v>
      </c>
    </row>
    <row r="55" spans="1:24" ht="14" customHeight="1">
      <c r="B55" s="185" t="s">
        <v>173</v>
      </c>
      <c r="C55" s="196">
        <f>1000*C105*(TableC2!D53+TableC2!O53)/(TableC2!$D$100+TableC2!$O$100)</f>
        <v>0</v>
      </c>
      <c r="D55" s="181">
        <f>1000*C105*(TableC2!E53+TableC2!P53)/(TableC2!$D$100+TableC2!$O$100)</f>
        <v>0</v>
      </c>
      <c r="E55" s="180">
        <f>1000*C105*(TableC2!F53+TableC2!Q53)/(TableC2!$D$100+TableC2!$O$100)</f>
        <v>0</v>
      </c>
      <c r="F55" s="180">
        <f>1000*C105*(TableC2!G53+TableC2!R53)/(TableC2!$D$100+TableC2!$O$100)</f>
        <v>0</v>
      </c>
      <c r="G55" s="180">
        <f>1000*C105*(TableC2!H53+TableC2!S53)/(TableC2!$D$100+TableC2!$O$100)</f>
        <v>0</v>
      </c>
      <c r="H55" s="178">
        <f>1000*C105*(TableC2!I53+TableC2!T53)/(TableC2!$D$100+TableC2!$O$100)</f>
        <v>0</v>
      </c>
      <c r="I55" s="178">
        <f>1000*C105*(TableC2!J53+TableC2!U53)/(TableC2!$D$100+TableC2!$O$100)</f>
        <v>0</v>
      </c>
      <c r="J55" s="178">
        <f>1000*C105*(TableC2!K53+TableC2!V53)/(TableC2!$D$100+TableC2!$O$100)</f>
        <v>0</v>
      </c>
      <c r="K55" s="184">
        <f>1000*C105*(TableC2!L53+TableC2!W53)/(TableC2!$D$100+TableC2!$O$100)</f>
        <v>0</v>
      </c>
      <c r="L55" s="178">
        <f>1000*C105*(TableC2!M53+TableC2!X53)/(TableC2!$D$100+TableC2!$O$100)</f>
        <v>0</v>
      </c>
      <c r="M55" s="183">
        <f>1000*C105*(TableC2!N53+TableC2!Y53)/(TableC2!$D$100+TableC2!$O$100)</f>
        <v>0</v>
      </c>
      <c r="N55" s="182">
        <f>1000*C105*TableC3!C53/TableC3!$C$91</f>
        <v>1.0266531080332955</v>
      </c>
      <c r="O55" s="181">
        <f>1000*C105*TableC3!D53/TableC3!$C$91</f>
        <v>3.0525160465409002E-2</v>
      </c>
      <c r="P55" s="180">
        <f>1000*C105*TableC3!E53/TableC3!$C$91</f>
        <v>0</v>
      </c>
      <c r="Q55" s="180">
        <f>1000*C105*TableC3!F53/TableC3!$C$91</f>
        <v>3.0525160465409002E-2</v>
      </c>
      <c r="R55" s="180">
        <f>1000*C105*TableC3!G53/TableC3!$C$91</f>
        <v>0</v>
      </c>
      <c r="S55" s="178">
        <f>1000*C105*TableC3!H53/TableC3!$C$91</f>
        <v>0</v>
      </c>
      <c r="T55" s="178">
        <f>1000*C105*TableC3!I53/TableC3!$C$91</f>
        <v>0</v>
      </c>
      <c r="U55" s="178">
        <f>1000*C105*TableC3!J53/TableC3!$C$91</f>
        <v>0</v>
      </c>
      <c r="V55" s="184">
        <f>1000*C105*TableC3!K53/TableC3!$C$91</f>
        <v>0.99612794756788636</v>
      </c>
      <c r="W55" s="178">
        <f>1000*C105*TableC3!L53/TableC3!$C$91</f>
        <v>0</v>
      </c>
      <c r="X55" s="177">
        <f>1000*C105*TableC3!M53/TableC3!$C$91</f>
        <v>0.99612794756788636</v>
      </c>
    </row>
    <row r="56" spans="1:24" ht="14" customHeight="1">
      <c r="B56" s="185" t="s">
        <v>174</v>
      </c>
      <c r="C56" s="196">
        <f>1000*C105*(TableC2!D54+TableC2!O54)/(TableC2!$D$100+TableC2!$O$100)</f>
        <v>0</v>
      </c>
      <c r="D56" s="181">
        <f>1000*C105*(TableC2!E54+TableC2!P54)/(TableC2!$D$100+TableC2!$O$100)</f>
        <v>0</v>
      </c>
      <c r="E56" s="180">
        <f>1000*C105*(TableC2!F54+TableC2!Q54)/(TableC2!$D$100+TableC2!$O$100)</f>
        <v>0</v>
      </c>
      <c r="F56" s="180">
        <f>1000*C105*(TableC2!G54+TableC2!R54)/(TableC2!$D$100+TableC2!$O$100)</f>
        <v>0</v>
      </c>
      <c r="G56" s="180">
        <f>1000*C105*(TableC2!H54+TableC2!S54)/(TableC2!$D$100+TableC2!$O$100)</f>
        <v>0</v>
      </c>
      <c r="H56" s="178">
        <f>1000*C105*(TableC2!I54+TableC2!T54)/(TableC2!$D$100+TableC2!$O$100)</f>
        <v>0</v>
      </c>
      <c r="I56" s="178">
        <f>1000*C105*(TableC2!J54+TableC2!U54)/(TableC2!$D$100+TableC2!$O$100)</f>
        <v>0</v>
      </c>
      <c r="J56" s="178">
        <f>1000*C105*(TableC2!K54+TableC2!V54)/(TableC2!$D$100+TableC2!$O$100)</f>
        <v>0</v>
      </c>
      <c r="K56" s="184">
        <f>1000*C105*(TableC2!L54+TableC2!W54)/(TableC2!$D$100+TableC2!$O$100)</f>
        <v>0</v>
      </c>
      <c r="L56" s="178">
        <f>1000*C105*(TableC2!M54+TableC2!X54)/(TableC2!$D$100+TableC2!$O$100)</f>
        <v>0</v>
      </c>
      <c r="M56" s="183">
        <f>1000*C105*(TableC2!N54+TableC2!Y54)/(TableC2!$D$100+TableC2!$O$100)</f>
        <v>0</v>
      </c>
      <c r="N56" s="182">
        <f>1000*C105*TableC3!C54/TableC3!$C$91</f>
        <v>90.493680087042392</v>
      </c>
      <c r="O56" s="181">
        <f>1000*C105*TableC3!D54/TableC3!$C$91</f>
        <v>3.8289640969677813E-3</v>
      </c>
      <c r="P56" s="180">
        <f>1000*C105*TableC3!E54/TableC3!$C$91</f>
        <v>0</v>
      </c>
      <c r="Q56" s="180">
        <f>1000*C105*TableC3!F54/TableC3!$C$91</f>
        <v>3.8289640969677813E-3</v>
      </c>
      <c r="R56" s="180">
        <f>1000*C105*TableC3!G54/TableC3!$C$91</f>
        <v>0</v>
      </c>
      <c r="S56" s="178">
        <f>1000*C105*TableC3!H54/TableC3!$C$91</f>
        <v>0</v>
      </c>
      <c r="T56" s="178">
        <f>1000*C105*TableC3!I54/TableC3!$C$91</f>
        <v>0</v>
      </c>
      <c r="U56" s="178">
        <f>1000*C105*TableC3!J54/TableC3!$C$91</f>
        <v>0</v>
      </c>
      <c r="V56" s="184">
        <f>1000*C105*TableC3!K54/TableC3!$C$91</f>
        <v>90.489851122945439</v>
      </c>
      <c r="W56" s="178">
        <f>1000*C105*TableC3!L54/TableC3!$C$91</f>
        <v>0</v>
      </c>
      <c r="X56" s="177">
        <f>1000*C105*TableC3!M54/TableC3!$C$91</f>
        <v>90.489851122945439</v>
      </c>
    </row>
    <row r="57" spans="1:24" ht="14" customHeight="1">
      <c r="B57" s="185" t="s">
        <v>175</v>
      </c>
      <c r="C57" s="196">
        <f>1000*C105*(TableC2!D55+TableC2!O55)/(TableC2!$D$100+TableC2!$O$100)</f>
        <v>0</v>
      </c>
      <c r="D57" s="181">
        <f>1000*C105*(TableC2!E55+TableC2!P55)/(TableC2!$D$100+TableC2!$O$100)</f>
        <v>0</v>
      </c>
      <c r="E57" s="180">
        <f>1000*C105*(TableC2!F55+TableC2!Q55)/(TableC2!$D$100+TableC2!$O$100)</f>
        <v>0</v>
      </c>
      <c r="F57" s="180">
        <f>1000*C105*(TableC2!G55+TableC2!R55)/(TableC2!$D$100+TableC2!$O$100)</f>
        <v>0</v>
      </c>
      <c r="G57" s="180">
        <f>1000*C105*(TableC2!H55+TableC2!S55)/(TableC2!$D$100+TableC2!$O$100)</f>
        <v>0</v>
      </c>
      <c r="H57" s="178">
        <f>1000*C105*(TableC2!I55+TableC2!T55)/(TableC2!$D$100+TableC2!$O$100)</f>
        <v>0</v>
      </c>
      <c r="I57" s="178">
        <f>1000*C105*(TableC2!J55+TableC2!U55)/(TableC2!$D$100+TableC2!$O$100)</f>
        <v>0</v>
      </c>
      <c r="J57" s="178">
        <f>1000*C105*(TableC2!K55+TableC2!V55)/(TableC2!$D$100+TableC2!$O$100)</f>
        <v>0</v>
      </c>
      <c r="K57" s="184">
        <f>1000*C105*(TableC2!L55+TableC2!W55)/(TableC2!$D$100+TableC2!$O$100)</f>
        <v>0</v>
      </c>
      <c r="L57" s="178">
        <f>1000*C105*(TableC2!M55+TableC2!X55)/(TableC2!$D$100+TableC2!$O$100)</f>
        <v>0</v>
      </c>
      <c r="M57" s="183">
        <f>1000*C105*(TableC2!N55+TableC2!Y55)/(TableC2!$D$100+TableC2!$O$100)</f>
        <v>0</v>
      </c>
      <c r="N57" s="182">
        <f>1000*C105*TableC3!C55/TableC3!$C$91</f>
        <v>5.6207579225383215</v>
      </c>
      <c r="O57" s="181">
        <f>1000*C105*TableC3!D55/TableC3!$C$91</f>
        <v>1.1759136395686093E-2</v>
      </c>
      <c r="P57" s="180">
        <f>1000*C105*TableC3!E55/TableC3!$C$91</f>
        <v>0</v>
      </c>
      <c r="Q57" s="180">
        <f>1000*C105*TableC3!F55/TableC3!$C$91</f>
        <v>1.1759136395686093E-2</v>
      </c>
      <c r="R57" s="180">
        <f>1000*C105*TableC3!G55/TableC3!$C$91</f>
        <v>0</v>
      </c>
      <c r="S57" s="178">
        <f>1000*C105*TableC3!H55/TableC3!$C$91</f>
        <v>0</v>
      </c>
      <c r="T57" s="178">
        <f>1000*C105*TableC3!I55/TableC3!$C$91</f>
        <v>0</v>
      </c>
      <c r="U57" s="178">
        <f>1000*C105*TableC3!J55/TableC3!$C$91</f>
        <v>0</v>
      </c>
      <c r="V57" s="184">
        <f>1000*C105*TableC3!K55/TableC3!$C$91</f>
        <v>5.608998786142636</v>
      </c>
      <c r="W57" s="178">
        <f>1000*C105*TableC3!L55/TableC3!$C$91</f>
        <v>0</v>
      </c>
      <c r="X57" s="177">
        <f>1000*C105*TableC3!M55/TableC3!$C$91</f>
        <v>5.608998786142636</v>
      </c>
    </row>
    <row r="58" spans="1:24" ht="14" customHeight="1">
      <c r="B58" s="185" t="s">
        <v>176</v>
      </c>
      <c r="C58" s="196">
        <f>1000*C105*(TableC2!D56+TableC2!O56)/(TableC2!$D$100+TableC2!$O$100)</f>
        <v>0</v>
      </c>
      <c r="D58" s="181">
        <f>1000*C105*(TableC2!E56+TableC2!P56)/(TableC2!$D$100+TableC2!$O$100)</f>
        <v>0</v>
      </c>
      <c r="E58" s="180">
        <f>1000*C105*(TableC2!F56+TableC2!Q56)/(TableC2!$D$100+TableC2!$O$100)</f>
        <v>0</v>
      </c>
      <c r="F58" s="180">
        <f>1000*C105*(TableC2!G56+TableC2!R56)/(TableC2!$D$100+TableC2!$O$100)</f>
        <v>0</v>
      </c>
      <c r="G58" s="180">
        <f>1000*C105*(TableC2!H56+TableC2!S56)/(TableC2!$D$100+TableC2!$O$100)</f>
        <v>0</v>
      </c>
      <c r="H58" s="178">
        <f>1000*C105*(TableC2!I56+TableC2!T56)/(TableC2!$D$100+TableC2!$O$100)</f>
        <v>0</v>
      </c>
      <c r="I58" s="178">
        <f>1000*C105*(TableC2!J56+TableC2!U56)/(TableC2!$D$100+TableC2!$O$100)</f>
        <v>0</v>
      </c>
      <c r="J58" s="178">
        <f>1000*C105*(TableC2!K56+TableC2!V56)/(TableC2!$D$100+TableC2!$O$100)</f>
        <v>0</v>
      </c>
      <c r="K58" s="184">
        <f>1000*C105*(TableC2!L56+TableC2!W56)/(TableC2!$D$100+TableC2!$O$100)</f>
        <v>0</v>
      </c>
      <c r="L58" s="178">
        <f>1000*C105*(TableC2!M56+TableC2!X56)/(TableC2!$D$100+TableC2!$O$100)</f>
        <v>0</v>
      </c>
      <c r="M58" s="183">
        <f>1000*C105*(TableC2!N56+TableC2!Y56)/(TableC2!$D$100+TableC2!$O$100)</f>
        <v>0</v>
      </c>
      <c r="N58" s="182">
        <f>1000*C105*TableC3!C56/TableC3!$C$91</f>
        <v>52.257364361764338</v>
      </c>
      <c r="O58" s="181">
        <f>1000*C105*TableC3!D56/TableC3!$C$91</f>
        <v>0</v>
      </c>
      <c r="P58" s="180">
        <f>1000*C105*TableC3!E56/TableC3!$C$91</f>
        <v>0</v>
      </c>
      <c r="Q58" s="180">
        <f>1000*C105*TableC3!F56/TableC3!$C$91</f>
        <v>0</v>
      </c>
      <c r="R58" s="180">
        <f>1000*C105*TableC3!G56/TableC3!$C$91</f>
        <v>0</v>
      </c>
      <c r="S58" s="178">
        <f>1000*C105*TableC3!H56/TableC3!$C$91</f>
        <v>0</v>
      </c>
      <c r="T58" s="178">
        <f>1000*C105*TableC3!I56/TableC3!$C$91</f>
        <v>0</v>
      </c>
      <c r="U58" s="178">
        <f>1000*C105*TableC3!J56/TableC3!$C$91</f>
        <v>0</v>
      </c>
      <c r="V58" s="184">
        <f>1000*C105*TableC3!K56/TableC3!$C$91</f>
        <v>52.257364361764338</v>
      </c>
      <c r="W58" s="178">
        <f>1000*C105*TableC3!L56/TableC3!$C$91</f>
        <v>0</v>
      </c>
      <c r="X58" s="177">
        <f>1000*C105*TableC3!M56/TableC3!$C$91</f>
        <v>52.257364361764338</v>
      </c>
    </row>
    <row r="59" spans="1:24" ht="14" customHeight="1">
      <c r="A59" s="219" t="s">
        <v>177</v>
      </c>
      <c r="B59" s="185" t="s">
        <v>178</v>
      </c>
      <c r="C59" s="196">
        <f>1000*C105*(TableC2!D57+TableC2!O57)/(TableC2!$D$100+TableC2!$O$100)</f>
        <v>0</v>
      </c>
      <c r="D59" s="181">
        <f>1000*C105*(TableC2!E57+TableC2!P57)/(TableC2!$D$100+TableC2!$O$100)</f>
        <v>0</v>
      </c>
      <c r="E59" s="180">
        <f>1000*C105*(TableC2!F57+TableC2!Q57)/(TableC2!$D$100+TableC2!$O$100)</f>
        <v>0</v>
      </c>
      <c r="F59" s="180">
        <f>1000*C105*(TableC2!G57+TableC2!R57)/(TableC2!$D$100+TableC2!$O$100)</f>
        <v>0</v>
      </c>
      <c r="G59" s="180">
        <f>1000*C105*(TableC2!H57+TableC2!S57)/(TableC2!$D$100+TableC2!$O$100)</f>
        <v>0</v>
      </c>
      <c r="H59" s="178">
        <f>1000*C105*(TableC2!I57+TableC2!T57)/(TableC2!$D$100+TableC2!$O$100)</f>
        <v>0</v>
      </c>
      <c r="I59" s="178">
        <f>1000*C105*(TableC2!J57+TableC2!U57)/(TableC2!$D$100+TableC2!$O$100)</f>
        <v>0</v>
      </c>
      <c r="J59" s="178">
        <f>1000*C105*(TableC2!K57+TableC2!V57)/(TableC2!$D$100+TableC2!$O$100)</f>
        <v>0</v>
      </c>
      <c r="K59" s="184">
        <f>1000*C105*(TableC2!L57+TableC2!W57)/(TableC2!$D$100+TableC2!$O$100)</f>
        <v>0</v>
      </c>
      <c r="L59" s="178">
        <f>1000*C105*(TableC2!M57+TableC2!X57)/(TableC2!$D$100+TableC2!$O$100)</f>
        <v>0</v>
      </c>
      <c r="M59" s="183">
        <f>1000*C105*(TableC2!N57+TableC2!Y57)/(TableC2!$D$100+TableC2!$O$100)</f>
        <v>0</v>
      </c>
      <c r="N59" s="182">
        <f>1000*C105*TableC3!C57/TableC3!$C$91</f>
        <v>654.53882136754794</v>
      </c>
      <c r="O59" s="181">
        <f>1000*C105*TableC3!D57/TableC3!$C$91</f>
        <v>165.6075985601619</v>
      </c>
      <c r="P59" s="180">
        <f>1000*C105*TableC3!E57/TableC3!$C$91</f>
        <v>0</v>
      </c>
      <c r="Q59" s="180">
        <f>1000*C105*TableC3!F57/TableC3!$C$91</f>
        <v>0</v>
      </c>
      <c r="R59" s="180">
        <f>1000*C105*TableC3!G57/TableC3!$C$91</f>
        <v>0</v>
      </c>
      <c r="S59" s="178">
        <f>1000*C105*TableC3!H57/TableC3!$C$91</f>
        <v>165.6075985601619</v>
      </c>
      <c r="T59" s="178">
        <f>1000*C105*TableC3!I57/TableC3!$C$91</f>
        <v>0</v>
      </c>
      <c r="U59" s="178">
        <f>1000*C105*TableC3!J57/TableC3!$C$91</f>
        <v>0</v>
      </c>
      <c r="V59" s="184">
        <f>1000*C105*TableC3!K57/TableC3!$C$91</f>
        <v>488.93122280738606</v>
      </c>
      <c r="W59" s="178">
        <f>1000*C105*TableC3!L57/TableC3!$C$91</f>
        <v>0</v>
      </c>
      <c r="X59" s="177">
        <f>1000*C105*TableC3!M57/TableC3!$C$91</f>
        <v>488.93122280738606</v>
      </c>
    </row>
    <row r="60" spans="1:24" ht="14" customHeight="1">
      <c r="A60" s="219" t="s">
        <v>179</v>
      </c>
      <c r="B60" s="185" t="s">
        <v>180</v>
      </c>
      <c r="C60" s="196">
        <f>1000*C105*(TableC2!D58+TableC2!O58)/(TableC2!$D$100+TableC2!$O$100)</f>
        <v>0</v>
      </c>
      <c r="D60" s="181">
        <f>1000*C105*(TableC2!E58+TableC2!P58)/(TableC2!$D$100+TableC2!$O$100)</f>
        <v>0</v>
      </c>
      <c r="E60" s="180">
        <f>1000*C105*(TableC2!F58+TableC2!Q58)/(TableC2!$D$100+TableC2!$O$100)</f>
        <v>0</v>
      </c>
      <c r="F60" s="180">
        <f>1000*C105*(TableC2!G58+TableC2!R58)/(TableC2!$D$100+TableC2!$O$100)</f>
        <v>0</v>
      </c>
      <c r="G60" s="180">
        <f>1000*C105*(TableC2!H58+TableC2!S58)/(TableC2!$D$100+TableC2!$O$100)</f>
        <v>0</v>
      </c>
      <c r="H60" s="178">
        <f>1000*C105*(TableC2!I58+TableC2!T58)/(TableC2!$D$100+TableC2!$O$100)</f>
        <v>0</v>
      </c>
      <c r="I60" s="178">
        <f>1000*C105*(TableC2!J58+TableC2!U58)/(TableC2!$D$100+TableC2!$O$100)</f>
        <v>0</v>
      </c>
      <c r="J60" s="178">
        <f>1000*C105*(TableC2!K58+TableC2!V58)/(TableC2!$D$100+TableC2!$O$100)</f>
        <v>0</v>
      </c>
      <c r="K60" s="184">
        <f>1000*C105*(TableC2!L58+TableC2!W58)/(TableC2!$D$100+TableC2!$O$100)</f>
        <v>0</v>
      </c>
      <c r="L60" s="178">
        <f>1000*C105*(TableC2!M58+TableC2!X58)/(TableC2!$D$100+TableC2!$O$100)</f>
        <v>0</v>
      </c>
      <c r="M60" s="183">
        <f>1000*C105*(TableC2!N58+TableC2!Y58)/(TableC2!$D$100+TableC2!$O$100)</f>
        <v>0</v>
      </c>
      <c r="N60" s="182">
        <f>1000*C105*TableC3!C58/TableC3!$C$91</f>
        <v>343.70451432469054</v>
      </c>
      <c r="O60" s="181">
        <f>1000*C105*TableC3!D58/TableC3!$C$91</f>
        <v>-81.731096371849944</v>
      </c>
      <c r="P60" s="180">
        <f>1000*C105*TableC3!E58/TableC3!$C$91</f>
        <v>-84.36288686083185</v>
      </c>
      <c r="Q60" s="180">
        <f>1000*C105*TableC3!F58/TableC3!$C$91</f>
        <v>2.8271020152239394</v>
      </c>
      <c r="R60" s="180">
        <f>1000*C105*TableC3!G58/TableC3!$C$91</f>
        <v>-0.19531152624201831</v>
      </c>
      <c r="S60" s="178">
        <f>1000*C105*TableC3!H58/TableC3!$C$91</f>
        <v>0</v>
      </c>
      <c r="T60" s="178">
        <f>1000*C105*TableC3!I58/TableC3!$C$91</f>
        <v>0</v>
      </c>
      <c r="U60" s="178">
        <f>1000*C105*TableC3!J58/TableC3!$C$91</f>
        <v>0</v>
      </c>
      <c r="V60" s="184">
        <f>1000*C105*TableC3!K58/TableC3!$C$91</f>
        <v>425.43561069654049</v>
      </c>
      <c r="W60" s="178">
        <f>1000*C105*TableC3!L58/TableC3!$C$91</f>
        <v>0</v>
      </c>
      <c r="X60" s="177">
        <f>1000*C105*TableC3!M58/TableC3!$C$91</f>
        <v>425.43561069654049</v>
      </c>
    </row>
    <row r="61" spans="1:24" ht="14" customHeight="1">
      <c r="B61" s="185" t="s">
        <v>181</v>
      </c>
      <c r="C61" s="196">
        <f>1000*C105*(TableC2!D59+TableC2!O59)/(TableC2!$D$100+TableC2!$O$100)</f>
        <v>0</v>
      </c>
      <c r="D61" s="181">
        <f>1000*C105*(TableC2!E59+TableC2!P59)/(TableC2!$D$100+TableC2!$O$100)</f>
        <v>0</v>
      </c>
      <c r="E61" s="180">
        <f>1000*C105*(TableC2!F59+TableC2!Q59)/(TableC2!$D$100+TableC2!$O$100)</f>
        <v>0</v>
      </c>
      <c r="F61" s="180">
        <f>1000*C105*(TableC2!G59+TableC2!R59)/(TableC2!$D$100+TableC2!$O$100)</f>
        <v>0</v>
      </c>
      <c r="G61" s="180">
        <f>1000*C105*(TableC2!H59+TableC2!S59)/(TableC2!$D$100+TableC2!$O$100)</f>
        <v>0</v>
      </c>
      <c r="H61" s="178">
        <f>1000*C105*(TableC2!I59+TableC2!T59)/(TableC2!$D$100+TableC2!$O$100)</f>
        <v>0</v>
      </c>
      <c r="I61" s="178">
        <f>1000*C105*(TableC2!J59+TableC2!U59)/(TableC2!$D$100+TableC2!$O$100)</f>
        <v>0</v>
      </c>
      <c r="J61" s="178">
        <f>1000*C105*(TableC2!K59+TableC2!V59)/(TableC2!$D$100+TableC2!$O$100)</f>
        <v>0</v>
      </c>
      <c r="K61" s="184">
        <f>1000*C105*(TableC2!L59+TableC2!W59)/(TableC2!$D$100+TableC2!$O$100)</f>
        <v>0</v>
      </c>
      <c r="L61" s="178">
        <f>1000*C105*(TableC2!M59+TableC2!X59)/(TableC2!$D$100+TableC2!$O$100)</f>
        <v>0</v>
      </c>
      <c r="M61" s="183">
        <f>1000*C105*(TableC2!N59+TableC2!Y59)/(TableC2!$D$100+TableC2!$O$100)</f>
        <v>0</v>
      </c>
      <c r="N61" s="182">
        <f>1000*C105*TableC3!C59/TableC3!$C$91</f>
        <v>91.62462369290354</v>
      </c>
      <c r="O61" s="181">
        <f>1000*C105*TableC3!D59/TableC3!$C$91</f>
        <v>10.079752231176592</v>
      </c>
      <c r="P61" s="180">
        <f>1000*C105*TableC3!E59/TableC3!$C$91</f>
        <v>0</v>
      </c>
      <c r="Q61" s="180">
        <f>1000*C105*TableC3!F59/TableC3!$C$91</f>
        <v>5.6657117381069799</v>
      </c>
      <c r="R61" s="180">
        <f>1000*C105*TableC3!G59/TableC3!$C$91</f>
        <v>4.4140404930696118</v>
      </c>
      <c r="S61" s="178">
        <f>1000*C105*TableC3!H59/TableC3!$C$91</f>
        <v>0</v>
      </c>
      <c r="T61" s="178">
        <f>1000*C105*TableC3!I59/TableC3!$C$91</f>
        <v>0</v>
      </c>
      <c r="U61" s="178">
        <f>1000*C105*TableC3!J59/TableC3!$C$91</f>
        <v>0</v>
      </c>
      <c r="V61" s="184">
        <f>1000*C105*TableC3!K59/TableC3!$C$91</f>
        <v>81.544871461726942</v>
      </c>
      <c r="W61" s="178">
        <f>1000*C105*TableC3!L59/TableC3!$C$91</f>
        <v>0</v>
      </c>
      <c r="X61" s="177">
        <f>1000*C105*TableC3!M59/TableC3!$C$91</f>
        <v>81.544871461726942</v>
      </c>
    </row>
    <row r="62" spans="1:24" ht="14" customHeight="1">
      <c r="B62" s="185" t="s">
        <v>182</v>
      </c>
      <c r="C62" s="196">
        <f>1000*C105*(TableC2!D60+TableC2!O60)/(TableC2!$D$100+TableC2!$O$100)</f>
        <v>0</v>
      </c>
      <c r="D62" s="181">
        <f>1000*C105*(TableC2!E60+TableC2!P60)/(TableC2!$D$100+TableC2!$O$100)</f>
        <v>0</v>
      </c>
      <c r="E62" s="180">
        <f>1000*C105*(TableC2!F60+TableC2!Q60)/(TableC2!$D$100+TableC2!$O$100)</f>
        <v>0</v>
      </c>
      <c r="F62" s="180">
        <f>1000*C105*(TableC2!G60+TableC2!R60)/(TableC2!$D$100+TableC2!$O$100)</f>
        <v>0</v>
      </c>
      <c r="G62" s="180">
        <f>1000*C105*(TableC2!H60+TableC2!S60)/(TableC2!$D$100+TableC2!$O$100)</f>
        <v>0</v>
      </c>
      <c r="H62" s="178">
        <f>1000*C105*(TableC2!I60+TableC2!T60)/(TableC2!$D$100+TableC2!$O$100)</f>
        <v>0</v>
      </c>
      <c r="I62" s="178">
        <f>1000*C105*(TableC2!J60+TableC2!U60)/(TableC2!$D$100+TableC2!$O$100)</f>
        <v>0</v>
      </c>
      <c r="J62" s="178">
        <f>1000*C105*(TableC2!K60+TableC2!V60)/(TableC2!$D$100+TableC2!$O$100)</f>
        <v>0</v>
      </c>
      <c r="K62" s="184">
        <f>1000*C105*(TableC2!L60+TableC2!W60)/(TableC2!$D$100+TableC2!$O$100)</f>
        <v>0</v>
      </c>
      <c r="L62" s="178">
        <f>1000*C105*(TableC2!M60+TableC2!X60)/(TableC2!$D$100+TableC2!$O$100)</f>
        <v>0</v>
      </c>
      <c r="M62" s="183">
        <f>1000*C105*(TableC2!N60+TableC2!Y60)/(TableC2!$D$100+TableC2!$O$100)</f>
        <v>0</v>
      </c>
      <c r="N62" s="182">
        <f>1000*C105*TableC3!C60/TableC3!$C$91</f>
        <v>2.2315378719075909</v>
      </c>
      <c r="O62" s="181">
        <f>1000*C105*TableC3!D60/TableC3!$C$91</f>
        <v>3.4174149937897878E-2</v>
      </c>
      <c r="P62" s="180">
        <f>1000*C105*TableC3!E60/TableC3!$C$91</f>
        <v>0</v>
      </c>
      <c r="Q62" s="180">
        <f>1000*C105*TableC3!F60/TableC3!$C$91</f>
        <v>0</v>
      </c>
      <c r="R62" s="180">
        <f>1000*C105*TableC3!G60/TableC3!$C$91</f>
        <v>0</v>
      </c>
      <c r="S62" s="178">
        <f>1000*C105*TableC3!H60/TableC3!$C$91</f>
        <v>0</v>
      </c>
      <c r="T62" s="178">
        <f>1000*C105*TableC3!I60/TableC3!$C$91</f>
        <v>3.4174149937897878E-2</v>
      </c>
      <c r="U62" s="178">
        <f>1000*C105*TableC3!J60/TableC3!$C$91</f>
        <v>0</v>
      </c>
      <c r="V62" s="184">
        <f>1000*C105*TableC3!K60/TableC3!$C$91</f>
        <v>2.1973637219696935</v>
      </c>
      <c r="W62" s="178">
        <f>1000*C105*TableC3!L60/TableC3!$C$91</f>
        <v>0</v>
      </c>
      <c r="X62" s="177">
        <f>1000*C105*TableC3!M60/TableC3!$C$91</f>
        <v>2.1973637219696935</v>
      </c>
    </row>
    <row r="63" spans="1:24" ht="14" customHeight="1">
      <c r="B63" s="185" t="s">
        <v>89</v>
      </c>
      <c r="C63" s="196">
        <f>1000*C105*(TableC2!D61+TableC2!O61)/(TableC2!$D$100+TableC2!$O$100)</f>
        <v>0</v>
      </c>
      <c r="D63" s="181">
        <f>1000*C105*(TableC2!E61+TableC2!P61)/(TableC2!$D$100+TableC2!$O$100)</f>
        <v>0</v>
      </c>
      <c r="E63" s="180">
        <f>1000*C105*(TableC2!F61+TableC2!Q61)/(TableC2!$D$100+TableC2!$O$100)</f>
        <v>0</v>
      </c>
      <c r="F63" s="180">
        <f>1000*C105*(TableC2!G61+TableC2!R61)/(TableC2!$D$100+TableC2!$O$100)</f>
        <v>0</v>
      </c>
      <c r="G63" s="180">
        <f>1000*C105*(TableC2!H61+TableC2!S61)/(TableC2!$D$100+TableC2!$O$100)</f>
        <v>0</v>
      </c>
      <c r="H63" s="178">
        <f>1000*C105*(TableC2!I61+TableC2!T61)/(TableC2!$D$100+TableC2!$O$100)</f>
        <v>0</v>
      </c>
      <c r="I63" s="178">
        <f>1000*C105*(TableC2!J61+TableC2!U61)/(TableC2!$D$100+TableC2!$O$100)</f>
        <v>0</v>
      </c>
      <c r="J63" s="178">
        <f>1000*C105*(TableC2!K61+TableC2!V61)/(TableC2!$D$100+TableC2!$O$100)</f>
        <v>0</v>
      </c>
      <c r="K63" s="184">
        <f>1000*C105*(TableC2!L61+TableC2!W61)/(TableC2!$D$100+TableC2!$O$100)</f>
        <v>0</v>
      </c>
      <c r="L63" s="178">
        <f>1000*C105*(TableC2!M61+TableC2!X61)/(TableC2!$D$100+TableC2!$O$100)</f>
        <v>0</v>
      </c>
      <c r="M63" s="183">
        <f>1000*C105*(TableC2!N61+TableC2!Y61)/(TableC2!$D$100+TableC2!$O$100)</f>
        <v>0</v>
      </c>
      <c r="N63" s="182">
        <f>1000*C105*TableC3!C61/TableC3!$C$91</f>
        <v>29428.689947728271</v>
      </c>
      <c r="O63" s="181">
        <f>1000*C105*TableC3!D61/TableC3!$C$91</f>
        <v>19146.449626544414</v>
      </c>
      <c r="P63" s="180">
        <f>1000*C105*TableC3!E61/TableC3!$C$91</f>
        <v>0</v>
      </c>
      <c r="Q63" s="180">
        <f>1000*C105*TableC3!F61/TableC3!$C$91</f>
        <v>0</v>
      </c>
      <c r="R63" s="180">
        <f>1000*C105*TableC3!G61/TableC3!$C$91</f>
        <v>5185.5210217255863</v>
      </c>
      <c r="S63" s="178">
        <f>1000*C105*TableC3!H61/TableC3!$C$91</f>
        <v>3090.9515547335341</v>
      </c>
      <c r="T63" s="178">
        <f>1000*C105*TableC3!I61/TableC3!$C$91</f>
        <v>0</v>
      </c>
      <c r="U63" s="178">
        <f>1000*C105*TableC3!J61/TableC3!$C$91</f>
        <v>10869.977050085294</v>
      </c>
      <c r="V63" s="184">
        <f>1000*C105*TableC3!K61/TableC3!$C$91</f>
        <v>10282.240321183863</v>
      </c>
      <c r="W63" s="178">
        <f>1000*C105*TableC3!L61/TableC3!$C$91</f>
        <v>0</v>
      </c>
      <c r="X63" s="177">
        <f>1000*C105*TableC3!M61/TableC3!$C$91</f>
        <v>10282.240321183863</v>
      </c>
    </row>
    <row r="64" spans="1:24" ht="14" customHeight="1">
      <c r="A64" s="219" t="s">
        <v>375</v>
      </c>
      <c r="B64" s="185" t="s">
        <v>183</v>
      </c>
      <c r="C64" s="196">
        <f>1000*C105*(TableC2!D62+TableC2!O62)/(TableC2!$D$100+TableC2!$O$100)</f>
        <v>0</v>
      </c>
      <c r="D64" s="181">
        <f>1000*C105*(TableC2!E62+TableC2!P62)/(TableC2!$D$100+TableC2!$O$100)</f>
        <v>0</v>
      </c>
      <c r="E64" s="180">
        <f>1000*C105*(TableC2!F62+TableC2!Q62)/(TableC2!$D$100+TableC2!$O$100)</f>
        <v>0</v>
      </c>
      <c r="F64" s="180">
        <f>1000*C105*(TableC2!G62+TableC2!R62)/(TableC2!$D$100+TableC2!$O$100)</f>
        <v>0</v>
      </c>
      <c r="G64" s="180">
        <f>1000*C105*(TableC2!H62+TableC2!S62)/(TableC2!$D$100+TableC2!$O$100)</f>
        <v>0</v>
      </c>
      <c r="H64" s="178">
        <f>1000*C105*(TableC2!I62+TableC2!T62)/(TableC2!$D$100+TableC2!$O$100)</f>
        <v>0</v>
      </c>
      <c r="I64" s="178">
        <f>1000*C105*(TableC2!J62+TableC2!U62)/(TableC2!$D$100+TableC2!$O$100)</f>
        <v>0</v>
      </c>
      <c r="J64" s="178">
        <f>1000*C105*(TableC2!K62+TableC2!V62)/(TableC2!$D$100+TableC2!$O$100)</f>
        <v>0</v>
      </c>
      <c r="K64" s="184">
        <f>1000*C105*(TableC2!L62+TableC2!W62)/(TableC2!$D$100+TableC2!$O$100)</f>
        <v>0</v>
      </c>
      <c r="L64" s="178">
        <f>1000*C105*(TableC2!M62+TableC2!X62)/(TableC2!$D$100+TableC2!$O$100)</f>
        <v>0</v>
      </c>
      <c r="M64" s="183">
        <f>1000*C105*(TableC2!N62+TableC2!Y62)/(TableC2!$D$100+TableC2!$O$100)</f>
        <v>0</v>
      </c>
      <c r="N64" s="182">
        <f>1000*C105*TableC3!C62/TableC3!$C$91</f>
        <v>-2.2653038626588793</v>
      </c>
      <c r="O64" s="181">
        <f>1000*C105*TableC3!D62/TableC3!$C$91</f>
        <v>0</v>
      </c>
      <c r="P64" s="180">
        <f>1000*C105*TableC3!E62/TableC3!$C$91</f>
        <v>0</v>
      </c>
      <c r="Q64" s="180">
        <f>1000*C105*TableC3!F62/TableC3!$C$91</f>
        <v>0</v>
      </c>
      <c r="R64" s="180">
        <f>1000*C105*TableC3!G62/TableC3!$C$91</f>
        <v>0</v>
      </c>
      <c r="S64" s="178">
        <f>1000*C105*TableC3!H62/TableC3!$C$91</f>
        <v>0</v>
      </c>
      <c r="T64" s="178">
        <f>1000*C105*TableC3!I62/TableC3!$C$91</f>
        <v>0</v>
      </c>
      <c r="U64" s="178">
        <f>1000*C105*TableC3!J62/TableC3!$C$91</f>
        <v>0</v>
      </c>
      <c r="V64" s="184">
        <f>1000*C105*TableC3!K62/TableC3!$C$91</f>
        <v>-2.2653038626588793</v>
      </c>
      <c r="W64" s="178">
        <f>1000*C105*TableC3!L62/TableC3!$C$91</f>
        <v>0</v>
      </c>
      <c r="X64" s="177">
        <f>1000*C105*TableC3!M62/TableC3!$C$91</f>
        <v>-2.2653038626588793</v>
      </c>
    </row>
    <row r="65" spans="1:24" ht="14" customHeight="1">
      <c r="A65" s="219" t="s">
        <v>376</v>
      </c>
      <c r="B65" s="185" t="s">
        <v>364</v>
      </c>
      <c r="C65" s="196">
        <f>1000*C105*(TableC2!D63+TableC2!O63)/(TableC2!$D$100+TableC2!$O$100)</f>
        <v>0</v>
      </c>
      <c r="D65" s="181">
        <f>1000*C105*(TableC2!E63+TableC2!P63)/(TableC2!$D$100+TableC2!$O$100)</f>
        <v>0</v>
      </c>
      <c r="E65" s="180">
        <f>1000*C105*(TableC2!F63+TableC2!Q63)/(TableC2!$D$100+TableC2!$O$100)</f>
        <v>0</v>
      </c>
      <c r="F65" s="180">
        <f>1000*C105*(TableC2!G63+TableC2!R63)/(TableC2!$D$100+TableC2!$O$100)</f>
        <v>0</v>
      </c>
      <c r="G65" s="180">
        <f>1000*C105*(TableC2!H63+TableC2!S63)/(TableC2!$D$100+TableC2!$O$100)</f>
        <v>0</v>
      </c>
      <c r="H65" s="178">
        <f>1000*C105*(TableC2!I63+TableC2!T63)/(TableC2!$D$100+TableC2!$O$100)</f>
        <v>0</v>
      </c>
      <c r="I65" s="178">
        <f>1000*C105*(TableC2!J63+TableC2!U63)/(TableC2!$D$100+TableC2!$O$100)</f>
        <v>0</v>
      </c>
      <c r="J65" s="178">
        <f>1000*C105*(TableC2!K63+TableC2!V63)/(TableC2!$D$100+TableC2!$O$100)</f>
        <v>0</v>
      </c>
      <c r="K65" s="184">
        <f>1000*C105*(TableC2!L63+TableC2!W63)/(TableC2!$D$100+TableC2!$O$100)</f>
        <v>0</v>
      </c>
      <c r="L65" s="178">
        <f>1000*C105*(TableC2!M63+TableC2!X63)/(TableC2!$D$100+TableC2!$O$100)</f>
        <v>0</v>
      </c>
      <c r="M65" s="183">
        <f>1000*C105*(TableC2!N63+TableC2!Y63)/(TableC2!$D$100+TableC2!$O$100)</f>
        <v>0</v>
      </c>
      <c r="N65" s="182">
        <f>1000*C105*TableC3!C63/TableC3!$C$91</f>
        <v>65687.93758387983</v>
      </c>
      <c r="O65" s="181">
        <f>1000*C105*TableC3!D63/TableC3!$C$91</f>
        <v>2232.7412154892295</v>
      </c>
      <c r="P65" s="180">
        <f>1000*C105*TableC3!E63/TableC3!$C$91</f>
        <v>19.033090328358934</v>
      </c>
      <c r="Q65" s="180">
        <f>1000*C105*TableC3!F63/TableC3!$C$91</f>
        <v>401.31256438519586</v>
      </c>
      <c r="R65" s="180">
        <f>1000*C105*TableC3!G63/TableC3!$C$91</f>
        <v>0</v>
      </c>
      <c r="S65" s="178">
        <f>1000*C105*TableC3!H63/TableC3!$C$91</f>
        <v>1782.4597579818385</v>
      </c>
      <c r="T65" s="178">
        <f>1000*C105*TableC3!I63/TableC3!$C$91</f>
        <v>0</v>
      </c>
      <c r="U65" s="178">
        <f>1000*C105*TableC3!J63/TableC3!$C$91</f>
        <v>29.935802793836348</v>
      </c>
      <c r="V65" s="184">
        <f>1000*C105*TableC3!K63/TableC3!$C$91</f>
        <v>63455.1963683906</v>
      </c>
      <c r="W65" s="178">
        <f>1000*C105*TableC3!L63/TableC3!$C$91</f>
        <v>0</v>
      </c>
      <c r="X65" s="177">
        <f>1000*C105*TableC3!M63/TableC3!$C$91</f>
        <v>63455.1963683906</v>
      </c>
    </row>
    <row r="66" spans="1:24" ht="14" customHeight="1">
      <c r="B66" s="189" t="s">
        <v>185</v>
      </c>
      <c r="C66" s="196">
        <f>1000*C105*(TableC2!D64+TableC2!O64)/(TableC2!$D$100+TableC2!$O$100)</f>
        <v>0</v>
      </c>
      <c r="D66" s="181">
        <f>1000*C105*(TableC2!E64+TableC2!P64)/(TableC2!$D$100+TableC2!$O$100)</f>
        <v>0</v>
      </c>
      <c r="E66" s="180">
        <f>1000*C105*(TableC2!F64+TableC2!Q64)/(TableC2!$D$100+TableC2!$O$100)</f>
        <v>0</v>
      </c>
      <c r="F66" s="180">
        <f>1000*C105*(TableC2!G64+TableC2!R64)/(TableC2!$D$100+TableC2!$O$100)</f>
        <v>0</v>
      </c>
      <c r="G66" s="180">
        <f>1000*C105*(TableC2!H64+TableC2!S64)/(TableC2!$D$100+TableC2!$O$100)</f>
        <v>0</v>
      </c>
      <c r="H66" s="178">
        <f>1000*C105*(TableC2!I64+TableC2!T64)/(TableC2!$D$100+TableC2!$O$100)</f>
        <v>0</v>
      </c>
      <c r="I66" s="178">
        <f>1000*C105*(TableC2!J64+TableC2!U64)/(TableC2!$D$100+TableC2!$O$100)</f>
        <v>0</v>
      </c>
      <c r="J66" s="178">
        <f>1000*C105*(TableC2!K64+TableC2!V64)/(TableC2!$D$100+TableC2!$O$100)</f>
        <v>0</v>
      </c>
      <c r="K66" s="184">
        <f>1000*C105*(TableC2!L64+TableC2!W64)/(TableC2!$D$100+TableC2!$O$100)</f>
        <v>0</v>
      </c>
      <c r="L66" s="178">
        <f>1000*C105*(TableC2!M64+TableC2!X64)/(TableC2!$D$100+TableC2!$O$100)</f>
        <v>0</v>
      </c>
      <c r="M66" s="183">
        <f>1000*C105*(TableC2!N64+TableC2!Y64)/(TableC2!$D$100+TableC2!$O$100)</f>
        <v>0</v>
      </c>
      <c r="N66" s="188">
        <f>1000*C105*TableC3!C64/TableC3!$C$91</f>
        <v>24135.703114459244</v>
      </c>
      <c r="O66" s="181">
        <f>1000*C105*TableC3!D64/TableC3!$C$91</f>
        <v>5616.9004334550937</v>
      </c>
      <c r="P66" s="180">
        <f>1000*C105*TableC3!E64/TableC3!$C$91</f>
        <v>49.383153284391135</v>
      </c>
      <c r="Q66" s="180">
        <f>1000*C105*TableC3!F64/TableC3!$C$91</f>
        <v>0</v>
      </c>
      <c r="R66" s="180">
        <f>1000*C105*TableC3!G64/TableC3!$C$91</f>
        <v>837.20285723641143</v>
      </c>
      <c r="S66" s="178">
        <f>1000*C105*TableC3!H64/TableC3!$C$91</f>
        <v>2138.6120440706495</v>
      </c>
      <c r="T66" s="178">
        <f>1000*C105*TableC3!I64/TableC3!$C$91</f>
        <v>0</v>
      </c>
      <c r="U66" s="178">
        <f>1000*C105*TableC3!J64/TableC3!$C$91</f>
        <v>2591.7023788636411</v>
      </c>
      <c r="V66" s="184">
        <f>1000*C105*TableC3!K64/TableC3!$C$91</f>
        <v>18518.802681004156</v>
      </c>
      <c r="W66" s="178">
        <f>1000*C105*TableC3!L64/TableC3!$C$91</f>
        <v>0</v>
      </c>
      <c r="X66" s="177">
        <f>1000*C105*TableC3!M64/TableC3!$C$91</f>
        <v>18518.802681004156</v>
      </c>
    </row>
    <row r="67" spans="1:24" ht="14" customHeight="1">
      <c r="B67" s="185" t="s">
        <v>186</v>
      </c>
      <c r="C67" s="196">
        <f>1000*C105*(TableC2!D65+TableC2!O65)/(TableC2!$D$100+TableC2!$O$100)</f>
        <v>0</v>
      </c>
      <c r="D67" s="181">
        <f>1000*C105*(TableC2!E65+TableC2!P65)/(TableC2!$D$100+TableC2!$O$100)</f>
        <v>0</v>
      </c>
      <c r="E67" s="180">
        <f>1000*C105*(TableC2!F65+TableC2!Q65)/(TableC2!$D$100+TableC2!$O$100)</f>
        <v>0</v>
      </c>
      <c r="F67" s="180">
        <f>1000*C105*(TableC2!G65+TableC2!R65)/(TableC2!$D$100+TableC2!$O$100)</f>
        <v>0</v>
      </c>
      <c r="G67" s="180">
        <f>1000*C105*(TableC2!H65+TableC2!S65)/(TableC2!$D$100+TableC2!$O$100)</f>
        <v>0</v>
      </c>
      <c r="H67" s="178">
        <f>1000*C105*(TableC2!I65+TableC2!T65)/(TableC2!$D$100+TableC2!$O$100)</f>
        <v>0</v>
      </c>
      <c r="I67" s="178">
        <f>1000*C105*(TableC2!J65+TableC2!U65)/(TableC2!$D$100+TableC2!$O$100)</f>
        <v>0</v>
      </c>
      <c r="J67" s="178">
        <f>1000*C105*(TableC2!K65+TableC2!V65)/(TableC2!$D$100+TableC2!$O$100)</f>
        <v>0</v>
      </c>
      <c r="K67" s="184">
        <f>1000*C105*(TableC2!L65+TableC2!W65)/(TableC2!$D$100+TableC2!$O$100)</f>
        <v>0</v>
      </c>
      <c r="L67" s="178">
        <f>1000*C105*(TableC2!M65+TableC2!X65)/(TableC2!$D$100+TableC2!$O$100)</f>
        <v>0</v>
      </c>
      <c r="M67" s="183">
        <f>1000*C105*(TableC2!N65+TableC2!Y65)/(TableC2!$D$100+TableC2!$O$100)</f>
        <v>0</v>
      </c>
      <c r="N67" s="182">
        <f>1000*C105*TableC3!C65/TableC3!$C$91</f>
        <v>48.949749644912444</v>
      </c>
      <c r="O67" s="181">
        <f>1000*C105*TableC3!D65/TableC3!$C$91</f>
        <v>-6.6204289871886077</v>
      </c>
      <c r="P67" s="180">
        <f>1000*C105*TableC3!E65/TableC3!$C$91</f>
        <v>-6.6204289871886077</v>
      </c>
      <c r="Q67" s="180">
        <f>1000*C105*TableC3!F65/TableC3!$C$91</f>
        <v>0</v>
      </c>
      <c r="R67" s="180">
        <f>1000*C105*TableC3!G65/TableC3!$C$91</f>
        <v>0</v>
      </c>
      <c r="S67" s="178">
        <f>1000*C105*TableC3!H65/TableC3!$C$91</f>
        <v>0</v>
      </c>
      <c r="T67" s="178">
        <f>1000*C105*TableC3!I65/TableC3!$C$91</f>
        <v>0</v>
      </c>
      <c r="U67" s="178">
        <f>1000*C105*TableC3!J65/TableC3!$C$91</f>
        <v>0</v>
      </c>
      <c r="V67" s="184">
        <f>1000*C105*TableC3!K65/TableC3!$C$91</f>
        <v>55.570178632101062</v>
      </c>
      <c r="W67" s="178">
        <f>1000*C105*TableC3!L65/TableC3!$C$91</f>
        <v>0</v>
      </c>
      <c r="X67" s="177">
        <f>1000*C105*TableC3!M65/TableC3!$C$91</f>
        <v>55.570178632101062</v>
      </c>
    </row>
    <row r="68" spans="1:24" ht="14" customHeight="1">
      <c r="B68" s="185" t="s">
        <v>187</v>
      </c>
      <c r="C68" s="196">
        <f>1000*C105*(TableC2!D66+TableC2!O66)/(TableC2!$D$100+TableC2!$O$100)</f>
        <v>0</v>
      </c>
      <c r="D68" s="181">
        <f>1000*C105*(TableC2!E66+TableC2!P66)/(TableC2!$D$100+TableC2!$O$100)</f>
        <v>0</v>
      </c>
      <c r="E68" s="180">
        <f>1000*C105*(TableC2!F66+TableC2!Q66)/(TableC2!$D$100+TableC2!$O$100)</f>
        <v>0</v>
      </c>
      <c r="F68" s="180">
        <f>1000*C105*(TableC2!G66+TableC2!R66)/(TableC2!$D$100+TableC2!$O$100)</f>
        <v>0</v>
      </c>
      <c r="G68" s="180">
        <f>1000*C105*(TableC2!H66+TableC2!S66)/(TableC2!$D$100+TableC2!$O$100)</f>
        <v>0</v>
      </c>
      <c r="H68" s="178">
        <f>1000*C105*(TableC2!I66+TableC2!T66)/(TableC2!$D$100+TableC2!$O$100)</f>
        <v>0</v>
      </c>
      <c r="I68" s="178">
        <f>1000*C105*(TableC2!J66+TableC2!U66)/(TableC2!$D$100+TableC2!$O$100)</f>
        <v>0</v>
      </c>
      <c r="J68" s="178">
        <f>1000*C105*(TableC2!K66+TableC2!V66)/(TableC2!$D$100+TableC2!$O$100)</f>
        <v>0</v>
      </c>
      <c r="K68" s="184">
        <f>1000*C105*(TableC2!L66+TableC2!W66)/(TableC2!$D$100+TableC2!$O$100)</f>
        <v>0</v>
      </c>
      <c r="L68" s="178">
        <f>1000*C105*(TableC2!M66+TableC2!X66)/(TableC2!$D$100+TableC2!$O$100)</f>
        <v>90.288783900083686</v>
      </c>
      <c r="M68" s="183">
        <f>1000*C105*(TableC2!N66+TableC2!Y66)/(TableC2!$D$100+TableC2!$O$100)</f>
        <v>0</v>
      </c>
      <c r="N68" s="182">
        <f>1000*C105*TableC3!C66/TableC3!$C$91</f>
        <v>3081.1270496464144</v>
      </c>
      <c r="O68" s="181">
        <f>1000*C105*TableC3!D66/TableC3!$C$91</f>
        <v>2832.6631352683416</v>
      </c>
      <c r="P68" s="180">
        <f>1000*C105*TableC3!E66/TableC3!$C$91</f>
        <v>216.87253286337062</v>
      </c>
      <c r="Q68" s="180">
        <f>1000*C105*TableC3!F66/TableC3!$C$91</f>
        <v>721.56709983094265</v>
      </c>
      <c r="R68" s="180">
        <f>1000*C105*TableC3!G66/TableC3!$C$91</f>
        <v>18.018185711258241</v>
      </c>
      <c r="S68" s="178">
        <f>1000*C105*TableC3!H66/TableC3!$C$91</f>
        <v>175.24021119297373</v>
      </c>
      <c r="T68" s="178">
        <f>1000*C105*TableC3!I66/TableC3!$C$91</f>
        <v>4.2362354344273125</v>
      </c>
      <c r="U68" s="178">
        <f>1000*C105*TableC3!J66/TableC3!$C$91</f>
        <v>1696.728870235369</v>
      </c>
      <c r="V68" s="184">
        <f>1000*C105*TableC3!K66/TableC3!$C$91</f>
        <v>248.46391437807287</v>
      </c>
      <c r="W68" s="178">
        <f>1000*C105*TableC3!L66/TableC3!$C$91</f>
        <v>0</v>
      </c>
      <c r="X68" s="177">
        <f>1000*C105*TableC3!M66/TableC3!$C$91</f>
        <v>248.46391437807287</v>
      </c>
    </row>
    <row r="69" spans="1:24" ht="14" customHeight="1">
      <c r="B69" s="185" t="s">
        <v>188</v>
      </c>
      <c r="C69" s="196">
        <f>1000*C105*(TableC2!D67+TableC2!O67)/(TableC2!$D$100+TableC2!$O$100)</f>
        <v>0</v>
      </c>
      <c r="D69" s="181">
        <f>1000*C105*(TableC2!E67+TableC2!P67)/(TableC2!$D$100+TableC2!$O$100)</f>
        <v>0</v>
      </c>
      <c r="E69" s="180">
        <f>1000*C105*(TableC2!F67+TableC2!Q67)/(TableC2!$D$100+TableC2!$O$100)</f>
        <v>0</v>
      </c>
      <c r="F69" s="180">
        <f>1000*C105*(TableC2!G67+TableC2!R67)/(TableC2!$D$100+TableC2!$O$100)</f>
        <v>0</v>
      </c>
      <c r="G69" s="180">
        <f>1000*C105*(TableC2!H67+TableC2!S67)/(TableC2!$D$100+TableC2!$O$100)</f>
        <v>0</v>
      </c>
      <c r="H69" s="178">
        <f>1000*C105*(TableC2!I67+TableC2!T67)/(TableC2!$D$100+TableC2!$O$100)</f>
        <v>0</v>
      </c>
      <c r="I69" s="178">
        <f>1000*C105*(TableC2!J67+TableC2!U67)/(TableC2!$D$100+TableC2!$O$100)</f>
        <v>0</v>
      </c>
      <c r="J69" s="178">
        <f>1000*C105*(TableC2!K67+TableC2!V67)/(TableC2!$D$100+TableC2!$O$100)</f>
        <v>0</v>
      </c>
      <c r="K69" s="184">
        <f>1000*C105*(TableC2!L67+TableC2!W67)/(TableC2!$D$100+TableC2!$O$100)</f>
        <v>0</v>
      </c>
      <c r="L69" s="178">
        <f>1000*C105*(TableC2!M67+TableC2!X67)/(TableC2!$D$100+TableC2!$O$100)</f>
        <v>0</v>
      </c>
      <c r="M69" s="183">
        <f>1000*C105*(TableC2!N67+TableC2!Y67)/(TableC2!$D$100+TableC2!$O$100)</f>
        <v>0</v>
      </c>
      <c r="N69" s="182">
        <f>1000*C105*TableC3!C67/TableC3!$C$91</f>
        <v>1433.4728402949693</v>
      </c>
      <c r="O69" s="181">
        <f>1000*C105*TableC3!D67/TableC3!$C$91</f>
        <v>1226.159710443862</v>
      </c>
      <c r="P69" s="180">
        <f>1000*C105*TableC3!E67/TableC3!$C$91</f>
        <v>-6.5751510912039706</v>
      </c>
      <c r="Q69" s="180">
        <f>1000*C105*TableC3!F67/TableC3!$C$91</f>
        <v>1.22893174658639</v>
      </c>
      <c r="R69" s="180">
        <f>1000*C105*TableC3!G67/TableC3!$C$91</f>
        <v>281.47678160390933</v>
      </c>
      <c r="S69" s="178">
        <f>1000*C105*TableC3!H67/TableC3!$C$91</f>
        <v>950.02914818457032</v>
      </c>
      <c r="T69" s="178">
        <f>1000*C105*TableC3!I67/TableC3!$C$91</f>
        <v>0</v>
      </c>
      <c r="U69" s="178">
        <f>1000*C105*TableC3!J67/TableC3!$C$91</f>
        <v>0</v>
      </c>
      <c r="V69" s="184">
        <f>1000*C105*TableC3!K67/TableC3!$C$91</f>
        <v>207.31312985110702</v>
      </c>
      <c r="W69" s="178">
        <f>1000*C105*TableC3!L67/TableC3!$C$91</f>
        <v>0</v>
      </c>
      <c r="X69" s="177">
        <f>1000*C105*TableC3!M67/TableC3!$C$91</f>
        <v>207.31312985110702</v>
      </c>
    </row>
    <row r="70" spans="1:24" ht="14" customHeight="1">
      <c r="B70" s="185" t="s">
        <v>189</v>
      </c>
      <c r="C70" s="196">
        <f>1000*C105*(TableC2!D68+TableC2!O68)/(TableC2!$D$100+TableC2!$O$100)</f>
        <v>0</v>
      </c>
      <c r="D70" s="181">
        <f>1000*C105*(TableC2!E68+TableC2!P68)/(TableC2!$D$100+TableC2!$O$100)</f>
        <v>0</v>
      </c>
      <c r="E70" s="180">
        <f>1000*C105*(TableC2!F68+TableC2!Q68)/(TableC2!$D$100+TableC2!$O$100)</f>
        <v>0</v>
      </c>
      <c r="F70" s="180">
        <f>1000*C105*(TableC2!G68+TableC2!R68)/(TableC2!$D$100+TableC2!$O$100)</f>
        <v>0</v>
      </c>
      <c r="G70" s="180">
        <f>1000*C105*(TableC2!H68+TableC2!S68)/(TableC2!$D$100+TableC2!$O$100)</f>
        <v>0</v>
      </c>
      <c r="H70" s="178">
        <f>1000*C105*(TableC2!I68+TableC2!T68)/(TableC2!$D$100+TableC2!$O$100)</f>
        <v>0</v>
      </c>
      <c r="I70" s="178">
        <f>1000*C105*(TableC2!J68+TableC2!U68)/(TableC2!$D$100+TableC2!$O$100)</f>
        <v>0</v>
      </c>
      <c r="J70" s="178">
        <f>1000*C105*(TableC2!K68+TableC2!V68)/(TableC2!$D$100+TableC2!$O$100)</f>
        <v>0</v>
      </c>
      <c r="K70" s="184">
        <f>1000*C105*(TableC2!L68+TableC2!W68)/(TableC2!$D$100+TableC2!$O$100)</f>
        <v>0</v>
      </c>
      <c r="L70" s="178">
        <f>1000*C105*(TableC2!M68+TableC2!X68)/(TableC2!$D$100+TableC2!$O$100)</f>
        <v>0</v>
      </c>
      <c r="M70" s="183">
        <f>1000*C105*(TableC2!N68+TableC2!Y68)/(TableC2!$D$100+TableC2!$O$100)</f>
        <v>0</v>
      </c>
      <c r="N70" s="182">
        <f>1000*C105*TableC3!C68/TableC3!$C$91</f>
        <v>1.767908795310742</v>
      </c>
      <c r="O70" s="181">
        <f>1000*C105*TableC3!D68/TableC3!$C$91</f>
        <v>7.2129399556547097E-2</v>
      </c>
      <c r="P70" s="180">
        <f>1000*C105*TableC3!E68/TableC3!$C$91</f>
        <v>0</v>
      </c>
      <c r="Q70" s="180">
        <f>1000*C105*TableC3!F68/TableC3!$C$91</f>
        <v>7.2129399556547097E-2</v>
      </c>
      <c r="R70" s="180">
        <f>1000*C105*TableC3!G68/TableC3!$C$91</f>
        <v>0</v>
      </c>
      <c r="S70" s="178">
        <f>1000*C105*TableC3!H68/TableC3!$C$91</f>
        <v>0</v>
      </c>
      <c r="T70" s="178">
        <f>1000*C105*TableC3!I68/TableC3!$C$91</f>
        <v>0</v>
      </c>
      <c r="U70" s="178">
        <f>1000*C105*TableC3!J68/TableC3!$C$91</f>
        <v>0</v>
      </c>
      <c r="V70" s="184">
        <f>1000*C105*TableC3!K68/TableC3!$C$91</f>
        <v>1.6957793957541949</v>
      </c>
      <c r="W70" s="178">
        <f>1000*C105*TableC3!L68/TableC3!$C$91</f>
        <v>0</v>
      </c>
      <c r="X70" s="177">
        <f>1000*C105*TableC3!M68/TableC3!$C$91</f>
        <v>1.6957793957541949</v>
      </c>
    </row>
    <row r="71" spans="1:24" ht="14" customHeight="1">
      <c r="B71" s="185" t="s">
        <v>190</v>
      </c>
      <c r="C71" s="196">
        <f>1000*C105*(TableC2!D69+TableC2!O69)/(TableC2!$D$100+TableC2!$O$100)</f>
        <v>0</v>
      </c>
      <c r="D71" s="181">
        <f>1000*C105*(TableC2!E69+TableC2!P69)/(TableC2!$D$100+TableC2!$O$100)</f>
        <v>0</v>
      </c>
      <c r="E71" s="180">
        <f>1000*C105*(TableC2!F69+TableC2!Q69)/(TableC2!$D$100+TableC2!$O$100)</f>
        <v>0</v>
      </c>
      <c r="F71" s="180">
        <f>1000*C105*(TableC2!G69+TableC2!R69)/(TableC2!$D$100+TableC2!$O$100)</f>
        <v>0</v>
      </c>
      <c r="G71" s="180">
        <f>1000*C105*(TableC2!H69+TableC2!S69)/(TableC2!$D$100+TableC2!$O$100)</f>
        <v>0</v>
      </c>
      <c r="H71" s="178">
        <f>1000*C105*(TableC2!I69+TableC2!T69)/(TableC2!$D$100+TableC2!$O$100)</f>
        <v>0</v>
      </c>
      <c r="I71" s="178">
        <f>1000*C105*(TableC2!J69+TableC2!U69)/(TableC2!$D$100+TableC2!$O$100)</f>
        <v>0</v>
      </c>
      <c r="J71" s="178">
        <f>1000*C105*(TableC2!K69+TableC2!V69)/(TableC2!$D$100+TableC2!$O$100)</f>
        <v>0</v>
      </c>
      <c r="K71" s="184">
        <f>1000*C105*(TableC2!L69+TableC2!W69)/(TableC2!$D$100+TableC2!$O$100)</f>
        <v>0</v>
      </c>
      <c r="L71" s="178">
        <f>1000*C105*(TableC2!M69+TableC2!X69)/(TableC2!$D$100+TableC2!$O$100)</f>
        <v>0</v>
      </c>
      <c r="M71" s="183">
        <f>1000*C105*(TableC2!N69+TableC2!Y69)/(TableC2!$D$100+TableC2!$O$100)</f>
        <v>0</v>
      </c>
      <c r="N71" s="182">
        <f>1000*C105*TableC3!C69/TableC3!$C$91</f>
        <v>405.17378528825867</v>
      </c>
      <c r="O71" s="181">
        <f>1000*C105*TableC3!D69/TableC3!$C$91</f>
        <v>327.17873057825051</v>
      </c>
      <c r="P71" s="180">
        <f>1000*C105*TableC3!E69/TableC3!$C$91</f>
        <v>-20.06190602178366</v>
      </c>
      <c r="Q71" s="180">
        <f>1000*C105*TableC3!F69/TableC3!$C$91</f>
        <v>15.27913671805454</v>
      </c>
      <c r="R71" s="180">
        <f>1000*C105*TableC3!G69/TableC3!$C$91</f>
        <v>0</v>
      </c>
      <c r="S71" s="178">
        <f>1000*C105*TableC3!H69/TableC3!$C$91</f>
        <v>331.96149988197959</v>
      </c>
      <c r="T71" s="178">
        <f>1000*C105*TableC3!I69/TableC3!$C$91</f>
        <v>0</v>
      </c>
      <c r="U71" s="178">
        <f>1000*C105*TableC3!J69/TableC3!$C$91</f>
        <v>0</v>
      </c>
      <c r="V71" s="184">
        <f>1000*C105*TableC3!K69/TableC3!$C$91</f>
        <v>77.995054710008205</v>
      </c>
      <c r="W71" s="178">
        <f>1000*C105*TableC3!L69/TableC3!$C$91</f>
        <v>0</v>
      </c>
      <c r="X71" s="177">
        <f>1000*C105*TableC3!M69/TableC3!$C$91</f>
        <v>77.995054710008205</v>
      </c>
    </row>
    <row r="72" spans="1:24" ht="14" customHeight="1">
      <c r="A72" s="219" t="s">
        <v>191</v>
      </c>
      <c r="B72" s="185" t="s">
        <v>365</v>
      </c>
      <c r="C72" s="196">
        <f>1000*C105*(TableC2!D70+TableC2!O70)/(TableC2!$D$100+TableC2!$O$100)</f>
        <v>0</v>
      </c>
      <c r="D72" s="181">
        <f>1000*C105*(TableC2!E70+TableC2!P70)/(TableC2!$D$100+TableC2!$O$100)</f>
        <v>0</v>
      </c>
      <c r="E72" s="180">
        <f>1000*C105*(TableC2!F70+TableC2!Q70)/(TableC2!$D$100+TableC2!$O$100)</f>
        <v>0</v>
      </c>
      <c r="F72" s="180">
        <f>1000*C105*(TableC2!G70+TableC2!R70)/(TableC2!$D$100+TableC2!$O$100)</f>
        <v>0</v>
      </c>
      <c r="G72" s="180">
        <f>1000*C105*(TableC2!H70+TableC2!S70)/(TableC2!$D$100+TableC2!$O$100)</f>
        <v>0</v>
      </c>
      <c r="H72" s="178">
        <f>1000*C105*(TableC2!I70+TableC2!T70)/(TableC2!$D$100+TableC2!$O$100)</f>
        <v>0</v>
      </c>
      <c r="I72" s="178">
        <f>1000*C105*(TableC2!J70+TableC2!U70)/(TableC2!$D$100+TableC2!$O$100)</f>
        <v>0</v>
      </c>
      <c r="J72" s="178">
        <f>1000*C105*(TableC2!K70+TableC2!V70)/(TableC2!$D$100+TableC2!$O$100)</f>
        <v>0</v>
      </c>
      <c r="K72" s="184">
        <f>1000*C105*(TableC2!L70+TableC2!W70)/(TableC2!$D$100+TableC2!$O$100)</f>
        <v>0</v>
      </c>
      <c r="L72" s="178">
        <f>1000*C105*(TableC2!M70+TableC2!X70)/(TableC2!$D$100+TableC2!$O$100)</f>
        <v>0</v>
      </c>
      <c r="M72" s="183">
        <f>1000*C105*(TableC2!N70+TableC2!Y70)/(TableC2!$D$100+TableC2!$O$100)</f>
        <v>0</v>
      </c>
      <c r="N72" s="182">
        <f>1000*C105*TableC3!C70/TableC3!$C$91</f>
        <v>1383.9540500646001</v>
      </c>
      <c r="O72" s="181">
        <f>1000*C105*TableC3!D70/TableC3!$C$91</f>
        <v>1287.8227049562988</v>
      </c>
      <c r="P72" s="180">
        <f>1000*C105*TableC3!E70/TableC3!$C$91</f>
        <v>0.80461750156634493</v>
      </c>
      <c r="Q72" s="180">
        <f>1000*C105*TableC3!F70/TableC3!$C$91</f>
        <v>1.8861978403153525</v>
      </c>
      <c r="R72" s="180">
        <f>1000*C105*TableC3!G70/TableC3!$C$91</f>
        <v>0</v>
      </c>
      <c r="S72" s="178">
        <f>1000*C105*TableC3!H70/TableC3!$C$91</f>
        <v>1167.7500182417728</v>
      </c>
      <c r="T72" s="178">
        <f>1000*C105*TableC3!I70/TableC3!$C$91</f>
        <v>0</v>
      </c>
      <c r="U72" s="178">
        <f>1000*C105*TableC3!J70/TableC3!$C$91</f>
        <v>117.38187137264444</v>
      </c>
      <c r="V72" s="184">
        <f>1000*C105*TableC3!K70/TableC3!$C$91</f>
        <v>96.131345108301488</v>
      </c>
      <c r="W72" s="178">
        <f>1000*C105*TableC3!L70/TableC3!$C$91</f>
        <v>0</v>
      </c>
      <c r="X72" s="177">
        <f>1000*C105*TableC3!M70/TableC3!$C$91</f>
        <v>96.131345108301488</v>
      </c>
    </row>
    <row r="73" spans="1:24" ht="14" customHeight="1">
      <c r="A73" s="219" t="s">
        <v>192</v>
      </c>
      <c r="B73" s="185" t="s">
        <v>24</v>
      </c>
      <c r="C73" s="196">
        <f>1000*C105*(TableC2!D71+TableC2!O71)/(TableC2!$D$100+TableC2!$O$100)</f>
        <v>0</v>
      </c>
      <c r="D73" s="181">
        <f>1000*C105*(TableC2!E71+TableC2!P71)/(TableC2!$D$100+TableC2!$O$100)</f>
        <v>0</v>
      </c>
      <c r="E73" s="180">
        <f>1000*C105*(TableC2!F71+TableC2!Q71)/(TableC2!$D$100+TableC2!$O$100)</f>
        <v>0</v>
      </c>
      <c r="F73" s="180">
        <f>1000*C105*(TableC2!G71+TableC2!R71)/(TableC2!$D$100+TableC2!$O$100)</f>
        <v>0</v>
      </c>
      <c r="G73" s="180">
        <f>1000*C105*(TableC2!H71+TableC2!S71)/(TableC2!$D$100+TableC2!$O$100)</f>
        <v>0</v>
      </c>
      <c r="H73" s="178">
        <f>1000*C105*(TableC2!I71+TableC2!T71)/(TableC2!$D$100+TableC2!$O$100)</f>
        <v>0</v>
      </c>
      <c r="I73" s="178">
        <f>1000*C105*(TableC2!J71+TableC2!U71)/(TableC2!$D$100+TableC2!$O$100)</f>
        <v>0</v>
      </c>
      <c r="J73" s="178">
        <f>1000*C105*(TableC2!K71+TableC2!V71)/(TableC2!$D$100+TableC2!$O$100)</f>
        <v>0</v>
      </c>
      <c r="K73" s="184">
        <f>1000*C105*(TableC2!L71+TableC2!W71)/(TableC2!$D$100+TableC2!$O$100)</f>
        <v>0</v>
      </c>
      <c r="L73" s="178">
        <f>1000*C105*(TableC2!M71+TableC2!X71)/(TableC2!$D$100+TableC2!$O$100)</f>
        <v>0</v>
      </c>
      <c r="M73" s="183">
        <f>1000*C105*(TableC2!N71+TableC2!Y71)/(TableC2!$D$100+TableC2!$O$100)</f>
        <v>0</v>
      </c>
      <c r="N73" s="182">
        <f>1000*C105*TableC3!C71/TableC3!$C$91</f>
        <v>18932.847082657088</v>
      </c>
      <c r="O73" s="181">
        <f>1000*C105*TableC3!D71/TableC3!$C$91</f>
        <v>4356.2355245675244</v>
      </c>
      <c r="P73" s="180">
        <f>1000*C105*TableC3!E71/TableC3!$C$91</f>
        <v>1810.7156204276469</v>
      </c>
      <c r="Q73" s="180">
        <f>1000*C105*TableC3!F71/TableC3!$C$91</f>
        <v>4.3698046027421755</v>
      </c>
      <c r="R73" s="180">
        <f>1000*C105*TableC3!G71/TableC3!$C$91</f>
        <v>25.097531122099351</v>
      </c>
      <c r="S73" s="178">
        <f>1000*C105*TableC3!H71/TableC3!$C$91</f>
        <v>712.52296995898882</v>
      </c>
      <c r="T73" s="178">
        <f>1000*C105*TableC3!I71/TableC3!$C$91</f>
        <v>0</v>
      </c>
      <c r="U73" s="178">
        <f>1000*C105*TableC3!J71/TableC3!$C$91</f>
        <v>1803.5295984560476</v>
      </c>
      <c r="V73" s="184">
        <f>1000*C105*TableC3!K71/TableC3!$C$91</f>
        <v>14576.611558089568</v>
      </c>
      <c r="W73" s="178">
        <f>1000*C105*TableC3!L71/TableC3!$C$91</f>
        <v>0</v>
      </c>
      <c r="X73" s="177">
        <f>1000*C105*TableC3!M71/TableC3!$C$91</f>
        <v>14576.611558089568</v>
      </c>
    </row>
    <row r="74" spans="1:24" ht="14" customHeight="1">
      <c r="B74" s="185" t="s">
        <v>193</v>
      </c>
      <c r="C74" s="196">
        <f>1000*C105*(TableC2!D72+TableC2!O72)/(TableC2!$D$100+TableC2!$O$100)</f>
        <v>0</v>
      </c>
      <c r="D74" s="181">
        <f>1000*C105*(TableC2!E72+TableC2!P72)/(TableC2!$D$100+TableC2!$O$100)</f>
        <v>0</v>
      </c>
      <c r="E74" s="180">
        <f>1000*C105*(TableC2!F72+TableC2!Q72)/(TableC2!$D$100+TableC2!$O$100)</f>
        <v>0</v>
      </c>
      <c r="F74" s="180">
        <f>1000*C105*(TableC2!G72+TableC2!R72)/(TableC2!$D$100+TableC2!$O$100)</f>
        <v>0</v>
      </c>
      <c r="G74" s="180">
        <f>1000*C105*(TableC2!H72+TableC2!S72)/(TableC2!$D$100+TableC2!$O$100)</f>
        <v>0</v>
      </c>
      <c r="H74" s="178">
        <f>1000*C105*(TableC2!I72+TableC2!T72)/(TableC2!$D$100+TableC2!$O$100)</f>
        <v>0</v>
      </c>
      <c r="I74" s="178">
        <f>1000*C105*(TableC2!J72+TableC2!U72)/(TableC2!$D$100+TableC2!$O$100)</f>
        <v>0</v>
      </c>
      <c r="J74" s="178">
        <f>1000*C105*(TableC2!K72+TableC2!V72)/(TableC2!$D$100+TableC2!$O$100)</f>
        <v>0</v>
      </c>
      <c r="K74" s="184">
        <f>1000*C105*(TableC2!L72+TableC2!W72)/(TableC2!$D$100+TableC2!$O$100)</f>
        <v>0</v>
      </c>
      <c r="L74" s="178">
        <f>1000*C105*(TableC2!M72+TableC2!X72)/(TableC2!$D$100+TableC2!$O$100)</f>
        <v>0</v>
      </c>
      <c r="M74" s="183">
        <f>1000*C105*(TableC2!N72+TableC2!Y72)/(TableC2!$D$100+TableC2!$O$100)</f>
        <v>0</v>
      </c>
      <c r="N74" s="182">
        <f>1000*C105*TableC3!C72/TableC3!$C$91</f>
        <v>65.346895139900298</v>
      </c>
      <c r="O74" s="181">
        <f>1000*C105*TableC3!D72/TableC3!$C$91</f>
        <v>2.1728087564563858</v>
      </c>
      <c r="P74" s="180">
        <f>1000*C105*TableC3!E72/TableC3!$C$91</f>
        <v>0</v>
      </c>
      <c r="Q74" s="180">
        <f>1000*C105*TableC3!F72/TableC3!$C$91</f>
        <v>1.9918641544210729</v>
      </c>
      <c r="R74" s="180">
        <f>1000*C105*TableC3!G72/TableC3!$C$91</f>
        <v>0</v>
      </c>
      <c r="S74" s="178">
        <f>1000*C105*TableC3!H72/TableC3!$C$91</f>
        <v>0</v>
      </c>
      <c r="T74" s="178">
        <f>1000*C105*TableC3!I72/TableC3!$C$91</f>
        <v>0.18094460203531326</v>
      </c>
      <c r="U74" s="178">
        <f>1000*C105*TableC3!J72/TableC3!$C$91</f>
        <v>0</v>
      </c>
      <c r="V74" s="184">
        <f>1000*C105*TableC3!K72/TableC3!$C$91</f>
        <v>63.174086383443907</v>
      </c>
      <c r="W74" s="178">
        <f>1000*C105*TableC3!L72/TableC3!$C$91</f>
        <v>0</v>
      </c>
      <c r="X74" s="177">
        <f>1000*C105*TableC3!M72/TableC3!$C$91</f>
        <v>63.174086383443907</v>
      </c>
    </row>
    <row r="75" spans="1:24" ht="14" customHeight="1">
      <c r="B75" s="185" t="s">
        <v>194</v>
      </c>
      <c r="C75" s="196">
        <f>1000*C105*(TableC2!D73+TableC2!O73)/(TableC2!$D$100+TableC2!$O$100)</f>
        <v>0</v>
      </c>
      <c r="D75" s="181">
        <f>1000*C105*(TableC2!E73+TableC2!P73)/(TableC2!$D$100+TableC2!$O$100)</f>
        <v>0</v>
      </c>
      <c r="E75" s="180">
        <f>1000*C105*(TableC2!F73+TableC2!Q73)/(TableC2!$D$100+TableC2!$O$100)</f>
        <v>0</v>
      </c>
      <c r="F75" s="180">
        <f>1000*C105*(TableC2!G73+TableC2!R73)/(TableC2!$D$100+TableC2!$O$100)</f>
        <v>0</v>
      </c>
      <c r="G75" s="180">
        <f>1000*C105*(TableC2!H73+TableC2!S73)/(TableC2!$D$100+TableC2!$O$100)</f>
        <v>0</v>
      </c>
      <c r="H75" s="178">
        <f>1000*C105*(TableC2!I73+TableC2!T73)/(TableC2!$D$100+TableC2!$O$100)</f>
        <v>0</v>
      </c>
      <c r="I75" s="178">
        <f>1000*C105*(TableC2!J73+TableC2!U73)/(TableC2!$D$100+TableC2!$O$100)</f>
        <v>0</v>
      </c>
      <c r="J75" s="178">
        <f>1000*C105*(TableC2!K73+TableC2!V73)/(TableC2!$D$100+TableC2!$O$100)</f>
        <v>0</v>
      </c>
      <c r="K75" s="184">
        <f>1000*C105*(TableC2!L73+TableC2!W73)/(TableC2!$D$100+TableC2!$O$100)</f>
        <v>0</v>
      </c>
      <c r="L75" s="178">
        <f>1000*C105*(TableC2!M73+TableC2!X73)/(TableC2!$D$100+TableC2!$O$100)</f>
        <v>0</v>
      </c>
      <c r="M75" s="183">
        <f>1000*C105*(TableC2!N73+TableC2!Y73)/(TableC2!$D$100+TableC2!$O$100)</f>
        <v>0</v>
      </c>
      <c r="N75" s="182">
        <f>1000*C105*TableC3!C73/TableC3!$C$91</f>
        <v>91.88007585235971</v>
      </c>
      <c r="O75" s="181">
        <f>1000*C105*TableC3!D73/TableC3!$C$91</f>
        <v>49.468956564972473</v>
      </c>
      <c r="P75" s="180">
        <f>1000*C105*TableC3!E73/TableC3!$C$91</f>
        <v>40.12381204356732</v>
      </c>
      <c r="Q75" s="180">
        <f>1000*C105*TableC3!F73/TableC3!$C$91</f>
        <v>9.3451445214051478</v>
      </c>
      <c r="R75" s="180">
        <f>1000*C105*TableC3!G73/TableC3!$C$91</f>
        <v>0</v>
      </c>
      <c r="S75" s="178">
        <f>1000*C105*TableC3!H73/TableC3!$C$91</f>
        <v>0</v>
      </c>
      <c r="T75" s="178">
        <f>1000*C105*TableC3!I73/TableC3!$C$91</f>
        <v>0</v>
      </c>
      <c r="U75" s="178">
        <f>1000*C105*TableC3!J73/TableC3!$C$91</f>
        <v>0</v>
      </c>
      <c r="V75" s="184">
        <f>1000*C105*TableC3!K73/TableC3!$C$91</f>
        <v>42.411119287387244</v>
      </c>
      <c r="W75" s="178">
        <f>1000*C105*TableC3!L73/TableC3!$C$91</f>
        <v>0</v>
      </c>
      <c r="X75" s="177">
        <f>1000*C105*TableC3!M73/TableC3!$C$91</f>
        <v>42.411119287387244</v>
      </c>
    </row>
    <row r="76" spans="1:24" ht="14" customHeight="1">
      <c r="B76" s="185" t="s">
        <v>195</v>
      </c>
      <c r="C76" s="196">
        <f>1000*C105*(TableC2!D74+TableC2!O74)/(TableC2!$D$100+TableC2!$O$100)</f>
        <v>0</v>
      </c>
      <c r="D76" s="181">
        <f>1000*C105*(TableC2!E74+TableC2!P74)/(TableC2!$D$100+TableC2!$O$100)</f>
        <v>0</v>
      </c>
      <c r="E76" s="180">
        <f>1000*C105*(TableC2!F74+TableC2!Q74)/(TableC2!$D$100+TableC2!$O$100)</f>
        <v>0</v>
      </c>
      <c r="F76" s="180">
        <f>1000*C105*(TableC2!G74+TableC2!R74)/(TableC2!$D$100+TableC2!$O$100)</f>
        <v>0</v>
      </c>
      <c r="G76" s="180">
        <f>1000*C105*(TableC2!H74+TableC2!S74)/(TableC2!$D$100+TableC2!$O$100)</f>
        <v>0</v>
      </c>
      <c r="H76" s="178">
        <f>1000*C105*(TableC2!I74+TableC2!T74)/(TableC2!$D$100+TableC2!$O$100)</f>
        <v>0</v>
      </c>
      <c r="I76" s="178">
        <f>1000*C105*(TableC2!J74+TableC2!U74)/(TableC2!$D$100+TableC2!$O$100)</f>
        <v>0</v>
      </c>
      <c r="J76" s="178">
        <f>1000*C105*(TableC2!K74+TableC2!V74)/(TableC2!$D$100+TableC2!$O$100)</f>
        <v>0</v>
      </c>
      <c r="K76" s="184">
        <f>1000*C105*(TableC2!L74+TableC2!W74)/(TableC2!$D$100+TableC2!$O$100)</f>
        <v>0</v>
      </c>
      <c r="L76" s="178">
        <f>1000*C105*(TableC2!M74+TableC2!X74)/(TableC2!$D$100+TableC2!$O$100)</f>
        <v>0</v>
      </c>
      <c r="M76" s="183">
        <f>1000*C105*(TableC2!N74+TableC2!Y74)/(TableC2!$D$100+TableC2!$O$100)</f>
        <v>0</v>
      </c>
      <c r="N76" s="182">
        <f>1000*C105*TableC3!C74/TableC3!$C$91</f>
        <v>410.47222817864053</v>
      </c>
      <c r="O76" s="181">
        <f>1000*C105*TableC3!D74/TableC3!$C$91</f>
        <v>254.62279767169517</v>
      </c>
      <c r="P76" s="180">
        <f>1000*C105*TableC3!E74/TableC3!$C$91</f>
        <v>0</v>
      </c>
      <c r="Q76" s="180">
        <f>1000*C105*TableC3!F74/TableC3!$C$91</f>
        <v>0</v>
      </c>
      <c r="R76" s="180">
        <f>1000*C105*TableC3!G74/TableC3!$C$91</f>
        <v>0</v>
      </c>
      <c r="S76" s="178">
        <f>1000*C105*TableC3!H74/TableC3!$C$91</f>
        <v>254.62279767169517</v>
      </c>
      <c r="T76" s="178">
        <f>1000*C105*TableC3!I74/TableC3!$C$91</f>
        <v>0</v>
      </c>
      <c r="U76" s="178">
        <f>1000*C105*TableC3!J74/TableC3!$C$91</f>
        <v>0</v>
      </c>
      <c r="V76" s="184">
        <f>1000*C105*TableC3!K74/TableC3!$C$91</f>
        <v>155.84943050694537</v>
      </c>
      <c r="W76" s="178">
        <f>1000*C105*TableC3!L74/TableC3!$C$91</f>
        <v>0</v>
      </c>
      <c r="X76" s="177">
        <f>1000*C105*TableC3!M74/TableC3!$C$91</f>
        <v>155.84943050694537</v>
      </c>
    </row>
    <row r="77" spans="1:24" ht="14" customHeight="1">
      <c r="A77" s="219" t="s">
        <v>196</v>
      </c>
      <c r="B77" s="185" t="s">
        <v>197</v>
      </c>
      <c r="C77" s="196">
        <f>1000*C105*(TableC2!D75+TableC2!O75)/(TableC2!$D$100+TableC2!$O$100)</f>
        <v>0</v>
      </c>
      <c r="D77" s="181">
        <f>1000*C105*(TableC2!E75+TableC2!P75)/(TableC2!$D$100+TableC2!$O$100)</f>
        <v>0</v>
      </c>
      <c r="E77" s="180">
        <f>1000*C105*(TableC2!F75+TableC2!Q75)/(TableC2!$D$100+TableC2!$O$100)</f>
        <v>0</v>
      </c>
      <c r="F77" s="180">
        <f>1000*C105*(TableC2!G75+TableC2!R75)/(TableC2!$D$100+TableC2!$O$100)</f>
        <v>0</v>
      </c>
      <c r="G77" s="180">
        <f>1000*C105*(TableC2!H75+TableC2!S75)/(TableC2!$D$100+TableC2!$O$100)</f>
        <v>0</v>
      </c>
      <c r="H77" s="178">
        <f>1000*C105*(TableC2!I75+TableC2!T75)/(TableC2!$D$100+TableC2!$O$100)</f>
        <v>0</v>
      </c>
      <c r="I77" s="178">
        <f>1000*C105*(TableC2!J75+TableC2!U75)/(TableC2!$D$100+TableC2!$O$100)</f>
        <v>0</v>
      </c>
      <c r="J77" s="178">
        <f>1000*C105*(TableC2!K75+TableC2!V75)/(TableC2!$D$100+TableC2!$O$100)</f>
        <v>0</v>
      </c>
      <c r="K77" s="184">
        <f>1000*C105*(TableC2!L75+TableC2!W75)/(TableC2!$D$100+TableC2!$O$100)</f>
        <v>0</v>
      </c>
      <c r="L77" s="178">
        <f>1000*C105*(TableC2!M75+TableC2!X75)/(TableC2!$D$100+TableC2!$O$100)</f>
        <v>0</v>
      </c>
      <c r="M77" s="183">
        <f>1000*C105*(TableC2!N75+TableC2!Y75)/(TableC2!$D$100+TableC2!$O$100)</f>
        <v>0</v>
      </c>
      <c r="N77" s="182">
        <f>1000*C105*TableC3!C75/TableC3!$C$91</f>
        <v>1131.0886859743728</v>
      </c>
      <c r="O77" s="181">
        <f>1000*C105*TableC3!D75/TableC3!$C$91</f>
        <v>0.1898158255782498</v>
      </c>
      <c r="P77" s="180">
        <f>1000*C105*TableC3!E75/TableC3!$C$91</f>
        <v>0</v>
      </c>
      <c r="Q77" s="180">
        <f>1000*C105*TableC3!F75/TableC3!$C$91</f>
        <v>0.1898158255782498</v>
      </c>
      <c r="R77" s="180">
        <f>1000*C105*TableC3!G75/TableC3!$C$91</f>
        <v>0</v>
      </c>
      <c r="S77" s="178">
        <f>1000*C105*TableC3!H75/TableC3!$C$91</f>
        <v>0</v>
      </c>
      <c r="T77" s="178">
        <f>1000*C105*TableC3!I75/TableC3!$C$91</f>
        <v>0</v>
      </c>
      <c r="U77" s="178">
        <f>1000*C105*TableC3!J75/TableC3!$C$91</f>
        <v>0</v>
      </c>
      <c r="V77" s="184">
        <f>1000*C105*TableC3!K75/TableC3!$C$91</f>
        <v>1130.8988701487947</v>
      </c>
      <c r="W77" s="178">
        <f>1000*C105*TableC3!L75/TableC3!$C$91</f>
        <v>0</v>
      </c>
      <c r="X77" s="177">
        <f>1000*C105*TableC3!M75/TableC3!$C$91</f>
        <v>1130.8988701487947</v>
      </c>
    </row>
    <row r="78" spans="1:24" ht="14" customHeight="1">
      <c r="B78" s="185" t="s">
        <v>87</v>
      </c>
      <c r="C78" s="196">
        <f>1000*C105*(TableC2!D76+TableC2!O76)/(TableC2!$D$100+TableC2!$O$100)</f>
        <v>0</v>
      </c>
      <c r="D78" s="181">
        <f>1000*C105*(TableC2!E76+TableC2!P76)/(TableC2!$D$100+TableC2!$O$100)</f>
        <v>0</v>
      </c>
      <c r="E78" s="180">
        <f>1000*C105*(TableC2!F76+TableC2!Q76)/(TableC2!$D$100+TableC2!$O$100)</f>
        <v>0</v>
      </c>
      <c r="F78" s="180">
        <f>1000*C105*(TableC2!G76+TableC2!R76)/(TableC2!$D$100+TableC2!$O$100)</f>
        <v>0</v>
      </c>
      <c r="G78" s="180">
        <f>1000*C105*(TableC2!H76+TableC2!S76)/(TableC2!$D$100+TableC2!$O$100)</f>
        <v>0</v>
      </c>
      <c r="H78" s="178">
        <f>1000*C105*(TableC2!I76+TableC2!T76)/(TableC2!$D$100+TableC2!$O$100)</f>
        <v>0</v>
      </c>
      <c r="I78" s="178">
        <f>1000*C105*(TableC2!J76+TableC2!U76)/(TableC2!$D$100+TableC2!$O$100)</f>
        <v>0</v>
      </c>
      <c r="J78" s="178">
        <f>1000*C105*(TableC2!K76+TableC2!V76)/(TableC2!$D$100+TableC2!$O$100)</f>
        <v>0</v>
      </c>
      <c r="K78" s="184">
        <f>1000*C105*(TableC2!L76+TableC2!W76)/(TableC2!$D$100+TableC2!$O$100)</f>
        <v>0</v>
      </c>
      <c r="L78" s="178">
        <f>1000*C105*(TableC2!M76+TableC2!X76)/(TableC2!$D$100+TableC2!$O$100)</f>
        <v>115.8706060051074</v>
      </c>
      <c r="M78" s="187">
        <f>1000*C105*(TableC2!N76+TableC2!Y76)/(TableC2!$D$100+TableC2!$O$100)</f>
        <v>0</v>
      </c>
      <c r="N78" s="182">
        <f>1000*C105*TableC3!C76/TableC3!$C$91</f>
        <v>892.51175206162191</v>
      </c>
      <c r="O78" s="181">
        <f>1000*C105*TableC3!D76/TableC3!$C$91</f>
        <v>889.53513572259976</v>
      </c>
      <c r="P78" s="180">
        <f>1000*C105*TableC3!E76/TableC3!$C$91</f>
        <v>176.06679422497788</v>
      </c>
      <c r="Q78" s="180">
        <f>1000*C105*TableC3!F76/TableC3!$C$91</f>
        <v>2.5793726245934623E-2</v>
      </c>
      <c r="R78" s="180">
        <f>1000*C105*TableC3!G76/TableC3!$C$91</f>
        <v>90.498534519011585</v>
      </c>
      <c r="S78" s="178">
        <f>1000*C105*TableC3!H76/TableC3!$C$91</f>
        <v>137.57643801143806</v>
      </c>
      <c r="T78" s="178">
        <f>1000*C105*TableC3!I76/TableC3!$C$91</f>
        <v>485.36757524092616</v>
      </c>
      <c r="U78" s="178">
        <f>1000*C105*TableC3!J76/TableC3!$C$91</f>
        <v>0</v>
      </c>
      <c r="V78" s="184">
        <f>1000*C105*TableC3!K76/TableC3!$C$91</f>
        <v>2.9766163390222147</v>
      </c>
      <c r="W78" s="178">
        <f>1000*C105*TableC3!L76/TableC3!$C$91</f>
        <v>0</v>
      </c>
      <c r="X78" s="186">
        <f>1000*C105*TableC3!M76/TableC3!$C$91</f>
        <v>2.9766163390222147</v>
      </c>
    </row>
    <row r="79" spans="1:24" ht="14" customHeight="1">
      <c r="A79" s="219" t="s">
        <v>198</v>
      </c>
      <c r="B79" s="185" t="s">
        <v>134</v>
      </c>
      <c r="C79" s="196">
        <f>1000*C105*(TableC2!D77+TableC2!O77)/(TableC2!$D$100+TableC2!$O$100)</f>
        <v>0</v>
      </c>
      <c r="D79" s="181">
        <f>1000*C105*(TableC2!E77+TableC2!P77)/(TableC2!$D$100+TableC2!$O$100)</f>
        <v>0</v>
      </c>
      <c r="E79" s="180">
        <f>1000*C105*(TableC2!F77+TableC2!Q77)/(TableC2!$D$100+TableC2!$O$100)</f>
        <v>0</v>
      </c>
      <c r="F79" s="180">
        <f>1000*C105*(TableC2!G77+TableC2!R77)/(TableC2!$D$100+TableC2!$O$100)</f>
        <v>0</v>
      </c>
      <c r="G79" s="180">
        <f>1000*C105*(TableC2!H77+TableC2!S77)/(TableC2!$D$100+TableC2!$O$100)</f>
        <v>0</v>
      </c>
      <c r="H79" s="178">
        <f>1000*C105*(TableC2!I77+TableC2!T77)/(TableC2!$D$100+TableC2!$O$100)</f>
        <v>0</v>
      </c>
      <c r="I79" s="178">
        <f>1000*C105*(TableC2!J77+TableC2!U77)/(TableC2!$D$100+TableC2!$O$100)</f>
        <v>0</v>
      </c>
      <c r="J79" s="178">
        <f>1000*C105*(TableC2!K77+TableC2!V77)/(TableC2!$D$100+TableC2!$O$100)</f>
        <v>0</v>
      </c>
      <c r="K79" s="184">
        <f>1000*C105*(TableC2!L77+TableC2!W77)/(TableC2!$D$100+TableC2!$O$100)</f>
        <v>0</v>
      </c>
      <c r="L79" s="178">
        <f>1000*C105*(TableC2!M77+TableC2!X77)/(TableC2!$D$100+TableC2!$O$100)</f>
        <v>0</v>
      </c>
      <c r="M79" s="183">
        <f>1000*C105*(TableC2!N77+TableC2!Y77)/(TableC2!$D$100+TableC2!$O$100)</f>
        <v>0</v>
      </c>
      <c r="N79" s="182">
        <f>1000*C105*TableC3!C77/TableC3!$C$91</f>
        <v>454.07551694749787</v>
      </c>
      <c r="O79" s="181">
        <f>1000*C105*TableC3!D77/TableC3!$C$91</f>
        <v>136.7131024874196</v>
      </c>
      <c r="P79" s="180">
        <f>1000*C105*TableC3!E77/TableC3!$C$91</f>
        <v>136.83248722549928</v>
      </c>
      <c r="Q79" s="180">
        <f>1000*C105*TableC3!F77/TableC3!$C$91</f>
        <v>-0.11938473807966239</v>
      </c>
      <c r="R79" s="180">
        <f>1000*C105*TableC3!G77/TableC3!$C$91</f>
        <v>0</v>
      </c>
      <c r="S79" s="178">
        <f>1000*C105*TableC3!H77/TableC3!$C$91</f>
        <v>0</v>
      </c>
      <c r="T79" s="178">
        <f>1000*C105*TableC3!I77/TableC3!$C$91</f>
        <v>0</v>
      </c>
      <c r="U79" s="178">
        <f>1000*C105*TableC3!J77/TableC3!$C$91</f>
        <v>0</v>
      </c>
      <c r="V79" s="184">
        <f>1000*C105*TableC3!K77/TableC3!$C$91</f>
        <v>317.36241446007824</v>
      </c>
      <c r="W79" s="178">
        <f>1000*C105*TableC3!L77/TableC3!$C$91</f>
        <v>0</v>
      </c>
      <c r="X79" s="177">
        <f>1000*C105*TableC3!M77/TableC3!$C$91</f>
        <v>317.36241446007824</v>
      </c>
    </row>
    <row r="80" spans="1:24" ht="14" customHeight="1">
      <c r="B80" s="185" t="s">
        <v>199</v>
      </c>
      <c r="C80" s="196">
        <f>1000*C105*(TableC2!D78+TableC2!O78)/(TableC2!$D$100+TableC2!$O$100)</f>
        <v>0</v>
      </c>
      <c r="D80" s="181">
        <f>1000*C105*(TableC2!E78+TableC2!P78)/(TableC2!$D$100+TableC2!$O$100)</f>
        <v>0</v>
      </c>
      <c r="E80" s="180">
        <f>1000*C105*(TableC2!F78+TableC2!Q78)/(TableC2!$D$100+TableC2!$O$100)</f>
        <v>0</v>
      </c>
      <c r="F80" s="180">
        <f>1000*C105*(TableC2!G78+TableC2!R78)/(TableC2!$D$100+TableC2!$O$100)</f>
        <v>0</v>
      </c>
      <c r="G80" s="180">
        <f>1000*C105*(TableC2!H78+TableC2!S78)/(TableC2!$D$100+TableC2!$O$100)</f>
        <v>0</v>
      </c>
      <c r="H80" s="178">
        <f>1000*C105*(TableC2!I78+TableC2!T78)/(TableC2!$D$100+TableC2!$O$100)</f>
        <v>0</v>
      </c>
      <c r="I80" s="178">
        <f>1000*C105*(TableC2!J78+TableC2!U78)/(TableC2!$D$100+TableC2!$O$100)</f>
        <v>0</v>
      </c>
      <c r="J80" s="178">
        <f>1000*C105*(TableC2!K78+TableC2!V78)/(TableC2!$D$100+TableC2!$O$100)</f>
        <v>0</v>
      </c>
      <c r="K80" s="184">
        <f>1000*C105*(TableC2!L78+TableC2!W78)/(TableC2!$D$100+TableC2!$O$100)</f>
        <v>0</v>
      </c>
      <c r="L80" s="178">
        <f>1000*C105*(TableC2!M78+TableC2!X78)/(TableC2!$D$100+TableC2!$O$100)</f>
        <v>0</v>
      </c>
      <c r="M80" s="183">
        <f>1000*C105*(TableC2!N78+TableC2!Y78)/(TableC2!$D$100+TableC2!$O$100)</f>
        <v>0</v>
      </c>
      <c r="N80" s="182">
        <f>1000*C105*TableC3!C78/TableC3!$C$91</f>
        <v>0.93263559709938493</v>
      </c>
      <c r="O80" s="181">
        <f>1000*C105*TableC3!D78/TableC3!$C$91</f>
        <v>0</v>
      </c>
      <c r="P80" s="180">
        <f>1000*C105*TableC3!E78/TableC3!$C$91</f>
        <v>0</v>
      </c>
      <c r="Q80" s="180">
        <f>1000*C105*TableC3!F78/TableC3!$C$91</f>
        <v>0</v>
      </c>
      <c r="R80" s="180">
        <f>1000*C105*TableC3!G78/TableC3!$C$91</f>
        <v>0</v>
      </c>
      <c r="S80" s="178">
        <f>1000*C105*TableC3!H78/TableC3!$C$91</f>
        <v>0</v>
      </c>
      <c r="T80" s="178">
        <f>1000*C105*TableC3!I78/TableC3!$C$91</f>
        <v>0</v>
      </c>
      <c r="U80" s="178">
        <f>1000*C105*TableC3!J78/TableC3!$C$91</f>
        <v>0</v>
      </c>
      <c r="V80" s="184">
        <f>1000*C105*TableC3!K78/TableC3!$C$91</f>
        <v>0.93263559709938493</v>
      </c>
      <c r="W80" s="178">
        <f>1000*C105*TableC3!L78/TableC3!$C$91</f>
        <v>0</v>
      </c>
      <c r="X80" s="177">
        <f>1000*C105*TableC3!M78/TableC3!$C$91</f>
        <v>0.93263559709938493</v>
      </c>
    </row>
    <row r="81" spans="1:24" ht="14" customHeight="1">
      <c r="B81" s="185" t="s">
        <v>200</v>
      </c>
      <c r="C81" s="196">
        <f>1000*C105*(TableC2!D79+TableC2!O79)/(TableC2!$D$100+TableC2!$O$100)</f>
        <v>0</v>
      </c>
      <c r="D81" s="181">
        <f>1000*C105*(TableC2!E79+TableC2!P79)/(TableC2!$D$100+TableC2!$O$100)</f>
        <v>0</v>
      </c>
      <c r="E81" s="180">
        <f>1000*C105*(TableC2!F79+TableC2!Q79)/(TableC2!$D$100+TableC2!$O$100)</f>
        <v>0</v>
      </c>
      <c r="F81" s="180">
        <f>1000*C105*(TableC2!G79+TableC2!R79)/(TableC2!$D$100+TableC2!$O$100)</f>
        <v>0</v>
      </c>
      <c r="G81" s="180">
        <f>1000*C105*(TableC2!H79+TableC2!S79)/(TableC2!$D$100+TableC2!$O$100)</f>
        <v>0</v>
      </c>
      <c r="H81" s="178">
        <f>1000*C105*(TableC2!I79+TableC2!T79)/(TableC2!$D$100+TableC2!$O$100)</f>
        <v>0</v>
      </c>
      <c r="I81" s="178">
        <f>1000*C105*(TableC2!J79+TableC2!U79)/(TableC2!$D$100+TableC2!$O$100)</f>
        <v>0</v>
      </c>
      <c r="J81" s="178">
        <f>1000*C105*(TableC2!K79+TableC2!V79)/(TableC2!$D$100+TableC2!$O$100)</f>
        <v>0</v>
      </c>
      <c r="K81" s="184">
        <f>1000*C105*(TableC2!L79+TableC2!W79)/(TableC2!$D$100+TableC2!$O$100)</f>
        <v>0</v>
      </c>
      <c r="L81" s="178">
        <f>1000*C105*(TableC2!M79+TableC2!X79)/(TableC2!$D$100+TableC2!$O$100)</f>
        <v>0</v>
      </c>
      <c r="M81" s="183">
        <f>1000*C105*(TableC2!N79+TableC2!Y79)/(TableC2!$D$100+TableC2!$O$100)</f>
        <v>0</v>
      </c>
      <c r="N81" s="182">
        <f>1000*C105*TableC3!C79/TableC3!$C$91</f>
        <v>13.471828107493872</v>
      </c>
      <c r="O81" s="181">
        <f>1000*C105*TableC3!D79/TableC3!$C$91</f>
        <v>0</v>
      </c>
      <c r="P81" s="180">
        <f>1000*C105*TableC3!E79/TableC3!$C$91</f>
        <v>0</v>
      </c>
      <c r="Q81" s="180">
        <f>1000*C105*TableC3!F79/TableC3!$C$91</f>
        <v>0</v>
      </c>
      <c r="R81" s="180">
        <f>1000*C105*TableC3!G79/TableC3!$C$91</f>
        <v>0</v>
      </c>
      <c r="S81" s="178">
        <f>1000*C105*TableC3!H79/TableC3!$C$91</f>
        <v>0</v>
      </c>
      <c r="T81" s="178">
        <f>1000*C105*TableC3!I79/TableC3!$C$91</f>
        <v>0</v>
      </c>
      <c r="U81" s="178">
        <f>1000*C105*TableC3!J79/TableC3!$C$91</f>
        <v>0</v>
      </c>
      <c r="V81" s="184">
        <f>1000*C105*TableC3!K79/TableC3!$C$91</f>
        <v>13.471828107493872</v>
      </c>
      <c r="W81" s="178">
        <f>1000*C105*TableC3!L79/TableC3!$C$91</f>
        <v>0</v>
      </c>
      <c r="X81" s="177">
        <f>1000*C105*TableC3!M79/TableC3!$C$91</f>
        <v>13.471828107493872</v>
      </c>
    </row>
    <row r="82" spans="1:24" ht="14" customHeight="1">
      <c r="B82" s="185" t="s">
        <v>201</v>
      </c>
      <c r="C82" s="196">
        <f>1000*C105*(TableC2!D80+TableC2!O80)/(TableC2!$D$100+TableC2!$O$100)</f>
        <v>0</v>
      </c>
      <c r="D82" s="181">
        <f>1000*C105*(TableC2!E80+TableC2!P80)/(TableC2!$D$100+TableC2!$O$100)</f>
        <v>0</v>
      </c>
      <c r="E82" s="180">
        <f>1000*C105*(TableC2!F80+TableC2!Q80)/(TableC2!$D$100+TableC2!$O$100)</f>
        <v>0</v>
      </c>
      <c r="F82" s="180">
        <f>1000*C105*(TableC2!G80+TableC2!R80)/(TableC2!$D$100+TableC2!$O$100)</f>
        <v>0</v>
      </c>
      <c r="G82" s="180">
        <f>1000*C105*(TableC2!H80+TableC2!S80)/(TableC2!$D$100+TableC2!$O$100)</f>
        <v>0</v>
      </c>
      <c r="H82" s="178">
        <f>1000*C105*(TableC2!I80+TableC2!T80)/(TableC2!$D$100+TableC2!$O$100)</f>
        <v>0</v>
      </c>
      <c r="I82" s="178">
        <f>1000*C105*(TableC2!J80+TableC2!U80)/(TableC2!$D$100+TableC2!$O$100)</f>
        <v>0</v>
      </c>
      <c r="J82" s="178">
        <f>1000*C105*(TableC2!K80+TableC2!V80)/(TableC2!$D$100+TableC2!$O$100)</f>
        <v>0</v>
      </c>
      <c r="K82" s="184">
        <f>1000*C105*(TableC2!L80+TableC2!W80)/(TableC2!$D$100+TableC2!$O$100)</f>
        <v>0</v>
      </c>
      <c r="L82" s="178">
        <f>1000*C105*(TableC2!M80+TableC2!X80)/(TableC2!$D$100+TableC2!$O$100)</f>
        <v>0</v>
      </c>
      <c r="M82" s="183">
        <f>1000*C105*(TableC2!N80+TableC2!Y80)/(TableC2!$D$100+TableC2!$O$100)</f>
        <v>0</v>
      </c>
      <c r="N82" s="182">
        <f>1000*C105*TableC3!C80/TableC3!$C$91</f>
        <v>1336.7634192206665</v>
      </c>
      <c r="O82" s="181">
        <f>1000*C105*TableC3!D80/TableC3!$C$91</f>
        <v>2.5707000842553929</v>
      </c>
      <c r="P82" s="180">
        <f>1000*C105*TableC3!E80/TableC3!$C$91</f>
        <v>-0.33950917883018789</v>
      </c>
      <c r="Q82" s="180">
        <f>1000*C105*TableC3!F80/TableC3!$C$91</f>
        <v>2.9102092630855809</v>
      </c>
      <c r="R82" s="180">
        <f>1000*C105*TableC3!G80/TableC3!$C$91</f>
        <v>0</v>
      </c>
      <c r="S82" s="178">
        <f>1000*C105*TableC3!H80/TableC3!$C$91</f>
        <v>0</v>
      </c>
      <c r="T82" s="178">
        <f>1000*C105*TableC3!I80/TableC3!$C$91</f>
        <v>0</v>
      </c>
      <c r="U82" s="178">
        <f>1000*C105*TableC3!J80/TableC3!$C$91</f>
        <v>0</v>
      </c>
      <c r="V82" s="184">
        <f>1000*C105*TableC3!K80/TableC3!$C$91</f>
        <v>1334.1927191364111</v>
      </c>
      <c r="W82" s="178">
        <f>1000*C105*TableC3!L80/TableC3!$C$91</f>
        <v>0</v>
      </c>
      <c r="X82" s="177">
        <f>1000*C105*TableC3!M80/TableC3!$C$91</f>
        <v>1334.1927191364111</v>
      </c>
    </row>
    <row r="83" spans="1:24" ht="14" customHeight="1">
      <c r="B83" s="185" t="s">
        <v>202</v>
      </c>
      <c r="C83" s="196">
        <f>1000*C105*(TableC2!D81+TableC2!O81)/(TableC2!$D$100+TableC2!$O$100)</f>
        <v>0</v>
      </c>
      <c r="D83" s="181">
        <f>1000*C105*(TableC2!E81+TableC2!P81)/(TableC2!$D$100+TableC2!$O$100)</f>
        <v>0</v>
      </c>
      <c r="E83" s="180">
        <f>1000*C105*(TableC2!F81+TableC2!Q81)/(TableC2!$D$100+TableC2!$O$100)</f>
        <v>0</v>
      </c>
      <c r="F83" s="180">
        <f>1000*C105*(TableC2!G81+TableC2!R81)/(TableC2!$D$100+TableC2!$O$100)</f>
        <v>0</v>
      </c>
      <c r="G83" s="180">
        <f>1000*C105*(TableC2!H81+TableC2!S81)/(TableC2!$D$100+TableC2!$O$100)</f>
        <v>0</v>
      </c>
      <c r="H83" s="178">
        <f>1000*C105*(TableC2!I81+TableC2!T81)/(TableC2!$D$100+TableC2!$O$100)</f>
        <v>0</v>
      </c>
      <c r="I83" s="178">
        <f>1000*C105*(TableC2!J81+TableC2!U81)/(TableC2!$D$100+TableC2!$O$100)</f>
        <v>0</v>
      </c>
      <c r="J83" s="178">
        <f>1000*C105*(TableC2!K81+TableC2!V81)/(TableC2!$D$100+TableC2!$O$100)</f>
        <v>0</v>
      </c>
      <c r="K83" s="184">
        <f>1000*C105*(TableC2!L81+TableC2!W81)/(TableC2!$D$100+TableC2!$O$100)</f>
        <v>0</v>
      </c>
      <c r="L83" s="178">
        <f>1000*C105*(TableC2!M81+TableC2!X81)/(TableC2!$D$100+TableC2!$O$100)</f>
        <v>0</v>
      </c>
      <c r="M83" s="183">
        <f>1000*C105*(TableC2!N81+TableC2!Y81)/(TableC2!$D$100+TableC2!$O$100)</f>
        <v>0</v>
      </c>
      <c r="N83" s="182">
        <f>1000*C105*TableC3!C81/TableC3!$C$91</f>
        <v>63.333428334667005</v>
      </c>
      <c r="O83" s="181">
        <f>1000*C105*TableC3!D81/TableC3!$C$91</f>
        <v>0.11981515066190716</v>
      </c>
      <c r="P83" s="180">
        <f>1000*C105*TableC3!E81/TableC3!$C$91</f>
        <v>0</v>
      </c>
      <c r="Q83" s="180">
        <f>1000*C105*TableC3!F81/TableC3!$C$91</f>
        <v>0.11981515066190716</v>
      </c>
      <c r="R83" s="180">
        <f>1000*C105*TableC3!G81/TableC3!$C$91</f>
        <v>0</v>
      </c>
      <c r="S83" s="178">
        <f>1000*C105*TableC3!H81/TableC3!$C$91</f>
        <v>0</v>
      </c>
      <c r="T83" s="178">
        <f>1000*C105*TableC3!I81/TableC3!$C$91</f>
        <v>0</v>
      </c>
      <c r="U83" s="178">
        <f>1000*C105*TableC3!J81/TableC3!$C$91</f>
        <v>0</v>
      </c>
      <c r="V83" s="184">
        <f>1000*C105*TableC3!K81/TableC3!$C$91</f>
        <v>63.213613184005091</v>
      </c>
      <c r="W83" s="178">
        <f>1000*C105*TableC3!L81/TableC3!$C$91</f>
        <v>0</v>
      </c>
      <c r="X83" s="177">
        <f>1000*C105*TableC3!M81/TableC3!$C$91</f>
        <v>63.213613184005091</v>
      </c>
    </row>
    <row r="84" spans="1:24">
      <c r="B84" s="185" t="s">
        <v>22</v>
      </c>
      <c r="C84" s="196">
        <f>1000*C105*(TableC2!D82+TableC2!O82)/(TableC2!$D$100+TableC2!$O$100)</f>
        <v>0</v>
      </c>
      <c r="D84" s="181">
        <f>1000*C105*(TableC2!E82+TableC2!P82)/(TableC2!$D$100+TableC2!$O$100)</f>
        <v>0</v>
      </c>
      <c r="E84" s="180">
        <f>1000*C105*(TableC2!F82+TableC2!Q82)/(TableC2!$D$100+TableC2!$O$100)</f>
        <v>0</v>
      </c>
      <c r="F84" s="180">
        <f>1000*C105*(TableC2!G82+TableC2!R82)/(TableC2!$D$100+TableC2!$O$100)</f>
        <v>0</v>
      </c>
      <c r="G84" s="180">
        <f>1000*C105*(TableC2!H82+TableC2!S82)/(TableC2!$D$100+TableC2!$O$100)</f>
        <v>0</v>
      </c>
      <c r="H84" s="178">
        <f>1000*C105*(TableC2!I82+TableC2!T82)/(TableC2!$D$100+TableC2!$O$100)</f>
        <v>0</v>
      </c>
      <c r="I84" s="178">
        <f>1000*C105*(TableC2!J82+TableC2!U82)/(TableC2!$D$100+TableC2!$O$100)</f>
        <v>0</v>
      </c>
      <c r="J84" s="178">
        <f>1000*C105*(TableC2!K82+TableC2!V82)/(TableC2!$D$100+TableC2!$O$100)</f>
        <v>0</v>
      </c>
      <c r="K84" s="184">
        <f>1000*C105*(TableC2!L82+TableC2!W82)/(TableC2!$D$100+TableC2!$O$100)</f>
        <v>0</v>
      </c>
      <c r="L84" s="178">
        <f>1000*C105*(TableC2!M82+TableC2!X82)/(TableC2!$D$100+TableC2!$O$100)</f>
        <v>1044.4206986307629</v>
      </c>
      <c r="M84" s="183">
        <f>1000*C105*(TableC2!N82+TableC2!Y82)/(TableC2!$D$100+TableC2!$O$100)</f>
        <v>0</v>
      </c>
      <c r="N84" s="182">
        <f>1000*C105*TableC3!C82/TableC3!$C$91</f>
        <v>12849.902363086072</v>
      </c>
      <c r="O84" s="181">
        <f>1000*C105*TableC3!D82/TableC3!$C$91</f>
        <v>1279.3255174455028</v>
      </c>
      <c r="P84" s="180">
        <f>1000*C105*TableC3!E82/TableC3!$C$91</f>
        <v>-154.83676186043306</v>
      </c>
      <c r="Q84" s="180">
        <f>1000*C105*TableC3!F82/TableC3!$C$91</f>
        <v>0.75072523877566133</v>
      </c>
      <c r="R84" s="180">
        <f>1000*C105*TableC3!G82/TableC3!$C$91</f>
        <v>0</v>
      </c>
      <c r="S84" s="178">
        <f>1000*C105*TableC3!H82/TableC3!$C$91</f>
        <v>465.62395689656944</v>
      </c>
      <c r="T84" s="178">
        <f>1000*C105*TableC3!I82/TableC3!$C$91</f>
        <v>0</v>
      </c>
      <c r="U84" s="178">
        <f>1000*C105*TableC3!J82/TableC3!$C$91</f>
        <v>967.78759717059097</v>
      </c>
      <c r="V84" s="184">
        <f>1000*C105*TableC3!K82/TableC3!$C$91</f>
        <v>11570.576845640569</v>
      </c>
      <c r="W84" s="178">
        <f>1000*C105*TableC3!L82/TableC3!$C$91</f>
        <v>0</v>
      </c>
      <c r="X84" s="177">
        <f>1000*C105*TableC3!M82/TableC3!$C$91</f>
        <v>11570.576845640569</v>
      </c>
    </row>
    <row r="85" spans="1:24">
      <c r="B85" s="185" t="s">
        <v>524</v>
      </c>
      <c r="C85" s="196">
        <f>1000*C105*(TableC2!D83+TableC2!O83)/(TableC2!$D$100+TableC2!$O$100)</f>
        <v>0</v>
      </c>
      <c r="D85" s="181">
        <f>1000*C105*(TableC2!E83+TableC2!P83)/(TableC2!$D$100+TableC2!$O$100)</f>
        <v>0</v>
      </c>
      <c r="E85" s="180">
        <f>1000*C105*(TableC2!F83+TableC2!Q83)/(TableC2!$D$100+TableC2!$O$100)</f>
        <v>0</v>
      </c>
      <c r="F85" s="180">
        <f>1000*C105*(TableC2!G83+TableC2!R83)/(TableC2!$D$100+TableC2!$O$100)</f>
        <v>0</v>
      </c>
      <c r="G85" s="180">
        <f>1000*C105*(TableC2!H83+TableC2!S83)/(TableC2!$D$100+TableC2!$O$100)</f>
        <v>0</v>
      </c>
      <c r="H85" s="178">
        <f>1000*C105*(TableC2!I83+TableC2!T83)/(TableC2!$D$100+TableC2!$O$100)</f>
        <v>0</v>
      </c>
      <c r="I85" s="178">
        <f>1000*C105*(TableC2!J83+TableC2!U83)/(TableC2!$D$100+TableC2!$O$100)</f>
        <v>0</v>
      </c>
      <c r="J85" s="178">
        <f>1000*C105*(TableC2!K83+TableC2!V83)/(TableC2!$D$100+TableC2!$O$100)</f>
        <v>0</v>
      </c>
      <c r="K85" s="184">
        <f>1000*C105*(TableC2!L83+TableC2!W83)/(TableC2!$D$100+TableC2!$O$100)</f>
        <v>0</v>
      </c>
      <c r="L85" s="178">
        <f>1000*C105*(TableC2!M83+TableC2!X83)/(TableC2!$D$100+TableC2!$O$100)</f>
        <v>0</v>
      </c>
      <c r="M85" s="183">
        <f>1000*C105*(TableC2!N83+TableC2!Y83)/(TableC2!$D$100+TableC2!$O$100)</f>
        <v>0</v>
      </c>
      <c r="N85" s="182">
        <f>1000*C105*TableC3!C83/TableC3!$C$91</f>
        <v>-4.2618702233609168E-2</v>
      </c>
      <c r="O85" s="181">
        <f>1000*C105*TableC3!D83/TableC3!$C$91</f>
        <v>3.4298054408832125E-3</v>
      </c>
      <c r="P85" s="180">
        <f>1000*C105*TableC3!E83/TableC3!$C$91</f>
        <v>0</v>
      </c>
      <c r="Q85" s="180">
        <f>1000*C105*TableC3!F83/TableC3!$C$91</f>
        <v>3.4298054408832125E-3</v>
      </c>
      <c r="R85" s="180">
        <f>1000*C105*TableC3!G83/TableC3!$C$91</f>
        <v>0</v>
      </c>
      <c r="S85" s="178">
        <f>1000*C105*TableC3!H83/TableC3!$C$91</f>
        <v>0</v>
      </c>
      <c r="T85" s="178">
        <f>1000*C105*TableC3!I83/TableC3!$C$91</f>
        <v>0</v>
      </c>
      <c r="U85" s="178">
        <f>1000*C105*TableC3!J83/TableC3!$C$91</f>
        <v>0</v>
      </c>
      <c r="V85" s="184">
        <f>1000*C105*TableC3!K83/TableC3!$C$91</f>
        <v>-4.6048507674492381E-2</v>
      </c>
      <c r="W85" s="178">
        <f>1000*C105*TableC3!L83/TableC3!$C$91</f>
        <v>0</v>
      </c>
      <c r="X85" s="177">
        <f>1000*C105*TableC3!M83/TableC3!$C$91</f>
        <v>-4.6048507674492381E-2</v>
      </c>
    </row>
    <row r="86" spans="1:24">
      <c r="B86" s="185" t="s">
        <v>523</v>
      </c>
      <c r="C86" s="196">
        <f>1000*C105*(TableC2!D84+TableC2!O84)/(TableC2!$D$100+TableC2!$O$100)</f>
        <v>0</v>
      </c>
      <c r="D86" s="181">
        <f>1000*C105*(TableC2!E84+TableC2!P84)/(TableC2!$D$100+TableC2!$O$100)</f>
        <v>0</v>
      </c>
      <c r="E86" s="180">
        <f>1000*C105*(TableC2!F84+TableC2!Q84)/(TableC2!$D$100+TableC2!$O$100)</f>
        <v>0</v>
      </c>
      <c r="F86" s="180">
        <f>1000*C105*(TableC2!G84+TableC2!R84)/(TableC2!$D$100+TableC2!$O$100)</f>
        <v>0</v>
      </c>
      <c r="G86" s="180">
        <f>1000*C105*(TableC2!H84+TableC2!S84)/(TableC2!$D$100+TableC2!$O$100)</f>
        <v>0</v>
      </c>
      <c r="H86" s="178">
        <f>1000*C105*(TableC2!I84+TableC2!T84)/(TableC2!$D$100+TableC2!$O$100)</f>
        <v>0</v>
      </c>
      <c r="I86" s="178">
        <f>1000*C105*(TableC2!J84+TableC2!U84)/(TableC2!$D$100+TableC2!$O$100)</f>
        <v>0</v>
      </c>
      <c r="J86" s="178">
        <f>1000*C105*(TableC2!K84+TableC2!V84)/(TableC2!$D$100+TableC2!$O$100)</f>
        <v>0</v>
      </c>
      <c r="K86" s="184">
        <f>1000*C105*(TableC2!L84+TableC2!W84)/(TableC2!$D$100+TableC2!$O$100)</f>
        <v>0</v>
      </c>
      <c r="L86" s="178">
        <f>1000*C105*(TableC2!M84+TableC2!X84)/(TableC2!$D$100+TableC2!$O$100)</f>
        <v>0</v>
      </c>
      <c r="M86" s="183">
        <f>1000*C105*(TableC2!N84+TableC2!Y84)/(TableC2!$D$100+TableC2!$O$100)</f>
        <v>0</v>
      </c>
      <c r="N86" s="182">
        <f>1000*C105*TableC3!C84/TableC3!$C$91</f>
        <v>-16.637547393337265</v>
      </c>
      <c r="O86" s="181">
        <f>1000*C105*TableC3!D84/TableC3!$C$91</f>
        <v>-0.46839343755097379</v>
      </c>
      <c r="P86" s="180">
        <f>1000*C105*TableC3!E84/TableC3!$C$91</f>
        <v>-0.51440784671240591</v>
      </c>
      <c r="Q86" s="180">
        <f>1000*C105*TableC3!F84/TableC3!$C$91</f>
        <v>4.6014409161432131E-2</v>
      </c>
      <c r="R86" s="180">
        <f>1000*C105*TableC3!G84/TableC3!$C$91</f>
        <v>0</v>
      </c>
      <c r="S86" s="178">
        <f>1000*C105*TableC3!H84/TableC3!$C$91</f>
        <v>0</v>
      </c>
      <c r="T86" s="178">
        <f>1000*C105*TableC3!I84/TableC3!$C$91</f>
        <v>0</v>
      </c>
      <c r="U86" s="178">
        <f>1000*C105*TableC3!J84/TableC3!$C$91</f>
        <v>0</v>
      </c>
      <c r="V86" s="184">
        <f>1000*C105*TableC3!K84/TableC3!$C$91</f>
        <v>-16.169153955786292</v>
      </c>
      <c r="W86" s="178">
        <f>1000*C105*TableC3!L84/TableC3!$C$91</f>
        <v>0</v>
      </c>
      <c r="X86" s="177">
        <f>1000*C105*TableC3!M84/TableC3!$C$91</f>
        <v>-16.169153955786292</v>
      </c>
    </row>
    <row r="87" spans="1:24">
      <c r="B87" s="185" t="s">
        <v>522</v>
      </c>
      <c r="C87" s="196">
        <f>1000*C105*(TableC2!D85+TableC2!O85)/(TableC2!$D$100+TableC2!$O$100)</f>
        <v>0</v>
      </c>
      <c r="D87" s="181">
        <f>1000*C105*(TableC2!E85+TableC2!P85)/(TableC2!$D$100+TableC2!$O$100)</f>
        <v>0</v>
      </c>
      <c r="E87" s="180">
        <f>1000*C105*(TableC2!F85+TableC2!Q85)/(TableC2!$D$100+TableC2!$O$100)</f>
        <v>0</v>
      </c>
      <c r="F87" s="180">
        <f>1000*C105*(TableC2!G85+TableC2!R85)/(TableC2!$D$100+TableC2!$O$100)</f>
        <v>0</v>
      </c>
      <c r="G87" s="180">
        <f>1000*C105*(TableC2!H85+TableC2!S85)/(TableC2!$D$100+TableC2!$O$100)</f>
        <v>0</v>
      </c>
      <c r="H87" s="178">
        <f>1000*C105*(TableC2!I85+TableC2!T85)/(TableC2!$D$100+TableC2!$O$100)</f>
        <v>0</v>
      </c>
      <c r="I87" s="178">
        <f>1000*C105*(TableC2!J85+TableC2!U85)/(TableC2!$D$100+TableC2!$O$100)</f>
        <v>0</v>
      </c>
      <c r="J87" s="178">
        <f>1000*C105*(TableC2!K85+TableC2!V85)/(TableC2!$D$100+TableC2!$O$100)</f>
        <v>0</v>
      </c>
      <c r="K87" s="184">
        <f>1000*C105*(TableC2!L85+TableC2!W85)/(TableC2!$D$100+TableC2!$O$100)</f>
        <v>0</v>
      </c>
      <c r="L87" s="178">
        <f>1000*C105*(TableC2!M85+TableC2!X85)/(TableC2!$D$100+TableC2!$O$100)</f>
        <v>0</v>
      </c>
      <c r="M87" s="183">
        <f>1000*C105*(TableC2!N85+TableC2!Y85)/(TableC2!$D$100+TableC2!$O$100)</f>
        <v>0</v>
      </c>
      <c r="N87" s="182">
        <f>1000*C105*TableC3!C85/TableC3!$C$91</f>
        <v>3.9549847882189026</v>
      </c>
      <c r="O87" s="181">
        <f>1000*C105*TableC3!D85/TableC3!$C$91</f>
        <v>1.3948134731221909E-3</v>
      </c>
      <c r="P87" s="180">
        <f>1000*C105*TableC3!E85/TableC3!$C$91</f>
        <v>0</v>
      </c>
      <c r="Q87" s="180">
        <f>1000*C105*TableC3!F85/TableC3!$C$91</f>
        <v>1.3948134731221909E-3</v>
      </c>
      <c r="R87" s="180">
        <f>1000*C105*TableC3!G85/TableC3!$C$91</f>
        <v>0</v>
      </c>
      <c r="S87" s="178">
        <f>1000*C105*TableC3!H85/TableC3!$C$91</f>
        <v>0</v>
      </c>
      <c r="T87" s="178">
        <f>1000*C105*TableC3!I85/TableC3!$C$91</f>
        <v>0</v>
      </c>
      <c r="U87" s="178">
        <f>1000*C105*TableC3!J85/TableC3!$C$91</f>
        <v>0</v>
      </c>
      <c r="V87" s="184">
        <f>1000*C105*TableC3!K85/TableC3!$C$91</f>
        <v>3.9535899747457801</v>
      </c>
      <c r="W87" s="178">
        <f>1000*C105*TableC3!L85/TableC3!$C$91</f>
        <v>0</v>
      </c>
      <c r="X87" s="177">
        <f>1000*C105*TableC3!M85/TableC3!$C$91</f>
        <v>3.9535899747457801</v>
      </c>
    </row>
    <row r="88" spans="1:24" ht="23">
      <c r="A88" s="219" t="s">
        <v>377</v>
      </c>
      <c r="B88" s="185" t="s">
        <v>206</v>
      </c>
      <c r="C88" s="196">
        <f>1000*C105*(TableC2!D86+TableC2!O86)/(TableC2!$D$100+TableC2!$O$100)</f>
        <v>0</v>
      </c>
      <c r="D88" s="181">
        <f>1000*C105*(TableC2!E86+TableC2!P86)/(TableC2!$D$100+TableC2!$O$100)</f>
        <v>0</v>
      </c>
      <c r="E88" s="180">
        <f>1000*C105*(TableC2!F86+TableC2!Q86)/(TableC2!$D$100+TableC2!$O$100)</f>
        <v>0</v>
      </c>
      <c r="F88" s="180">
        <f>1000*C105*(TableC2!G86+TableC2!R86)/(TableC2!$D$100+TableC2!$O$100)</f>
        <v>0</v>
      </c>
      <c r="G88" s="180">
        <f>1000*C105*(TableC2!H86+TableC2!S86)/(TableC2!$D$100+TableC2!$O$100)</f>
        <v>0</v>
      </c>
      <c r="H88" s="178">
        <f>1000*C105*(TableC2!I86+TableC2!T86)/(TableC2!$D$100+TableC2!$O$100)</f>
        <v>0</v>
      </c>
      <c r="I88" s="178">
        <f>1000*C105*(TableC2!J86+TableC2!U86)/(TableC2!$D$100+TableC2!$O$100)</f>
        <v>0</v>
      </c>
      <c r="J88" s="178">
        <f>1000*C105*(TableC2!K86+TableC2!V86)/(TableC2!$D$100+TableC2!$O$100)</f>
        <v>0</v>
      </c>
      <c r="K88" s="184">
        <f>1000*C105*(TableC2!L86+TableC2!W86)/(TableC2!$D$100+TableC2!$O$100)</f>
        <v>0</v>
      </c>
      <c r="L88" s="178">
        <f>1000*C105*(TableC2!M86+TableC2!X86)/(TableC2!$D$100+TableC2!$O$100)</f>
        <v>0</v>
      </c>
      <c r="M88" s="183">
        <f>1000*C105*(TableC2!N86+TableC2!Y86)/(TableC2!$D$100+TableC2!$O$100)</f>
        <v>0</v>
      </c>
      <c r="N88" s="182">
        <f>1000*C105*TableC3!C86/TableC3!$C$91</f>
        <v>0.55496515159021531</v>
      </c>
      <c r="O88" s="181">
        <f>1000*C105*TableC3!D86/TableC3!$C$91</f>
        <v>5.4551930019491367E-3</v>
      </c>
      <c r="P88" s="180">
        <f>1000*C105*TableC3!E86/TableC3!$C$91</f>
        <v>0</v>
      </c>
      <c r="Q88" s="180">
        <f>1000*C105*TableC3!F86/TableC3!$C$91</f>
        <v>5.4551930019491367E-3</v>
      </c>
      <c r="R88" s="180">
        <f>1000*C105*TableC3!G86/TableC3!$C$91</f>
        <v>0</v>
      </c>
      <c r="S88" s="178">
        <f>1000*C105*TableC3!H86/TableC3!$C$91</f>
        <v>0</v>
      </c>
      <c r="T88" s="178">
        <f>1000*C105*TableC3!I86/TableC3!$C$91</f>
        <v>0</v>
      </c>
      <c r="U88" s="178">
        <f>1000*C105*TableC3!J86/TableC3!$C$91</f>
        <v>0</v>
      </c>
      <c r="V88" s="184">
        <f>1000*C105*TableC3!K86/TableC3!$C$91</f>
        <v>0.54950995858826612</v>
      </c>
      <c r="W88" s="178">
        <f>1000*C105*TableC3!L86/TableC3!$C$91</f>
        <v>0</v>
      </c>
      <c r="X88" s="177">
        <f>1000*C105*TableC3!M86/TableC3!$C$91</f>
        <v>0.54950995858826612</v>
      </c>
    </row>
    <row r="89" spans="1:24">
      <c r="B89" s="185" t="s">
        <v>207</v>
      </c>
      <c r="C89" s="196">
        <f>1000*C105*(TableC2!D87+TableC2!O87)/(TableC2!$D$100+TableC2!$O$100)</f>
        <v>0</v>
      </c>
      <c r="D89" s="181">
        <f>1000*C105*(TableC2!E87+TableC2!P87)/(TableC2!$D$100+TableC2!$O$100)</f>
        <v>0</v>
      </c>
      <c r="E89" s="180">
        <f>1000*C105*(TableC2!F87+TableC2!Q87)/(TableC2!$D$100+TableC2!$O$100)</f>
        <v>0</v>
      </c>
      <c r="F89" s="180">
        <f>1000*C105*(TableC2!G87+TableC2!R87)/(TableC2!$D$100+TableC2!$O$100)</f>
        <v>0</v>
      </c>
      <c r="G89" s="180">
        <f>1000*C105*(TableC2!H87+TableC2!S87)/(TableC2!$D$100+TableC2!$O$100)</f>
        <v>0</v>
      </c>
      <c r="H89" s="178">
        <f>1000*C105*(TableC2!I87+TableC2!T87)/(TableC2!$D$100+TableC2!$O$100)</f>
        <v>0</v>
      </c>
      <c r="I89" s="178">
        <f>1000*C105*(TableC2!J87+TableC2!U87)/(TableC2!$D$100+TableC2!$O$100)</f>
        <v>0</v>
      </c>
      <c r="J89" s="178">
        <f>1000*C105*(TableC2!K87+TableC2!V87)/(TableC2!$D$100+TableC2!$O$100)</f>
        <v>0</v>
      </c>
      <c r="K89" s="184">
        <f>1000*C105*(TableC2!L87+TableC2!W87)/(TableC2!$D$100+TableC2!$O$100)</f>
        <v>0</v>
      </c>
      <c r="L89" s="178">
        <f>1000*C105*(TableC2!M87+TableC2!X87)/(TableC2!$D$100+TableC2!$O$100)</f>
        <v>0</v>
      </c>
      <c r="M89" s="183">
        <f>1000*C105*(TableC2!N87+TableC2!Y87)/(TableC2!$D$100+TableC2!$O$100)</f>
        <v>0</v>
      </c>
      <c r="N89" s="182">
        <f>1000*C105*TableC3!C87/TableC3!$C$91</f>
        <v>795.62874137329118</v>
      </c>
      <c r="O89" s="181">
        <f>1000*C105*TableC3!D87/TableC3!$C$91</f>
        <v>-8.1278717259863651</v>
      </c>
      <c r="P89" s="180">
        <f>1000*C105*TableC3!E87/TableC3!$C$91</f>
        <v>-8.1601572391132997</v>
      </c>
      <c r="Q89" s="180">
        <f>1000*C105*TableC3!F87/TableC3!$C$91</f>
        <v>3.2285513126934139E-2</v>
      </c>
      <c r="R89" s="180">
        <f>1000*C105*TableC3!G87/TableC3!$C$91</f>
        <v>0</v>
      </c>
      <c r="S89" s="178">
        <f>1000*C105*TableC3!H87/TableC3!$C$91</f>
        <v>0</v>
      </c>
      <c r="T89" s="178">
        <f>1000*C105*TableC3!I87/TableC3!$C$91</f>
        <v>0</v>
      </c>
      <c r="U89" s="178">
        <f>1000*C105*TableC3!J87/TableC3!$C$91</f>
        <v>0</v>
      </c>
      <c r="V89" s="184">
        <f>1000*C105*TableC3!K87/TableC3!$C$91</f>
        <v>803.7566130992775</v>
      </c>
      <c r="W89" s="178">
        <f>1000*C105*TableC3!L87/TableC3!$C$91</f>
        <v>0</v>
      </c>
      <c r="X89" s="177">
        <f>1000*C105*TableC3!M87/TableC3!$C$91</f>
        <v>803.7566130992775</v>
      </c>
    </row>
    <row r="90" spans="1:24">
      <c r="B90" s="185" t="s">
        <v>18</v>
      </c>
      <c r="C90" s="196">
        <f>1000*C105*(TableC2!D88+TableC2!O88)/(TableC2!$D$100+TableC2!$O$100)</f>
        <v>0</v>
      </c>
      <c r="D90" s="181">
        <f>1000*C105*(TableC2!E88+TableC2!P88)/(TableC2!$D$100+TableC2!$O$100)</f>
        <v>0</v>
      </c>
      <c r="E90" s="180">
        <f>1000*C105*(TableC2!F88+TableC2!Q88)/(TableC2!$D$100+TableC2!$O$100)</f>
        <v>0</v>
      </c>
      <c r="F90" s="180">
        <f>1000*C105*(TableC2!G88+TableC2!R88)/(TableC2!$D$100+TableC2!$O$100)</f>
        <v>0</v>
      </c>
      <c r="G90" s="180">
        <f>1000*C105*(TableC2!H88+TableC2!S88)/(TableC2!$D$100+TableC2!$O$100)</f>
        <v>0</v>
      </c>
      <c r="H90" s="178">
        <f>1000*C105*(TableC2!I88+TableC2!T88)/(TableC2!$D$100+TableC2!$O$100)</f>
        <v>0</v>
      </c>
      <c r="I90" s="178">
        <f>1000*C105*(TableC2!J88+TableC2!U88)/(TableC2!$D$100+TableC2!$O$100)</f>
        <v>0</v>
      </c>
      <c r="J90" s="178">
        <f>1000*C105*(TableC2!K88+TableC2!V88)/(TableC2!$D$100+TableC2!$O$100)</f>
        <v>0</v>
      </c>
      <c r="K90" s="184">
        <f>1000*C105*(TableC2!L88+TableC2!W88)/(TableC2!$D$100+TableC2!$O$100)</f>
        <v>0</v>
      </c>
      <c r="L90" s="178">
        <f>1000*C105*(TableC2!M88+TableC2!X88)/(TableC2!$D$100+TableC2!$O$100)</f>
        <v>0</v>
      </c>
      <c r="M90" s="183">
        <f>1000*C105*(TableC2!N88+TableC2!Y88)/(TableC2!$D$100+TableC2!$O$100)</f>
        <v>0</v>
      </c>
      <c r="N90" s="182">
        <f>1000*C105*TableC3!C88/TableC3!$C$91</f>
        <v>28.631492004605231</v>
      </c>
      <c r="O90" s="181">
        <f>1000*C105*TableC3!D88/TableC3!$C$91</f>
        <v>0</v>
      </c>
      <c r="P90" s="180">
        <f>1000*C105*TableC3!E88/TableC3!$C$91</f>
        <v>0</v>
      </c>
      <c r="Q90" s="180">
        <f>1000*C105*TableC3!F88/TableC3!$C$91</f>
        <v>0</v>
      </c>
      <c r="R90" s="180">
        <f>1000*C105*TableC3!G88/TableC3!$C$91</f>
        <v>0</v>
      </c>
      <c r="S90" s="178">
        <f>1000*C105*TableC3!H88/TableC3!$C$91</f>
        <v>0</v>
      </c>
      <c r="T90" s="178">
        <f>1000*C105*TableC3!I88/TableC3!$C$91</f>
        <v>0</v>
      </c>
      <c r="U90" s="178">
        <f>1000*C105*TableC3!J88/TableC3!$C$91</f>
        <v>0</v>
      </c>
      <c r="V90" s="184">
        <f>1000*C105*TableC3!K88/TableC3!$C$91</f>
        <v>28.631492004605231</v>
      </c>
      <c r="W90" s="178">
        <f>1000*C105*TableC3!L88/TableC3!$C$91</f>
        <v>0</v>
      </c>
      <c r="X90" s="177">
        <f>1000*C105*TableC3!M88/TableC3!$C$91</f>
        <v>28.631492004605231</v>
      </c>
    </row>
    <row r="91" spans="1:24" ht="40" customHeight="1">
      <c r="B91" s="195" t="s">
        <v>366</v>
      </c>
      <c r="C91" s="192">
        <f>+SUM(C92:C99)</f>
        <v>42131.914843635459</v>
      </c>
      <c r="D91" s="192">
        <f t="shared" ref="D91:M91" si="1">+SUM(D92:D99)</f>
        <v>7687.4474336282237</v>
      </c>
      <c r="E91" s="161">
        <f t="shared" si="1"/>
        <v>979.4543367730256</v>
      </c>
      <c r="F91" s="161">
        <f t="shared" si="1"/>
        <v>9.8293816825544997</v>
      </c>
      <c r="G91" s="161">
        <f t="shared" si="1"/>
        <v>1924.9413165924134</v>
      </c>
      <c r="H91" s="161">
        <f t="shared" si="1"/>
        <v>720.40658154418418</v>
      </c>
      <c r="I91" s="161">
        <f t="shared" si="1"/>
        <v>29.861412706494683</v>
      </c>
      <c r="J91" s="161">
        <f t="shared" si="1"/>
        <v>4022.9544043295527</v>
      </c>
      <c r="K91" s="192">
        <f t="shared" si="1"/>
        <v>34444.46741000723</v>
      </c>
      <c r="L91" s="161">
        <f t="shared" si="1"/>
        <v>4990.5267904140028</v>
      </c>
      <c r="M91" s="164">
        <f t="shared" si="1"/>
        <v>29453.940619593224</v>
      </c>
      <c r="N91" s="192"/>
      <c r="O91" s="192"/>
      <c r="P91" s="171"/>
      <c r="Q91" s="171"/>
      <c r="R91" s="171"/>
      <c r="S91" s="171"/>
      <c r="T91" s="171"/>
      <c r="U91" s="171"/>
      <c r="V91" s="192"/>
      <c r="W91" s="161"/>
      <c r="X91" s="160"/>
    </row>
    <row r="92" spans="1:24" ht="14" customHeight="1">
      <c r="B92" s="197" t="s">
        <v>78</v>
      </c>
      <c r="C92" s="196">
        <f>1000*$C$105*(TableC2!D90+TableC2!O90)/(TableC2!$D$100+TableC2!$O$100)</f>
        <v>4362.7067215806774</v>
      </c>
      <c r="D92" s="196">
        <f>1000*$C$105*(TableC2!E90+TableC2!P90)/(TableC2!$D$100+TableC2!$O$100)</f>
        <v>1254.428178778664</v>
      </c>
      <c r="E92" s="171">
        <f>1000*$C$105*(TableC2!F90+TableC2!Q90)/(TableC2!$D$100+TableC2!$O$100)</f>
        <v>98.044971719657539</v>
      </c>
      <c r="F92" s="171">
        <f>1000*$C$105*(TableC2!G90+TableC2!R90)/(TableC2!$D$100+TableC2!$O$100)</f>
        <v>0</v>
      </c>
      <c r="G92" s="171">
        <f>1000*$C$105*(TableC2!H90+TableC2!S90)/(TableC2!$D$100+TableC2!$O$100)</f>
        <v>189.37112558035378</v>
      </c>
      <c r="H92" s="171">
        <f>1000*$C$105*(TableC2!I90+TableC2!T90)/(TableC2!$D$100+TableC2!$O$100)</f>
        <v>105.75917000216867</v>
      </c>
      <c r="I92" s="171">
        <f>1000*$C$105*(TableC2!J90+TableC2!U90)/(TableC2!$D$100+TableC2!$O$100)</f>
        <v>1.1198029764935507</v>
      </c>
      <c r="J92" s="171">
        <f>1000*$C$105*(TableC2!K90+TableC2!V90)/(TableC2!$D$100+TableC2!$O$100)</f>
        <v>860.1331084999905</v>
      </c>
      <c r="K92" s="196">
        <f>1000*$C$105*(TableC2!L90+TableC2!W90)/(TableC2!$D$100+TableC2!$O$100)</f>
        <v>3108.2785428020129</v>
      </c>
      <c r="L92" s="178">
        <f>1000*$C$105*(TableC2!M90+TableC2!X90)/(TableC2!$D$100+TableC2!$O$100)</f>
        <v>548.17081328474205</v>
      </c>
      <c r="M92" s="183">
        <f>1000*$C$105*(TableC2!N90+TableC2!Y90)/(TableC2!$D$100+TableC2!$O$100)</f>
        <v>2560.1077295172713</v>
      </c>
      <c r="N92" s="196"/>
      <c r="O92" s="196"/>
      <c r="P92" s="171"/>
      <c r="Q92" s="171"/>
      <c r="R92" s="171"/>
      <c r="S92" s="171"/>
      <c r="T92" s="171"/>
      <c r="U92" s="171"/>
      <c r="V92" s="196"/>
      <c r="W92" s="178"/>
      <c r="X92" s="177"/>
    </row>
    <row r="93" spans="1:24" ht="14" customHeight="1">
      <c r="B93" s="197" t="s">
        <v>79</v>
      </c>
      <c r="C93" s="196">
        <f>1000*$C$105*(TableC2!D91+TableC2!O91)/(TableC2!$D$100+TableC2!$O$100)</f>
        <v>4878.7716837046855</v>
      </c>
      <c r="D93" s="196">
        <f>1000*$C$105*(TableC2!E91+TableC2!P91)/(TableC2!$D$100+TableC2!$O$100)</f>
        <v>921.59784965419215</v>
      </c>
      <c r="E93" s="171">
        <f>1000*$C$105*(TableC2!F91+TableC2!Q91)/(TableC2!$D$100+TableC2!$O$100)</f>
        <v>329.96861040676623</v>
      </c>
      <c r="F93" s="171">
        <f>1000*$C$105*(TableC2!G91+TableC2!R91)/(TableC2!$D$100+TableC2!$O$100)</f>
        <v>5.7234374354114808</v>
      </c>
      <c r="G93" s="171">
        <f>1000*$C$105*(TableC2!H91+TableC2!S91)/(TableC2!$D$100+TableC2!$O$100)</f>
        <v>261.16293862888472</v>
      </c>
      <c r="H93" s="171">
        <f>1000*$C$105*(TableC2!I91+TableC2!T91)/(TableC2!$D$100+TableC2!$O$100)</f>
        <v>83.363110472297663</v>
      </c>
      <c r="I93" s="171">
        <f>1000*$C$105*(TableC2!J91+TableC2!U91)/(TableC2!$D$100+TableC2!$O$100)</f>
        <v>4.7280570118616581</v>
      </c>
      <c r="J93" s="171">
        <f>1000*$C$105*(TableC2!K91+TableC2!V91)/(TableC2!$D$100+TableC2!$O$100)</f>
        <v>236.65169569897037</v>
      </c>
      <c r="K93" s="196">
        <f>1000*$C$105*(TableC2!L91+TableC2!W91)/(TableC2!$D$100+TableC2!$O$100)</f>
        <v>3957.173834050493</v>
      </c>
      <c r="L93" s="178">
        <f>1000*$C$105*(TableC2!M91+TableC2!X91)/(TableC2!$D$100+TableC2!$O$100)</f>
        <v>697.88056927648734</v>
      </c>
      <c r="M93" s="183">
        <f>1000*$C$105*(TableC2!N91+TableC2!Y91)/(TableC2!$D$100+TableC2!$O$100)</f>
        <v>3259.2932647740054</v>
      </c>
      <c r="N93" s="196"/>
      <c r="O93" s="196"/>
      <c r="P93" s="171"/>
      <c r="Q93" s="171"/>
      <c r="R93" s="171"/>
      <c r="S93" s="171"/>
      <c r="T93" s="171"/>
      <c r="U93" s="171"/>
      <c r="V93" s="196"/>
      <c r="W93" s="178"/>
      <c r="X93" s="177"/>
    </row>
    <row r="94" spans="1:24" ht="14" customHeight="1">
      <c r="B94" s="197" t="s">
        <v>80</v>
      </c>
      <c r="C94" s="196">
        <f>1000*$C$105*(TableC2!D92+TableC2!O92)/(TableC2!$D$100+TableC2!$O$100)</f>
        <v>10605.070657985601</v>
      </c>
      <c r="D94" s="196">
        <f>1000*$C$105*(TableC2!E92+TableC2!P92)/(TableC2!$D$100+TableC2!$O$100)</f>
        <v>1652.5803481985931</v>
      </c>
      <c r="E94" s="171">
        <f>1000*$C$105*(TableC2!F92+TableC2!Q92)/(TableC2!$D$100+TableC2!$O$100)</f>
        <v>56.861106695283624</v>
      </c>
      <c r="F94" s="171">
        <f>1000*$C$105*(TableC2!G92+TableC2!R92)/(TableC2!$D$100+TableC2!$O$100)</f>
        <v>1.3686480823810063</v>
      </c>
      <c r="G94" s="171">
        <f>1000*$C$105*(TableC2!H92+TableC2!S92)/(TableC2!$D$100+TableC2!$O$100)</f>
        <v>561.14571377621257</v>
      </c>
      <c r="H94" s="171">
        <f>1000*$C$105*(TableC2!I92+TableC2!T92)/(TableC2!$D$100+TableC2!$O$100)</f>
        <v>73.409306236799424</v>
      </c>
      <c r="I94" s="171">
        <f>1000*$C$105*(TableC2!J92+TableC2!U92)/(TableC2!$D$100+TableC2!$O$100)</f>
        <v>8.0874659413423089</v>
      </c>
      <c r="J94" s="171">
        <f>1000*$C$105*(TableC2!K92+TableC2!V92)/(TableC2!$D$100+TableC2!$O$100)</f>
        <v>951.70810746657423</v>
      </c>
      <c r="K94" s="196">
        <f>1000*$C$105*(TableC2!L92+TableC2!W92)/(TableC2!$D$100+TableC2!$O$100)</f>
        <v>8952.4903097870083</v>
      </c>
      <c r="L94" s="178">
        <f>1000*$C$105*(TableC2!M92+TableC2!X92)/(TableC2!$D$100+TableC2!$O$100)</f>
        <v>1578.8462412431575</v>
      </c>
      <c r="M94" s="183">
        <f>1000*$C$105*(TableC2!N92+TableC2!Y92)/(TableC2!$D$100+TableC2!$O$100)</f>
        <v>7373.6440685438502</v>
      </c>
      <c r="N94" s="196"/>
      <c r="O94" s="196"/>
      <c r="P94" s="171"/>
      <c r="Q94" s="171"/>
      <c r="R94" s="171"/>
      <c r="S94" s="171"/>
      <c r="T94" s="171"/>
      <c r="U94" s="171"/>
      <c r="V94" s="196"/>
      <c r="W94" s="178"/>
      <c r="X94" s="177"/>
    </row>
    <row r="95" spans="1:24" ht="14" customHeight="1">
      <c r="B95" s="197" t="s">
        <v>81</v>
      </c>
      <c r="C95" s="196">
        <f>1000*$C$105*(TableC2!D93+TableC2!O93)/(TableC2!$D$100+TableC2!$O$100)</f>
        <v>6236.9028391804977</v>
      </c>
      <c r="D95" s="196">
        <f>1000*$C$105*(TableC2!E93+TableC2!P93)/(TableC2!$D$100+TableC2!$O$100)</f>
        <v>1306.5612284620859</v>
      </c>
      <c r="E95" s="171">
        <f>1000*$C$105*(TableC2!F93+TableC2!Q93)/(TableC2!$D$100+TableC2!$O$100)</f>
        <v>302.59564875914612</v>
      </c>
      <c r="F95" s="171">
        <f>1000*$C$105*(TableC2!G93+TableC2!R93)/(TableC2!$D$100+TableC2!$O$100)</f>
        <v>0</v>
      </c>
      <c r="G95" s="171">
        <f>1000*$C$105*(TableC2!H93+TableC2!S93)/(TableC2!$D$100+TableC2!$O$100)</f>
        <v>365.30461544278495</v>
      </c>
      <c r="H95" s="171">
        <f>1000*$C$105*(TableC2!I93+TableC2!T93)/(TableC2!$D$100+TableC2!$O$100)</f>
        <v>151.54666948546051</v>
      </c>
      <c r="I95" s="171">
        <f>1000*$C$105*(TableC2!J93+TableC2!U93)/(TableC2!$D$100+TableC2!$O$100)</f>
        <v>4.3547893530304753</v>
      </c>
      <c r="J95" s="171">
        <f>1000*$C$105*(TableC2!K93+TableC2!V93)/(TableC2!$D$100+TableC2!$O$100)</f>
        <v>482.75950542166407</v>
      </c>
      <c r="K95" s="196">
        <f>1000*$C$105*(TableC2!L93+TableC2!W93)/(TableC2!$D$100+TableC2!$O$100)</f>
        <v>4930.341610718413</v>
      </c>
      <c r="L95" s="178">
        <f>1000*$C$105*(TableC2!M93+TableC2!X93)/(TableC2!$D$100+TableC2!$O$100)</f>
        <v>260.67593112873396</v>
      </c>
      <c r="M95" s="183">
        <f>1000*$C$105*(TableC2!N93+TableC2!Y93)/(TableC2!$D$100+TableC2!$O$100)</f>
        <v>4669.6656795896779</v>
      </c>
      <c r="N95" s="196"/>
      <c r="O95" s="196"/>
      <c r="P95" s="171"/>
      <c r="Q95" s="171"/>
      <c r="R95" s="171"/>
      <c r="S95" s="171"/>
      <c r="T95" s="171"/>
      <c r="U95" s="171"/>
      <c r="V95" s="196"/>
      <c r="W95" s="178"/>
      <c r="X95" s="177"/>
    </row>
    <row r="96" spans="1:24" ht="14" customHeight="1">
      <c r="B96" s="197" t="s">
        <v>82</v>
      </c>
      <c r="C96" s="196">
        <f>1000*$C$105*(TableC2!D94+TableC2!O94)/(TableC2!$D$100+TableC2!$O$100)</f>
        <v>3808.5470631941525</v>
      </c>
      <c r="D96" s="196">
        <f>1000*$C$105*(TableC2!E94+TableC2!P94)/(TableC2!$D$100+TableC2!$O$100)</f>
        <v>946.60678279588149</v>
      </c>
      <c r="E96" s="171">
        <f>1000*$C$105*(TableC2!F94+TableC2!Q94)/(TableC2!$D$100+TableC2!$O$100)</f>
        <v>98.791507037319917</v>
      </c>
      <c r="F96" s="171">
        <f>1000*$C$105*(TableC2!G94+TableC2!R94)/(TableC2!$D$100+TableC2!$O$100)</f>
        <v>1.2442255294372786</v>
      </c>
      <c r="G96" s="171">
        <f>1000*$C$105*(TableC2!H94+TableC2!S94)/(TableC2!$D$100+TableC2!$O$100)</f>
        <v>150.55128906191069</v>
      </c>
      <c r="H96" s="171">
        <f>1000*$C$105*(TableC2!I94+TableC2!T94)/(TableC2!$D$100+TableC2!$O$100)</f>
        <v>85.851561531172209</v>
      </c>
      <c r="I96" s="171">
        <f>1000*$C$105*(TableC2!J94+TableC2!U94)/(TableC2!$D$100+TableC2!$O$100)</f>
        <v>0.37326765883118351</v>
      </c>
      <c r="J96" s="171">
        <f>1000*$C$105*(TableC2!K94+TableC2!V94)/(TableC2!$D$100+TableC2!$O$100)</f>
        <v>609.79493197721035</v>
      </c>
      <c r="K96" s="196">
        <f>1000*$C$105*(TableC2!L94+TableC2!W94)/(TableC2!$D$100+TableC2!$O$100)</f>
        <v>2861.9402803982716</v>
      </c>
      <c r="L96" s="178">
        <f>1000*$C$105*(TableC2!M94+TableC2!X94)/(TableC2!$D$100+TableC2!$O$100)</f>
        <v>29.51592773963635</v>
      </c>
      <c r="M96" s="183">
        <f>1000*$C$105*(TableC2!N94+TableC2!Y94)/(TableC2!$D$100+TableC2!$O$100)</f>
        <v>2832.4243526586347</v>
      </c>
      <c r="N96" s="196"/>
      <c r="O96" s="196"/>
      <c r="P96" s="171"/>
      <c r="Q96" s="171"/>
      <c r="R96" s="171"/>
      <c r="S96" s="171"/>
      <c r="T96" s="171"/>
      <c r="U96" s="171"/>
      <c r="V96" s="196"/>
      <c r="W96" s="178"/>
      <c r="X96" s="177"/>
    </row>
    <row r="97" spans="2:24" ht="14" customHeight="1">
      <c r="B97" s="197" t="s">
        <v>83</v>
      </c>
      <c r="C97" s="196">
        <f>1000*$C$105*(TableC2!D95+TableC2!O95)/(TableC2!$D$100+TableC2!$O$100)</f>
        <v>9727.2522391937819</v>
      </c>
      <c r="D97" s="196">
        <f>1000*$C$105*(TableC2!E95+TableC2!P95)/(TableC2!$D$100+TableC2!$O$100)</f>
        <v>1098.7755650460606</v>
      </c>
      <c r="E97" s="171">
        <f>1000*$C$105*(TableC2!F95+TableC2!Q95)/(TableC2!$D$100+TableC2!$O$100)</f>
        <v>71.916235601474696</v>
      </c>
      <c r="F97" s="171">
        <f>1000*$C$105*(TableC2!G95+TableC2!R95)/(TableC2!$D$100+TableC2!$O$100)</f>
        <v>1.4930706353247341</v>
      </c>
      <c r="G97" s="171">
        <f>1000*$C$105*(TableC2!H95+TableC2!S95)/(TableC2!$D$100+TableC2!$O$100)</f>
        <v>374.5118843606208</v>
      </c>
      <c r="H97" s="171">
        <f>1000*$C$105*(TableC2!I95+TableC2!T95)/(TableC2!$D$100+TableC2!$O$100)</f>
        <v>126.66215889671494</v>
      </c>
      <c r="I97" s="171">
        <f>1000*$C$105*(TableC2!J95+TableC2!U95)/(TableC2!$D$100+TableC2!$O$100)</f>
        <v>8.4607336001734925</v>
      </c>
      <c r="J97" s="171">
        <f>1000*$C$105*(TableC2!K95+TableC2!V95)/(TableC2!$D$100+TableC2!$O$100)</f>
        <v>515.7314819517519</v>
      </c>
      <c r="K97" s="196">
        <f>1000*$C$105*(TableC2!L95+TableC2!W95)/(TableC2!$D$100+TableC2!$O$100)</f>
        <v>8628.4766741477197</v>
      </c>
      <c r="L97" s="178">
        <f>1000*$C$105*(TableC2!M95+TableC2!X95)/(TableC2!$D$100+TableC2!$O$100)</f>
        <v>1521.7037375331715</v>
      </c>
      <c r="M97" s="183">
        <f>1000*$C$105*(TableC2!N95+TableC2!Y95)/(TableC2!$D$100+TableC2!$O$100)</f>
        <v>7106.7729366145477</v>
      </c>
      <c r="N97" s="196"/>
      <c r="O97" s="196"/>
      <c r="P97" s="171"/>
      <c r="Q97" s="171"/>
      <c r="R97" s="171"/>
      <c r="S97" s="171"/>
      <c r="T97" s="171"/>
      <c r="U97" s="171"/>
      <c r="V97" s="196"/>
      <c r="W97" s="178"/>
      <c r="X97" s="177"/>
    </row>
    <row r="98" spans="2:24" ht="14" customHeight="1">
      <c r="B98" s="197" t="s">
        <v>84</v>
      </c>
      <c r="C98" s="196">
        <f>1000*$C$105*(TableC2!D96+TableC2!O96)/(TableC2!$D$100+TableC2!$O$100)</f>
        <v>1523.7900400162882</v>
      </c>
      <c r="D98" s="196">
        <f>1000*$C$105*(TableC2!E96+TableC2!P96)/(TableC2!$D$100+TableC2!$O$100)</f>
        <v>347.63661292477559</v>
      </c>
      <c r="E98" s="171">
        <f>1000*$C$105*(TableC2!F96+TableC2!Q96)/(TableC2!$D$100+TableC2!$O$100)</f>
        <v>13.562058270866334</v>
      </c>
      <c r="F98" s="171">
        <f>1000*$C$105*(TableC2!G96+TableC2!R96)/(TableC2!$D$100+TableC2!$O$100)</f>
        <v>0</v>
      </c>
      <c r="G98" s="171">
        <f>1000*$C$105*(TableC2!H96+TableC2!S96)/(TableC2!$D$100+TableC2!$O$100)</f>
        <v>0.12442255294372787</v>
      </c>
      <c r="H98" s="171">
        <f>1000*$C$105*(TableC2!I96+TableC2!T96)/(TableC2!$D$100+TableC2!$O$100)</f>
        <v>71.916235601474696</v>
      </c>
      <c r="I98" s="171">
        <f>1000*$C$105*(TableC2!J96+TableC2!U96)/(TableC2!$D$100+TableC2!$O$100)</f>
        <v>2.7372961647620127</v>
      </c>
      <c r="J98" s="171">
        <f>1000*$C$105*(TableC2!K96+TableC2!V96)/(TableC2!$D$100+TableC2!$O$100)</f>
        <v>259.29660033472885</v>
      </c>
      <c r="K98" s="196">
        <f>1000*$C$105*(TableC2!L96+TableC2!W96)/(TableC2!$D$100+TableC2!$O$100)</f>
        <v>1176.1534270915124</v>
      </c>
      <c r="L98" s="178">
        <f>1000*$C$105*(TableC2!M96+TableC2!X96)/(TableC2!$D$100+TableC2!$O$100)</f>
        <v>207.42445433966321</v>
      </c>
      <c r="M98" s="183">
        <f>1000*$C$105*(TableC2!N96+TableC2!Y96)/(TableC2!$D$100+TableC2!$O$100)</f>
        <v>968.72897275184926</v>
      </c>
      <c r="N98" s="196"/>
      <c r="O98" s="196"/>
      <c r="P98" s="171"/>
      <c r="Q98" s="171"/>
      <c r="R98" s="171"/>
      <c r="S98" s="171"/>
      <c r="T98" s="171"/>
      <c r="U98" s="171"/>
      <c r="V98" s="196"/>
      <c r="W98" s="178"/>
      <c r="X98" s="177"/>
    </row>
    <row r="99" spans="2:24" ht="14" customHeight="1">
      <c r="B99" s="197" t="s">
        <v>85</v>
      </c>
      <c r="C99" s="196">
        <f>1000*$C$105*(TableC2!D97+TableC2!O97)/(TableC2!$D$100+TableC2!$O$100)</f>
        <v>988.87359877976905</v>
      </c>
      <c r="D99" s="196">
        <f>1000*$C$105*(TableC2!E97+TableC2!P97)/(TableC2!$D$100+TableC2!$O$100)</f>
        <v>159.26086776797166</v>
      </c>
      <c r="E99" s="171">
        <f>1000*$C$105*(TableC2!F97+TableC2!Q97)/(TableC2!$D$100+TableC2!$O$100)</f>
        <v>7.7141982825111279</v>
      </c>
      <c r="F99" s="171">
        <f>1000*$C$105*(TableC2!G97+TableC2!R97)/(TableC2!$D$100+TableC2!$O$100)</f>
        <v>0</v>
      </c>
      <c r="G99" s="171">
        <f>1000*$C$105*(TableC2!H97+TableC2!S97)/(TableC2!$D$100+TableC2!$O$100)</f>
        <v>22.769327188702199</v>
      </c>
      <c r="H99" s="171">
        <f>1000*$C$105*(TableC2!I97+TableC2!T97)/(TableC2!$D$100+TableC2!$O$100)</f>
        <v>21.898369318096101</v>
      </c>
      <c r="I99" s="171">
        <f>1000*$C$105*(TableC2!J97+TableC2!U97)/(TableC2!$D$100+TableC2!$O$100)</f>
        <v>0</v>
      </c>
      <c r="J99" s="171">
        <f>1000*$C$105*(TableC2!K97+TableC2!V97)/(TableC2!$D$100+TableC2!$O$100)</f>
        <v>106.87897297866223</v>
      </c>
      <c r="K99" s="196">
        <f>1000*$C$105*(TableC2!L97+TableC2!W97)/(TableC2!$D$100+TableC2!$O$100)</f>
        <v>829.61273101179734</v>
      </c>
      <c r="L99" s="178">
        <f>1000*$C$105*(TableC2!M97+TableC2!X97)/(TableC2!$D$100+TableC2!$O$100)</f>
        <v>146.30911586841023</v>
      </c>
      <c r="M99" s="183">
        <f>1000*$C$105*(TableC2!N97+TableC2!Y97)/(TableC2!$D$100+TableC2!$O$100)</f>
        <v>683.30361514338711</v>
      </c>
      <c r="N99" s="196"/>
      <c r="O99" s="196"/>
      <c r="P99" s="171"/>
      <c r="Q99" s="171"/>
      <c r="R99" s="171"/>
      <c r="S99" s="171"/>
      <c r="T99" s="171"/>
      <c r="U99" s="171"/>
      <c r="V99" s="196"/>
      <c r="W99" s="178"/>
      <c r="X99" s="177"/>
    </row>
    <row r="100" spans="2:24" ht="40" customHeight="1">
      <c r="B100" s="176" t="s">
        <v>367</v>
      </c>
      <c r="C100" s="175">
        <f>1000*C105*(TableC2!D98+TableC2!O98)/(TableC2!$D$100+TableC2!$O$100)</f>
        <v>150691.21308954078</v>
      </c>
      <c r="D100" s="172">
        <f>1000*C105*(TableC2!E98+TableC2!P98)/(TableC2!$D$100+TableC2!$O$100)</f>
        <v>44231.506323249218</v>
      </c>
      <c r="E100" s="488">
        <f>1000*C105*(TableC2!F98+TableC2!Q98)/(TableC2!$D$100+TableC2!$O$100)</f>
        <v>2070.1707584353476</v>
      </c>
      <c r="F100" s="488">
        <f>1000*C105*(TableC2!G98+TableC2!R98)/(TableC2!$D$100+TableC2!$O$100)</f>
        <v>1865.0422699863113</v>
      </c>
      <c r="G100" s="488">
        <f>1000*C105*(TableC2!H98+TableC2!S98)/(TableC2!$D$100+TableC2!$O$100)</f>
        <v>26095.995469350128</v>
      </c>
      <c r="H100" s="489">
        <f>1000*C105*(TableC2!I98+TableC2!T98)/(TableC2!$D$100+TableC2!$O$100)</f>
        <v>3424.9376076902658</v>
      </c>
      <c r="I100" s="489">
        <f>1000*C105*(TableC2!J98+TableC2!U98)/(TableC2!$D$100+TableC2!$O$100)</f>
        <v>4376.8480412714098</v>
      </c>
      <c r="J100" s="489">
        <f>1000*C105*(TableC2!K98+TableC2!V98)/(TableC2!$D$100+TableC2!$O$100)</f>
        <v>6398.5121765157583</v>
      </c>
      <c r="K100" s="170">
        <f>1000*C105*(TableC2!L98+TableC2!W98)/(TableC2!$D$100+TableC2!$O$100)</f>
        <v>106459.70676629155</v>
      </c>
      <c r="L100" s="169">
        <f>1000*C105*(TableC2!M98+TableC2!X98)/(TableC2!$D$100+TableC2!$O$100)</f>
        <v>13075.679915912475</v>
      </c>
      <c r="M100" s="174">
        <f>1000*C105*(TableC2!N98+TableC2!Y98)/(TableC2!$D$100+TableC2!$O$100)</f>
        <v>93384.026850379072</v>
      </c>
      <c r="N100" s="173">
        <f>1000*C105*TableC3!C89/TableC3!$C$91</f>
        <v>27727.55316144897</v>
      </c>
      <c r="O100" s="172">
        <f>1000*C105*TableC3!D89/TableC3!$C$91</f>
        <v>3452.7467197938563</v>
      </c>
      <c r="P100" s="488">
        <f>1000*C105*TableC3!E89/TableC3!$C$91</f>
        <v>718.18994137504967</v>
      </c>
      <c r="Q100" s="488">
        <f>1000*C105*TableC3!F89/TableC3!$C$91</f>
        <v>66.848281932537049</v>
      </c>
      <c r="R100" s="488">
        <f>1000*C105*TableC3!G89/TableC3!$C$91</f>
        <v>22.119686190662318</v>
      </c>
      <c r="S100" s="489">
        <f>1000*C105*TableC3!H89/TableC3!$C$91</f>
        <v>2073.9408372699413</v>
      </c>
      <c r="T100" s="489">
        <f>1000*C105*TableC3!I89/TableC3!$C$91</f>
        <v>21.545452295216876</v>
      </c>
      <c r="U100" s="489">
        <f>1000*C105*TableC3!J89/TableC3!$C$91</f>
        <v>550.10252073044944</v>
      </c>
      <c r="V100" s="170">
        <f>1000*C105*TableC3!K89/TableC3!$C$91</f>
        <v>24274.806441655106</v>
      </c>
      <c r="W100" s="169">
        <f>1000*C105*TableC3!L89/TableC3!$C$91</f>
        <v>0</v>
      </c>
      <c r="X100" s="168">
        <f>1000*C105*TableC3!M89/TableC3!$C$91</f>
        <v>24274.806441655059</v>
      </c>
    </row>
    <row r="101" spans="2:24" ht="40" hidden="1" customHeight="1">
      <c r="B101" s="166"/>
      <c r="C101" s="175"/>
      <c r="D101" s="162">
        <f>1000*C105*(TableC2!E99+TableC2!P99)/(TableC2!$D$100+TableC2!$O$100)</f>
        <v>490118.09360436152</v>
      </c>
      <c r="E101" s="165">
        <f>1000*C105*(TableC2!F99+TableC2!Q99)/(TableC2!$D$100+TableC2!$O$100)</f>
        <v>50685.458905586442</v>
      </c>
      <c r="F101" s="161">
        <f>1000*C105*(TableC2!G99+TableC2!R99)/(TableC2!$D$100+TableC2!$O$100)</f>
        <v>3719.6899701820789</v>
      </c>
      <c r="G101" s="161">
        <f>1000*C105*(TableC2!H99+TableC2!S99)/(TableC2!$D$100+TableC2!$O$100)</f>
        <v>156501.56009837505</v>
      </c>
      <c r="H101" s="161">
        <f>1000*C105*(TableC2!I99+TableC2!T99)/(TableC2!$D$100+TableC2!$O$100)</f>
        <v>110766.26176490939</v>
      </c>
      <c r="I101" s="161">
        <f>1000*C105*(TableC2!J99+TableC2!U99)/(TableC2!$D$100+TableC2!$O$100)</f>
        <v>13213.341110240919</v>
      </c>
      <c r="J101" s="161">
        <f>1000*C105*(TableC2!K99+TableC2!V99)/(TableC2!$D$100+TableC2!$O$100)</f>
        <v>155231.7817550675</v>
      </c>
      <c r="K101" s="162">
        <f>1000*C105*(TableC2!L99+TableC2!W99)/(TableC2!$D$100+TableC2!$O$100)</f>
        <v>661825.00531556155</v>
      </c>
      <c r="L101" s="165">
        <f>1000*C105*(TableC2!M99+TableC2!X99)/(TableC2!$D$100+TableC2!$O$100)</f>
        <v>79417.842779455037</v>
      </c>
      <c r="M101" s="164">
        <f>1000*C105*(TableC2!N99+TableC2!Y99)/(TableC2!$D$100+TableC2!$O$100)</f>
        <v>583657.74262464279</v>
      </c>
      <c r="N101" s="163">
        <f>1000*C105*TableC3!C90/TableC3!$C$91</f>
        <v>1207957.8208858336</v>
      </c>
      <c r="O101" s="162">
        <f>1000*C105*TableC3!D90/TableC3!$C$91</f>
        <v>639182.88458593516</v>
      </c>
      <c r="P101" s="490">
        <f>1000*C105*TableC3!E90/TableC3!$C$91</f>
        <v>99503.652499634802</v>
      </c>
      <c r="Q101" s="161">
        <f>1000*C105*TableC3!F90/TableC3!$C$91</f>
        <v>4925.9267317435806</v>
      </c>
      <c r="R101" s="161">
        <f>1000*C105*TableC3!G90/TableC3!$C$91</f>
        <v>130094.32652934693</v>
      </c>
      <c r="S101" s="161">
        <f>1000*C105*TableC3!H90/TableC3!$C$91</f>
        <v>96209.828682100939</v>
      </c>
      <c r="T101" s="161">
        <f>1000*C105*TableC3!I90/TableC3!$C$91</f>
        <v>686.20225723813928</v>
      </c>
      <c r="U101" s="164">
        <f>1000*C105*TableC3!J90/TableC3!$C$91</f>
        <v>307762.94788587082</v>
      </c>
      <c r="V101" s="161">
        <f>1000*C105*TableC3!K90/TableC3!$C$91</f>
        <v>568774.93629989855</v>
      </c>
      <c r="W101" s="490">
        <f>1000*C105*TableC3!L90/TableC3!$C$91</f>
        <v>218618.0300793261</v>
      </c>
      <c r="X101" s="160">
        <f>1000*C105*TableC3!M90/TableC3!$C$91</f>
        <v>350156.90622057236</v>
      </c>
    </row>
    <row r="102" spans="2:24" ht="40" customHeight="1" thickBot="1">
      <c r="B102" s="157" t="str">
        <f>+TableC3!B91</f>
        <v>Non-haven total</v>
      </c>
      <c r="C102" s="493">
        <f>1000*C105*(TableC2!D100+TableC2!O100)/(TableC2!$D$100+TableC2!$O$100)</f>
        <v>857900.31647234806</v>
      </c>
      <c r="D102" s="155">
        <f>1000*C105*(TableC2!E100+TableC2!P100)/(TableC2!$D$100+TableC2!$O$100)</f>
        <v>377858.21310453763</v>
      </c>
      <c r="E102" s="152">
        <f>1000*C105*(TableC2!F100+TableC2!Q100)/(TableC2!$D$100+TableC2!$O$100)</f>
        <v>33539.517185514487</v>
      </c>
      <c r="F102" s="153">
        <f>1000*C105*(TableC2!G100+TableC2!R100)/(TableC2!$D$100+TableC2!$O$100)</f>
        <v>3547.8874610707771</v>
      </c>
      <c r="G102" s="153">
        <f>1000*C105*(TableC2!H100+TableC2!S100)/(TableC2!$D$100+TableC2!$O$100)</f>
        <v>135297.97749145716</v>
      </c>
      <c r="H102" s="153">
        <f>1000*C105*(TableC2!I100+TableC2!T100)/(TableC2!$D$100+TableC2!$O$100)</f>
        <v>90099.65824022764</v>
      </c>
      <c r="I102" s="153">
        <f>1000*C105*(TableC2!J100+TableC2!U100)/(TableC2!$D$100+TableC2!$O$100)</f>
        <v>11113.521013590695</v>
      </c>
      <c r="J102" s="153">
        <f>1000*C105*(TableC2!K100+TableC2!V100)/(TableC2!$D$100+TableC2!$O$100)</f>
        <v>104259.6517126769</v>
      </c>
      <c r="K102" s="155">
        <f>1000*C105*(TableC2!L100+TableC2!W100)/(TableC2!$D$100+TableC2!$O$100)</f>
        <v>480042.10336781049</v>
      </c>
      <c r="L102" s="152">
        <f>1000*C105*(TableC2!M100+TableC2!X100)/(TableC2!$D$100+TableC2!$O$100)</f>
        <v>56302.472494309055</v>
      </c>
      <c r="M102" s="154">
        <f>1000*C105*(TableC2!N100+TableC2!Y100)/(TableC2!$D$100+TableC2!$O$100)</f>
        <v>423739.63087350142</v>
      </c>
      <c r="N102" s="156">
        <f>1000*C105*TableC3!C91/TableC3!$C$91</f>
        <v>857900.31647234806</v>
      </c>
      <c r="O102" s="155">
        <f>1000*C105*TableC3!D91/TableC3!$C$91</f>
        <v>459684.22252900561</v>
      </c>
      <c r="P102" s="152">
        <f>1000*C105*TableC3!E91/TableC3!$C$91</f>
        <v>60593.630122933137</v>
      </c>
      <c r="Q102" s="153">
        <f>1000*C105*TableC3!F91/TableC3!$C$91</f>
        <v>3335.0878491754497</v>
      </c>
      <c r="R102" s="153">
        <f>1000*C105*TableC3!G91/TableC3!$C$91</f>
        <v>109797.85195142054</v>
      </c>
      <c r="S102" s="153">
        <f>1000*C105*TableC3!H91/TableC3!$C$91</f>
        <v>65617.096734658888</v>
      </c>
      <c r="T102" s="153">
        <f>1000*C105*TableC3!I91/TableC3!$C$91</f>
        <v>158.5921777565384</v>
      </c>
      <c r="U102" s="154">
        <f>1000*C105*TableC3!J91/TableC3!$C$91</f>
        <v>220181.96369306106</v>
      </c>
      <c r="V102" s="153">
        <f>1000*C105*TableC3!K91/TableC3!$C$91</f>
        <v>398216.09394334251</v>
      </c>
      <c r="W102" s="152">
        <f>1000*C105*TableC3!L91/TableC3!$C$91</f>
        <v>182588.42557035392</v>
      </c>
      <c r="X102" s="151">
        <f>1000*C105*TableC3!M91/TableC3!$C$91</f>
        <v>215627.6683729885</v>
      </c>
    </row>
    <row r="103" spans="2:24" s="150" customFormat="1" ht="16" thickTop="1">
      <c r="D103" s="146"/>
      <c r="E103" s="146"/>
      <c r="F103" s="146"/>
      <c r="G103" s="146"/>
      <c r="H103" s="146"/>
      <c r="I103" s="146"/>
      <c r="J103" s="146"/>
      <c r="K103" s="146"/>
      <c r="L103" s="146"/>
      <c r="M103" s="146"/>
      <c r="O103" s="146"/>
      <c r="P103" s="146"/>
      <c r="Q103" s="146"/>
      <c r="R103" s="146"/>
      <c r="S103" s="146"/>
      <c r="T103" s="146"/>
      <c r="U103" s="146"/>
      <c r="V103" s="146"/>
      <c r="W103" s="146"/>
      <c r="X103" s="146"/>
    </row>
    <row r="105" spans="2:24">
      <c r="C105" s="146">
        <f>+'Table U1'!$W$90</f>
        <v>857.90031647234809</v>
      </c>
    </row>
  </sheetData>
  <mergeCells count="9">
    <mergeCell ref="B5:X5"/>
    <mergeCell ref="C7:M7"/>
    <mergeCell ref="N7:X7"/>
    <mergeCell ref="D8:D9"/>
    <mergeCell ref="K8:K9"/>
    <mergeCell ref="O8:O9"/>
    <mergeCell ref="V8:V9"/>
    <mergeCell ref="C8:C9"/>
    <mergeCell ref="N8:N9"/>
  </mergeCells>
  <pageMargins left="0.7" right="0.7" top="0.75" bottom="0.75" header="0.3" footer="0.3"/>
  <pageSetup scale="35" orientation="landscape"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9" tint="0.39997558519241921"/>
    <pageSetUpPr fitToPage="1"/>
  </sheetPr>
  <dimension ref="A2:R97"/>
  <sheetViews>
    <sheetView workbookViewId="0">
      <pane xSplit="2" ySplit="10" topLeftCell="C25" activePane="bottomRight" state="frozen"/>
      <selection activeCell="B5" sqref="B5"/>
      <selection pane="topRight" activeCell="B5" sqref="B5"/>
      <selection pane="bottomLeft" activeCell="B5" sqref="B5"/>
      <selection pane="bottomRight" activeCell="H25" sqref="H25"/>
    </sheetView>
  </sheetViews>
  <sheetFormatPr defaultColWidth="10.81640625" defaultRowHeight="15.5"/>
  <cols>
    <col min="1" max="1" width="17.453125" style="146" hidden="1" customWidth="1"/>
    <col min="2" max="2" width="19" style="146" customWidth="1"/>
    <col min="3" max="8" width="13" style="146" customWidth="1"/>
    <col min="9" max="11" width="19.6328125" style="146" customWidth="1"/>
    <col min="12" max="12" width="10.81640625" style="146"/>
    <col min="13" max="13" width="19.453125" style="146" customWidth="1"/>
    <col min="14" max="14" width="13.6328125" style="146" customWidth="1"/>
    <col min="15" max="16384" width="10.81640625" style="146"/>
  </cols>
  <sheetData>
    <row r="2" spans="2:18" ht="16" thickBot="1"/>
    <row r="3" spans="2:18" ht="16" hidden="1" thickBot="1"/>
    <row r="4" spans="2:18" ht="32" customHeight="1" thickTop="1">
      <c r="B4" s="897" t="s">
        <v>382</v>
      </c>
      <c r="C4" s="898"/>
      <c r="D4" s="898"/>
      <c r="E4" s="898"/>
      <c r="F4" s="898"/>
      <c r="G4" s="898"/>
      <c r="H4" s="899"/>
      <c r="I4" s="239"/>
      <c r="J4" s="239"/>
      <c r="K4" s="239"/>
    </row>
    <row r="5" spans="2:18" ht="15" customHeight="1">
      <c r="B5" s="210"/>
      <c r="C5" s="239"/>
      <c r="D5" s="239"/>
      <c r="E5" s="239"/>
      <c r="F5" s="239"/>
      <c r="G5" s="239"/>
      <c r="H5" s="240"/>
      <c r="I5" s="239"/>
      <c r="J5" s="239"/>
      <c r="K5" s="239"/>
    </row>
    <row r="6" spans="2:18" ht="13" customHeight="1">
      <c r="B6" s="210"/>
      <c r="C6" s="3" t="s">
        <v>49</v>
      </c>
      <c r="D6" s="3" t="s">
        <v>50</v>
      </c>
      <c r="E6" s="3" t="s">
        <v>51</v>
      </c>
      <c r="F6" s="3" t="s">
        <v>52</v>
      </c>
      <c r="G6" s="3" t="s">
        <v>53</v>
      </c>
      <c r="H6" s="209" t="s">
        <v>54</v>
      </c>
      <c r="I6" s="239"/>
      <c r="J6" s="239"/>
      <c r="K6" s="239"/>
    </row>
    <row r="7" spans="2:18" ht="32" customHeight="1">
      <c r="B7" s="210"/>
      <c r="C7" s="919" t="s">
        <v>383</v>
      </c>
      <c r="D7" s="920"/>
      <c r="E7" s="920"/>
      <c r="F7" s="920"/>
      <c r="G7" s="920"/>
      <c r="H7" s="921"/>
      <c r="I7" s="239"/>
      <c r="J7" s="239"/>
      <c r="K7" s="239"/>
    </row>
    <row r="8" spans="2:18" ht="21" customHeight="1">
      <c r="B8" s="185"/>
      <c r="C8" s="902" t="s">
        <v>384</v>
      </c>
      <c r="D8" s="903" t="s">
        <v>380</v>
      </c>
      <c r="E8" s="903"/>
      <c r="F8" s="916" t="s">
        <v>385</v>
      </c>
      <c r="G8" s="903" t="s">
        <v>380</v>
      </c>
      <c r="H8" s="905"/>
      <c r="I8" s="238"/>
      <c r="J8" s="238"/>
      <c r="K8" s="238"/>
    </row>
    <row r="9" spans="2:18" ht="85" customHeight="1">
      <c r="B9" s="185"/>
      <c r="C9" s="917" t="s">
        <v>349</v>
      </c>
      <c r="D9" s="494" t="s">
        <v>350</v>
      </c>
      <c r="E9" s="237" t="s">
        <v>351</v>
      </c>
      <c r="F9" s="917" t="s">
        <v>349</v>
      </c>
      <c r="G9" s="494" t="s">
        <v>350</v>
      </c>
      <c r="H9" s="236" t="s">
        <v>351</v>
      </c>
      <c r="I9" s="204"/>
      <c r="J9" s="204"/>
      <c r="K9" s="204"/>
    </row>
    <row r="10" spans="2:18" ht="33" customHeight="1">
      <c r="B10" s="185"/>
      <c r="C10" s="918"/>
      <c r="D10" s="495"/>
      <c r="E10" s="235"/>
      <c r="F10" s="918"/>
      <c r="G10" s="495"/>
      <c r="H10" s="234"/>
      <c r="I10" s="204"/>
      <c r="J10" s="204"/>
      <c r="K10" s="204"/>
    </row>
    <row r="11" spans="2:18" ht="40" customHeight="1">
      <c r="B11" s="483" t="s">
        <v>76</v>
      </c>
      <c r="C11" s="496">
        <f>+TableC4!C10/TableC4!$C$102</f>
        <v>0.64789049988696057</v>
      </c>
      <c r="D11" s="497">
        <f>+SUM(D12:D46)</f>
        <v>0.36010529692806703</v>
      </c>
      <c r="E11" s="498">
        <f>+SUM(E12:E46)</f>
        <v>0.28778520295889354</v>
      </c>
      <c r="F11" s="496">
        <f>+SUM(F12:F46)</f>
        <v>0.86505774372437672</v>
      </c>
      <c r="G11" s="497">
        <f>+SUM(G12:G46)</f>
        <v>0.52085086655175883</v>
      </c>
      <c r="H11" s="499">
        <f>+SUM(H12:H46)</f>
        <v>0.34420687717261789</v>
      </c>
      <c r="I11" s="40"/>
      <c r="J11" s="40"/>
      <c r="K11" s="40"/>
    </row>
    <row r="12" spans="2:18">
      <c r="B12" s="199" t="s">
        <v>27</v>
      </c>
      <c r="C12" s="28">
        <f>(TableC2!D9+TableC2!O9)/(TableC2!$D$100+TableC2!$O$100)</f>
        <v>3.1197973807018189E-2</v>
      </c>
      <c r="D12" s="232">
        <f>(TableC2!E9+TableC2!P9)/(TableC2!$D$100+TableC2!$O$100)</f>
        <v>7.9394593193612521E-3</v>
      </c>
      <c r="E12" s="233">
        <f>(TableC2!L9+TableC2!W9)/(TableC2!$D$100+TableC2!$O$100)</f>
        <v>2.3258514487656937E-2</v>
      </c>
      <c r="F12" s="28">
        <f>TableC3!C9/TableC3!$C$91</f>
        <v>2.8404206518584008E-3</v>
      </c>
      <c r="G12" s="232">
        <f>TableC3!D9/TableC3!$C$91</f>
        <v>-2.5196647000411961E-4</v>
      </c>
      <c r="H12" s="231">
        <f>TableC3!K9/TableC3!$C$91</f>
        <v>3.0923871218625203E-3</v>
      </c>
      <c r="I12" s="43"/>
    </row>
    <row r="13" spans="2:18">
      <c r="B13" s="199" t="s">
        <v>91</v>
      </c>
      <c r="C13" s="28">
        <f>(TableC2!D10+TableC2!O10)/(TableC2!$D$100+TableC2!$O$100)</f>
        <v>4.8682697000003222E-3</v>
      </c>
      <c r="D13" s="232">
        <f>(TableC2!E10+TableC2!P10)/(TableC2!$D$100+TableC2!$O$100)</f>
        <v>3.6710809327198126E-3</v>
      </c>
      <c r="E13" s="233">
        <f>(TableC2!L10+TableC2!W10)/(TableC2!$D$100+TableC2!$O$100)</f>
        <v>1.1971887672805094E-3</v>
      </c>
      <c r="F13" s="28">
        <f>TableC3!C10/TableC3!$C$91</f>
        <v>3.6145624085180085E-3</v>
      </c>
      <c r="G13" s="232">
        <f>TableC3!D10/TableC3!$C$91</f>
        <v>6.0140321530970813E-4</v>
      </c>
      <c r="H13" s="231">
        <f>TableC3!K10/TableC3!$C$91</f>
        <v>3.0131591932083001E-3</v>
      </c>
      <c r="I13" s="43"/>
    </row>
    <row r="14" spans="2:18">
      <c r="B14" s="199" t="s">
        <v>25</v>
      </c>
      <c r="C14" s="28"/>
      <c r="D14" s="232"/>
      <c r="E14" s="233"/>
      <c r="F14" s="28"/>
      <c r="G14" s="232"/>
      <c r="H14" s="231"/>
      <c r="I14" s="43"/>
      <c r="P14" s="36"/>
    </row>
    <row r="15" spans="2:18">
      <c r="B15" s="199" t="s">
        <v>43</v>
      </c>
      <c r="C15" s="28">
        <f>(TableC2!D12+TableC2!O12)/(TableC2!$D$100+TableC2!$O$100)</f>
        <v>2.6634138166409679E-2</v>
      </c>
      <c r="D15" s="232">
        <f>(TableC2!E12+TableC2!P12)/(TableC2!$D$100+TableC2!$O$100)</f>
        <v>4.5528051777302438E-3</v>
      </c>
      <c r="E15" s="233">
        <f>(TableC2!L12+TableC2!W12)/(TableC2!$D$100+TableC2!$O$100)</f>
        <v>2.2081332988679436E-2</v>
      </c>
      <c r="F15" s="28">
        <f>TableC3!C12/TableC3!$C$91</f>
        <v>2.6650346645084155E-2</v>
      </c>
      <c r="G15" s="232">
        <f>TableC3!D12/TableC3!$C$91</f>
        <v>6.9912959887628153E-3</v>
      </c>
      <c r="H15" s="231">
        <f>TableC3!K12/TableC3!$C$91</f>
        <v>1.9659050656321338E-2</v>
      </c>
      <c r="I15" s="43"/>
      <c r="P15" s="36"/>
    </row>
    <row r="16" spans="2:18">
      <c r="B16" s="199" t="s">
        <v>112</v>
      </c>
      <c r="C16" s="28">
        <f>(TableC2!D13+TableC2!O13)/(TableC2!$D$100+TableC2!$O$100)</f>
        <v>9.4031513781095751E-3</v>
      </c>
      <c r="D16" s="232">
        <f>(TableC2!E13+TableC2!P13)/(TableC2!$D$100+TableC2!$O$100)</f>
        <v>1.2086222981547582E-3</v>
      </c>
      <c r="E16" s="233">
        <f>(TableC2!L13+TableC2!W13)/(TableC2!$D$100+TableC2!$O$100)</f>
        <v>8.1945290799548161E-3</v>
      </c>
      <c r="F16" s="28">
        <f>TableC3!C13/TableC3!$C$91</f>
        <v>-1.6942126680622059E-4</v>
      </c>
      <c r="G16" s="232">
        <f>TableC3!D13/TableC3!$C$91</f>
        <v>-1.9748978475139494E-4</v>
      </c>
      <c r="H16" s="231">
        <f>TableC3!K13/TableC3!$C$91</f>
        <v>2.8068517945174332E-5</v>
      </c>
      <c r="I16" s="43"/>
      <c r="P16" s="158"/>
      <c r="R16" s="158"/>
    </row>
    <row r="17" spans="1:11">
      <c r="B17" s="199" t="s">
        <v>92</v>
      </c>
      <c r="C17" s="28">
        <f>(TableC2!D14+TableC2!O14)/(TableC2!$D$100+TableC2!$O$100)</f>
        <v>2.8867824854196815E-3</v>
      </c>
      <c r="D17" s="232">
        <f>(TableC2!E14+TableC2!P14)/(TableC2!$D$100+TableC2!$O$100)</f>
        <v>2.3651698976742564E-3</v>
      </c>
      <c r="E17" s="233">
        <f>(TableC2!L14+TableC2!W14)/(TableC2!$D$100+TableC2!$O$100)</f>
        <v>5.2161258774542478E-4</v>
      </c>
      <c r="F17" s="28">
        <f>TableC3!C14/TableC3!$C$91</f>
        <v>7.6599920805821666E-4</v>
      </c>
      <c r="G17" s="232">
        <f>TableC3!D14/TableC3!$C$91</f>
        <v>7.6578137957773165E-4</v>
      </c>
      <c r="H17" s="231">
        <f>TableC3!K14/TableC3!$C$91</f>
        <v>2.178284804850922E-7</v>
      </c>
      <c r="I17" s="43"/>
    </row>
    <row r="18" spans="1:11">
      <c r="B18" s="199" t="s">
        <v>41</v>
      </c>
      <c r="C18" s="28">
        <f>(TableC2!D15+TableC2!O15)/(TableC2!$D$100+TableC2!$O$100)</f>
        <v>5.7691515324907244E-3</v>
      </c>
      <c r="D18" s="232">
        <f>(TableC2!E15+TableC2!P15)/(TableC2!$D$100+TableC2!$O$100)</f>
        <v>5.013519093419916E-3</v>
      </c>
      <c r="E18" s="233">
        <f>(TableC2!L15+TableC2!W15)/(TableC2!$D$100+TableC2!$O$100)</f>
        <v>7.5563243907080858E-4</v>
      </c>
      <c r="F18" s="28">
        <f>TableC3!C15/TableC3!$C$91</f>
        <v>5.8962721771943895E-3</v>
      </c>
      <c r="G18" s="232">
        <f>TableC3!D15/TableC3!$C$91</f>
        <v>3.43131694936655E-3</v>
      </c>
      <c r="H18" s="231">
        <f>TableC3!K15/TableC3!$C$91</f>
        <v>2.4649552278278399E-3</v>
      </c>
      <c r="I18" s="43"/>
    </row>
    <row r="19" spans="1:11">
      <c r="B19" s="199" t="s">
        <v>93</v>
      </c>
      <c r="C19" s="28">
        <f>(TableC2!D16+TableC2!O16)/(TableC2!$D$100+TableC2!$O$100)</f>
        <v>4.2104511420015204E-4</v>
      </c>
      <c r="D19" s="232">
        <f>(TableC2!E16+TableC2!P16)/(TableC2!$D$100+TableC2!$O$100)</f>
        <v>3.3404189089923761E-4</v>
      </c>
      <c r="E19" s="233">
        <f>(TableC2!L16+TableC2!W16)/(TableC2!$D$100+TableC2!$O$100)</f>
        <v>8.7003223300914469E-5</v>
      </c>
      <c r="F19" s="28">
        <f>TableC3!C16/TableC3!$C$91</f>
        <v>-6.5788442055548207E-6</v>
      </c>
      <c r="G19" s="232">
        <f>TableC3!D16/TableC3!$C$91</f>
        <v>-6.5788442055548207E-6</v>
      </c>
      <c r="H19" s="231">
        <f>TableC3!K16/TableC3!$C$91</f>
        <v>0</v>
      </c>
      <c r="I19" s="43"/>
      <c r="J19" s="43"/>
      <c r="K19" s="43"/>
    </row>
    <row r="20" spans="1:11">
      <c r="B20" s="199" t="s">
        <v>94</v>
      </c>
      <c r="C20" s="28">
        <f>(TableC2!D17+TableC2!O17)/(TableC2!$D$100+TableC2!$O$100)</f>
        <v>4.9196546791332382E-3</v>
      </c>
      <c r="D20" s="232">
        <f>(TableC2!E17+TableC2!P17)/(TableC2!$D$100+TableC2!$O$100)</f>
        <v>4.0164125000087857E-3</v>
      </c>
      <c r="E20" s="233">
        <f>(TableC2!L17+TableC2!W17)/(TableC2!$D$100+TableC2!$O$100)</f>
        <v>9.0324217912445188E-4</v>
      </c>
      <c r="F20" s="28">
        <f>TableC3!C17/TableC3!$C$91</f>
        <v>3.6656033683078785E-3</v>
      </c>
      <c r="G20" s="232">
        <f>TableC3!D17/TableC3!$C$91</f>
        <v>3.3101657497969189E-3</v>
      </c>
      <c r="H20" s="231">
        <f>TableC3!K17/TableC3!$C$91</f>
        <v>3.5543761851095952E-4</v>
      </c>
      <c r="I20" s="43"/>
      <c r="J20" s="43"/>
      <c r="K20" s="43"/>
    </row>
    <row r="21" spans="1:11">
      <c r="B21" s="199" t="s">
        <v>32</v>
      </c>
      <c r="C21" s="28">
        <f>(TableC2!D18+TableC2!O18)/(TableC2!$D$100+TableC2!$O$100)</f>
        <v>4.3913238562606094E-2</v>
      </c>
      <c r="D21" s="232">
        <f>(TableC2!E18+TableC2!P18)/(TableC2!$D$100+TableC2!$O$100)</f>
        <v>3.6466743425466713E-2</v>
      </c>
      <c r="E21" s="233">
        <f>(TableC2!L18+TableC2!W18)/(TableC2!$D$100+TableC2!$O$100)</f>
        <v>7.4464951371393832E-3</v>
      </c>
      <c r="F21" s="28">
        <f>TableC3!C18/TableC3!$C$91</f>
        <v>0.10441825619376749</v>
      </c>
      <c r="G21" s="232">
        <f>TableC3!D18/TableC3!$C$91</f>
        <v>8.2532164381501433E-2</v>
      </c>
      <c r="H21" s="231">
        <f>TableC3!K18/TableC3!$C$91</f>
        <v>2.1886091812266056E-2</v>
      </c>
      <c r="I21" s="43"/>
      <c r="J21" s="43"/>
      <c r="K21" s="43"/>
    </row>
    <row r="22" spans="1:11">
      <c r="B22" s="199" t="s">
        <v>34</v>
      </c>
      <c r="C22" s="28">
        <f>(TableC2!D19+TableC2!O19)/(TableC2!$D$100+TableC2!$O$100)</f>
        <v>7.7953265231249042E-2</v>
      </c>
      <c r="D22" s="232">
        <f>(TableC2!E19+TableC2!P19)/(TableC2!$D$100+TableC2!$O$100)</f>
        <v>6.5370212054117027E-2</v>
      </c>
      <c r="E22" s="233">
        <f>(TableC2!L19+TableC2!W19)/(TableC2!$D$100+TableC2!$O$100)</f>
        <v>1.2583053177132018E-2</v>
      </c>
      <c r="F22" s="28">
        <f>TableC3!C19/TableC3!$C$91</f>
        <v>5.7823145865388073E-2</v>
      </c>
      <c r="G22" s="232">
        <f>TableC3!D19/TableC3!$C$91</f>
        <v>4.1156945290732022E-2</v>
      </c>
      <c r="H22" s="231">
        <f>TableC3!K19/TableC3!$C$91</f>
        <v>1.6666200574656051E-2</v>
      </c>
      <c r="I22" s="43"/>
      <c r="J22" s="43"/>
      <c r="K22" s="43"/>
    </row>
    <row r="23" spans="1:11">
      <c r="B23" s="199" t="s">
        <v>40</v>
      </c>
      <c r="C23" s="28">
        <f>(TableC2!D20+TableC2!O20)/(TableC2!$D$100+TableC2!$O$100)</f>
        <v>1.9828122292562685E-3</v>
      </c>
      <c r="D23" s="232">
        <f>(TableC2!E20+TableC2!P20)/(TableC2!$D$100+TableC2!$O$100)</f>
        <v>1.671445470165632E-3</v>
      </c>
      <c r="E23" s="233">
        <f>(TableC2!L20+TableC2!W20)/(TableC2!$D$100+TableC2!$O$100)</f>
        <v>3.1136675909063626E-4</v>
      </c>
      <c r="F23" s="28">
        <f>TableC3!C20/TableC3!$C$91</f>
        <v>7.1306011159063653E-4</v>
      </c>
      <c r="G23" s="232">
        <f>TableC3!D20/TableC3!$C$91</f>
        <v>7.1176275979277384E-4</v>
      </c>
      <c r="H23" s="231">
        <f>TableC3!K20/TableC3!$C$91</f>
        <v>1.2973517978626554E-6</v>
      </c>
      <c r="I23" s="43"/>
      <c r="J23" s="43"/>
      <c r="K23" s="43"/>
    </row>
    <row r="24" spans="1:11">
      <c r="B24" s="199" t="s">
        <v>95</v>
      </c>
      <c r="C24" s="28">
        <f>(TableC2!D21+TableC2!O21)/(TableC2!$D$100+TableC2!$O$100)</f>
        <v>5.9542473500265296E-3</v>
      </c>
      <c r="D24" s="232">
        <f>(TableC2!E21+TableC2!P21)/(TableC2!$D$100+TableC2!$O$100)</f>
        <v>5.1041270654653033E-3</v>
      </c>
      <c r="E24" s="233">
        <f>(TableC2!L21+TableC2!W21)/(TableC2!$D$100+TableC2!$O$100)</f>
        <v>8.5012028456122679E-4</v>
      </c>
      <c r="F24" s="28">
        <f>TableC3!C21/TableC3!$C$91</f>
        <v>8.1136048608404672E-4</v>
      </c>
      <c r="G24" s="232">
        <f>TableC3!D21/TableC3!$C$91</f>
        <v>8.00066392350301E-4</v>
      </c>
      <c r="H24" s="231">
        <f>TableC3!K21/TableC3!$C$91</f>
        <v>1.1294093733745736E-5</v>
      </c>
      <c r="I24" s="43"/>
      <c r="J24" s="43"/>
      <c r="K24" s="43"/>
    </row>
    <row r="25" spans="1:11">
      <c r="B25" s="199" t="s">
        <v>113</v>
      </c>
      <c r="C25" s="28">
        <f>(TableC2!D22+TableC2!O22)/(TableC2!$D$100+TableC2!$O$100)</f>
        <v>6.797569667408098E-4</v>
      </c>
      <c r="D25" s="232">
        <f>(TableC2!E22+TableC2!P22)/(TableC2!$D$100+TableC2!$O$100)</f>
        <v>2.5590930254712035E-4</v>
      </c>
      <c r="E25" s="233">
        <f>(TableC2!L22+TableC2!W22)/(TableC2!$D$100+TableC2!$O$100)</f>
        <v>4.2384766419368929E-4</v>
      </c>
      <c r="F25" s="28">
        <f>TableC3!C22/TableC3!$C$91</f>
        <v>2.2230156226074102E-5</v>
      </c>
      <c r="G25" s="232">
        <f>TableC3!D22/TableC3!$C$91</f>
        <v>2.1116591630353685E-5</v>
      </c>
      <c r="H25" s="231">
        <f>TableC3!K22/TableC3!$C$91</f>
        <v>1.1135645957204155E-6</v>
      </c>
      <c r="I25" s="43"/>
      <c r="J25" s="43"/>
      <c r="K25" s="43"/>
    </row>
    <row r="26" spans="1:11">
      <c r="B26" s="199" t="s">
        <v>20</v>
      </c>
      <c r="C26" s="28"/>
      <c r="D26" s="232"/>
      <c r="E26" s="233"/>
      <c r="F26" s="28"/>
      <c r="G26" s="232"/>
      <c r="H26" s="231"/>
      <c r="I26" s="43"/>
      <c r="J26" s="43"/>
      <c r="K26" s="43"/>
    </row>
    <row r="27" spans="1:11">
      <c r="B27" s="199" t="s">
        <v>114</v>
      </c>
      <c r="C27" s="28">
        <f>(TableC2!D24+TableC2!O24)/(TableC2!$D$100+TableC2!$O$100)</f>
        <v>5.0138923479720009E-3</v>
      </c>
      <c r="D27" s="232">
        <f>(TableC2!E24+TableC2!P24)/(TableC2!$D$100+TableC2!$O$100)</f>
        <v>3.9180898590376341E-4</v>
      </c>
      <c r="E27" s="233">
        <f>(TableC2!L24+TableC2!W24)/(TableC2!$D$100+TableC2!$O$100)</f>
        <v>4.6220833620682373E-3</v>
      </c>
      <c r="F27" s="28">
        <f>TableC3!C24/TableC3!$C$91</f>
        <v>8.6645707578461952E-4</v>
      </c>
      <c r="G27" s="232">
        <f>TableC3!D24/TableC3!$C$91</f>
        <v>1.0725485471853397E-4</v>
      </c>
      <c r="H27" s="231">
        <f>TableC3!K24/TableC3!$C$91</f>
        <v>7.5920222106608552E-4</v>
      </c>
      <c r="I27" s="43"/>
      <c r="J27" s="43"/>
      <c r="K27" s="43"/>
    </row>
    <row r="28" spans="1:11">
      <c r="B28" s="199" t="s">
        <v>33</v>
      </c>
      <c r="C28" s="28">
        <f>(TableC2!D25+TableC2!O25)/(TableC2!$D$100+TableC2!$O$100)</f>
        <v>2.985000149690031E-2</v>
      </c>
      <c r="D28" s="232">
        <f>(TableC2!E25+TableC2!P25)/(TableC2!$D$100+TableC2!$O$100)</f>
        <v>2.6468408452829668E-2</v>
      </c>
      <c r="E28" s="233">
        <f>(TableC2!L25+TableC2!W25)/(TableC2!$D$100+TableC2!$O$100)</f>
        <v>3.3815930440706438E-3</v>
      </c>
      <c r="F28" s="28">
        <f>TableC3!C25/TableC3!$C$91</f>
        <v>6.0726364144830826E-3</v>
      </c>
      <c r="G28" s="232">
        <f>TableC3!D25/TableC3!$C$91</f>
        <v>4.0889015586713954E-3</v>
      </c>
      <c r="H28" s="231">
        <f>TableC3!K25/TableC3!$C$91</f>
        <v>1.9837348558116867E-3</v>
      </c>
      <c r="I28" s="43"/>
      <c r="J28" s="43"/>
      <c r="K28" s="43"/>
    </row>
    <row r="29" spans="1:11">
      <c r="B29" s="199" t="s">
        <v>31</v>
      </c>
      <c r="C29" s="28">
        <f>(TableC2!D26+TableC2!O26)/(TableC2!$D$100+TableC2!$O$100)</f>
        <v>1.8176232527508114E-2</v>
      </c>
      <c r="D29" s="232">
        <f>(TableC2!E26+TableC2!P26)/(TableC2!$D$100+TableC2!$O$100)</f>
        <v>1.0234211238039841E-2</v>
      </c>
      <c r="E29" s="233">
        <f>(TableC2!L26+TableC2!W26)/(TableC2!$D$100+TableC2!$O$100)</f>
        <v>7.9420212894682728E-3</v>
      </c>
      <c r="F29" s="28">
        <f>TableC3!C26/TableC3!$C$91</f>
        <v>3.1301650078711656E-2</v>
      </c>
      <c r="G29" s="232">
        <f>TableC3!D26/TableC3!$C$91</f>
        <v>1.377043049053416E-2</v>
      </c>
      <c r="H29" s="231">
        <f>TableC3!K26/TableC3!$C$91</f>
        <v>1.7531219588177497E-2</v>
      </c>
      <c r="I29" s="43"/>
      <c r="J29" s="43"/>
      <c r="K29" s="43"/>
    </row>
    <row r="30" spans="1:11">
      <c r="A30" s="146" t="s">
        <v>361</v>
      </c>
      <c r="B30" s="199" t="s">
        <v>48</v>
      </c>
      <c r="C30" s="28">
        <f>(TableC2!D27+TableC2!O27)/(TableC2!$D$100+TableC2!$O$100)</f>
        <v>1.0354861893642283E-2</v>
      </c>
      <c r="D30" s="232">
        <f>(TableC2!E27+TableC2!P27)/(TableC2!$D$100+TableC2!$O$100)</f>
        <v>1.9596254671919583E-3</v>
      </c>
      <c r="E30" s="233">
        <f>(TableC2!L27+TableC2!W27)/(TableC2!$D$100+TableC2!$O$100)</f>
        <v>8.3952364264503268E-3</v>
      </c>
      <c r="F30" s="28">
        <f>TableC3!C27/TableC3!$C$91</f>
        <v>2.5393428097699022E-3</v>
      </c>
      <c r="G30" s="232">
        <f>TableC3!D27/TableC3!$C$91</f>
        <v>1.2649280154906743E-3</v>
      </c>
      <c r="H30" s="231">
        <f>TableC3!K27/TableC3!$C$91</f>
        <v>1.2744147942792281E-3</v>
      </c>
      <c r="I30" s="43"/>
      <c r="J30" s="43"/>
      <c r="K30" s="43"/>
    </row>
    <row r="31" spans="1:11">
      <c r="B31" s="185" t="s">
        <v>96</v>
      </c>
      <c r="C31" s="28">
        <f>(TableC2!D28+TableC2!O28)/(TableC2!$D$100+TableC2!$O$100)</f>
        <v>3.9580025587308587E-4</v>
      </c>
      <c r="D31" s="232">
        <f>(TableC2!E28+TableC2!P28)/(TableC2!$D$100+TableC2!$O$100)</f>
        <v>2.8938010089263458E-4</v>
      </c>
      <c r="E31" s="233">
        <f>(TableC2!L28+TableC2!W28)/(TableC2!$D$100+TableC2!$O$100)</f>
        <v>1.064201549804513E-4</v>
      </c>
      <c r="F31" s="28">
        <f>TableC3!C28/TableC3!$C$91</f>
        <v>-2.1049007270863145E-6</v>
      </c>
      <c r="G31" s="232">
        <f>TableC3!D28/TableC3!$C$91</f>
        <v>-2.2427443755588904E-6</v>
      </c>
      <c r="H31" s="231">
        <f>TableC3!K28/TableC3!$C$91</f>
        <v>1.3784364847257572E-7</v>
      </c>
      <c r="I31" s="43"/>
      <c r="J31" s="43"/>
      <c r="K31" s="43"/>
    </row>
    <row r="32" spans="1:11">
      <c r="B32" s="185" t="s">
        <v>19</v>
      </c>
      <c r="C32" s="28"/>
      <c r="D32" s="232"/>
      <c r="E32" s="233"/>
      <c r="F32" s="28"/>
      <c r="G32" s="232"/>
      <c r="H32" s="231"/>
      <c r="I32" s="43"/>
      <c r="J32" s="43"/>
      <c r="K32" s="43"/>
    </row>
    <row r="33" spans="1:11">
      <c r="B33" s="185" t="s">
        <v>38</v>
      </c>
      <c r="C33" s="28">
        <f>(TableC2!D30+TableC2!O30)/(TableC2!$D$100+TableC2!$O$100)</f>
        <v>2.1008266693512506E-2</v>
      </c>
      <c r="D33" s="232">
        <f>(TableC2!E30+TableC2!P30)/(TableC2!$D$100+TableC2!$O$100)</f>
        <v>4.5167358965194334E-3</v>
      </c>
      <c r="E33" s="233">
        <f>(TableC2!L30+TableC2!W30)/(TableC2!$D$100+TableC2!$O$100)</f>
        <v>1.649153079699307E-2</v>
      </c>
      <c r="F33" s="28">
        <f>TableC3!C30/TableC3!$C$91</f>
        <v>5.8976661446118392E-3</v>
      </c>
      <c r="G33" s="232">
        <f>TableC3!D30/TableC3!$C$91</f>
        <v>4.8772930427810907E-3</v>
      </c>
      <c r="H33" s="231">
        <f>TableC3!K30/TableC3!$C$91</f>
        <v>1.0203731018307491E-3</v>
      </c>
      <c r="I33" s="43"/>
      <c r="J33" s="43"/>
      <c r="K33" s="43"/>
    </row>
    <row r="34" spans="1:11">
      <c r="B34" s="185" t="s">
        <v>23</v>
      </c>
      <c r="C34" s="28"/>
      <c r="D34" s="232"/>
      <c r="E34" s="233"/>
      <c r="F34" s="28"/>
      <c r="G34" s="232"/>
      <c r="H34" s="231"/>
      <c r="I34" s="43"/>
      <c r="J34" s="43"/>
      <c r="K34" s="43"/>
    </row>
    <row r="35" spans="1:11">
      <c r="B35" s="185" t="s">
        <v>116</v>
      </c>
      <c r="C35" s="28">
        <f>(TableC2!D32+TableC2!O32)/(TableC2!$D$100+TableC2!$O$100)</f>
        <v>3.255741588455052E-3</v>
      </c>
      <c r="D35" s="232">
        <f>(TableC2!E32+TableC2!P32)/(TableC2!$D$100+TableC2!$O$100)</f>
        <v>5.9316805423990536E-4</v>
      </c>
      <c r="E35" s="233">
        <f>(TableC2!L32+TableC2!W32)/(TableC2!$D$100+TableC2!$O$100)</f>
        <v>2.6625735342151466E-3</v>
      </c>
      <c r="F35" s="28">
        <f>TableC3!C32/TableC3!$C$91</f>
        <v>1.077429398093936E-3</v>
      </c>
      <c r="G35" s="232">
        <f>TableC3!D32/TableC3!$C$91</f>
        <v>-1.7600926495356614E-4</v>
      </c>
      <c r="H35" s="231">
        <f>TableC3!K32/TableC3!$C$91</f>
        <v>1.2534386630475021E-3</v>
      </c>
      <c r="I35" s="43"/>
      <c r="J35" s="43"/>
      <c r="K35" s="43"/>
    </row>
    <row r="36" spans="1:11">
      <c r="B36" s="185" t="s">
        <v>117</v>
      </c>
      <c r="C36" s="28">
        <f>(TableC2!D33+TableC2!O33)/(TableC2!$D$100+TableC2!$O$100)</f>
        <v>8.3906477377967015E-3</v>
      </c>
      <c r="D36" s="232">
        <f>(TableC2!E33+TableC2!P33)/(TableC2!$D$100+TableC2!$O$100)</f>
        <v>3.3954251433975248E-3</v>
      </c>
      <c r="E36" s="233">
        <f>(TableC2!L33+TableC2!W33)/(TableC2!$D$100+TableC2!$O$100)</f>
        <v>4.9952225943991771E-3</v>
      </c>
      <c r="F36" s="28">
        <f>TableC3!C33/TableC3!$C$91</f>
        <v>8.8116191446949432E-3</v>
      </c>
      <c r="G36" s="232">
        <f>TableC3!D33/TableC3!$C$91</f>
        <v>6.2282428164049239E-3</v>
      </c>
      <c r="H36" s="231">
        <f>TableC3!K33/TableC3!$C$91</f>
        <v>2.5833763282900189E-3</v>
      </c>
      <c r="I36" s="43"/>
      <c r="J36" s="43"/>
      <c r="K36" s="43"/>
    </row>
    <row r="37" spans="1:11">
      <c r="B37" s="185" t="s">
        <v>97</v>
      </c>
      <c r="C37" s="28">
        <f>(TableC2!D34+TableC2!O34)/(TableC2!$D$100+TableC2!$O$100)</f>
        <v>5.5224784133818755E-3</v>
      </c>
      <c r="D37" s="232">
        <f>(TableC2!E34+TableC2!P34)/(TableC2!$D$100+TableC2!$O$100)</f>
        <v>4.8032673731649165E-3</v>
      </c>
      <c r="E37" s="233">
        <f>(TableC2!L34+TableC2!W34)/(TableC2!$D$100+TableC2!$O$100)</f>
        <v>7.1921104021695941E-4</v>
      </c>
      <c r="F37" s="28">
        <f>TableC3!C34/TableC3!$C$91</f>
        <v>-4.0991621296697991E-3</v>
      </c>
      <c r="G37" s="232">
        <f>TableC3!D34/TableC3!$C$91</f>
        <v>-4.1021427542822925E-3</v>
      </c>
      <c r="H37" s="231">
        <f>TableC3!K34/TableC3!$C$91</f>
        <v>2.9806246124936239E-6</v>
      </c>
      <c r="I37" s="43"/>
      <c r="J37" s="43"/>
      <c r="K37" s="43"/>
    </row>
    <row r="38" spans="1:11">
      <c r="B38" s="185" t="s">
        <v>42</v>
      </c>
      <c r="C38" s="28">
        <f>(TableC2!D35+TableC2!O35)/(TableC2!$D$100+TableC2!$O$100)</f>
        <v>3.5595013807980828E-3</v>
      </c>
      <c r="D38" s="232">
        <f>(TableC2!E35+TableC2!P35)/(TableC2!$D$100+TableC2!$O$100)</f>
        <v>3.2005457376442646E-3</v>
      </c>
      <c r="E38" s="233">
        <f>(TableC2!L35+TableC2!W35)/(TableC2!$D$100+TableC2!$O$100)</f>
        <v>3.5895564315381839E-4</v>
      </c>
      <c r="F38" s="28">
        <f>TableC3!C35/TableC3!$C$91</f>
        <v>4.5096719166581585E-4</v>
      </c>
      <c r="G38" s="232">
        <f>TableC3!D35/TableC3!$C$91</f>
        <v>5.1514052295589449E-6</v>
      </c>
      <c r="H38" s="231">
        <f>TableC3!K35/TableC3!$C$91</f>
        <v>4.458157864362569E-4</v>
      </c>
      <c r="I38" s="43"/>
      <c r="J38" s="43"/>
      <c r="K38" s="43"/>
    </row>
    <row r="39" spans="1:11">
      <c r="A39" s="146" t="s">
        <v>119</v>
      </c>
      <c r="B39" s="185" t="s">
        <v>98</v>
      </c>
      <c r="C39" s="28">
        <f>(TableC2!D36+TableC2!O36)/(TableC2!$D$100+TableC2!$O$100)</f>
        <v>1.0826561001117145E-3</v>
      </c>
      <c r="D39" s="232">
        <f>(TableC2!E36+TableC2!P36)/(TableC2!$D$100+TableC2!$O$100)</f>
        <v>9.2569901477941368E-4</v>
      </c>
      <c r="E39" s="233">
        <f>(TableC2!L36+TableC2!W36)/(TableC2!$D$100+TableC2!$O$100)</f>
        <v>1.5695708533230103E-4</v>
      </c>
      <c r="F39" s="28">
        <f>TableC3!C36/TableC3!$C$91</f>
        <v>1.4587367164912179E-4</v>
      </c>
      <c r="G39" s="232">
        <f>TableC3!D36/TableC3!$C$91</f>
        <v>1.4012277340320144E-4</v>
      </c>
      <c r="H39" s="231">
        <f>TableC3!K36/TableC3!$C$91</f>
        <v>5.7508982459203629E-6</v>
      </c>
      <c r="I39" s="43"/>
      <c r="J39" s="43"/>
      <c r="K39" s="43"/>
    </row>
    <row r="40" spans="1:11">
      <c r="B40" s="185" t="s">
        <v>99</v>
      </c>
      <c r="C40" s="28">
        <f>(TableC2!D37+TableC2!O37)/(TableC2!$D$100+TableC2!$O$100)</f>
        <v>4.2757945297963019E-4</v>
      </c>
      <c r="D40" s="232">
        <f>(TableC2!E37+TableC2!P37)/(TableC2!$D$100+TableC2!$O$100)</f>
        <v>3.3762902601792332E-4</v>
      </c>
      <c r="E40" s="233">
        <f>(TableC2!L37+TableC2!W37)/(TableC2!$D$100+TableC2!$O$100)</f>
        <v>8.9950426961706825E-5</v>
      </c>
      <c r="F40" s="28">
        <f>TableC3!C37/TableC3!$C$91</f>
        <v>-1.1446836980557663E-5</v>
      </c>
      <c r="G40" s="232">
        <f>TableC3!D37/TableC3!$C$91</f>
        <v>-1.2300149141209749E-5</v>
      </c>
      <c r="H40" s="231">
        <f>TableC3!K37/TableC3!$C$91</f>
        <v>8.5331216065208515E-7</v>
      </c>
      <c r="I40" s="43"/>
      <c r="J40" s="43"/>
      <c r="K40" s="43"/>
    </row>
    <row r="41" spans="1:11">
      <c r="B41" s="185" t="s">
        <v>30</v>
      </c>
      <c r="C41" s="28">
        <f>(TableC2!D38+TableC2!O38)/(TableC2!$D$100+TableC2!$O$100)</f>
        <v>2.1756045542391932E-2</v>
      </c>
      <c r="D41" s="232">
        <f>(TableC2!E38+TableC2!P38)/(TableC2!$D$100+TableC2!$O$100)</f>
        <v>1.8279917047435361E-2</v>
      </c>
      <c r="E41" s="233">
        <f>(TableC2!L38+TableC2!W38)/(TableC2!$D$100+TableC2!$O$100)</f>
        <v>3.4761284949565733E-3</v>
      </c>
      <c r="F41" s="28">
        <f>TableC3!C38/TableC3!$C$91</f>
        <v>5.0284979279168118E-3</v>
      </c>
      <c r="G41" s="232">
        <f>TableC3!D38/TableC3!$C$91</f>
        <v>1.7890199695092034E-3</v>
      </c>
      <c r="H41" s="231">
        <f>TableC3!K38/TableC3!$C$91</f>
        <v>3.2394779584076078E-3</v>
      </c>
      <c r="I41" s="43"/>
      <c r="J41" s="43"/>
      <c r="K41" s="43"/>
    </row>
    <row r="42" spans="1:11">
      <c r="B42" s="185" t="s">
        <v>100</v>
      </c>
      <c r="C42" s="28">
        <f>(TableC2!D39+TableC2!O39)/(TableC2!$D$100+TableC2!$O$100)</f>
        <v>1.2968450859567E-2</v>
      </c>
      <c r="D42" s="232">
        <f>(TableC2!E39+TableC2!P39)/(TableC2!$D$100+TableC2!$O$100)</f>
        <v>1.0957458231402456E-2</v>
      </c>
      <c r="E42" s="233">
        <f>(TableC2!L39+TableC2!W39)/(TableC2!$D$100+TableC2!$O$100)</f>
        <v>2.0109926281645448E-3</v>
      </c>
      <c r="F42" s="28">
        <f>TableC3!C39/TableC3!$C$91</f>
        <v>1.5382207518861577E-2</v>
      </c>
      <c r="G42" s="232">
        <f>TableC3!D39/TableC3!$C$91</f>
        <v>1.0928225256139026E-2</v>
      </c>
      <c r="H42" s="231">
        <f>TableC3!K39/TableC3!$C$91</f>
        <v>4.4539822627225499E-3</v>
      </c>
      <c r="I42" s="43"/>
      <c r="J42" s="43"/>
      <c r="K42" s="43"/>
    </row>
    <row r="43" spans="1:11">
      <c r="B43" s="185" t="s">
        <v>21</v>
      </c>
      <c r="C43" s="28"/>
      <c r="D43" s="232"/>
      <c r="E43" s="233"/>
      <c r="F43" s="28"/>
      <c r="G43" s="232"/>
      <c r="H43" s="231"/>
      <c r="I43" s="43"/>
      <c r="J43" s="43"/>
      <c r="K43" s="43"/>
    </row>
    <row r="44" spans="1:11">
      <c r="B44" s="185" t="s">
        <v>44</v>
      </c>
      <c r="C44" s="28">
        <f>(TableC2!D41+TableC2!O41)/(TableC2!$D$100+TableC2!$O$100)</f>
        <v>5.9150805317260812E-3</v>
      </c>
      <c r="D44" s="232">
        <f>(TableC2!E41+TableC2!P41)/(TableC2!$D$100+TableC2!$O$100)</f>
        <v>1.8047638436071527E-3</v>
      </c>
      <c r="E44" s="233">
        <f>(TableC2!L41+TableC2!W41)/(TableC2!$D$100+TableC2!$O$100)</f>
        <v>4.1103166881189292E-3</v>
      </c>
      <c r="F44" s="28">
        <f>TableC3!C41/TableC3!$C$91</f>
        <v>7.5929868107591164E-4</v>
      </c>
      <c r="G44" s="232">
        <f>TableC3!D41/TableC3!$C$91</f>
        <v>7.2760750836909944E-4</v>
      </c>
      <c r="H44" s="231">
        <f>TableC3!K41/TableC3!$C$91</f>
        <v>3.1691172706812175E-5</v>
      </c>
      <c r="I44" s="43"/>
      <c r="J44" s="43"/>
      <c r="K44" s="43"/>
    </row>
    <row r="45" spans="1:11">
      <c r="B45" s="185" t="s">
        <v>28</v>
      </c>
      <c r="C45" s="28">
        <f>(TableC2!D42+TableC2!O42)/(TableC2!$D$100+TableC2!$O$100)</f>
        <v>0.11309359539718003</v>
      </c>
      <c r="D45" s="232">
        <f>(TableC2!E42+TableC2!P42)/(TableC2!$D$100+TableC2!$O$100)</f>
        <v>8.5852852508607747E-2</v>
      </c>
      <c r="E45" s="233">
        <f>(TableC2!L42+TableC2!W42)/(TableC2!$D$100+TableC2!$O$100)</f>
        <v>2.7240742888572284E-2</v>
      </c>
      <c r="F45" s="28">
        <f>TableC3!C42/TableC3!$C$91</f>
        <v>8.8359920842053602E-2</v>
      </c>
      <c r="G45" s="232">
        <f>TableC3!D42/TableC3!$C$91</f>
        <v>6.293229063488158E-2</v>
      </c>
      <c r="H45" s="231">
        <f>TableC3!K42/TableC3!$C$91</f>
        <v>2.5427630207172022E-2</v>
      </c>
      <c r="I45" s="43"/>
      <c r="J45" s="43"/>
      <c r="K45" s="43"/>
    </row>
    <row r="46" spans="1:11">
      <c r="B46" s="185" t="s">
        <v>11</v>
      </c>
      <c r="C46" s="28">
        <f>(TableC2!D43+TableC2!O43)/(TableC2!$D$100+TableC2!$O$100)</f>
        <v>0.17053618046450386</v>
      </c>
      <c r="D46" s="232">
        <f>(TableC2!E43+TableC2!P43)/(TableC2!$D$100+TableC2!$O$100)</f>
        <v>4.8124852378663027E-2</v>
      </c>
      <c r="E46" s="233">
        <f>(TableC2!L43+TableC2!W43)/(TableC2!$D$100+TableC2!$O$100)</f>
        <v>0.12241132808584085</v>
      </c>
      <c r="F46" s="28">
        <f>TableC3!C43/TableC3!$C$91</f>
        <v>0.49543163353131575</v>
      </c>
      <c r="G46" s="232">
        <f>TableC3!D43/TableC3!$C$91</f>
        <v>0.27841810953851953</v>
      </c>
      <c r="H46" s="231">
        <f>TableC3!K43/TableC3!$C$91</f>
        <v>0.21701352399279628</v>
      </c>
      <c r="I46" s="43"/>
      <c r="J46" s="43"/>
      <c r="K46" s="43"/>
    </row>
    <row r="47" spans="1:11" ht="31">
      <c r="B47" s="195" t="s">
        <v>77</v>
      </c>
      <c r="C47" s="32">
        <f>(TableC2!D44+TableC2!O44)/(TableC2!$D$100+TableC2!$O$100)</f>
        <v>0.17645830824825842</v>
      </c>
      <c r="D47" s="31">
        <f>(TableC2!E44+TableC2!P44)/(TableC2!$D$100+TableC2!$O$100)</f>
        <v>2.8782200110223102E-2</v>
      </c>
      <c r="E47" s="230">
        <f>(TableC2!L44+TableC2!W44)/(TableC2!$D$100+TableC2!$O$100)</f>
        <v>0.14767610813803533</v>
      </c>
      <c r="F47" s="32">
        <f>TableC3!C44/TableC3!$C$91</f>
        <v>0.10262200574178083</v>
      </c>
      <c r="G47" s="31">
        <f>TableC3!D44/TableC3!$C$91</f>
        <v>1.0949235452186533E-2</v>
      </c>
      <c r="H47" s="224">
        <f>TableC3!K44/TableC3!$C$91</f>
        <v>9.1672770289594335E-2</v>
      </c>
      <c r="I47" s="31"/>
      <c r="J47" s="31"/>
      <c r="K47" s="31"/>
    </row>
    <row r="48" spans="1:11">
      <c r="B48" s="199" t="s">
        <v>37</v>
      </c>
      <c r="C48" s="28">
        <f>(TableC2!D45+TableC2!O45)/(TableC2!$D$100+TableC2!$O$100)</f>
        <v>2.7668568948172864E-2</v>
      </c>
      <c r="D48" s="232">
        <f>(TableC2!E45+TableC2!P45)/(TableC2!$D$100+TableC2!$O$100)</f>
        <v>7.0343063533933204E-3</v>
      </c>
      <c r="E48" s="233">
        <f>(TableC2!L45+TableC2!W45)/(TableC2!$D$100+TableC2!$O$100)</f>
        <v>2.0634262594779545E-2</v>
      </c>
      <c r="F48" s="28">
        <f>TableC3!C45/TableC3!$C$91</f>
        <v>1.0991333484919354E-2</v>
      </c>
      <c r="G48" s="232">
        <f>TableC3!D45/TableC3!$C$91</f>
        <v>1.0509729693381273E-2</v>
      </c>
      <c r="H48" s="231">
        <f>TableC3!K45/TableC3!$C$91</f>
        <v>4.8160379153807954E-4</v>
      </c>
      <c r="I48" s="43"/>
      <c r="J48" s="43"/>
      <c r="K48" s="43"/>
    </row>
    <row r="49" spans="1:11">
      <c r="A49" s="219" t="s">
        <v>171</v>
      </c>
      <c r="B49" s="185" t="s">
        <v>47</v>
      </c>
      <c r="C49" s="28">
        <f>(TableC2!D46+TableC2!O46)/(TableC2!$D$100+TableC2!$O$100)</f>
        <v>9.5637145690837561E-2</v>
      </c>
      <c r="D49" s="232">
        <f>(TableC2!E46+TableC2!P46)/(TableC2!$D$100+TableC2!$O$100)</f>
        <v>7.7685122404079739E-3</v>
      </c>
      <c r="E49" s="233">
        <f>(TableC2!L46+TableC2!W46)/(TableC2!$D$100+TableC2!$O$100)</f>
        <v>8.7868633450429584E-2</v>
      </c>
      <c r="F49" s="28">
        <f>TableC3!C46/TableC3!$C$91</f>
        <v>7.3836598592048192E-2</v>
      </c>
      <c r="G49" s="232">
        <f>TableC3!D46/TableC3!$C$91</f>
        <v>1.0430444107014237E-5</v>
      </c>
      <c r="H49" s="231">
        <f>TableC3!K46/TableC3!$C$91</f>
        <v>7.3826168147941185E-2</v>
      </c>
      <c r="I49" s="43"/>
      <c r="J49" s="43"/>
      <c r="K49" s="43"/>
    </row>
    <row r="50" spans="1:11">
      <c r="B50" s="185" t="s">
        <v>121</v>
      </c>
      <c r="C50" s="28">
        <f>(TableC2!D47+TableC2!O47)/(TableC2!$D$100+TableC2!$O$100)</f>
        <v>2.3201809837607008E-3</v>
      </c>
      <c r="D50" s="232">
        <f>(TableC2!E47+TableC2!P47)/(TableC2!$D$100+TableC2!$O$100)</f>
        <v>6.380289816294456E-4</v>
      </c>
      <c r="E50" s="233">
        <f>(TableC2!L47+TableC2!W47)/(TableC2!$D$100+TableC2!$O$100)</f>
        <v>1.6821520021312549E-3</v>
      </c>
      <c r="F50" s="28">
        <f>TableC3!C47/TableC3!$C$91</f>
        <v>1.6204842415862718E-3</v>
      </c>
      <c r="G50" s="232">
        <f>TableC3!D47/TableC3!$C$91</f>
        <v>-4.78172516929098E-6</v>
      </c>
      <c r="H50" s="231">
        <f>TableC3!K47/TableC3!$C$91</f>
        <v>1.6252659667555626E-3</v>
      </c>
      <c r="I50" s="43"/>
      <c r="J50" s="43"/>
      <c r="K50" s="43"/>
    </row>
    <row r="51" spans="1:11">
      <c r="B51" s="185" t="s">
        <v>122</v>
      </c>
      <c r="C51" s="28">
        <f>(TableC2!D48+TableC2!O48)/(TableC2!$D$100+TableC2!$O$100)</f>
        <v>2.0072502200330342E-3</v>
      </c>
      <c r="D51" s="232">
        <f>(TableC2!E48+TableC2!P48)/(TableC2!$D$100+TableC2!$O$100)</f>
        <v>5.5197582547519299E-4</v>
      </c>
      <c r="E51" s="233">
        <f>(TableC2!L48+TableC2!W48)/(TableC2!$D$100+TableC2!$O$100)</f>
        <v>1.4552743945578414E-3</v>
      </c>
      <c r="F51" s="28">
        <f>TableC3!C48/TableC3!$C$91</f>
        <v>1.9337494602380704E-4</v>
      </c>
      <c r="G51" s="232">
        <f>TableC3!D48/TableC3!$C$91</f>
        <v>-2.3947692119236731E-6</v>
      </c>
      <c r="H51" s="231">
        <f>TableC3!K48/TableC3!$C$91</f>
        <v>1.9576971523573071E-4</v>
      </c>
      <c r="I51" s="43"/>
      <c r="J51" s="43"/>
      <c r="K51" s="43"/>
    </row>
    <row r="52" spans="1:11">
      <c r="B52" s="185" t="s">
        <v>45</v>
      </c>
      <c r="C52" s="28">
        <f>(TableC2!D49+TableC2!O49)/(TableC2!$D$100+TableC2!$O$100)</f>
        <v>1.9667148776766272E-2</v>
      </c>
      <c r="D52" s="232">
        <f>(TableC2!E49+TableC2!P49)/(TableC2!$D$100+TableC2!$O$100)</f>
        <v>4.6499124802106308E-3</v>
      </c>
      <c r="E52" s="233">
        <f>(TableC2!L49+TableC2!W49)/(TableC2!$D$100+TableC2!$O$100)</f>
        <v>1.5017236296555641E-2</v>
      </c>
      <c r="F52" s="28">
        <f>TableC3!C49/TableC3!$C$91</f>
        <v>7.5865478311569054E-3</v>
      </c>
      <c r="G52" s="232">
        <f>TableC3!D49/TableC3!$C$91</f>
        <v>4.6757525458261219E-5</v>
      </c>
      <c r="H52" s="231">
        <f>TableC3!K49/TableC3!$C$91</f>
        <v>7.5397903056986446E-3</v>
      </c>
      <c r="I52" s="43"/>
      <c r="J52" s="43"/>
      <c r="K52" s="43"/>
    </row>
    <row r="53" spans="1:11">
      <c r="A53" s="219" t="s">
        <v>172</v>
      </c>
      <c r="B53" s="185" t="s">
        <v>46</v>
      </c>
      <c r="C53" s="28">
        <f>(TableC2!D50+TableC2!O50)/(TableC2!$D$100+TableC2!$O$100)</f>
        <v>2.0989212918582138E-2</v>
      </c>
      <c r="D53" s="232">
        <f>(TableC2!E50+TableC2!P50)/(TableC2!$D$100+TableC2!$O$100)</f>
        <v>6.1633946204765443E-3</v>
      </c>
      <c r="E53" s="233">
        <f>(TableC2!L50+TableC2!W50)/(TableC2!$D$100+TableC2!$O$100)</f>
        <v>1.4825818298105593E-2</v>
      </c>
      <c r="F53" s="28">
        <f>TableC3!C50/TableC3!$C$91</f>
        <v>1.224641513658766E-3</v>
      </c>
      <c r="G53" s="232">
        <f>TableC3!D50/TableC3!$C$91</f>
        <v>1.1645414876082E-3</v>
      </c>
      <c r="H53" s="231">
        <f>TableC3!K50/TableC3!$C$91</f>
        <v>6.0100026050566073E-5</v>
      </c>
      <c r="I53" s="43"/>
      <c r="J53" s="43"/>
      <c r="K53" s="43"/>
    </row>
    <row r="54" spans="1:11">
      <c r="B54" s="185" t="s">
        <v>39</v>
      </c>
      <c r="C54" s="28">
        <f>(TableC2!D51+TableC2!O51)/(TableC2!$D$100+TableC2!$O$100)</f>
        <v>8.1688007101058877E-3</v>
      </c>
      <c r="D54" s="232">
        <f>(TableC2!E51+TableC2!P51)/(TableC2!$D$100+TableC2!$O$100)</f>
        <v>1.9760696086299967E-3</v>
      </c>
      <c r="E54" s="233">
        <f>(TableC2!L51+TableC2!W51)/(TableC2!$D$100+TableC2!$O$100)</f>
        <v>6.192731101475891E-3</v>
      </c>
      <c r="F54" s="28">
        <f>TableC3!C51/TableC3!$C$91</f>
        <v>7.1690251323875643E-3</v>
      </c>
      <c r="G54" s="232">
        <f>TableC3!D51/TableC3!$C$91</f>
        <v>-7.7504720398700237E-4</v>
      </c>
      <c r="H54" s="231">
        <f>TableC3!K51/TableC3!$C$91</f>
        <v>7.944072336374567E-3</v>
      </c>
      <c r="I54" s="43"/>
      <c r="J54" s="43"/>
      <c r="K54" s="43"/>
    </row>
    <row r="55" spans="1:11" ht="40" customHeight="1">
      <c r="B55" s="195" t="s">
        <v>124</v>
      </c>
      <c r="C55" s="48"/>
      <c r="D55" s="40"/>
      <c r="E55" s="230"/>
      <c r="F55" s="48"/>
      <c r="G55" s="40"/>
      <c r="H55" s="224"/>
      <c r="I55" s="31"/>
      <c r="J55" s="31"/>
      <c r="K55" s="31"/>
    </row>
    <row r="56" spans="1:11" ht="14" customHeight="1">
      <c r="B56" s="185" t="s">
        <v>173</v>
      </c>
      <c r="C56" s="227"/>
      <c r="D56" s="40"/>
      <c r="E56" s="228"/>
      <c r="F56" s="227"/>
      <c r="G56" s="40"/>
      <c r="H56" s="41"/>
      <c r="I56" s="27"/>
      <c r="J56" s="27"/>
      <c r="K56" s="27"/>
    </row>
    <row r="57" spans="1:11" ht="14" customHeight="1">
      <c r="B57" s="185" t="s">
        <v>174</v>
      </c>
      <c r="C57" s="227"/>
      <c r="D57" s="40"/>
      <c r="E57" s="228"/>
      <c r="F57" s="227"/>
      <c r="G57" s="40"/>
      <c r="H57" s="41"/>
      <c r="I57" s="27"/>
      <c r="J57" s="27"/>
      <c r="K57" s="27"/>
    </row>
    <row r="58" spans="1:11" ht="14" customHeight="1">
      <c r="B58" s="185" t="s">
        <v>175</v>
      </c>
      <c r="C58" s="227"/>
      <c r="D58" s="40"/>
      <c r="E58" s="228"/>
      <c r="F58" s="227"/>
      <c r="G58" s="40"/>
      <c r="H58" s="41"/>
      <c r="I58" s="27"/>
      <c r="J58" s="27"/>
      <c r="K58" s="27"/>
    </row>
    <row r="59" spans="1:11" ht="14" customHeight="1">
      <c r="B59" s="185" t="s">
        <v>176</v>
      </c>
      <c r="C59" s="227"/>
      <c r="D59" s="40"/>
      <c r="E59" s="228"/>
      <c r="F59" s="227"/>
      <c r="G59" s="40"/>
      <c r="H59" s="41"/>
      <c r="I59" s="27"/>
      <c r="J59" s="27"/>
      <c r="K59" s="27"/>
    </row>
    <row r="60" spans="1:11" ht="14" customHeight="1">
      <c r="A60" s="219" t="s">
        <v>177</v>
      </c>
      <c r="B60" s="185" t="s">
        <v>178</v>
      </c>
      <c r="C60" s="227"/>
      <c r="D60" s="40"/>
      <c r="E60" s="228"/>
      <c r="F60" s="227"/>
      <c r="G60" s="40"/>
      <c r="H60" s="41"/>
      <c r="I60" s="27"/>
      <c r="J60" s="27"/>
      <c r="K60" s="27"/>
    </row>
    <row r="61" spans="1:11" ht="14" customHeight="1">
      <c r="A61" s="219" t="s">
        <v>179</v>
      </c>
      <c r="B61" s="185" t="s">
        <v>180</v>
      </c>
      <c r="C61" s="227"/>
      <c r="D61" s="40"/>
      <c r="E61" s="228"/>
      <c r="F61" s="227"/>
      <c r="G61" s="40"/>
      <c r="H61" s="41"/>
      <c r="I61" s="27"/>
      <c r="J61" s="27"/>
      <c r="K61" s="27"/>
    </row>
    <row r="62" spans="1:11" ht="14" customHeight="1">
      <c r="B62" s="185" t="s">
        <v>181</v>
      </c>
      <c r="C62" s="227"/>
      <c r="D62" s="40"/>
      <c r="E62" s="228"/>
      <c r="F62" s="227"/>
      <c r="G62" s="40"/>
      <c r="H62" s="41"/>
      <c r="I62" s="27"/>
      <c r="J62" s="27"/>
      <c r="K62" s="27"/>
    </row>
    <row r="63" spans="1:11" ht="14" customHeight="1">
      <c r="B63" s="185" t="s">
        <v>182</v>
      </c>
      <c r="C63" s="227"/>
      <c r="D63" s="40"/>
      <c r="E63" s="228"/>
      <c r="F63" s="227"/>
      <c r="G63" s="40"/>
      <c r="H63" s="41"/>
      <c r="I63" s="27"/>
      <c r="J63" s="27"/>
      <c r="K63" s="27"/>
    </row>
    <row r="64" spans="1:11" ht="14" customHeight="1">
      <c r="B64" s="185" t="s">
        <v>89</v>
      </c>
      <c r="C64" s="227"/>
      <c r="D64" s="40"/>
      <c r="E64" s="228"/>
      <c r="F64" s="227"/>
      <c r="G64" s="40"/>
      <c r="H64" s="41"/>
      <c r="I64" s="27"/>
      <c r="J64" s="27"/>
      <c r="K64" s="27"/>
    </row>
    <row r="65" spans="1:11" ht="14" customHeight="1">
      <c r="A65" s="219" t="s">
        <v>375</v>
      </c>
      <c r="B65" s="185" t="s">
        <v>183</v>
      </c>
      <c r="C65" s="227"/>
      <c r="D65" s="40"/>
      <c r="E65" s="228"/>
      <c r="F65" s="227"/>
      <c r="G65" s="40"/>
      <c r="H65" s="41"/>
      <c r="I65" s="27"/>
      <c r="J65" s="27"/>
      <c r="K65" s="27"/>
    </row>
    <row r="66" spans="1:11" ht="14" customHeight="1">
      <c r="A66" s="219" t="s">
        <v>376</v>
      </c>
      <c r="B66" s="185" t="s">
        <v>364</v>
      </c>
      <c r="C66" s="227"/>
      <c r="D66" s="40"/>
      <c r="E66" s="228"/>
      <c r="F66" s="227"/>
      <c r="G66" s="40"/>
      <c r="H66" s="41"/>
      <c r="I66" s="27"/>
      <c r="J66" s="27"/>
      <c r="K66" s="27"/>
    </row>
    <row r="67" spans="1:11" ht="14" customHeight="1">
      <c r="B67" s="189" t="s">
        <v>185</v>
      </c>
      <c r="C67" s="229"/>
      <c r="D67" s="40"/>
      <c r="E67" s="228"/>
      <c r="F67" s="229"/>
      <c r="G67" s="40"/>
      <c r="H67" s="41"/>
      <c r="I67" s="27"/>
      <c r="J67" s="27"/>
      <c r="K67" s="27"/>
    </row>
    <row r="68" spans="1:11" ht="14" customHeight="1">
      <c r="B68" s="185" t="s">
        <v>186</v>
      </c>
      <c r="C68" s="227"/>
      <c r="D68" s="40"/>
      <c r="E68" s="228"/>
      <c r="F68" s="227"/>
      <c r="G68" s="40"/>
      <c r="H68" s="41"/>
      <c r="I68" s="27"/>
      <c r="J68" s="27"/>
      <c r="K68" s="27"/>
    </row>
    <row r="69" spans="1:11" ht="14" customHeight="1">
      <c r="B69" s="185" t="s">
        <v>187</v>
      </c>
      <c r="C69" s="227"/>
      <c r="D69" s="40"/>
      <c r="E69" s="228"/>
      <c r="F69" s="227"/>
      <c r="G69" s="40"/>
      <c r="H69" s="41"/>
      <c r="I69" s="27"/>
      <c r="J69" s="27"/>
      <c r="K69" s="27"/>
    </row>
    <row r="70" spans="1:11" ht="14" customHeight="1">
      <c r="B70" s="185" t="s">
        <v>188</v>
      </c>
      <c r="C70" s="227"/>
      <c r="D70" s="40"/>
      <c r="E70" s="228"/>
      <c r="F70" s="227"/>
      <c r="G70" s="40"/>
      <c r="H70" s="41"/>
      <c r="I70" s="27"/>
      <c r="J70" s="27"/>
      <c r="K70" s="27"/>
    </row>
    <row r="71" spans="1:11" ht="14" customHeight="1">
      <c r="B71" s="185" t="s">
        <v>189</v>
      </c>
      <c r="C71" s="227"/>
      <c r="D71" s="40"/>
      <c r="E71" s="228"/>
      <c r="F71" s="227"/>
      <c r="G71" s="40"/>
      <c r="H71" s="41"/>
      <c r="I71" s="27"/>
      <c r="J71" s="27"/>
      <c r="K71" s="27"/>
    </row>
    <row r="72" spans="1:11" ht="14" customHeight="1">
      <c r="B72" s="185" t="s">
        <v>190</v>
      </c>
      <c r="C72" s="227"/>
      <c r="D72" s="40"/>
      <c r="E72" s="228"/>
      <c r="F72" s="227"/>
      <c r="G72" s="40"/>
      <c r="H72" s="41"/>
      <c r="I72" s="27"/>
      <c r="J72" s="27"/>
      <c r="K72" s="27"/>
    </row>
    <row r="73" spans="1:11" ht="14" customHeight="1">
      <c r="A73" s="219" t="s">
        <v>191</v>
      </c>
      <c r="B73" s="185" t="s">
        <v>365</v>
      </c>
      <c r="C73" s="227"/>
      <c r="D73" s="40"/>
      <c r="E73" s="228"/>
      <c r="F73" s="227"/>
      <c r="G73" s="40"/>
      <c r="H73" s="41"/>
      <c r="I73" s="27"/>
      <c r="J73" s="27"/>
      <c r="K73" s="27"/>
    </row>
    <row r="74" spans="1:11" ht="14" customHeight="1">
      <c r="A74" s="219" t="s">
        <v>192</v>
      </c>
      <c r="B74" s="185" t="s">
        <v>24</v>
      </c>
      <c r="C74" s="227"/>
      <c r="D74" s="40"/>
      <c r="E74" s="228"/>
      <c r="F74" s="227"/>
      <c r="G74" s="40"/>
      <c r="H74" s="41"/>
      <c r="I74" s="27"/>
      <c r="J74" s="27"/>
      <c r="K74" s="27"/>
    </row>
    <row r="75" spans="1:11" ht="14" customHeight="1">
      <c r="B75" s="185" t="s">
        <v>193</v>
      </c>
      <c r="C75" s="227"/>
      <c r="D75" s="40"/>
      <c r="E75" s="228"/>
      <c r="F75" s="227"/>
      <c r="G75" s="40"/>
      <c r="H75" s="41"/>
      <c r="I75" s="27"/>
      <c r="J75" s="27"/>
      <c r="K75" s="27"/>
    </row>
    <row r="76" spans="1:11" ht="14" customHeight="1">
      <c r="B76" s="185" t="s">
        <v>194</v>
      </c>
      <c r="C76" s="227"/>
      <c r="D76" s="40"/>
      <c r="E76" s="228"/>
      <c r="F76" s="227"/>
      <c r="G76" s="40"/>
      <c r="H76" s="41"/>
      <c r="I76" s="27"/>
      <c r="J76" s="27"/>
      <c r="K76" s="500"/>
    </row>
    <row r="77" spans="1:11" ht="14" customHeight="1">
      <c r="B77" s="185" t="s">
        <v>195</v>
      </c>
      <c r="C77" s="227"/>
      <c r="D77" s="40"/>
      <c r="E77" s="228"/>
      <c r="F77" s="227"/>
      <c r="G77" s="40"/>
      <c r="H77" s="41"/>
      <c r="I77" s="27"/>
      <c r="J77" s="27"/>
      <c r="K77" s="27"/>
    </row>
    <row r="78" spans="1:11" ht="14" customHeight="1">
      <c r="A78" s="219" t="s">
        <v>196</v>
      </c>
      <c r="B78" s="185" t="s">
        <v>197</v>
      </c>
      <c r="C78" s="227"/>
      <c r="D78" s="40"/>
      <c r="E78" s="228"/>
      <c r="F78" s="227"/>
      <c r="G78" s="40"/>
      <c r="H78" s="41"/>
      <c r="I78" s="27"/>
      <c r="J78" s="27"/>
      <c r="K78" s="27"/>
    </row>
    <row r="79" spans="1:11" ht="14" customHeight="1">
      <c r="B79" s="185" t="s">
        <v>87</v>
      </c>
      <c r="C79" s="227"/>
      <c r="D79" s="40"/>
      <c r="E79" s="228"/>
      <c r="F79" s="227"/>
      <c r="G79" s="40"/>
      <c r="H79" s="41"/>
      <c r="I79" s="27"/>
      <c r="J79" s="27"/>
      <c r="K79" s="27"/>
    </row>
    <row r="80" spans="1:11" ht="14" customHeight="1">
      <c r="A80" s="219" t="s">
        <v>198</v>
      </c>
      <c r="B80" s="185" t="s">
        <v>134</v>
      </c>
      <c r="C80" s="227"/>
      <c r="D80" s="40"/>
      <c r="E80" s="228"/>
      <c r="F80" s="227"/>
      <c r="G80" s="40"/>
      <c r="H80" s="41"/>
      <c r="I80" s="27"/>
      <c r="J80" s="27"/>
      <c r="K80" s="27"/>
    </row>
    <row r="81" spans="1:11" ht="14" customHeight="1">
      <c r="B81" s="185" t="s">
        <v>199</v>
      </c>
      <c r="C81" s="227"/>
      <c r="D81" s="40"/>
      <c r="E81" s="228"/>
      <c r="F81" s="227"/>
      <c r="G81" s="40"/>
      <c r="H81" s="41"/>
      <c r="I81" s="27"/>
      <c r="J81" s="27"/>
      <c r="K81" s="27"/>
    </row>
    <row r="82" spans="1:11" ht="14" customHeight="1">
      <c r="B82" s="185" t="s">
        <v>200</v>
      </c>
      <c r="C82" s="227"/>
      <c r="D82" s="40"/>
      <c r="E82" s="228"/>
      <c r="F82" s="227"/>
      <c r="G82" s="40"/>
      <c r="H82" s="41"/>
      <c r="I82" s="27"/>
      <c r="J82" s="27"/>
      <c r="K82" s="27"/>
    </row>
    <row r="83" spans="1:11" ht="14" customHeight="1">
      <c r="B83" s="185" t="s">
        <v>201</v>
      </c>
      <c r="C83" s="227"/>
      <c r="D83" s="40"/>
      <c r="E83" s="228"/>
      <c r="F83" s="227"/>
      <c r="G83" s="40"/>
      <c r="H83" s="41"/>
      <c r="I83" s="27"/>
      <c r="J83" s="27"/>
      <c r="K83" s="27"/>
    </row>
    <row r="84" spans="1:11" ht="14" customHeight="1">
      <c r="B84" s="185" t="s">
        <v>202</v>
      </c>
      <c r="C84" s="227"/>
      <c r="D84" s="40"/>
      <c r="E84" s="228"/>
      <c r="F84" s="227"/>
      <c r="G84" s="40"/>
      <c r="H84" s="41"/>
      <c r="I84" s="27"/>
      <c r="J84" s="27"/>
      <c r="K84" s="27"/>
    </row>
    <row r="85" spans="1:11">
      <c r="B85" s="185" t="s">
        <v>22</v>
      </c>
      <c r="C85" s="227"/>
      <c r="D85" s="40"/>
      <c r="E85" s="228"/>
      <c r="F85" s="227"/>
      <c r="G85" s="40"/>
      <c r="H85" s="41"/>
      <c r="I85" s="27"/>
      <c r="J85" s="27"/>
      <c r="K85" s="27"/>
    </row>
    <row r="86" spans="1:11">
      <c r="B86" s="185" t="s">
        <v>524</v>
      </c>
      <c r="C86" s="227"/>
      <c r="D86" s="40"/>
      <c r="E86" s="228"/>
      <c r="F86" s="227"/>
      <c r="G86" s="40"/>
      <c r="H86" s="41"/>
      <c r="I86" s="27"/>
      <c r="J86" s="27"/>
      <c r="K86" s="27"/>
    </row>
    <row r="87" spans="1:11">
      <c r="B87" s="185" t="s">
        <v>523</v>
      </c>
      <c r="C87" s="227"/>
      <c r="D87" s="40"/>
      <c r="E87" s="228"/>
      <c r="F87" s="227"/>
      <c r="G87" s="40"/>
      <c r="H87" s="41"/>
      <c r="I87" s="27"/>
      <c r="J87" s="27"/>
      <c r="K87" s="27"/>
    </row>
    <row r="88" spans="1:11">
      <c r="B88" s="185" t="s">
        <v>522</v>
      </c>
      <c r="C88" s="227"/>
      <c r="D88" s="40"/>
      <c r="E88" s="228"/>
      <c r="F88" s="227"/>
      <c r="G88" s="40"/>
      <c r="H88" s="41"/>
      <c r="I88" s="27"/>
      <c r="J88" s="27"/>
      <c r="K88" s="27"/>
    </row>
    <row r="89" spans="1:11" ht="23">
      <c r="A89" s="219" t="s">
        <v>377</v>
      </c>
      <c r="B89" s="185" t="s">
        <v>206</v>
      </c>
      <c r="C89" s="227"/>
      <c r="D89" s="40"/>
      <c r="E89" s="228"/>
      <c r="F89" s="227"/>
      <c r="G89" s="40"/>
      <c r="H89" s="41"/>
      <c r="I89" s="27"/>
      <c r="J89" s="27"/>
      <c r="K89" s="27"/>
    </row>
    <row r="90" spans="1:11">
      <c r="B90" s="185" t="s">
        <v>207</v>
      </c>
      <c r="C90" s="227"/>
      <c r="D90" s="40"/>
      <c r="E90" s="228"/>
      <c r="F90" s="227"/>
      <c r="G90" s="40"/>
      <c r="H90" s="41"/>
      <c r="I90" s="27"/>
      <c r="J90" s="27"/>
      <c r="K90" s="27"/>
    </row>
    <row r="91" spans="1:11">
      <c r="B91" s="185" t="s">
        <v>18</v>
      </c>
      <c r="C91" s="227"/>
      <c r="D91" s="40"/>
      <c r="E91" s="228"/>
      <c r="F91" s="227"/>
      <c r="G91" s="40"/>
      <c r="H91" s="41"/>
      <c r="I91" s="27"/>
      <c r="J91" s="27"/>
      <c r="K91" s="27"/>
    </row>
    <row r="92" spans="1:11" ht="40" customHeight="1">
      <c r="B92" s="176" t="s">
        <v>367</v>
      </c>
      <c r="C92" s="226">
        <f>(TableC2!D98+TableC2!O98)/(TableC2!$D$100+TableC2!$O$100)</f>
        <v>0.17565119186478104</v>
      </c>
      <c r="D92" s="501">
        <f>(TableC2!E98+TableC2!P98)/(TableC2!$D$100+TableC2!$O$100)</f>
        <v>5.1557862229410771E-2</v>
      </c>
      <c r="E92" s="502">
        <f>(TableC2!L98+TableC2!W98)/(TableC2!$D$100+TableC2!$O$100)</f>
        <v>0.12409332963537026</v>
      </c>
      <c r="F92" s="226">
        <f>TableC3!C89/TableC3!$C$91</f>
        <v>3.2320250533842396E-2</v>
      </c>
      <c r="G92" s="501">
        <f>TableC3!D89/TableC3!$C$91</f>
        <v>4.0246479147966899E-3</v>
      </c>
      <c r="H92" s="225">
        <f>TableC3!K89/TableC3!$C$91</f>
        <v>2.82956026190457E-2</v>
      </c>
      <c r="I92" s="31"/>
      <c r="J92" s="31"/>
      <c r="K92" s="31"/>
    </row>
    <row r="93" spans="1:11" ht="40" hidden="1" customHeight="1">
      <c r="B93" s="166"/>
      <c r="C93" s="32"/>
      <c r="D93" s="31"/>
      <c r="E93" s="31"/>
      <c r="F93" s="32"/>
      <c r="G93" s="31"/>
      <c r="H93" s="224"/>
      <c r="I93" s="31"/>
      <c r="J93" s="31"/>
      <c r="K93" s="31"/>
    </row>
    <row r="94" spans="1:11" ht="40" customHeight="1" thickBot="1">
      <c r="B94" s="157" t="str">
        <f>+TableC3!B91</f>
        <v>Non-haven total</v>
      </c>
      <c r="C94" s="25">
        <f>(TableC2!D100+TableC2!O100)/(TableC2!$D$100+TableC2!$O$100)</f>
        <v>1</v>
      </c>
      <c r="D94" s="45">
        <f>(TableC2!E100+TableC2!P100)/(TableC2!$D$100+TableC2!$O$100)</f>
        <v>0.44044535926770095</v>
      </c>
      <c r="E94" s="45">
        <f>(TableC2!L100+TableC2!W100)/(TableC2!$D$100+TableC2!$O$100)</f>
        <v>0.55955464073229921</v>
      </c>
      <c r="F94" s="25">
        <f>TableC3!C91/TableC3!$C$91</f>
        <v>1</v>
      </c>
      <c r="G94" s="45">
        <f>TableC3!D91/TableC3!$C$91</f>
        <v>0.53582474991874207</v>
      </c>
      <c r="H94" s="223">
        <f>TableC3!K91/TableC3!$C$91</f>
        <v>0.46417525008125793</v>
      </c>
      <c r="I94" s="40"/>
      <c r="J94" s="40"/>
      <c r="K94" s="40"/>
    </row>
    <row r="95" spans="1:11" s="150" customFormat="1" ht="16" thickTop="1">
      <c r="D95" s="146"/>
      <c r="E95" s="146"/>
      <c r="G95" s="146"/>
      <c r="H95" s="146"/>
      <c r="I95" s="146"/>
      <c r="J95" s="146"/>
      <c r="K95" s="146"/>
    </row>
    <row r="97" spans="2:11" s="150" customFormat="1">
      <c r="B97" s="146"/>
      <c r="C97" s="146"/>
      <c r="D97" s="146"/>
      <c r="E97" s="146"/>
      <c r="F97" s="146"/>
      <c r="G97" s="146"/>
      <c r="H97" s="146"/>
      <c r="I97" s="146"/>
      <c r="J97" s="146"/>
      <c r="K97" s="146"/>
    </row>
  </sheetData>
  <mergeCells count="6">
    <mergeCell ref="B4:H4"/>
    <mergeCell ref="C8:E8"/>
    <mergeCell ref="F8:H8"/>
    <mergeCell ref="C9:C10"/>
    <mergeCell ref="F9:F10"/>
    <mergeCell ref="C7:H7"/>
  </mergeCells>
  <pageMargins left="0.7" right="0.7" top="0.75" bottom="0.75" header="0.3" footer="0.3"/>
  <pageSetup scale="6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9" tint="0.39997558519241921"/>
    <pageSetUpPr fitToPage="1"/>
  </sheetPr>
  <dimension ref="A3:S127"/>
  <sheetViews>
    <sheetView zoomScaleNormal="100" zoomScalePageLayoutView="70" workbookViewId="0">
      <pane xSplit="2" ySplit="11" topLeftCell="C49" activePane="bottomRight" state="frozen"/>
      <selection activeCell="B5" sqref="B5"/>
      <selection pane="topRight" activeCell="B5" sqref="B5"/>
      <selection pane="bottomLeft" activeCell="B5" sqref="B5"/>
      <selection pane="bottomRight" activeCell="B91" sqref="B91"/>
    </sheetView>
  </sheetViews>
  <sheetFormatPr defaultColWidth="10.81640625" defaultRowHeight="15.5"/>
  <cols>
    <col min="1" max="1" width="17.453125" style="146" hidden="1" customWidth="1"/>
    <col min="2" max="2" width="19" style="146" customWidth="1"/>
    <col min="3" max="9" width="12.81640625" style="146" customWidth="1"/>
    <col min="10" max="12" width="19.6328125" style="146" customWidth="1"/>
    <col min="13" max="13" width="10.81640625" style="146"/>
    <col min="14" max="14" width="19.453125" style="146" customWidth="1"/>
    <col min="15" max="15" width="13.6328125" style="146" customWidth="1"/>
    <col min="16" max="16384" width="10.81640625" style="146"/>
  </cols>
  <sheetData>
    <row r="3" spans="2:17" ht="16" thickBot="1"/>
    <row r="4" spans="2:17" ht="16" hidden="1" thickBot="1"/>
    <row r="5" spans="2:17" ht="32" customHeight="1">
      <c r="B5" s="922" t="s">
        <v>386</v>
      </c>
      <c r="C5" s="923"/>
      <c r="D5" s="923"/>
      <c r="E5" s="923"/>
      <c r="F5" s="923"/>
      <c r="G5" s="923"/>
      <c r="H5" s="923"/>
      <c r="I5" s="924"/>
      <c r="J5" s="239"/>
      <c r="K5" s="239"/>
      <c r="L5" s="239"/>
    </row>
    <row r="6" spans="2:17" ht="21" customHeight="1">
      <c r="B6" s="264"/>
      <c r="C6" s="239"/>
      <c r="D6" s="239"/>
      <c r="E6" s="239"/>
      <c r="F6" s="239"/>
      <c r="G6" s="239"/>
      <c r="H6" s="239"/>
      <c r="I6" s="266"/>
      <c r="J6" s="239"/>
      <c r="K6" s="239"/>
      <c r="L6" s="239"/>
    </row>
    <row r="7" spans="2:17" ht="16.5" customHeight="1">
      <c r="B7" s="264"/>
      <c r="C7" s="3" t="s">
        <v>49</v>
      </c>
      <c r="D7" s="3" t="s">
        <v>50</v>
      </c>
      <c r="E7" s="3" t="s">
        <v>51</v>
      </c>
      <c r="F7" s="3" t="s">
        <v>52</v>
      </c>
      <c r="G7" s="3" t="s">
        <v>53</v>
      </c>
      <c r="H7" s="3" t="s">
        <v>54</v>
      </c>
      <c r="I7" s="265" t="s">
        <v>55</v>
      </c>
      <c r="J7" s="239"/>
      <c r="K7" s="239"/>
      <c r="L7" s="239"/>
    </row>
    <row r="8" spans="2:17" ht="32" customHeight="1">
      <c r="B8" s="264"/>
      <c r="C8" s="929" t="s">
        <v>387</v>
      </c>
      <c r="D8" s="925" t="s">
        <v>388</v>
      </c>
      <c r="E8" s="920"/>
      <c r="F8" s="920"/>
      <c r="G8" s="920"/>
      <c r="H8" s="920"/>
      <c r="I8" s="926"/>
      <c r="J8" s="239"/>
      <c r="K8" s="239"/>
      <c r="L8" s="239"/>
    </row>
    <row r="9" spans="2:17" ht="21" customHeight="1">
      <c r="B9" s="254"/>
      <c r="C9" s="930"/>
      <c r="D9" s="903" t="s">
        <v>384</v>
      </c>
      <c r="E9" s="903"/>
      <c r="F9" s="903"/>
      <c r="G9" s="902" t="s">
        <v>385</v>
      </c>
      <c r="H9" s="903" t="s">
        <v>380</v>
      </c>
      <c r="I9" s="904"/>
      <c r="J9" s="238"/>
      <c r="K9" s="238"/>
      <c r="L9" s="238"/>
    </row>
    <row r="10" spans="2:17" ht="85" customHeight="1">
      <c r="B10" s="254"/>
      <c r="C10" s="930"/>
      <c r="D10" s="927" t="s">
        <v>349</v>
      </c>
      <c r="E10" s="494" t="s">
        <v>350</v>
      </c>
      <c r="F10" s="237" t="s">
        <v>351</v>
      </c>
      <c r="G10" s="917" t="s">
        <v>349</v>
      </c>
      <c r="H10" s="494" t="s">
        <v>350</v>
      </c>
      <c r="I10" s="440" t="s">
        <v>351</v>
      </c>
      <c r="J10" s="204"/>
      <c r="K10" s="204"/>
      <c r="L10" s="204"/>
    </row>
    <row r="11" spans="2:17" ht="21" customHeight="1">
      <c r="B11" s="254"/>
      <c r="C11" s="931"/>
      <c r="D11" s="928"/>
      <c r="E11" s="503"/>
      <c r="F11" s="263"/>
      <c r="G11" s="918"/>
      <c r="H11" s="503"/>
      <c r="I11" s="441"/>
      <c r="J11" s="204"/>
      <c r="K11" s="204"/>
      <c r="L11" s="204"/>
    </row>
    <row r="12" spans="2:17" ht="40" customHeight="1">
      <c r="B12" s="504" t="s">
        <v>76</v>
      </c>
      <c r="C12" s="505">
        <f>+SUM(C13:C47)</f>
        <v>6179.4810883275004</v>
      </c>
      <c r="D12" s="496">
        <f>TableC4!C10/(C12*1000)</f>
        <v>8.9946948125200515E-2</v>
      </c>
      <c r="E12" s="506">
        <f>+TableC4!D10/(TableC4c!$C12*1000)</f>
        <v>4.9993590688627208E-2</v>
      </c>
      <c r="F12" s="507">
        <f>+D12-E12</f>
        <v>3.9953357436573307E-2</v>
      </c>
      <c r="G12" s="496">
        <f>TableC4!N10/(C12*1000)</f>
        <v>0.12009638050512415</v>
      </c>
      <c r="H12" s="506">
        <f>+TableC4!O10/(TableC4c!$C12*1000)</f>
        <v>7.2309975038792315E-2</v>
      </c>
      <c r="I12" s="508">
        <f>+G12-H12</f>
        <v>4.7786405466331838E-2</v>
      </c>
      <c r="J12" s="40"/>
      <c r="K12" s="40"/>
      <c r="L12" s="40"/>
    </row>
    <row r="13" spans="2:17" ht="14" customHeight="1">
      <c r="B13" s="261" t="s">
        <v>27</v>
      </c>
      <c r="C13" s="260">
        <f>+'Table U1'!G9</f>
        <v>259.53879688000001</v>
      </c>
      <c r="D13" s="28">
        <f>TableC4!C11/(C13*1000)</f>
        <v>0.1031242801619052</v>
      </c>
      <c r="E13" s="232">
        <f>+TableC4!D11/(TableC4c!$C13*1000)</f>
        <v>2.6243724424169994E-2</v>
      </c>
      <c r="F13" s="233">
        <f>+D13-E13</f>
        <v>7.6880555737735196E-2</v>
      </c>
      <c r="G13" s="28">
        <f>TableC4!N11/(C13*1000)</f>
        <v>9.3889538112892981E-3</v>
      </c>
      <c r="H13" s="232">
        <f>+TableC4!O11/(TableC4c!$C13*1000)</f>
        <v>-8.3287014101748739E-4</v>
      </c>
      <c r="I13" s="251">
        <f>+G13-H13</f>
        <v>1.0221823952306785E-2</v>
      </c>
      <c r="J13" s="43"/>
      <c r="K13" s="40"/>
      <c r="L13" s="40"/>
    </row>
    <row r="14" spans="2:17" ht="14" customHeight="1">
      <c r="B14" s="261" t="s">
        <v>91</v>
      </c>
      <c r="C14" s="260">
        <f>+'Table U1'!G10</f>
        <v>54.133328130000002</v>
      </c>
      <c r="D14" s="28">
        <f>TableC4!C12/(C14*1000)</f>
        <v>7.7151918431345459E-2</v>
      </c>
      <c r="E14" s="232">
        <f>+TableC4!D12/(TableC4c!$C14*1000)</f>
        <v>5.8178974076980139E-2</v>
      </c>
      <c r="F14" s="233">
        <f>+D14-E14</f>
        <v>1.897294435436532E-2</v>
      </c>
      <c r="G14" s="28">
        <f>TableC4!N12/(C14*1000)</f>
        <v>5.7283273378829144E-2</v>
      </c>
      <c r="H14" s="232">
        <f>+TableC4!O12/(TableC4c!$C14*1000)</f>
        <v>9.530986299284205E-3</v>
      </c>
      <c r="I14" s="251">
        <f>+G14-H14</f>
        <v>4.7752287079544938E-2</v>
      </c>
      <c r="J14" s="43"/>
      <c r="K14" s="40"/>
      <c r="L14" s="40"/>
    </row>
    <row r="15" spans="2:17" ht="14" customHeight="1">
      <c r="B15" s="261" t="s">
        <v>25</v>
      </c>
      <c r="C15" s="260"/>
      <c r="D15" s="28"/>
      <c r="E15" s="232"/>
      <c r="F15" s="233"/>
      <c r="G15" s="28"/>
      <c r="H15" s="232"/>
      <c r="I15" s="251"/>
      <c r="J15" s="43"/>
      <c r="K15" s="40"/>
      <c r="L15" s="40"/>
      <c r="Q15" s="36"/>
    </row>
    <row r="16" spans="2:17" ht="14" customHeight="1">
      <c r="B16" s="261" t="s">
        <v>43</v>
      </c>
      <c r="C16" s="260">
        <f>+'Table U1'!G12</f>
        <v>184.63618750000001</v>
      </c>
      <c r="D16" s="28">
        <f>TableC4!C14/(C16*1000)</f>
        <v>0.12375383109516984</v>
      </c>
      <c r="E16" s="232">
        <f>+TableC4!D14/(TableC4c!$C16*1000)</f>
        <v>2.1154320047968501E-2</v>
      </c>
      <c r="F16" s="233">
        <f t="shared" ref="F16:F26" si="0">+D16-E16</f>
        <v>0.10259951104720133</v>
      </c>
      <c r="G16" s="28">
        <f>TableC4!N14/(C16*1000)</f>
        <v>0.12382914276171066</v>
      </c>
      <c r="H16" s="232">
        <f>+TableC4!O14/(TableC4c!$C16*1000)</f>
        <v>3.2484612699834242E-2</v>
      </c>
      <c r="I16" s="251">
        <f t="shared" ref="I16:I26" si="1">+G16-H16</f>
        <v>9.1344530061876414E-2</v>
      </c>
      <c r="J16" s="43"/>
      <c r="K16" s="40"/>
      <c r="L16" s="40"/>
      <c r="Q16" s="36"/>
    </row>
    <row r="17" spans="1:19" ht="14" customHeight="1">
      <c r="B17" s="261" t="s">
        <v>112</v>
      </c>
      <c r="C17" s="260">
        <f>+'Table U1'!G13</f>
        <v>67.274117189999998</v>
      </c>
      <c r="D17" s="28">
        <f>TableC4!C15/(C17*1000)</f>
        <v>0.11991189004137119</v>
      </c>
      <c r="E17" s="232">
        <f>+TableC4!D15/(TableC4c!$C17*1000)</f>
        <v>1.5412724765366833E-2</v>
      </c>
      <c r="F17" s="233">
        <f t="shared" si="0"/>
        <v>0.10449916527600436</v>
      </c>
      <c r="G17" s="28">
        <f>TableC4!N15/(C17*1000)</f>
        <v>-2.1605123111419718E-3</v>
      </c>
      <c r="H17" s="232">
        <f>+TableC4!O15/(TableC4c!$C17*1000)</f>
        <v>-2.5184507194612742E-3</v>
      </c>
      <c r="I17" s="251">
        <f t="shared" si="1"/>
        <v>3.5793840831930233E-4</v>
      </c>
      <c r="J17" s="43"/>
      <c r="K17" s="40"/>
      <c r="L17" s="40"/>
      <c r="Q17" s="158"/>
      <c r="S17" s="158"/>
    </row>
    <row r="18" spans="1:19" ht="14" customHeight="1">
      <c r="B18" s="261" t="s">
        <v>92</v>
      </c>
      <c r="C18" s="260">
        <f>+'Table U1'!G14</f>
        <v>35.933675779999994</v>
      </c>
      <c r="D18" s="28">
        <f>TableC4!C16/(C18*1000)</f>
        <v>6.8920630969982452E-2</v>
      </c>
      <c r="E18" s="232">
        <f>+TableC4!D16/(TableC4c!$C18*1000)</f>
        <v>5.6467365491591683E-2</v>
      </c>
      <c r="F18" s="233">
        <f t="shared" si="0"/>
        <v>1.245326547839077E-2</v>
      </c>
      <c r="G18" s="28">
        <f>TableC4!N16/(C18*1000)</f>
        <v>1.8287885910532698E-2</v>
      </c>
      <c r="H18" s="232">
        <f>+TableC4!O16/(TableC4c!$C18*1000)</f>
        <v>1.8282685353721063E-2</v>
      </c>
      <c r="I18" s="251">
        <f t="shared" si="1"/>
        <v>5.2005568116353373E-6</v>
      </c>
      <c r="J18" s="43"/>
      <c r="K18" s="40"/>
      <c r="L18" s="40"/>
    </row>
    <row r="19" spans="1:19" ht="14" customHeight="1">
      <c r="B19" s="261" t="s">
        <v>41</v>
      </c>
      <c r="C19" s="260">
        <f>+'Table U1'!G15</f>
        <v>51.200800779999994</v>
      </c>
      <c r="D19" s="28">
        <f>TableC4!C17/(C19*1000)</f>
        <v>9.6665615578302375E-2</v>
      </c>
      <c r="E19" s="232">
        <f>+TableC4!D17/(TableC4c!$C19*1000)</f>
        <v>8.4004538041623694E-2</v>
      </c>
      <c r="F19" s="233">
        <f t="shared" si="0"/>
        <v>1.266107753667868E-2</v>
      </c>
      <c r="G19" s="28">
        <f>TableC4!N17/(C19*1000)</f>
        <v>9.879559869692664E-2</v>
      </c>
      <c r="H19" s="232">
        <f>+TableC4!O17/(TableC4c!$C19*1000)</f>
        <v>5.7493786267662654E-2</v>
      </c>
      <c r="I19" s="251">
        <f t="shared" si="1"/>
        <v>4.1301812429263986E-2</v>
      </c>
      <c r="J19" s="43"/>
      <c r="K19" s="40"/>
      <c r="L19" s="40"/>
    </row>
    <row r="20" spans="1:19" ht="14" customHeight="1">
      <c r="B20" s="261" t="s">
        <v>93</v>
      </c>
      <c r="C20" s="260">
        <f>+'Table U1'!G16</f>
        <v>5.7749228500000003</v>
      </c>
      <c r="D20" s="28">
        <f>TableC4!C18/(C20*1000)</f>
        <v>6.2548841967896826E-2</v>
      </c>
      <c r="E20" s="232">
        <f>+TableC4!D18/(TableC4c!$C20*1000)</f>
        <v>4.9623977906038605E-2</v>
      </c>
      <c r="F20" s="233">
        <f t="shared" si="0"/>
        <v>1.2924864061858221E-2</v>
      </c>
      <c r="G20" s="28">
        <f>TableC4!N18/(C20*1000)</f>
        <v>-9.7732777953349684E-4</v>
      </c>
      <c r="H20" s="232">
        <f>+TableC4!O18/(TableC4c!$C20*1000)</f>
        <v>-9.7732777953349684E-4</v>
      </c>
      <c r="I20" s="251">
        <f t="shared" si="1"/>
        <v>0</v>
      </c>
      <c r="J20" s="43"/>
      <c r="K20" s="40"/>
      <c r="L20" s="40"/>
    </row>
    <row r="21" spans="1:19" ht="14" customHeight="1">
      <c r="B21" s="261" t="s">
        <v>94</v>
      </c>
      <c r="C21" s="260">
        <f>+'Table U1'!G17</f>
        <v>36.337035159999999</v>
      </c>
      <c r="D21" s="28">
        <f>TableC4!C19/(C21*1000)</f>
        <v>0.11615073402601382</v>
      </c>
      <c r="E21" s="232">
        <f>+TableC4!D19/(TableC4c!$C21*1000)</f>
        <v>9.4825610831179102E-2</v>
      </c>
      <c r="F21" s="233">
        <f t="shared" si="0"/>
        <v>2.1325123194834719E-2</v>
      </c>
      <c r="G21" s="28">
        <f>TableC4!N19/(C21*1000)</f>
        <v>8.6543172162685422E-2</v>
      </c>
      <c r="H21" s="232">
        <f>+TableC4!O19/(TableC4c!$C21*1000)</f>
        <v>7.8151457096663796E-2</v>
      </c>
      <c r="I21" s="251">
        <f t="shared" si="1"/>
        <v>8.3917150660216266E-3</v>
      </c>
      <c r="J21" s="43"/>
      <c r="K21" s="40"/>
      <c r="L21" s="40"/>
    </row>
    <row r="22" spans="1:19" ht="14" customHeight="1">
      <c r="B22" s="261" t="s">
        <v>32</v>
      </c>
      <c r="C22" s="260">
        <f>+'Table U1'!G18</f>
        <v>220.2555625</v>
      </c>
      <c r="D22" s="28">
        <f>TableC4!C20/(C22*1000)</f>
        <v>0.17104304124072001</v>
      </c>
      <c r="E22" s="232">
        <f>+TableC4!D20/(TableC4c!$C22*1000)</f>
        <v>0.14203877700216452</v>
      </c>
      <c r="F22" s="233">
        <f t="shared" si="0"/>
        <v>2.9004264238555483E-2</v>
      </c>
      <c r="G22" s="28">
        <f>TableC4!N20/(C22*1000)</f>
        <v>0.40671143110914099</v>
      </c>
      <c r="H22" s="232">
        <f>+TableC4!O20/(TableC4c!$C22*1000)</f>
        <v>0.32146461654986774</v>
      </c>
      <c r="I22" s="251">
        <f t="shared" si="1"/>
        <v>8.5246814559273243E-2</v>
      </c>
      <c r="J22" s="43"/>
      <c r="K22" s="43"/>
      <c r="L22" s="43"/>
    </row>
    <row r="23" spans="1:19" ht="14" customHeight="1">
      <c r="B23" s="261" t="s">
        <v>34</v>
      </c>
      <c r="C23" s="260">
        <f>+'Table U1'!G19</f>
        <v>518.68740624999998</v>
      </c>
      <c r="D23" s="28">
        <f>TableC4!C21/(C23*1000)</f>
        <v>0.12893340016763022</v>
      </c>
      <c r="E23" s="232">
        <f>+TableC4!D21/(TableC4c!$C23*1000)</f>
        <v>0.1081212401406584</v>
      </c>
      <c r="F23" s="233">
        <f t="shared" si="0"/>
        <v>2.0812160026971824E-2</v>
      </c>
      <c r="G23" s="28">
        <f>TableC4!N21/(C23*1000)</f>
        <v>9.5638518575161896E-2</v>
      </c>
      <c r="H23" s="232">
        <f>+TableC4!O21/(TableC4c!$C23*1000)</f>
        <v>6.8072900873432596E-2</v>
      </c>
      <c r="I23" s="251">
        <f t="shared" si="1"/>
        <v>2.75656177017293E-2</v>
      </c>
      <c r="J23" s="43"/>
      <c r="K23" s="43"/>
      <c r="L23" s="43"/>
    </row>
    <row r="24" spans="1:19" ht="14" customHeight="1">
      <c r="B24" s="261" t="s">
        <v>40</v>
      </c>
      <c r="C24" s="260">
        <f>+'Table U1'!G20</f>
        <v>18.8516543</v>
      </c>
      <c r="D24" s="28">
        <f>TableC4!C22/(C24*1000)</f>
        <v>9.0233738212788822E-2</v>
      </c>
      <c r="E24" s="232">
        <f>+TableC4!D22/(TableC4c!$C24*1000)</f>
        <v>7.6064072415192141E-2</v>
      </c>
      <c r="F24" s="233">
        <f t="shared" si="0"/>
        <v>1.4169665797596681E-2</v>
      </c>
      <c r="G24" s="28">
        <f>TableC4!N22/(C24*1000)</f>
        <v>3.2449910531056947E-2</v>
      </c>
      <c r="H24" s="232">
        <f>+TableC4!O22/(TableC4c!$C24*1000)</f>
        <v>3.2390870698252333E-2</v>
      </c>
      <c r="I24" s="251">
        <f t="shared" si="1"/>
        <v>5.9039832804613779E-5</v>
      </c>
      <c r="J24" s="43"/>
      <c r="K24" s="43"/>
      <c r="L24" s="43"/>
    </row>
    <row r="25" spans="1:19" ht="14" customHeight="1">
      <c r="B25" s="261" t="s">
        <v>95</v>
      </c>
      <c r="C25" s="260">
        <f>+'Table U1'!G21</f>
        <v>26.26563281</v>
      </c>
      <c r="D25" s="28">
        <f>TableC4!C23/(C25*1000)</f>
        <v>0.19448039660394537</v>
      </c>
      <c r="E25" s="232">
        <f>+TableC4!D23/(TableC4c!$C25*1000)</f>
        <v>0.16671337243055601</v>
      </c>
      <c r="F25" s="233">
        <f t="shared" si="0"/>
        <v>2.776702417338936E-2</v>
      </c>
      <c r="G25" s="28">
        <f>TableC4!N23/(C25*1000)</f>
        <v>2.6501033606152122E-2</v>
      </c>
      <c r="H25" s="232">
        <f>+TableC4!O23/(TableC4c!$C25*1000)</f>
        <v>2.6132140663098422E-2</v>
      </c>
      <c r="I25" s="251">
        <f t="shared" si="1"/>
        <v>3.6889294305370024E-4</v>
      </c>
      <c r="J25" s="43"/>
      <c r="K25" s="43"/>
      <c r="L25" s="43"/>
    </row>
    <row r="26" spans="1:19" ht="14" customHeight="1">
      <c r="B26" s="261" t="s">
        <v>113</v>
      </c>
      <c r="C26" s="260">
        <f>+'Table U1'!G22</f>
        <v>3.7286610675</v>
      </c>
      <c r="D26" s="28">
        <f>TableC4!C24/(C26*1000)</f>
        <v>0.15640030196743648</v>
      </c>
      <c r="E26" s="232">
        <f>+TableC4!D24/(TableC4c!$C26*1000)</f>
        <v>5.8880297154654815E-2</v>
      </c>
      <c r="F26" s="233">
        <f t="shared" si="0"/>
        <v>9.7520004812781669E-2</v>
      </c>
      <c r="G26" s="28">
        <f>TableC4!N24/(C26*1000)</f>
        <v>5.1147738333765071E-3</v>
      </c>
      <c r="H26" s="232">
        <f>+TableC4!O24/(TableC4c!$C26*1000)</f>
        <v>4.8585619112450386E-3</v>
      </c>
      <c r="I26" s="251">
        <f t="shared" si="1"/>
        <v>2.5621192213146852E-4</v>
      </c>
      <c r="J26" s="43"/>
      <c r="K26" s="43"/>
      <c r="L26" s="43"/>
    </row>
    <row r="27" spans="1:19" ht="14" customHeight="1">
      <c r="B27" s="261" t="s">
        <v>20</v>
      </c>
      <c r="C27" s="260"/>
      <c r="D27" s="28"/>
      <c r="E27" s="232"/>
      <c r="F27" s="233"/>
      <c r="G27" s="28"/>
      <c r="H27" s="232"/>
      <c r="I27" s="251"/>
      <c r="J27" s="43"/>
      <c r="K27" s="43"/>
      <c r="L27" s="43"/>
    </row>
    <row r="28" spans="1:19" ht="14" customHeight="1">
      <c r="B28" s="261" t="s">
        <v>114</v>
      </c>
      <c r="C28" s="260">
        <f>+'Table U1'!G24</f>
        <v>74.033171879999998</v>
      </c>
      <c r="D28" s="28">
        <f>TableC4!C26/(C28*1000)</f>
        <v>5.8101250059306039E-2</v>
      </c>
      <c r="E28" s="232">
        <f>+TableC4!D26/(TableC4c!$C28*1000)</f>
        <v>4.5403032784869036E-3</v>
      </c>
      <c r="F28" s="233">
        <f>+D28-E28</f>
        <v>5.3560946780819137E-2</v>
      </c>
      <c r="G28" s="28">
        <f>TableC4!N26/(C28*1000)</f>
        <v>1.0040550480941116E-2</v>
      </c>
      <c r="H28" s="232">
        <f>+TableC4!O26/(TableC4c!$C28*1000)</f>
        <v>1.2428749365942474E-3</v>
      </c>
      <c r="I28" s="251"/>
      <c r="J28" s="43"/>
      <c r="K28" s="43"/>
      <c r="L28" s="43"/>
    </row>
    <row r="29" spans="1:19" ht="14" customHeight="1">
      <c r="B29" s="261" t="s">
        <v>33</v>
      </c>
      <c r="C29" s="260">
        <f>+'Table U1'!G25</f>
        <v>280.77043750000001</v>
      </c>
      <c r="D29" s="28">
        <f>TableC4!C27/(C29*1000)</f>
        <v>9.1207343475720598E-2</v>
      </c>
      <c r="E29" s="232">
        <f>+TableC4!D27/(TableC4c!$C29*1000)</f>
        <v>8.0874810718638945E-2</v>
      </c>
      <c r="F29" s="233">
        <f>+D29-E29</f>
        <v>1.0332532757081653E-2</v>
      </c>
      <c r="G29" s="28">
        <f>TableC4!N27/(C29*1000)</f>
        <v>1.8555075627598939E-2</v>
      </c>
      <c r="H29" s="232">
        <f>+TableC4!O27/(TableC4c!$C29*1000)</f>
        <v>1.2493729654883868E-2</v>
      </c>
      <c r="I29" s="251">
        <f>+G29-H29</f>
        <v>6.0613459727150709E-3</v>
      </c>
      <c r="J29" s="43"/>
      <c r="K29" s="43"/>
      <c r="L29" s="43"/>
    </row>
    <row r="30" spans="1:19" ht="14" customHeight="1">
      <c r="B30" s="261" t="s">
        <v>31</v>
      </c>
      <c r="C30" s="260">
        <f>+'Table U1'!G26</f>
        <v>614.32806249999999</v>
      </c>
      <c r="D30" s="28">
        <f>TableC4!C28/(C30*1000)</f>
        <v>2.5382847682664987E-2</v>
      </c>
      <c r="E30" s="232">
        <f>+TableC4!D28/(TableC4c!$C30*1000)</f>
        <v>1.4291929013025092E-2</v>
      </c>
      <c r="F30" s="233">
        <f>+D30-E30</f>
        <v>1.1090918669639896E-2</v>
      </c>
      <c r="G30" s="28">
        <f>TableC4!N28/(C30*1000)</f>
        <v>4.3712304789321629E-2</v>
      </c>
      <c r="H30" s="232">
        <f>+TableC4!O28/(TableC4c!$C30*1000)</f>
        <v>1.9230208412935275E-2</v>
      </c>
      <c r="I30" s="251">
        <f>+G30-H30</f>
        <v>2.4482096376386354E-2</v>
      </c>
      <c r="J30" s="43"/>
      <c r="K30" s="43"/>
      <c r="L30" s="43"/>
    </row>
    <row r="31" spans="1:19" ht="14" customHeight="1">
      <c r="A31" s="146" t="s">
        <v>361</v>
      </c>
      <c r="B31" s="261" t="s">
        <v>48</v>
      </c>
      <c r="C31" s="260">
        <f>+'Table U1'!G27</f>
        <v>294.73221875000002</v>
      </c>
      <c r="D31" s="28">
        <f>TableC4!C29/(C31*1000)</f>
        <v>3.0140713265957367E-2</v>
      </c>
      <c r="E31" s="232">
        <f>+TableC4!D29/(TableC4c!$C31*1000)</f>
        <v>5.704036415161191E-3</v>
      </c>
      <c r="F31" s="233">
        <f>+D31-E31</f>
        <v>2.4436676850796174E-2</v>
      </c>
      <c r="G31" s="28">
        <f>TableC4!N29/(C31*1000)</f>
        <v>7.3914654101024735E-3</v>
      </c>
      <c r="H31" s="232">
        <f>+TableC4!O29/(TableC4c!$C31*1000)</f>
        <v>3.6819257474007962E-3</v>
      </c>
      <c r="I31" s="251">
        <f>+G31-H31</f>
        <v>3.7095396627016774E-3</v>
      </c>
      <c r="J31" s="43"/>
      <c r="K31" s="43"/>
      <c r="L31" s="43"/>
    </row>
    <row r="32" spans="1:19" ht="14" customHeight="1">
      <c r="B32" s="254" t="s">
        <v>96</v>
      </c>
      <c r="C32" s="260">
        <f>+'Table U1'!G28</f>
        <v>4.3954589799999999</v>
      </c>
      <c r="D32" s="28">
        <f>TableC4!C30/(C32*1000)</f>
        <v>7.7251810634200641E-2</v>
      </c>
      <c r="E32" s="232">
        <f>+TableC4!D30/(TableC4c!$C32*1000)</f>
        <v>5.6480854733534827E-2</v>
      </c>
      <c r="F32" s="233">
        <f>+D32-E32</f>
        <v>2.0770955900665813E-2</v>
      </c>
      <c r="G32" s="28">
        <f>TableC4!N30/(C32*1000)</f>
        <v>-4.1083195364280812E-4</v>
      </c>
      <c r="H32" s="232">
        <f>+TableC4!O30/(TableC4c!$C32*1000)</f>
        <v>-4.3773610863240275E-4</v>
      </c>
      <c r="I32" s="251">
        <f>+G32-H32</f>
        <v>2.690415498959463E-5</v>
      </c>
      <c r="J32" s="43"/>
      <c r="K32" s="43"/>
      <c r="L32" s="43"/>
    </row>
    <row r="33" spans="1:12" ht="14" customHeight="1">
      <c r="B33" s="254" t="s">
        <v>19</v>
      </c>
      <c r="C33" s="260"/>
      <c r="D33" s="28"/>
      <c r="E33" s="232"/>
      <c r="F33" s="233"/>
      <c r="G33" s="28"/>
      <c r="H33" s="232"/>
      <c r="I33" s="251"/>
      <c r="J33" s="43"/>
      <c r="K33" s="43"/>
      <c r="L33" s="43"/>
    </row>
    <row r="34" spans="1:12" ht="14" customHeight="1">
      <c r="B34" s="254" t="s">
        <v>38</v>
      </c>
      <c r="C34" s="260">
        <f>+'Table U1'!G30</f>
        <v>317.60262499999999</v>
      </c>
      <c r="D34" s="28">
        <f>TableC4!C32/(C34*1000)</f>
        <v>5.6747007821172347E-2</v>
      </c>
      <c r="E34" s="232">
        <f>+TableC4!D32/(TableC4c!$C34*1000)</f>
        <v>1.2200494737869489E-2</v>
      </c>
      <c r="F34" s="233">
        <f>+D34-E34</f>
        <v>4.4546513083302861E-2</v>
      </c>
      <c r="G34" s="28">
        <f>TableC4!N32/(C34*1000)</f>
        <v>1.593062920028054E-2</v>
      </c>
      <c r="H34" s="232">
        <f>+TableC4!O32/(TableC4c!$C34*1000)</f>
        <v>1.3174422739516963E-2</v>
      </c>
      <c r="I34" s="251">
        <f>+G34-H34</f>
        <v>2.7562064607635772E-3</v>
      </c>
      <c r="J34" s="43"/>
      <c r="K34" s="43"/>
      <c r="L34" s="43"/>
    </row>
    <row r="35" spans="1:12" ht="14" customHeight="1">
      <c r="B35" s="254" t="s">
        <v>23</v>
      </c>
      <c r="C35" s="260"/>
      <c r="D35" s="28"/>
      <c r="E35" s="232"/>
      <c r="F35" s="233"/>
      <c r="G35" s="28"/>
      <c r="H35" s="232"/>
      <c r="I35" s="251"/>
      <c r="J35" s="43"/>
      <c r="K35" s="43"/>
      <c r="L35" s="43"/>
    </row>
    <row r="36" spans="1:12" ht="14" customHeight="1">
      <c r="B36" s="254" t="s">
        <v>116</v>
      </c>
      <c r="C36" s="260">
        <f>+'Table U1'!G32</f>
        <v>36.535996089999998</v>
      </c>
      <c r="D36" s="28">
        <f>TableC4!C34/(C36*1000)</f>
        <v>7.6447942796125185E-2</v>
      </c>
      <c r="E36" s="232">
        <f>+TableC4!D34/(TableC4c!$C36*1000)</f>
        <v>1.392815622708541E-2</v>
      </c>
      <c r="F36" s="233">
        <f t="shared" ref="F36:F43" si="2">+D36-E36</f>
        <v>6.2519786569039781E-2</v>
      </c>
      <c r="G36" s="28">
        <f>TableC4!N34/(C36*1000)</f>
        <v>2.5299078183730971E-2</v>
      </c>
      <c r="H36" s="232">
        <f>+TableC4!O34/(TableC4c!$C36*1000)</f>
        <v>-4.1328667688099088E-3</v>
      </c>
      <c r="I36" s="251">
        <f t="shared" ref="I36:I43" si="3">+G36-H36</f>
        <v>2.9431944952540881E-2</v>
      </c>
      <c r="J36" s="43"/>
      <c r="K36" s="43"/>
      <c r="L36" s="43"/>
    </row>
    <row r="37" spans="1:12" ht="14" customHeight="1">
      <c r="B37" s="254" t="s">
        <v>117</v>
      </c>
      <c r="C37" s="260">
        <f>+'Table U1'!G33</f>
        <v>78.26272655999999</v>
      </c>
      <c r="D37" s="28">
        <f>TableC4!C35/(C37*1000)</f>
        <v>9.1976598133789597E-2</v>
      </c>
      <c r="E37" s="232">
        <f>+TableC4!D35/(TableC4c!$C37*1000)</f>
        <v>3.721996962175482E-2</v>
      </c>
      <c r="F37" s="233">
        <f t="shared" si="2"/>
        <v>5.4756628512034777E-2</v>
      </c>
      <c r="G37" s="28">
        <f>TableC4!N35/(C37*1000)</f>
        <v>9.6591202289280337E-2</v>
      </c>
      <c r="H37" s="232">
        <f>+TableC4!O35/(TableC4c!$C37*1000)</f>
        <v>6.8272748958778592E-2</v>
      </c>
      <c r="I37" s="251">
        <f t="shared" si="3"/>
        <v>2.8318453330501744E-2</v>
      </c>
      <c r="J37" s="43"/>
      <c r="K37" s="43"/>
      <c r="L37" s="43"/>
    </row>
    <row r="38" spans="1:12" ht="14" customHeight="1">
      <c r="B38" s="254" t="s">
        <v>97</v>
      </c>
      <c r="C38" s="260">
        <f>+'Table U1'!G34</f>
        <v>99.780570310000002</v>
      </c>
      <c r="D38" s="28">
        <f>TableC4!C36/(C38*1000)</f>
        <v>4.7481548399981505E-2</v>
      </c>
      <c r="E38" s="232">
        <f>+TableC4!D36/(TableC4c!$C38*1000)</f>
        <v>4.1297865774239891E-2</v>
      </c>
      <c r="F38" s="233">
        <f t="shared" si="2"/>
        <v>6.1836826257416141E-3</v>
      </c>
      <c r="G38" s="28">
        <f>TableC4!N36/(C38*1000)</f>
        <v>-3.5244060816545006E-2</v>
      </c>
      <c r="H38" s="232">
        <f>+TableC4!O36/(TableC4c!$C38*1000)</f>
        <v>-3.5269687837821785E-2</v>
      </c>
      <c r="I38" s="251">
        <f t="shared" si="3"/>
        <v>2.5627021276779238E-5</v>
      </c>
      <c r="J38" s="43"/>
      <c r="K38" s="43"/>
      <c r="L38" s="43"/>
    </row>
    <row r="39" spans="1:12" ht="14" customHeight="1">
      <c r="B39" s="254" t="s">
        <v>42</v>
      </c>
      <c r="C39" s="260">
        <f>+'Table U1'!G35</f>
        <v>31.016179690000001</v>
      </c>
      <c r="D39" s="28">
        <f>TableC4!C37/(C39*1000)</f>
        <v>9.8454980322898539E-2</v>
      </c>
      <c r="E39" s="232">
        <f>+TableC4!D37/(TableC4c!$C39*1000)</f>
        <v>8.8526350719282901E-2</v>
      </c>
      <c r="F39" s="233">
        <f t="shared" si="2"/>
        <v>9.928629603615638E-3</v>
      </c>
      <c r="G39" s="28">
        <f>TableC4!N37/(C39*1000)</f>
        <v>1.2473647635381929E-2</v>
      </c>
      <c r="H39" s="232">
        <f>+TableC4!O37/(TableC4c!$C39*1000)</f>
        <v>1.4248667053411461E-4</v>
      </c>
      <c r="I39" s="251">
        <f t="shared" si="3"/>
        <v>1.2331160964847813E-2</v>
      </c>
      <c r="J39" s="43"/>
      <c r="K39" s="43"/>
      <c r="L39" s="43"/>
    </row>
    <row r="40" spans="1:12" ht="14" customHeight="1">
      <c r="A40" s="146" t="s">
        <v>119</v>
      </c>
      <c r="B40" s="254" t="s">
        <v>98</v>
      </c>
      <c r="C40" s="260">
        <f>+'Table U1'!G36</f>
        <v>15.407387699999999</v>
      </c>
      <c r="D40" s="28">
        <f>TableC4!C38/(C40*1000)</f>
        <v>6.0283484066319566E-2</v>
      </c>
      <c r="E40" s="232">
        <f>+TableC4!D38/(TableC4c!$C40*1000)</f>
        <v>5.1543940686155365E-2</v>
      </c>
      <c r="F40" s="233">
        <f t="shared" si="2"/>
        <v>8.7395433801642011E-3</v>
      </c>
      <c r="G40" s="28">
        <f>TableC4!N38/(C40*1000)</f>
        <v>8.1224066992722586E-3</v>
      </c>
      <c r="H40" s="232">
        <f>+TableC4!O38/(TableC4c!$C40*1000)</f>
        <v>7.8021903510346298E-3</v>
      </c>
      <c r="I40" s="251">
        <f t="shared" si="3"/>
        <v>3.2021634823762874E-4</v>
      </c>
      <c r="J40" s="43"/>
      <c r="K40" s="43"/>
      <c r="L40" s="43"/>
    </row>
    <row r="41" spans="1:12" ht="14" customHeight="1">
      <c r="B41" s="254" t="s">
        <v>99</v>
      </c>
      <c r="C41" s="260">
        <f>+'Table U1'!G37</f>
        <v>5.1024096700000001</v>
      </c>
      <c r="D41" s="28">
        <f>TableC4!C39/(C41*1000)</f>
        <v>7.1891629985151348E-2</v>
      </c>
      <c r="E41" s="232">
        <f>+TableC4!D39/(TableC4c!$C41*1000)</f>
        <v>5.6767697422270502E-2</v>
      </c>
      <c r="F41" s="233">
        <f t="shared" si="2"/>
        <v>1.5123932562880846E-2</v>
      </c>
      <c r="G41" s="28">
        <f>TableC4!N39/(C41*1000)</f>
        <v>-1.9246288917110406E-3</v>
      </c>
      <c r="H41" s="232">
        <f>+TableC4!O39/(TableC4c!$C41*1000)</f>
        <v>-2.068101646746237E-3</v>
      </c>
      <c r="I41" s="251">
        <f t="shared" si="3"/>
        <v>1.4347275503519643E-4</v>
      </c>
      <c r="J41" s="43"/>
      <c r="K41" s="43"/>
      <c r="L41" s="43"/>
    </row>
    <row r="42" spans="1:12" ht="14" customHeight="1">
      <c r="B42" s="254" t="s">
        <v>30</v>
      </c>
      <c r="C42" s="260">
        <f>+'Table U1'!G38</f>
        <v>196.68835938000001</v>
      </c>
      <c r="D42" s="28">
        <f>TableC4!C40/(C42*1000)</f>
        <v>9.4893863647238966E-2</v>
      </c>
      <c r="E42" s="232">
        <f>+TableC4!D40/(TableC4c!$C42*1000)</f>
        <v>7.9731950937599327E-2</v>
      </c>
      <c r="F42" s="233">
        <f t="shared" si="2"/>
        <v>1.5161912709639638E-2</v>
      </c>
      <c r="G42" s="28">
        <f>TableC4!N40/(C42*1000)</f>
        <v>2.1932919555274082E-2</v>
      </c>
      <c r="H42" s="232">
        <f>+TableC4!O40/(TableC4c!$C42*1000)</f>
        <v>7.8032111450585433E-3</v>
      </c>
      <c r="I42" s="251">
        <f t="shared" si="3"/>
        <v>1.412970841021554E-2</v>
      </c>
      <c r="J42" s="43"/>
      <c r="K42" s="43"/>
      <c r="L42" s="43"/>
    </row>
    <row r="43" spans="1:12" ht="14" customHeight="1">
      <c r="B43" s="254" t="s">
        <v>100</v>
      </c>
      <c r="C43" s="260">
        <f>+'Table U1'!G39</f>
        <v>68.312031250000004</v>
      </c>
      <c r="D43" s="28">
        <f>TableC4!C41/(C43*1000)</f>
        <v>0.16286498722109985</v>
      </c>
      <c r="E43" s="232">
        <f>+TableC4!D41/(TableC4c!$C43*1000)</f>
        <v>0.13760982820215439</v>
      </c>
      <c r="F43" s="233">
        <f t="shared" si="2"/>
        <v>2.5255159018945456E-2</v>
      </c>
      <c r="G43" s="28">
        <f>TableC4!N41/(C43*1000)</f>
        <v>0.19317827997501802</v>
      </c>
      <c r="H43" s="232">
        <f>+TableC4!O41/(TableC4c!$C43*1000)</f>
        <v>0.13724270431093025</v>
      </c>
      <c r="I43" s="251">
        <f t="shared" si="3"/>
        <v>5.5935575664087772E-2</v>
      </c>
      <c r="J43" s="43"/>
      <c r="K43" s="43"/>
      <c r="L43" s="43"/>
    </row>
    <row r="44" spans="1:12" ht="14" customHeight="1">
      <c r="B44" s="254" t="s">
        <v>21</v>
      </c>
      <c r="C44" s="260"/>
      <c r="D44" s="28"/>
      <c r="E44" s="232"/>
      <c r="F44" s="233"/>
      <c r="G44" s="28"/>
      <c r="H44" s="232"/>
      <c r="I44" s="251"/>
      <c r="J44" s="43"/>
      <c r="K44" s="43"/>
      <c r="L44" s="43"/>
    </row>
    <row r="45" spans="1:12" ht="14" customHeight="1">
      <c r="B45" s="254" t="s">
        <v>44</v>
      </c>
      <c r="C45" s="260">
        <f>+'Table U1'!G41</f>
        <v>166.56882811999998</v>
      </c>
      <c r="D45" s="28">
        <f>TableC4!C43/(C45*1000)</f>
        <v>3.0465180774829063E-2</v>
      </c>
      <c r="E45" s="232">
        <f>+TableC4!D43/(TableC4c!$C45*1000)</f>
        <v>9.2953014682494589E-3</v>
      </c>
      <c r="F45" s="233">
        <f t="shared" ref="F45:F76" si="4">+D45-E45</f>
        <v>2.1169879306579605E-2</v>
      </c>
      <c r="G45" s="28">
        <f>TableC4!N43/(C45*1000)</f>
        <v>3.9107111825435661E-3</v>
      </c>
      <c r="H45" s="232">
        <f>+TableC4!O43/(TableC4c!$C45*1000)</f>
        <v>3.7474881629581285E-3</v>
      </c>
      <c r="I45" s="251">
        <f t="shared" ref="I45:I76" si="5">+G45-H45</f>
        <v>1.6322301958543754E-4</v>
      </c>
      <c r="J45" s="43"/>
      <c r="K45" s="43"/>
      <c r="L45" s="43"/>
    </row>
    <row r="46" spans="1:12" ht="14" customHeight="1">
      <c r="B46" s="254" t="s">
        <v>28</v>
      </c>
      <c r="C46" s="260">
        <f>+'Table U1'!G42</f>
        <v>384.46734375</v>
      </c>
      <c r="D46" s="28">
        <f>TableC4!C44/(C46*1000)</f>
        <v>0.25235701512616815</v>
      </c>
      <c r="E46" s="232">
        <f>+TableC4!D44/(TableC4c!$C46*1000)</f>
        <v>0.19157202954818814</v>
      </c>
      <c r="F46" s="233">
        <f t="shared" si="4"/>
        <v>6.0784985577980011E-2</v>
      </c>
      <c r="G46" s="28">
        <f>TableC4!N44/(C46*1000)</f>
        <v>0.19716630108163616</v>
      </c>
      <c r="H46" s="232">
        <f>+TableC4!O44/(TableC4c!$C46*1000)</f>
        <v>0.14042709460156769</v>
      </c>
      <c r="I46" s="251">
        <f t="shared" si="5"/>
        <v>5.6739206480068471E-2</v>
      </c>
      <c r="J46" s="43"/>
      <c r="K46" s="43"/>
      <c r="L46" s="43"/>
    </row>
    <row r="47" spans="1:12" ht="14" customHeight="1">
      <c r="B47" s="254" t="s">
        <v>11</v>
      </c>
      <c r="C47" s="260">
        <f>+'Table U1'!G43</f>
        <v>2028.8595</v>
      </c>
      <c r="D47" s="28">
        <f>TableC4!C45/(C47*1000)</f>
        <v>7.2110978207452672E-2</v>
      </c>
      <c r="E47" s="232">
        <f>+TableC4!D45/(TableC4c!$C47*1000)</f>
        <v>2.0349524491883271E-2</v>
      </c>
      <c r="F47" s="233">
        <f t="shared" si="4"/>
        <v>5.1761453715569401E-2</v>
      </c>
      <c r="G47" s="28">
        <f>TableC4!N45/(C47*1000)</f>
        <v>0.20949255243989451</v>
      </c>
      <c r="H47" s="232">
        <f>+TableC4!O45/(TableC4c!$C47*1000)</f>
        <v>0.11772869648427048</v>
      </c>
      <c r="I47" s="251">
        <f t="shared" si="5"/>
        <v>9.176385595562403E-2</v>
      </c>
      <c r="J47" s="43"/>
      <c r="K47" s="43"/>
      <c r="L47" s="43"/>
    </row>
    <row r="48" spans="1:12" ht="40" customHeight="1">
      <c r="B48" s="259" t="s">
        <v>77</v>
      </c>
      <c r="C48" s="262">
        <f>SUM(C49:C55)</f>
        <v>4355.5397843439996</v>
      </c>
      <c r="D48" s="32">
        <f>TableC4!C46/(C48*1000)</f>
        <v>3.4756573464098522E-2</v>
      </c>
      <c r="E48" s="31">
        <f>+TableC4!D46/(TableC4c!$C48*1000)</f>
        <v>5.6691615289767849E-3</v>
      </c>
      <c r="F48" s="230">
        <f t="shared" si="4"/>
        <v>2.9087411935121738E-2</v>
      </c>
      <c r="G48" s="32">
        <f>TableC4!N46/(C48*1000)</f>
        <v>2.0213212497647012E-2</v>
      </c>
      <c r="H48" s="31">
        <f>+TableC4!O46/(TableC4c!$C48*1000)</f>
        <v>2.1566448763309458E-3</v>
      </c>
      <c r="I48" s="246">
        <f t="shared" si="5"/>
        <v>1.8056567621316067E-2</v>
      </c>
      <c r="J48" s="31"/>
      <c r="K48" s="31"/>
      <c r="L48" s="31"/>
    </row>
    <row r="49" spans="1:12">
      <c r="B49" s="261" t="s">
        <v>37</v>
      </c>
      <c r="C49" s="260">
        <f>+'Table U1'!G45</f>
        <v>351.06943749999999</v>
      </c>
      <c r="D49" s="28">
        <f>TableC4!C47/(C49*1000)</f>
        <v>6.7613046085717679E-2</v>
      </c>
      <c r="E49" s="232">
        <f>+TableC4!D47/(TableC4c!$C49*1000)</f>
        <v>1.7189572779999052E-2</v>
      </c>
      <c r="F49" s="233">
        <f t="shared" si="4"/>
        <v>5.0423473305718627E-2</v>
      </c>
      <c r="G49" s="28">
        <f>TableC4!N47/(C49*1000)</f>
        <v>2.6859269044647128E-2</v>
      </c>
      <c r="H49" s="232">
        <f>+TableC4!O47/(TableC4c!$C49*1000)</f>
        <v>2.5682384927029223E-2</v>
      </c>
      <c r="I49" s="251">
        <f t="shared" si="5"/>
        <v>1.1768841176179046E-3</v>
      </c>
      <c r="J49" s="43"/>
      <c r="K49" s="43"/>
      <c r="L49" s="43"/>
    </row>
    <row r="50" spans="1:12">
      <c r="A50" s="219" t="s">
        <v>171</v>
      </c>
      <c r="B50" s="254" t="s">
        <v>47</v>
      </c>
      <c r="C50" s="260">
        <f>+'Table U1'!G46</f>
        <v>2923.3314999999998</v>
      </c>
      <c r="D50" s="28">
        <f>TableC4!C48/(C50*1000)</f>
        <v>2.8066313230190144E-2</v>
      </c>
      <c r="E50" s="232">
        <f>+TableC4!D48/(TableC4c!$C50*1000)</f>
        <v>2.2797993007516635E-3</v>
      </c>
      <c r="F50" s="233">
        <f t="shared" si="4"/>
        <v>2.5786513929438482E-2</v>
      </c>
      <c r="G50" s="28">
        <f>TableC4!N48/(C50*1000)</f>
        <v>2.1668579598092066E-2</v>
      </c>
      <c r="H50" s="232">
        <f>+TableC4!O48/(TableC4c!$C50*1000)</f>
        <v>3.060987541219548E-6</v>
      </c>
      <c r="I50" s="251">
        <f t="shared" si="5"/>
        <v>2.1665518610550848E-2</v>
      </c>
      <c r="J50" s="43"/>
      <c r="K50" s="43"/>
      <c r="L50" s="43"/>
    </row>
    <row r="51" spans="1:12">
      <c r="B51" s="254" t="s">
        <v>121</v>
      </c>
      <c r="C51" s="260">
        <f>+'Table U1'!G47</f>
        <v>61.907554689999998</v>
      </c>
      <c r="D51" s="28">
        <f>TableC4!C49/(C51*1000)</f>
        <v>3.2152521775552445E-2</v>
      </c>
      <c r="E51" s="232">
        <f>+TableC4!D49/(TableC4c!$C51*1000)</f>
        <v>8.8416554005297833E-3</v>
      </c>
      <c r="F51" s="233">
        <f t="shared" si="4"/>
        <v>2.3310866375022662E-2</v>
      </c>
      <c r="G51" s="28">
        <f>TableC4!N49/(C51*1000)</f>
        <v>2.2456289069351314E-2</v>
      </c>
      <c r="H51" s="232">
        <f>+TableC4!O49/(TableC4c!$C51*1000)</f>
        <v>-6.6264021516604404E-5</v>
      </c>
      <c r="I51" s="251">
        <f t="shared" si="5"/>
        <v>2.2522553090867918E-2</v>
      </c>
      <c r="J51" s="43"/>
      <c r="K51" s="43"/>
      <c r="L51" s="43"/>
    </row>
    <row r="52" spans="1:12">
      <c r="B52" s="254" t="s">
        <v>122</v>
      </c>
      <c r="C52" s="260">
        <f>+'Table U1'!G48</f>
        <v>14.493277340000001</v>
      </c>
      <c r="D52" s="28">
        <f>TableC4!C50/(C52*1000)</f>
        <v>0.11881512777326941</v>
      </c>
      <c r="E52" s="232">
        <f>+TableC4!D50/(TableC4c!$C52*1000)</f>
        <v>3.2673095549847084E-2</v>
      </c>
      <c r="F52" s="233">
        <f t="shared" si="4"/>
        <v>8.614203222342233E-2</v>
      </c>
      <c r="G52" s="28">
        <f>TableC4!N50/(C52*1000)</f>
        <v>1.1446439856207658E-2</v>
      </c>
      <c r="H52" s="232">
        <f>+TableC4!O50/(TableC4c!$C52*1000)</f>
        <v>-1.417535327994734E-4</v>
      </c>
      <c r="I52" s="251">
        <f t="shared" si="5"/>
        <v>1.158819338900713E-2</v>
      </c>
      <c r="J52" s="43"/>
      <c r="K52" s="43"/>
      <c r="L52" s="43"/>
    </row>
    <row r="53" spans="1:12" ht="14" customHeight="1">
      <c r="B53" s="254" t="s">
        <v>45</v>
      </c>
      <c r="C53" s="260">
        <f>+'Table U1'!G49</f>
        <v>566.31044450399997</v>
      </c>
      <c r="D53" s="28">
        <f>TableC4!C51/(C53*1000)</f>
        <v>2.9793646441527637E-2</v>
      </c>
      <c r="E53" s="232">
        <f>+TableC4!D51/(TableC4c!$C53*1000)</f>
        <v>7.044124697073717E-3</v>
      </c>
      <c r="F53" s="233">
        <f t="shared" si="4"/>
        <v>2.274952174445392E-2</v>
      </c>
      <c r="G53" s="28">
        <f>TableC4!N51/(C53*1000)</f>
        <v>1.1492816084263733E-2</v>
      </c>
      <c r="H53" s="232">
        <f>+TableC4!O51/(TableC4c!$C53*1000)</f>
        <v>7.0832696584360508E-5</v>
      </c>
      <c r="I53" s="251">
        <f t="shared" si="5"/>
        <v>1.1421983387679371E-2</v>
      </c>
      <c r="J53" s="43"/>
      <c r="K53" s="43"/>
      <c r="L53" s="43"/>
    </row>
    <row r="54" spans="1:12" ht="14" customHeight="1">
      <c r="A54" s="219" t="s">
        <v>172</v>
      </c>
      <c r="B54" s="254" t="s">
        <v>46</v>
      </c>
      <c r="C54" s="260">
        <f>+'Table U1'!G50</f>
        <v>373.17500000000001</v>
      </c>
      <c r="D54" s="28">
        <f>TableC4!C52/(C54*1000)</f>
        <v>4.8252568916345176E-2</v>
      </c>
      <c r="E54" s="232">
        <f>+TableC4!D52/(TableC4c!$C54*1000)</f>
        <v>1.4169165124809523E-2</v>
      </c>
      <c r="F54" s="233">
        <f t="shared" si="4"/>
        <v>3.4083403791535655E-2</v>
      </c>
      <c r="G54" s="28">
        <f>TableC4!N52/(C54*1000)</f>
        <v>2.8153556431514191E-3</v>
      </c>
      <c r="H54" s="232">
        <f>+TableC4!O52/(TableC4c!$C54*1000)</f>
        <v>2.6771903550994944E-3</v>
      </c>
      <c r="I54" s="251">
        <f t="shared" si="5"/>
        <v>1.3816528805192475E-4</v>
      </c>
      <c r="J54" s="43"/>
      <c r="K54" s="43"/>
      <c r="L54" s="43"/>
    </row>
    <row r="55" spans="1:12" ht="14" customHeight="1">
      <c r="B55" s="254" t="s">
        <v>39</v>
      </c>
      <c r="C55" s="260">
        <f>+'Table U1'!G51</f>
        <v>65.252570309999996</v>
      </c>
      <c r="D55" s="28">
        <f>TableC4!C53/(C55*1000)</f>
        <v>0.10739832440478439</v>
      </c>
      <c r="E55" s="232">
        <f>+TableC4!D53/(TableC4c!$C55*1000)</f>
        <v>2.5980137403955439E-2</v>
      </c>
      <c r="F55" s="233">
        <f t="shared" si="4"/>
        <v>8.1418187000828951E-2</v>
      </c>
      <c r="G55" s="28">
        <f>TableC4!N53/(C55*1000)</f>
        <v>9.4253895297224333E-2</v>
      </c>
      <c r="H55" s="232">
        <f>+TableC4!O53/(TableC4c!$C55*1000)</f>
        <v>-1.0189839854929968E-2</v>
      </c>
      <c r="I55" s="251">
        <f t="shared" si="5"/>
        <v>0.1044437351521543</v>
      </c>
      <c r="J55" s="43"/>
      <c r="K55" s="43"/>
      <c r="L55" s="43"/>
    </row>
    <row r="56" spans="1:12" ht="40" hidden="1" customHeight="1">
      <c r="B56" s="259" t="s">
        <v>124</v>
      </c>
      <c r="C56" s="193"/>
      <c r="D56" s="48" t="e">
        <f>TableC4!C54/(C56*1000)</f>
        <v>#DIV/0!</v>
      </c>
      <c r="E56" s="252" t="e">
        <f>+TableC4!D54/(TableC4c!$C56*1000)</f>
        <v>#DIV/0!</v>
      </c>
      <c r="F56" s="258" t="e">
        <f t="shared" si="4"/>
        <v>#DIV/0!</v>
      </c>
      <c r="G56" s="48" t="e">
        <f>TableC4!N54/(C56*1000)</f>
        <v>#DIV/0!</v>
      </c>
      <c r="H56" s="252" t="e">
        <f>+TableC4!O54/(TableC4c!$C56*1000)</f>
        <v>#DIV/0!</v>
      </c>
      <c r="I56" s="257" t="e">
        <f t="shared" si="5"/>
        <v>#DIV/0!</v>
      </c>
      <c r="J56" s="31"/>
      <c r="K56" s="31"/>
      <c r="L56" s="31"/>
    </row>
    <row r="57" spans="1:12" ht="14" hidden="1" customHeight="1">
      <c r="B57" s="254" t="s">
        <v>173</v>
      </c>
      <c r="C57" s="253"/>
      <c r="D57" s="227" t="e">
        <f>TableC4!C55/(C57*1000)</f>
        <v>#DIV/0!</v>
      </c>
      <c r="E57" s="252" t="e">
        <f>+TableC4!D55/(TableC4c!$C57*1000)</f>
        <v>#DIV/0!</v>
      </c>
      <c r="F57" s="233" t="e">
        <f t="shared" si="4"/>
        <v>#DIV/0!</v>
      </c>
      <c r="G57" s="227" t="e">
        <f>TableC4!N55/(C57*1000)</f>
        <v>#DIV/0!</v>
      </c>
      <c r="H57" s="252" t="e">
        <f>+TableC4!O55/(TableC4c!$C57*1000)</f>
        <v>#DIV/0!</v>
      </c>
      <c r="I57" s="251" t="e">
        <f t="shared" si="5"/>
        <v>#DIV/0!</v>
      </c>
      <c r="J57" s="27"/>
      <c r="K57" s="27"/>
      <c r="L57" s="27"/>
    </row>
    <row r="58" spans="1:12" ht="14" hidden="1" customHeight="1">
      <c r="B58" s="254" t="s">
        <v>174</v>
      </c>
      <c r="C58" s="253"/>
      <c r="D58" s="227" t="e">
        <f>TableC4!C56/(C58*1000)</f>
        <v>#DIV/0!</v>
      </c>
      <c r="E58" s="252" t="e">
        <f>+TableC4!D56/(TableC4c!$C58*1000)</f>
        <v>#DIV/0!</v>
      </c>
      <c r="F58" s="233" t="e">
        <f t="shared" si="4"/>
        <v>#DIV/0!</v>
      </c>
      <c r="G58" s="227" t="e">
        <f>TableC4!N56/(C58*1000)</f>
        <v>#DIV/0!</v>
      </c>
      <c r="H58" s="252" t="e">
        <f>+TableC4!O56/(TableC4c!$C58*1000)</f>
        <v>#DIV/0!</v>
      </c>
      <c r="I58" s="251" t="e">
        <f t="shared" si="5"/>
        <v>#DIV/0!</v>
      </c>
      <c r="J58" s="27"/>
      <c r="K58" s="27"/>
      <c r="L58" s="27"/>
    </row>
    <row r="59" spans="1:12" ht="14" hidden="1" customHeight="1">
      <c r="B59" s="254" t="s">
        <v>175</v>
      </c>
      <c r="C59" s="253"/>
      <c r="D59" s="227" t="e">
        <f>TableC4!C57/(C59*1000)</f>
        <v>#DIV/0!</v>
      </c>
      <c r="E59" s="252" t="e">
        <f>+TableC4!D57/(TableC4c!$C59*1000)</f>
        <v>#DIV/0!</v>
      </c>
      <c r="F59" s="233" t="e">
        <f t="shared" si="4"/>
        <v>#DIV/0!</v>
      </c>
      <c r="G59" s="227" t="e">
        <f>TableC4!N57/(C59*1000)</f>
        <v>#DIV/0!</v>
      </c>
      <c r="H59" s="252" t="e">
        <f>+TableC4!O57/(TableC4c!$C59*1000)</f>
        <v>#DIV/0!</v>
      </c>
      <c r="I59" s="251" t="e">
        <f t="shared" si="5"/>
        <v>#DIV/0!</v>
      </c>
      <c r="J59" s="27"/>
      <c r="K59" s="27"/>
      <c r="L59" s="27"/>
    </row>
    <row r="60" spans="1:12" ht="14" hidden="1" customHeight="1">
      <c r="B60" s="254" t="s">
        <v>176</v>
      </c>
      <c r="C60" s="253"/>
      <c r="D60" s="227" t="e">
        <f>TableC4!C58/(C60*1000)</f>
        <v>#DIV/0!</v>
      </c>
      <c r="E60" s="252" t="e">
        <f>+TableC4!D58/(TableC4c!$C60*1000)</f>
        <v>#DIV/0!</v>
      </c>
      <c r="F60" s="233" t="e">
        <f t="shared" si="4"/>
        <v>#DIV/0!</v>
      </c>
      <c r="G60" s="227" t="e">
        <f>TableC4!N58/(C60*1000)</f>
        <v>#DIV/0!</v>
      </c>
      <c r="H60" s="252" t="e">
        <f>+TableC4!O58/(TableC4c!$C60*1000)</f>
        <v>#DIV/0!</v>
      </c>
      <c r="I60" s="251" t="e">
        <f t="shared" si="5"/>
        <v>#DIV/0!</v>
      </c>
      <c r="J60" s="27"/>
      <c r="K60" s="27"/>
      <c r="L60" s="27"/>
    </row>
    <row r="61" spans="1:12" ht="14" hidden="1" customHeight="1">
      <c r="A61" s="219" t="s">
        <v>177</v>
      </c>
      <c r="B61" s="254" t="s">
        <v>178</v>
      </c>
      <c r="C61" s="253"/>
      <c r="D61" s="227" t="e">
        <f>TableC4!C59/(C61*1000)</f>
        <v>#DIV/0!</v>
      </c>
      <c r="E61" s="252" t="e">
        <f>+TableC4!D59/(TableC4c!$C61*1000)</f>
        <v>#DIV/0!</v>
      </c>
      <c r="F61" s="233" t="e">
        <f t="shared" si="4"/>
        <v>#DIV/0!</v>
      </c>
      <c r="G61" s="227" t="e">
        <f>TableC4!N59/(C61*1000)</f>
        <v>#DIV/0!</v>
      </c>
      <c r="H61" s="252" t="e">
        <f>+TableC4!O59/(TableC4c!$C61*1000)</f>
        <v>#DIV/0!</v>
      </c>
      <c r="I61" s="251" t="e">
        <f t="shared" si="5"/>
        <v>#DIV/0!</v>
      </c>
      <c r="J61" s="27"/>
      <c r="K61" s="27"/>
      <c r="L61" s="27"/>
    </row>
    <row r="62" spans="1:12" ht="14" hidden="1" customHeight="1">
      <c r="A62" s="219" t="s">
        <v>179</v>
      </c>
      <c r="B62" s="254" t="s">
        <v>180</v>
      </c>
      <c r="C62" s="253"/>
      <c r="D62" s="227" t="e">
        <f>TableC4!C60/(C62*1000)</f>
        <v>#DIV/0!</v>
      </c>
      <c r="E62" s="252" t="e">
        <f>+TableC4!D60/(TableC4c!$C62*1000)</f>
        <v>#DIV/0!</v>
      </c>
      <c r="F62" s="233" t="e">
        <f t="shared" si="4"/>
        <v>#DIV/0!</v>
      </c>
      <c r="G62" s="227" t="e">
        <f>TableC4!N60/(C62*1000)</f>
        <v>#DIV/0!</v>
      </c>
      <c r="H62" s="252" t="e">
        <f>+TableC4!O60/(TableC4c!$C62*1000)</f>
        <v>#DIV/0!</v>
      </c>
      <c r="I62" s="251" t="e">
        <f t="shared" si="5"/>
        <v>#DIV/0!</v>
      </c>
      <c r="J62" s="27"/>
      <c r="K62" s="27"/>
      <c r="L62" s="27"/>
    </row>
    <row r="63" spans="1:12" ht="14" hidden="1" customHeight="1">
      <c r="B63" s="254" t="s">
        <v>181</v>
      </c>
      <c r="C63" s="253"/>
      <c r="D63" s="227" t="e">
        <f>TableC4!C61/(C63*1000)</f>
        <v>#DIV/0!</v>
      </c>
      <c r="E63" s="252" t="e">
        <f>+TableC4!D61/(TableC4c!$C63*1000)</f>
        <v>#DIV/0!</v>
      </c>
      <c r="F63" s="233" t="e">
        <f t="shared" si="4"/>
        <v>#DIV/0!</v>
      </c>
      <c r="G63" s="227" t="e">
        <f>TableC4!N61/(C63*1000)</f>
        <v>#DIV/0!</v>
      </c>
      <c r="H63" s="252" t="e">
        <f>+TableC4!O61/(TableC4c!$C63*1000)</f>
        <v>#DIV/0!</v>
      </c>
      <c r="I63" s="251" t="e">
        <f t="shared" si="5"/>
        <v>#DIV/0!</v>
      </c>
      <c r="J63" s="27"/>
      <c r="K63" s="27"/>
      <c r="L63" s="27"/>
    </row>
    <row r="64" spans="1:12" ht="14" hidden="1" customHeight="1">
      <c r="B64" s="254" t="s">
        <v>182</v>
      </c>
      <c r="C64" s="253"/>
      <c r="D64" s="227" t="e">
        <f>TableC4!C62/(C64*1000)</f>
        <v>#DIV/0!</v>
      </c>
      <c r="E64" s="252" t="e">
        <f>+TableC4!D62/(TableC4c!$C64*1000)</f>
        <v>#DIV/0!</v>
      </c>
      <c r="F64" s="233" t="e">
        <f t="shared" si="4"/>
        <v>#DIV/0!</v>
      </c>
      <c r="G64" s="227" t="e">
        <f>TableC4!N62/(C64*1000)</f>
        <v>#DIV/0!</v>
      </c>
      <c r="H64" s="252" t="e">
        <f>+TableC4!O62/(TableC4c!$C64*1000)</f>
        <v>#DIV/0!</v>
      </c>
      <c r="I64" s="251" t="e">
        <f t="shared" si="5"/>
        <v>#DIV/0!</v>
      </c>
      <c r="J64" s="27"/>
      <c r="K64" s="27"/>
      <c r="L64" s="27"/>
    </row>
    <row r="65" spans="1:12" ht="14" hidden="1" customHeight="1">
      <c r="B65" s="254" t="s">
        <v>89</v>
      </c>
      <c r="C65" s="253"/>
      <c r="D65" s="227" t="e">
        <f>TableC4!C63/(C65*1000)</f>
        <v>#DIV/0!</v>
      </c>
      <c r="E65" s="252" t="e">
        <f>+TableC4!D63/(TableC4c!$C65*1000)</f>
        <v>#DIV/0!</v>
      </c>
      <c r="F65" s="233" t="e">
        <f t="shared" si="4"/>
        <v>#DIV/0!</v>
      </c>
      <c r="G65" s="227" t="e">
        <f>TableC4!N63/(C65*1000)</f>
        <v>#DIV/0!</v>
      </c>
      <c r="H65" s="252" t="e">
        <f>+TableC4!O63/(TableC4c!$C65*1000)</f>
        <v>#DIV/0!</v>
      </c>
      <c r="I65" s="251" t="e">
        <f t="shared" si="5"/>
        <v>#DIV/0!</v>
      </c>
      <c r="J65" s="27"/>
      <c r="K65" s="27"/>
      <c r="L65" s="27"/>
    </row>
    <row r="66" spans="1:12" ht="14" hidden="1" customHeight="1">
      <c r="A66" s="219" t="s">
        <v>375</v>
      </c>
      <c r="B66" s="254" t="s">
        <v>183</v>
      </c>
      <c r="C66" s="253"/>
      <c r="D66" s="227" t="e">
        <f>TableC4!C64/(C66*1000)</f>
        <v>#DIV/0!</v>
      </c>
      <c r="E66" s="252" t="e">
        <f>+TableC4!D64/(TableC4c!$C66*1000)</f>
        <v>#DIV/0!</v>
      </c>
      <c r="F66" s="233" t="e">
        <f t="shared" si="4"/>
        <v>#DIV/0!</v>
      </c>
      <c r="G66" s="227" t="e">
        <f>TableC4!N64/(C66*1000)</f>
        <v>#DIV/0!</v>
      </c>
      <c r="H66" s="252" t="e">
        <f>+TableC4!O64/(TableC4c!$C66*1000)</f>
        <v>#DIV/0!</v>
      </c>
      <c r="I66" s="251" t="e">
        <f t="shared" si="5"/>
        <v>#DIV/0!</v>
      </c>
      <c r="J66" s="27"/>
      <c r="K66" s="27"/>
      <c r="L66" s="27"/>
    </row>
    <row r="67" spans="1:12" ht="14" hidden="1" customHeight="1">
      <c r="A67" s="219" t="s">
        <v>376</v>
      </c>
      <c r="B67" s="254" t="s">
        <v>364</v>
      </c>
      <c r="C67" s="253"/>
      <c r="D67" s="227" t="e">
        <f>TableC4!C65/(C67*1000)</f>
        <v>#DIV/0!</v>
      </c>
      <c r="E67" s="252" t="e">
        <f>+TableC4!D65/(TableC4c!$C67*1000)</f>
        <v>#DIV/0!</v>
      </c>
      <c r="F67" s="233" t="e">
        <f t="shared" si="4"/>
        <v>#DIV/0!</v>
      </c>
      <c r="G67" s="227" t="e">
        <f>TableC4!N65/(C67*1000)</f>
        <v>#DIV/0!</v>
      </c>
      <c r="H67" s="252" t="e">
        <f>+TableC4!O65/(TableC4c!$C67*1000)</f>
        <v>#DIV/0!</v>
      </c>
      <c r="I67" s="251" t="e">
        <f t="shared" si="5"/>
        <v>#DIV/0!</v>
      </c>
      <c r="J67" s="27"/>
      <c r="K67" s="27"/>
      <c r="L67" s="27"/>
    </row>
    <row r="68" spans="1:12" ht="14" hidden="1" customHeight="1">
      <c r="B68" s="256" t="s">
        <v>185</v>
      </c>
      <c r="C68" s="255"/>
      <c r="D68" s="229" t="e">
        <f>TableC4!C66/(C68*1000)</f>
        <v>#DIV/0!</v>
      </c>
      <c r="E68" s="252" t="e">
        <f>+TableC4!D66/(TableC4c!$C68*1000)</f>
        <v>#DIV/0!</v>
      </c>
      <c r="F68" s="233" t="e">
        <f t="shared" si="4"/>
        <v>#DIV/0!</v>
      </c>
      <c r="G68" s="229" t="e">
        <f>TableC4!N66/(C68*1000)</f>
        <v>#DIV/0!</v>
      </c>
      <c r="H68" s="252" t="e">
        <f>+TableC4!O66/(TableC4c!$C68*1000)</f>
        <v>#DIV/0!</v>
      </c>
      <c r="I68" s="251" t="e">
        <f t="shared" si="5"/>
        <v>#DIV/0!</v>
      </c>
      <c r="J68" s="27"/>
      <c r="K68" s="27"/>
      <c r="L68" s="27"/>
    </row>
    <row r="69" spans="1:12" ht="14" hidden="1" customHeight="1">
      <c r="B69" s="254" t="s">
        <v>186</v>
      </c>
      <c r="C69" s="253"/>
      <c r="D69" s="227" t="e">
        <f>TableC4!C67/(C69*1000)</f>
        <v>#DIV/0!</v>
      </c>
      <c r="E69" s="252" t="e">
        <f>+TableC4!D67/(TableC4c!$C69*1000)</f>
        <v>#DIV/0!</v>
      </c>
      <c r="F69" s="233" t="e">
        <f t="shared" si="4"/>
        <v>#DIV/0!</v>
      </c>
      <c r="G69" s="227" t="e">
        <f>TableC4!N67/(C69*1000)</f>
        <v>#DIV/0!</v>
      </c>
      <c r="H69" s="252" t="e">
        <f>+TableC4!O67/(TableC4c!$C69*1000)</f>
        <v>#DIV/0!</v>
      </c>
      <c r="I69" s="251" t="e">
        <f t="shared" si="5"/>
        <v>#DIV/0!</v>
      </c>
      <c r="J69" s="27"/>
      <c r="K69" s="27"/>
      <c r="L69" s="27"/>
    </row>
    <row r="70" spans="1:12" ht="14" hidden="1" customHeight="1">
      <c r="B70" s="254" t="s">
        <v>187</v>
      </c>
      <c r="C70" s="253"/>
      <c r="D70" s="227" t="e">
        <f>TableC4!C68/(C70*1000)</f>
        <v>#DIV/0!</v>
      </c>
      <c r="E70" s="252" t="e">
        <f>+TableC4!D68/(TableC4c!$C70*1000)</f>
        <v>#DIV/0!</v>
      </c>
      <c r="F70" s="233" t="e">
        <f t="shared" si="4"/>
        <v>#DIV/0!</v>
      </c>
      <c r="G70" s="227" t="e">
        <f>TableC4!N68/(C70*1000)</f>
        <v>#DIV/0!</v>
      </c>
      <c r="H70" s="252" t="e">
        <f>+TableC4!O68/(TableC4c!$C70*1000)</f>
        <v>#DIV/0!</v>
      </c>
      <c r="I70" s="251" t="e">
        <f t="shared" si="5"/>
        <v>#DIV/0!</v>
      </c>
      <c r="J70" s="27"/>
      <c r="K70" s="27"/>
      <c r="L70" s="27"/>
    </row>
    <row r="71" spans="1:12" ht="14" hidden="1" customHeight="1">
      <c r="B71" s="254" t="s">
        <v>188</v>
      </c>
      <c r="C71" s="253"/>
      <c r="D71" s="227" t="e">
        <f>TableC4!C69/(C71*1000)</f>
        <v>#DIV/0!</v>
      </c>
      <c r="E71" s="252" t="e">
        <f>+TableC4!D69/(TableC4c!$C71*1000)</f>
        <v>#DIV/0!</v>
      </c>
      <c r="F71" s="233" t="e">
        <f t="shared" si="4"/>
        <v>#DIV/0!</v>
      </c>
      <c r="G71" s="227" t="e">
        <f>TableC4!N69/(C71*1000)</f>
        <v>#DIV/0!</v>
      </c>
      <c r="H71" s="252" t="e">
        <f>+TableC4!O69/(TableC4c!$C71*1000)</f>
        <v>#DIV/0!</v>
      </c>
      <c r="I71" s="251" t="e">
        <f t="shared" si="5"/>
        <v>#DIV/0!</v>
      </c>
      <c r="J71" s="27"/>
      <c r="K71" s="27"/>
      <c r="L71" s="27"/>
    </row>
    <row r="72" spans="1:12" ht="14" hidden="1" customHeight="1">
      <c r="B72" s="254" t="s">
        <v>189</v>
      </c>
      <c r="C72" s="253"/>
      <c r="D72" s="227" t="e">
        <f>TableC4!C70/(C72*1000)</f>
        <v>#DIV/0!</v>
      </c>
      <c r="E72" s="252" t="e">
        <f>+TableC4!D70/(TableC4c!$C72*1000)</f>
        <v>#DIV/0!</v>
      </c>
      <c r="F72" s="233" t="e">
        <f t="shared" si="4"/>
        <v>#DIV/0!</v>
      </c>
      <c r="G72" s="227" t="e">
        <f>TableC4!N70/(C72*1000)</f>
        <v>#DIV/0!</v>
      </c>
      <c r="H72" s="252" t="e">
        <f>+TableC4!O70/(TableC4c!$C72*1000)</f>
        <v>#DIV/0!</v>
      </c>
      <c r="I72" s="251" t="e">
        <f t="shared" si="5"/>
        <v>#DIV/0!</v>
      </c>
      <c r="J72" s="27"/>
      <c r="K72" s="27"/>
      <c r="L72" s="27"/>
    </row>
    <row r="73" spans="1:12" ht="14" hidden="1" customHeight="1">
      <c r="B73" s="254" t="s">
        <v>190</v>
      </c>
      <c r="C73" s="253"/>
      <c r="D73" s="227" t="e">
        <f>TableC4!C71/(C73*1000)</f>
        <v>#DIV/0!</v>
      </c>
      <c r="E73" s="252" t="e">
        <f>+TableC4!D71/(TableC4c!$C73*1000)</f>
        <v>#DIV/0!</v>
      </c>
      <c r="F73" s="233" t="e">
        <f t="shared" si="4"/>
        <v>#DIV/0!</v>
      </c>
      <c r="G73" s="227" t="e">
        <f>TableC4!N71/(C73*1000)</f>
        <v>#DIV/0!</v>
      </c>
      <c r="H73" s="252" t="e">
        <f>+TableC4!O71/(TableC4c!$C73*1000)</f>
        <v>#DIV/0!</v>
      </c>
      <c r="I73" s="251" t="e">
        <f t="shared" si="5"/>
        <v>#DIV/0!</v>
      </c>
      <c r="J73" s="27"/>
      <c r="K73" s="27"/>
      <c r="L73" s="27"/>
    </row>
    <row r="74" spans="1:12" ht="14" hidden="1" customHeight="1">
      <c r="A74" s="219" t="s">
        <v>191</v>
      </c>
      <c r="B74" s="254" t="s">
        <v>365</v>
      </c>
      <c r="C74" s="253"/>
      <c r="D74" s="227" t="e">
        <f>TableC4!C72/(C74*1000)</f>
        <v>#DIV/0!</v>
      </c>
      <c r="E74" s="252" t="e">
        <f>+TableC4!D72/(TableC4c!$C74*1000)</f>
        <v>#DIV/0!</v>
      </c>
      <c r="F74" s="233" t="e">
        <f t="shared" si="4"/>
        <v>#DIV/0!</v>
      </c>
      <c r="G74" s="227" t="e">
        <f>TableC4!N72/(C74*1000)</f>
        <v>#DIV/0!</v>
      </c>
      <c r="H74" s="252" t="e">
        <f>+TableC4!O72/(TableC4c!$C74*1000)</f>
        <v>#DIV/0!</v>
      </c>
      <c r="I74" s="251" t="e">
        <f t="shared" si="5"/>
        <v>#DIV/0!</v>
      </c>
      <c r="J74" s="27"/>
      <c r="K74" s="27"/>
      <c r="L74" s="198"/>
    </row>
    <row r="75" spans="1:12" ht="14" hidden="1" customHeight="1">
      <c r="A75" s="219" t="s">
        <v>192</v>
      </c>
      <c r="B75" s="254" t="s">
        <v>24</v>
      </c>
      <c r="C75" s="253"/>
      <c r="D75" s="227" t="e">
        <f>TableC4!C73/(C75*1000)</f>
        <v>#DIV/0!</v>
      </c>
      <c r="E75" s="252" t="e">
        <f>+TableC4!D73/(TableC4c!$C75*1000)</f>
        <v>#DIV/0!</v>
      </c>
      <c r="F75" s="233" t="e">
        <f t="shared" si="4"/>
        <v>#DIV/0!</v>
      </c>
      <c r="G75" s="227" t="e">
        <f>TableC4!N73/(C75*1000)</f>
        <v>#DIV/0!</v>
      </c>
      <c r="H75" s="252" t="e">
        <f>+TableC4!O73/(TableC4c!$C75*1000)</f>
        <v>#DIV/0!</v>
      </c>
      <c r="I75" s="251" t="e">
        <f t="shared" si="5"/>
        <v>#DIV/0!</v>
      </c>
      <c r="J75" s="27"/>
      <c r="K75" s="27"/>
      <c r="L75" s="198"/>
    </row>
    <row r="76" spans="1:12" ht="14" hidden="1" customHeight="1">
      <c r="B76" s="254" t="s">
        <v>193</v>
      </c>
      <c r="C76" s="253"/>
      <c r="D76" s="227" t="e">
        <f>TableC4!C74/(C76*1000)</f>
        <v>#DIV/0!</v>
      </c>
      <c r="E76" s="252" t="e">
        <f>+TableC4!D74/(TableC4c!$C76*1000)</f>
        <v>#DIV/0!</v>
      </c>
      <c r="F76" s="233" t="e">
        <f t="shared" si="4"/>
        <v>#DIV/0!</v>
      </c>
      <c r="G76" s="227" t="e">
        <f>TableC4!N74/(C76*1000)</f>
        <v>#DIV/0!</v>
      </c>
      <c r="H76" s="252" t="e">
        <f>+TableC4!O74/(TableC4c!$C76*1000)</f>
        <v>#DIV/0!</v>
      </c>
      <c r="I76" s="251" t="e">
        <f t="shared" si="5"/>
        <v>#DIV/0!</v>
      </c>
      <c r="J76" s="27"/>
      <c r="K76" s="27"/>
      <c r="L76" s="198"/>
    </row>
    <row r="77" spans="1:12" ht="14" hidden="1" customHeight="1">
      <c r="B77" s="254" t="s">
        <v>194</v>
      </c>
      <c r="C77" s="253"/>
      <c r="D77" s="227" t="e">
        <f>TableC4!C75/(C77*1000)</f>
        <v>#DIV/0!</v>
      </c>
      <c r="E77" s="252" t="e">
        <f>+TableC4!D75/(TableC4c!$C77*1000)</f>
        <v>#DIV/0!</v>
      </c>
      <c r="F77" s="233" t="e">
        <f t="shared" ref="F77:F95" si="6">+D77-E77</f>
        <v>#DIV/0!</v>
      </c>
      <c r="G77" s="227" t="e">
        <f>TableC4!N75/(C77*1000)</f>
        <v>#DIV/0!</v>
      </c>
      <c r="H77" s="252" t="e">
        <f>+TableC4!O75/(TableC4c!$C77*1000)</f>
        <v>#DIV/0!</v>
      </c>
      <c r="I77" s="251" t="e">
        <f t="shared" ref="I77:I95" si="7">+G77-H77</f>
        <v>#DIV/0!</v>
      </c>
      <c r="J77" s="27"/>
      <c r="K77" s="27"/>
      <c r="L77" s="198"/>
    </row>
    <row r="78" spans="1:12" ht="14" hidden="1" customHeight="1">
      <c r="B78" s="254" t="s">
        <v>195</v>
      </c>
      <c r="C78" s="253"/>
      <c r="D78" s="227" t="e">
        <f>TableC4!C76/(C78*1000)</f>
        <v>#DIV/0!</v>
      </c>
      <c r="E78" s="252" t="e">
        <f>+TableC4!D76/(TableC4c!$C78*1000)</f>
        <v>#DIV/0!</v>
      </c>
      <c r="F78" s="233" t="e">
        <f t="shared" si="6"/>
        <v>#DIV/0!</v>
      </c>
      <c r="G78" s="227" t="e">
        <f>TableC4!N76/(C78*1000)</f>
        <v>#DIV/0!</v>
      </c>
      <c r="H78" s="252" t="e">
        <f>+TableC4!O76/(TableC4c!$C78*1000)</f>
        <v>#DIV/0!</v>
      </c>
      <c r="I78" s="251" t="e">
        <f t="shared" si="7"/>
        <v>#DIV/0!</v>
      </c>
      <c r="J78" s="27"/>
      <c r="K78" s="27"/>
      <c r="L78" s="198"/>
    </row>
    <row r="79" spans="1:12" ht="14" hidden="1" customHeight="1">
      <c r="A79" s="219" t="s">
        <v>196</v>
      </c>
      <c r="B79" s="254" t="s">
        <v>197</v>
      </c>
      <c r="C79" s="253"/>
      <c r="D79" s="227" t="e">
        <f>TableC4!C77/(C79*1000)</f>
        <v>#DIV/0!</v>
      </c>
      <c r="E79" s="252" t="e">
        <f>+TableC4!D77/(TableC4c!$C79*1000)</f>
        <v>#DIV/0!</v>
      </c>
      <c r="F79" s="233" t="e">
        <f t="shared" si="6"/>
        <v>#DIV/0!</v>
      </c>
      <c r="G79" s="227" t="e">
        <f>TableC4!N77/(C79*1000)</f>
        <v>#DIV/0!</v>
      </c>
      <c r="H79" s="252" t="e">
        <f>+TableC4!O77/(TableC4c!$C79*1000)</f>
        <v>#DIV/0!</v>
      </c>
      <c r="I79" s="251" t="e">
        <f t="shared" si="7"/>
        <v>#DIV/0!</v>
      </c>
      <c r="J79" s="27"/>
      <c r="K79" s="27"/>
      <c r="L79" s="198"/>
    </row>
    <row r="80" spans="1:12" ht="14" hidden="1" customHeight="1">
      <c r="B80" s="254" t="s">
        <v>87</v>
      </c>
      <c r="C80" s="253"/>
      <c r="D80" s="227" t="e">
        <f>TableC4!C78/(C80*1000)</f>
        <v>#DIV/0!</v>
      </c>
      <c r="E80" s="252" t="e">
        <f>+TableC4!D78/(TableC4c!$C80*1000)</f>
        <v>#DIV/0!</v>
      </c>
      <c r="F80" s="233" t="e">
        <f t="shared" si="6"/>
        <v>#DIV/0!</v>
      </c>
      <c r="G80" s="227" t="e">
        <f>TableC4!N78/(C80*1000)</f>
        <v>#DIV/0!</v>
      </c>
      <c r="H80" s="252" t="e">
        <f>+TableC4!O78/(TableC4c!$C80*1000)</f>
        <v>#DIV/0!</v>
      </c>
      <c r="I80" s="251" t="e">
        <f t="shared" si="7"/>
        <v>#DIV/0!</v>
      </c>
      <c r="J80" s="27"/>
      <c r="K80" s="27"/>
      <c r="L80" s="27"/>
    </row>
    <row r="81" spans="1:12" ht="14" hidden="1" customHeight="1">
      <c r="A81" s="219" t="s">
        <v>198</v>
      </c>
      <c r="B81" s="254" t="s">
        <v>134</v>
      </c>
      <c r="C81" s="253"/>
      <c r="D81" s="227" t="e">
        <f>TableC4!C79/(C81*1000)</f>
        <v>#DIV/0!</v>
      </c>
      <c r="E81" s="252" t="e">
        <f>+TableC4!D79/(TableC4c!$C81*1000)</f>
        <v>#DIV/0!</v>
      </c>
      <c r="F81" s="233" t="e">
        <f t="shared" si="6"/>
        <v>#DIV/0!</v>
      </c>
      <c r="G81" s="227" t="e">
        <f>TableC4!N79/(C81*1000)</f>
        <v>#DIV/0!</v>
      </c>
      <c r="H81" s="252" t="e">
        <f>+TableC4!O79/(TableC4c!$C81*1000)</f>
        <v>#DIV/0!</v>
      </c>
      <c r="I81" s="251" t="e">
        <f t="shared" si="7"/>
        <v>#DIV/0!</v>
      </c>
      <c r="J81" s="27"/>
      <c r="K81" s="27"/>
      <c r="L81" s="27"/>
    </row>
    <row r="82" spans="1:12" ht="14" hidden="1" customHeight="1">
      <c r="B82" s="254" t="s">
        <v>199</v>
      </c>
      <c r="C82" s="253"/>
      <c r="D82" s="227" t="e">
        <f>TableC4!C80/(C82*1000)</f>
        <v>#DIV/0!</v>
      </c>
      <c r="E82" s="252" t="e">
        <f>+TableC4!D80/(TableC4c!$C82*1000)</f>
        <v>#DIV/0!</v>
      </c>
      <c r="F82" s="233" t="e">
        <f t="shared" si="6"/>
        <v>#DIV/0!</v>
      </c>
      <c r="G82" s="227" t="e">
        <f>TableC4!N80/(C82*1000)</f>
        <v>#DIV/0!</v>
      </c>
      <c r="H82" s="252" t="e">
        <f>+TableC4!O80/(TableC4c!$C82*1000)</f>
        <v>#DIV/0!</v>
      </c>
      <c r="I82" s="251" t="e">
        <f t="shared" si="7"/>
        <v>#DIV/0!</v>
      </c>
      <c r="J82" s="27"/>
      <c r="K82" s="27"/>
      <c r="L82" s="27"/>
    </row>
    <row r="83" spans="1:12" ht="14" hidden="1" customHeight="1">
      <c r="B83" s="254" t="s">
        <v>200</v>
      </c>
      <c r="C83" s="253"/>
      <c r="D83" s="227" t="e">
        <f>TableC4!C81/(C83*1000)</f>
        <v>#DIV/0!</v>
      </c>
      <c r="E83" s="252" t="e">
        <f>+TableC4!D81/(TableC4c!$C83*1000)</f>
        <v>#DIV/0!</v>
      </c>
      <c r="F83" s="233" t="e">
        <f t="shared" si="6"/>
        <v>#DIV/0!</v>
      </c>
      <c r="G83" s="227" t="e">
        <f>TableC4!N81/(C83*1000)</f>
        <v>#DIV/0!</v>
      </c>
      <c r="H83" s="252" t="e">
        <f>+TableC4!O81/(TableC4c!$C83*1000)</f>
        <v>#DIV/0!</v>
      </c>
      <c r="I83" s="251" t="e">
        <f t="shared" si="7"/>
        <v>#DIV/0!</v>
      </c>
      <c r="J83" s="27"/>
      <c r="K83" s="27"/>
      <c r="L83" s="27"/>
    </row>
    <row r="84" spans="1:12" ht="14" hidden="1" customHeight="1">
      <c r="B84" s="254" t="s">
        <v>201</v>
      </c>
      <c r="C84" s="253"/>
      <c r="D84" s="227" t="e">
        <f>TableC4!C82/(C84*1000)</f>
        <v>#DIV/0!</v>
      </c>
      <c r="E84" s="252" t="e">
        <f>+TableC4!D82/(TableC4c!$C84*1000)</f>
        <v>#DIV/0!</v>
      </c>
      <c r="F84" s="233" t="e">
        <f t="shared" si="6"/>
        <v>#DIV/0!</v>
      </c>
      <c r="G84" s="227" t="e">
        <f>TableC4!N82/(C84*1000)</f>
        <v>#DIV/0!</v>
      </c>
      <c r="H84" s="252" t="e">
        <f>+TableC4!O82/(TableC4c!$C84*1000)</f>
        <v>#DIV/0!</v>
      </c>
      <c r="I84" s="251" t="e">
        <f t="shared" si="7"/>
        <v>#DIV/0!</v>
      </c>
      <c r="J84" s="27"/>
      <c r="K84" s="27"/>
      <c r="L84" s="27"/>
    </row>
    <row r="85" spans="1:12" ht="14" hidden="1" customHeight="1">
      <c r="B85" s="254" t="s">
        <v>202</v>
      </c>
      <c r="C85" s="253"/>
      <c r="D85" s="227" t="e">
        <f>TableC4!C83/(C85*1000)</f>
        <v>#DIV/0!</v>
      </c>
      <c r="E85" s="252" t="e">
        <f>+TableC4!D83/(TableC4c!$C85*1000)</f>
        <v>#DIV/0!</v>
      </c>
      <c r="F85" s="233" t="e">
        <f t="shared" si="6"/>
        <v>#DIV/0!</v>
      </c>
      <c r="G85" s="227" t="e">
        <f>TableC4!N83/(C85*1000)</f>
        <v>#DIV/0!</v>
      </c>
      <c r="H85" s="252" t="e">
        <f>+TableC4!O83/(TableC4c!$C85*1000)</f>
        <v>#DIV/0!</v>
      </c>
      <c r="I85" s="251" t="e">
        <f t="shared" si="7"/>
        <v>#DIV/0!</v>
      </c>
      <c r="J85" s="27"/>
      <c r="K85" s="27"/>
      <c r="L85" s="27"/>
    </row>
    <row r="86" spans="1:12" hidden="1">
      <c r="B86" s="254" t="s">
        <v>22</v>
      </c>
      <c r="C86" s="253"/>
      <c r="D86" s="227" t="e">
        <f>TableC4!C84/(C86*1000)</f>
        <v>#DIV/0!</v>
      </c>
      <c r="E86" s="252" t="e">
        <f>+TableC4!D84/(TableC4c!$C86*1000)</f>
        <v>#DIV/0!</v>
      </c>
      <c r="F86" s="233" t="e">
        <f t="shared" si="6"/>
        <v>#DIV/0!</v>
      </c>
      <c r="G86" s="227" t="e">
        <f>TableC4!N84/(C86*1000)</f>
        <v>#DIV/0!</v>
      </c>
      <c r="H86" s="252" t="e">
        <f>+TableC4!O84/(TableC4c!$C86*1000)</f>
        <v>#DIV/0!</v>
      </c>
      <c r="I86" s="251" t="e">
        <f t="shared" si="7"/>
        <v>#DIV/0!</v>
      </c>
      <c r="J86" s="27"/>
      <c r="K86" s="27"/>
      <c r="L86" s="27"/>
    </row>
    <row r="87" spans="1:12" hidden="1">
      <c r="B87" s="254" t="s">
        <v>524</v>
      </c>
      <c r="C87" s="253"/>
      <c r="D87" s="227" t="e">
        <f>TableC4!C85/(C87*1000)</f>
        <v>#DIV/0!</v>
      </c>
      <c r="E87" s="252" t="e">
        <f>+TableC4!D85/(TableC4c!$C87*1000)</f>
        <v>#DIV/0!</v>
      </c>
      <c r="F87" s="233" t="e">
        <f t="shared" si="6"/>
        <v>#DIV/0!</v>
      </c>
      <c r="G87" s="227" t="e">
        <f>TableC4!N85/(C87*1000)</f>
        <v>#DIV/0!</v>
      </c>
      <c r="H87" s="252" t="e">
        <f>+TableC4!O85/(TableC4c!$C87*1000)</f>
        <v>#DIV/0!</v>
      </c>
      <c r="I87" s="251" t="e">
        <f t="shared" si="7"/>
        <v>#DIV/0!</v>
      </c>
      <c r="J87" s="27"/>
      <c r="K87" s="27"/>
      <c r="L87" s="27"/>
    </row>
    <row r="88" spans="1:12" hidden="1">
      <c r="B88" s="254" t="s">
        <v>523</v>
      </c>
      <c r="C88" s="253"/>
      <c r="D88" s="227" t="e">
        <f>TableC4!C86/(C88*1000)</f>
        <v>#DIV/0!</v>
      </c>
      <c r="E88" s="252" t="e">
        <f>+TableC4!D86/(TableC4c!$C88*1000)</f>
        <v>#DIV/0!</v>
      </c>
      <c r="F88" s="233" t="e">
        <f t="shared" si="6"/>
        <v>#DIV/0!</v>
      </c>
      <c r="G88" s="227" t="e">
        <f>TableC4!N86/(C88*1000)</f>
        <v>#DIV/0!</v>
      </c>
      <c r="H88" s="252" t="e">
        <f>+TableC4!O86/(TableC4c!$C88*1000)</f>
        <v>#DIV/0!</v>
      </c>
      <c r="I88" s="251" t="e">
        <f t="shared" si="7"/>
        <v>#DIV/0!</v>
      </c>
      <c r="J88" s="27"/>
      <c r="K88" s="27"/>
      <c r="L88" s="27"/>
    </row>
    <row r="89" spans="1:12" hidden="1">
      <c r="B89" s="254" t="s">
        <v>522</v>
      </c>
      <c r="C89" s="253"/>
      <c r="D89" s="227" t="e">
        <f>TableC4!C87/(C89*1000)</f>
        <v>#DIV/0!</v>
      </c>
      <c r="E89" s="252" t="e">
        <f>+TableC4!D87/(TableC4c!$C89*1000)</f>
        <v>#DIV/0!</v>
      </c>
      <c r="F89" s="233" t="e">
        <f t="shared" si="6"/>
        <v>#DIV/0!</v>
      </c>
      <c r="G89" s="227" t="e">
        <f>TableC4!N87/(C89*1000)</f>
        <v>#DIV/0!</v>
      </c>
      <c r="H89" s="252" t="e">
        <f>+TableC4!O87/(TableC4c!$C89*1000)</f>
        <v>#DIV/0!</v>
      </c>
      <c r="I89" s="251" t="e">
        <f t="shared" si="7"/>
        <v>#DIV/0!</v>
      </c>
      <c r="J89" s="27"/>
      <c r="K89" s="27"/>
      <c r="L89" s="27"/>
    </row>
    <row r="90" spans="1:12" ht="23" hidden="1">
      <c r="A90" s="219" t="s">
        <v>377</v>
      </c>
      <c r="B90" s="254" t="s">
        <v>206</v>
      </c>
      <c r="C90" s="253"/>
      <c r="D90" s="227" t="e">
        <f>TableC4!C88/(C90*1000)</f>
        <v>#DIV/0!</v>
      </c>
      <c r="E90" s="252" t="e">
        <f>+TableC4!D88/(TableC4c!$C90*1000)</f>
        <v>#DIV/0!</v>
      </c>
      <c r="F90" s="233" t="e">
        <f t="shared" si="6"/>
        <v>#DIV/0!</v>
      </c>
      <c r="G90" s="227" t="e">
        <f>TableC4!N88/(C90*1000)</f>
        <v>#DIV/0!</v>
      </c>
      <c r="H90" s="252" t="e">
        <f>+TableC4!O88/(TableC4c!$C90*1000)</f>
        <v>#DIV/0!</v>
      </c>
      <c r="I90" s="251" t="e">
        <f t="shared" si="7"/>
        <v>#DIV/0!</v>
      </c>
      <c r="J90" s="27"/>
      <c r="K90" s="27"/>
      <c r="L90" s="27"/>
    </row>
    <row r="91" spans="1:12" hidden="1">
      <c r="B91" s="254" t="s">
        <v>207</v>
      </c>
      <c r="C91" s="253"/>
      <c r="D91" s="227" t="e">
        <f>TableC4!C89/(C91*1000)</f>
        <v>#DIV/0!</v>
      </c>
      <c r="E91" s="252" t="e">
        <f>+TableC4!D89/(TableC4c!$C91*1000)</f>
        <v>#DIV/0!</v>
      </c>
      <c r="F91" s="233" t="e">
        <f t="shared" si="6"/>
        <v>#DIV/0!</v>
      </c>
      <c r="G91" s="227" t="e">
        <f>TableC4!N89/(C91*1000)</f>
        <v>#DIV/0!</v>
      </c>
      <c r="H91" s="252" t="e">
        <f>+TableC4!O89/(TableC4c!$C91*1000)</f>
        <v>#DIV/0!</v>
      </c>
      <c r="I91" s="251" t="e">
        <f t="shared" si="7"/>
        <v>#DIV/0!</v>
      </c>
      <c r="J91" s="27"/>
      <c r="K91" s="27"/>
      <c r="L91" s="27"/>
    </row>
    <row r="92" spans="1:12" hidden="1">
      <c r="B92" s="254" t="s">
        <v>18</v>
      </c>
      <c r="C92" s="253"/>
      <c r="D92" s="227" t="e">
        <f>TableC4!C90/(C92*1000)</f>
        <v>#DIV/0!</v>
      </c>
      <c r="E92" s="252" t="e">
        <f>+TableC4!D90/(TableC4c!$C92*1000)</f>
        <v>#DIV/0!</v>
      </c>
      <c r="F92" s="233" t="e">
        <f t="shared" si="6"/>
        <v>#DIV/0!</v>
      </c>
      <c r="G92" s="227" t="e">
        <f>TableC4!N90/(C92*1000)</f>
        <v>#DIV/0!</v>
      </c>
      <c r="H92" s="252" t="e">
        <f>+TableC4!O90/(TableC4c!$C92*1000)</f>
        <v>#DIV/0!</v>
      </c>
      <c r="I92" s="251" t="e">
        <f t="shared" si="7"/>
        <v>#DIV/0!</v>
      </c>
      <c r="J92" s="27"/>
      <c r="K92" s="27"/>
      <c r="L92" s="27"/>
    </row>
    <row r="93" spans="1:12" ht="40" customHeight="1">
      <c r="B93" s="250" t="s">
        <v>367</v>
      </c>
      <c r="C93" s="249">
        <f>+'Table U1'!$G$89</f>
        <v>2309.5427563040053</v>
      </c>
      <c r="D93" s="226">
        <f>TableC4!C100/(C93*1000)</f>
        <v>6.524720647765539E-2</v>
      </c>
      <c r="E93" s="501">
        <f>+TableC4!D100/(TableC4c!$C93*1000)</f>
        <v>1.9151629127677868E-2</v>
      </c>
      <c r="F93" s="502">
        <f t="shared" si="6"/>
        <v>4.6095577349977518E-2</v>
      </c>
      <c r="G93" s="226">
        <f>TableC4!N100/(C93*1000)</f>
        <v>1.200564617639804E-2</v>
      </c>
      <c r="H93" s="501">
        <f>+TableC4!O100/(TableC4c!$C93*1000)</f>
        <v>1.4949914697917682E-3</v>
      </c>
      <c r="I93" s="248">
        <f t="shared" si="7"/>
        <v>1.0510654706606271E-2</v>
      </c>
      <c r="J93" s="31"/>
      <c r="K93" s="31"/>
      <c r="L93" s="31"/>
    </row>
    <row r="94" spans="1:12" ht="40" hidden="1" customHeight="1">
      <c r="B94" s="247"/>
      <c r="C94" s="162"/>
      <c r="D94" s="32" t="e">
        <f>TableC4!C101/(C94*1000)</f>
        <v>#DIV/0!</v>
      </c>
      <c r="E94" s="31" t="e">
        <f>+TableC4!D101/(TableC4c!$C94*1000)</f>
        <v>#DIV/0!</v>
      </c>
      <c r="F94" s="31" t="e">
        <f t="shared" si="6"/>
        <v>#DIV/0!</v>
      </c>
      <c r="G94" s="32" t="e">
        <f>TableC4!N101/(C94*1000)</f>
        <v>#DIV/0!</v>
      </c>
      <c r="H94" s="31" t="e">
        <f>+TableC4!O101/(TableC4c!$C94*1000)</f>
        <v>#DIV/0!</v>
      </c>
      <c r="I94" s="246" t="e">
        <f t="shared" si="7"/>
        <v>#DIV/0!</v>
      </c>
      <c r="J94" s="31"/>
      <c r="K94" s="31"/>
      <c r="L94" s="31"/>
    </row>
    <row r="95" spans="1:12" ht="40" customHeight="1" thickBot="1">
      <c r="B95" s="245" t="str">
        <f>+TableC3!B91</f>
        <v>Non-haven total</v>
      </c>
      <c r="C95" s="244">
        <f>+C93+C12+C48</f>
        <v>12844.563628975506</v>
      </c>
      <c r="D95" s="243">
        <f>TableC4!C102/(C95*1000)</f>
        <v>6.6790927372343517E-2</v>
      </c>
      <c r="E95" s="242">
        <f>+TableC4!D102/(TableC4c!$C95*1000)</f>
        <v>2.9417754002334758E-2</v>
      </c>
      <c r="F95" s="242">
        <f t="shared" si="6"/>
        <v>3.7373173370008755E-2</v>
      </c>
      <c r="G95" s="243">
        <f>TableC4!N102/(C95*1000)</f>
        <v>6.6790927372343517E-2</v>
      </c>
      <c r="H95" s="242">
        <f>+TableC4!O102/(TableC4c!$C95*1000)</f>
        <v>3.5788231956126834E-2</v>
      </c>
      <c r="I95" s="241">
        <f t="shared" si="7"/>
        <v>3.1002695416216683E-2</v>
      </c>
      <c r="J95" s="40"/>
      <c r="K95" s="40"/>
      <c r="L95" s="40"/>
    </row>
    <row r="96" spans="1:12" s="150" customFormat="1">
      <c r="E96" s="146"/>
      <c r="F96" s="146"/>
      <c r="H96" s="146"/>
      <c r="I96" s="146"/>
      <c r="J96" s="146"/>
      <c r="K96" s="146"/>
      <c r="L96" s="146"/>
    </row>
    <row r="98" spans="2:12" s="150" customFormat="1">
      <c r="B98" s="146"/>
      <c r="C98" s="146"/>
      <c r="D98" s="146"/>
      <c r="E98" s="146"/>
      <c r="F98" s="146"/>
      <c r="G98" s="146"/>
      <c r="H98" s="146"/>
      <c r="I98" s="146"/>
      <c r="J98" s="146"/>
      <c r="K98" s="146"/>
      <c r="L98" s="146"/>
    </row>
    <row r="100" spans="2:12">
      <c r="B100" s="308" t="s">
        <v>91</v>
      </c>
      <c r="C100" s="427">
        <f>+C13</f>
        <v>259.53879688000001</v>
      </c>
    </row>
    <row r="101" spans="2:12">
      <c r="B101" s="308"/>
      <c r="C101" s="427"/>
    </row>
    <row r="102" spans="2:12">
      <c r="B102" s="308"/>
      <c r="C102" s="427"/>
    </row>
    <row r="103" spans="2:12">
      <c r="B103" s="308" t="s">
        <v>92</v>
      </c>
      <c r="C103" s="427">
        <f t="shared" ref="C103:C125" si="8">+C16</f>
        <v>184.63618750000001</v>
      </c>
    </row>
    <row r="104" spans="2:12">
      <c r="B104" s="308" t="s">
        <v>41</v>
      </c>
      <c r="C104" s="427">
        <f t="shared" si="8"/>
        <v>67.274117189999998</v>
      </c>
    </row>
    <row r="105" spans="2:12">
      <c r="B105" s="308" t="s">
        <v>93</v>
      </c>
      <c r="C105" s="427">
        <f t="shared" si="8"/>
        <v>35.933675779999994</v>
      </c>
    </row>
    <row r="106" spans="2:12">
      <c r="B106" s="308" t="s">
        <v>94</v>
      </c>
      <c r="C106" s="427">
        <f t="shared" si="8"/>
        <v>51.200800779999994</v>
      </c>
    </row>
    <row r="107" spans="2:12">
      <c r="B107" s="308" t="s">
        <v>32</v>
      </c>
      <c r="C107" s="427">
        <f t="shared" si="8"/>
        <v>5.7749228500000003</v>
      </c>
    </row>
    <row r="108" spans="2:12">
      <c r="B108" s="308" t="s">
        <v>34</v>
      </c>
      <c r="C108" s="427">
        <f t="shared" si="8"/>
        <v>36.337035159999999</v>
      </c>
    </row>
    <row r="109" spans="2:12">
      <c r="B109" s="308" t="s">
        <v>40</v>
      </c>
      <c r="C109" s="427">
        <f t="shared" si="8"/>
        <v>220.2555625</v>
      </c>
    </row>
    <row r="110" spans="2:12">
      <c r="B110" s="308" t="s">
        <v>95</v>
      </c>
      <c r="C110" s="427">
        <f t="shared" si="8"/>
        <v>518.68740624999998</v>
      </c>
    </row>
    <row r="111" spans="2:12">
      <c r="B111" s="308"/>
      <c r="C111" s="427"/>
    </row>
    <row r="112" spans="2:12">
      <c r="B112" s="308"/>
      <c r="C112" s="427"/>
    </row>
    <row r="113" spans="2:3">
      <c r="B113" s="308" t="s">
        <v>33</v>
      </c>
      <c r="C113" s="427">
        <f t="shared" si="8"/>
        <v>3.7286610675</v>
      </c>
    </row>
    <row r="114" spans="2:3">
      <c r="B114" s="308"/>
      <c r="C114" s="427"/>
    </row>
    <row r="115" spans="2:3">
      <c r="B115" s="308"/>
      <c r="C115" s="427"/>
    </row>
    <row r="116" spans="2:3">
      <c r="B116" s="308" t="s">
        <v>96</v>
      </c>
      <c r="C116" s="427">
        <f t="shared" si="8"/>
        <v>280.77043750000001</v>
      </c>
    </row>
    <row r="117" spans="2:3">
      <c r="B117" s="308"/>
      <c r="C117" s="427"/>
    </row>
    <row r="118" spans="2:3">
      <c r="B118" s="308"/>
      <c r="C118" s="427"/>
    </row>
    <row r="119" spans="2:3">
      <c r="B119" s="308"/>
      <c r="C119" s="427"/>
    </row>
    <row r="120" spans="2:3">
      <c r="B120" s="308" t="s">
        <v>97</v>
      </c>
      <c r="C120" s="427">
        <f t="shared" si="8"/>
        <v>0</v>
      </c>
    </row>
    <row r="121" spans="2:3">
      <c r="B121" s="308" t="s">
        <v>42</v>
      </c>
      <c r="C121" s="427">
        <f t="shared" si="8"/>
        <v>317.60262499999999</v>
      </c>
    </row>
    <row r="122" spans="2:3">
      <c r="B122" s="308" t="s">
        <v>98</v>
      </c>
      <c r="C122" s="427">
        <f t="shared" si="8"/>
        <v>0</v>
      </c>
    </row>
    <row r="123" spans="2:3">
      <c r="B123" s="308" t="s">
        <v>99</v>
      </c>
      <c r="C123" s="427">
        <f t="shared" si="8"/>
        <v>36.535996089999998</v>
      </c>
    </row>
    <row r="124" spans="2:3">
      <c r="B124" s="308" t="s">
        <v>30</v>
      </c>
      <c r="C124" s="427">
        <f t="shared" si="8"/>
        <v>78.26272655999999</v>
      </c>
    </row>
    <row r="125" spans="2:3">
      <c r="B125" s="308" t="s">
        <v>100</v>
      </c>
      <c r="C125" s="427">
        <f t="shared" si="8"/>
        <v>99.780570310000002</v>
      </c>
    </row>
    <row r="126" spans="2:3">
      <c r="B126" s="308"/>
      <c r="C126" s="427"/>
    </row>
    <row r="127" spans="2:3">
      <c r="B127" s="308" t="s">
        <v>101</v>
      </c>
      <c r="C127" s="427">
        <f>SUM(C100:C126)</f>
        <v>2196.3195214175003</v>
      </c>
    </row>
  </sheetData>
  <mergeCells count="7">
    <mergeCell ref="G9:I9"/>
    <mergeCell ref="B5:I5"/>
    <mergeCell ref="D8:I8"/>
    <mergeCell ref="D10:D11"/>
    <mergeCell ref="G10:G11"/>
    <mergeCell ref="D9:F9"/>
    <mergeCell ref="C8:C11"/>
  </mergeCells>
  <pageMargins left="0.7" right="0.7" top="0.75" bottom="0.75" header="0.3" footer="0.3"/>
  <pageSetup scale="72"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9" tint="0.39997558519241921"/>
    <pageSetUpPr fitToPage="1"/>
  </sheetPr>
  <dimension ref="A2:V103"/>
  <sheetViews>
    <sheetView zoomScale="43" workbookViewId="0">
      <pane xSplit="2" ySplit="9" topLeftCell="C10" activePane="bottomRight" state="frozen"/>
      <selection activeCell="B5" sqref="B5"/>
      <selection pane="topRight" activeCell="B5" sqref="B5"/>
      <selection pane="bottomLeft" activeCell="B5" sqref="B5"/>
      <selection pane="bottomRight" activeCell="E16" sqref="E16"/>
    </sheetView>
  </sheetViews>
  <sheetFormatPr defaultColWidth="10.81640625" defaultRowHeight="15.5"/>
  <cols>
    <col min="1" max="1" width="17.453125" style="146" hidden="1" customWidth="1"/>
    <col min="2" max="2" width="19" style="146" customWidth="1"/>
    <col min="3" max="16" width="11.81640625" style="146" customWidth="1"/>
    <col min="17" max="22" width="19.6328125" style="146" customWidth="1"/>
    <col min="23" max="16384" width="10.81640625" style="146"/>
  </cols>
  <sheetData>
    <row r="2" spans="2:22" ht="16" thickBot="1"/>
    <row r="3" spans="2:22" ht="15.75" hidden="1" customHeight="1" thickBot="1"/>
    <row r="4" spans="2:22" ht="32" customHeight="1" thickTop="1">
      <c r="B4" s="897" t="s">
        <v>389</v>
      </c>
      <c r="C4" s="898"/>
      <c r="D4" s="898"/>
      <c r="E4" s="898"/>
      <c r="F4" s="898"/>
      <c r="G4" s="898"/>
      <c r="H4" s="898"/>
      <c r="I4" s="898"/>
      <c r="J4" s="898"/>
      <c r="K4" s="898"/>
      <c r="L4" s="898"/>
      <c r="M4" s="898"/>
      <c r="N4" s="898"/>
      <c r="O4" s="898"/>
      <c r="P4" s="899"/>
      <c r="Q4" s="239"/>
      <c r="R4" s="239"/>
      <c r="S4" s="239"/>
      <c r="T4" s="239"/>
      <c r="U4" s="239"/>
      <c r="V4" s="239"/>
    </row>
    <row r="5" spans="2:22" ht="20">
      <c r="B5" s="210"/>
      <c r="C5" s="3" t="s">
        <v>49</v>
      </c>
      <c r="D5" s="3" t="s">
        <v>50</v>
      </c>
      <c r="E5" s="3" t="s">
        <v>51</v>
      </c>
      <c r="F5" s="3" t="s">
        <v>52</v>
      </c>
      <c r="G5" s="3" t="s">
        <v>53</v>
      </c>
      <c r="H5" s="3" t="s">
        <v>54</v>
      </c>
      <c r="I5" s="3" t="s">
        <v>55</v>
      </c>
      <c r="J5" s="3" t="s">
        <v>56</v>
      </c>
      <c r="K5" s="3" t="s">
        <v>57</v>
      </c>
      <c r="L5" s="3" t="s">
        <v>58</v>
      </c>
      <c r="M5" s="3" t="s">
        <v>59</v>
      </c>
      <c r="N5" s="3" t="s">
        <v>60</v>
      </c>
      <c r="O5" s="3" t="s">
        <v>61</v>
      </c>
      <c r="P5" s="209" t="s">
        <v>62</v>
      </c>
      <c r="Q5" s="239"/>
      <c r="R5" s="239"/>
      <c r="S5" s="239"/>
      <c r="T5" s="239"/>
      <c r="U5" s="239"/>
      <c r="V5" s="239"/>
    </row>
    <row r="6" spans="2:22" ht="26" customHeight="1">
      <c r="B6" s="210"/>
      <c r="C6" s="935" t="s">
        <v>390</v>
      </c>
      <c r="D6" s="938" t="s">
        <v>391</v>
      </c>
      <c r="E6" s="902" t="s">
        <v>392</v>
      </c>
      <c r="F6" s="903"/>
      <c r="G6" s="903"/>
      <c r="H6" s="903"/>
      <c r="I6" s="903"/>
      <c r="J6" s="904"/>
      <c r="K6" s="903" t="s">
        <v>393</v>
      </c>
      <c r="L6" s="903"/>
      <c r="M6" s="903"/>
      <c r="N6" s="903"/>
      <c r="O6" s="903"/>
      <c r="P6" s="905"/>
      <c r="Q6" s="239"/>
      <c r="R6" s="239"/>
      <c r="S6" s="239"/>
      <c r="T6" s="239"/>
      <c r="U6" s="239"/>
      <c r="V6" s="239"/>
    </row>
    <row r="7" spans="2:22" ht="21" customHeight="1">
      <c r="B7" s="185"/>
      <c r="C7" s="936"/>
      <c r="D7" s="939"/>
      <c r="E7" s="932" t="s">
        <v>384</v>
      </c>
      <c r="F7" s="912"/>
      <c r="G7" s="912"/>
      <c r="H7" s="933" t="s">
        <v>385</v>
      </c>
      <c r="I7" s="912" t="s">
        <v>380</v>
      </c>
      <c r="J7" s="934"/>
      <c r="K7" s="933" t="s">
        <v>384</v>
      </c>
      <c r="L7" s="912"/>
      <c r="M7" s="912"/>
      <c r="N7" s="933" t="s">
        <v>385</v>
      </c>
      <c r="O7" s="912" t="s">
        <v>380</v>
      </c>
      <c r="P7" s="913"/>
      <c r="Q7" s="238"/>
      <c r="R7" s="238"/>
      <c r="S7" s="238"/>
      <c r="T7" s="238"/>
      <c r="U7" s="238"/>
      <c r="V7" s="238"/>
    </row>
    <row r="8" spans="2:22" ht="85" customHeight="1">
      <c r="B8" s="185"/>
      <c r="C8" s="936"/>
      <c r="D8" s="939"/>
      <c r="E8" s="917" t="s">
        <v>349</v>
      </c>
      <c r="F8" s="494" t="s">
        <v>350</v>
      </c>
      <c r="G8" s="237" t="s">
        <v>351</v>
      </c>
      <c r="H8" s="917" t="s">
        <v>349</v>
      </c>
      <c r="I8" s="494" t="s">
        <v>350</v>
      </c>
      <c r="J8" s="440" t="s">
        <v>351</v>
      </c>
      <c r="K8" s="917" t="s">
        <v>349</v>
      </c>
      <c r="L8" s="494" t="s">
        <v>350</v>
      </c>
      <c r="M8" s="237" t="s">
        <v>351</v>
      </c>
      <c r="N8" s="917" t="s">
        <v>349</v>
      </c>
      <c r="O8" s="494" t="s">
        <v>350</v>
      </c>
      <c r="P8" s="236" t="s">
        <v>351</v>
      </c>
      <c r="Q8" s="204"/>
      <c r="R8" s="204"/>
      <c r="S8" s="204"/>
      <c r="T8" s="204"/>
      <c r="U8" s="204"/>
      <c r="V8" s="204"/>
    </row>
    <row r="9" spans="2:22" ht="13.5" customHeight="1">
      <c r="B9" s="185"/>
      <c r="C9" s="937"/>
      <c r="D9" s="940"/>
      <c r="E9" s="918"/>
      <c r="F9" s="495"/>
      <c r="G9" s="235"/>
      <c r="H9" s="918"/>
      <c r="I9" s="495"/>
      <c r="J9" s="294"/>
      <c r="K9" s="918"/>
      <c r="L9" s="495"/>
      <c r="M9" s="235"/>
      <c r="N9" s="918"/>
      <c r="O9" s="495"/>
      <c r="P9" s="234"/>
      <c r="Q9" s="204"/>
      <c r="R9" s="204"/>
      <c r="S9" s="204"/>
      <c r="T9" s="204"/>
      <c r="U9" s="204"/>
      <c r="V9" s="204"/>
    </row>
    <row r="10" spans="2:22" ht="40" customHeight="1">
      <c r="B10" s="483" t="s">
        <v>76</v>
      </c>
      <c r="C10" s="509">
        <f>+SUM(C11:C45)</f>
        <v>1227.9500519914</v>
      </c>
      <c r="D10" s="510"/>
      <c r="E10" s="511">
        <f>F10+G10</f>
        <v>142.1873817967504</v>
      </c>
      <c r="F10" s="512">
        <f>+SUM(F11:F45)</f>
        <v>77.162549088059478</v>
      </c>
      <c r="G10" s="513">
        <f>+SUM(G11:G45)</f>
        <v>65.024832708690937</v>
      </c>
      <c r="H10" s="511">
        <f>I10+J10</f>
        <v>198.48800495089435</v>
      </c>
      <c r="I10" s="512">
        <f>+SUM(I11:I45)</f>
        <v>115.84702517137737</v>
      </c>
      <c r="J10" s="514">
        <f>+SUM(J11:J45)</f>
        <v>82.640979779516982</v>
      </c>
      <c r="K10" s="496">
        <f t="shared" ref="K10:P12" si="0">+E10/$C10</f>
        <v>0.11579247996786292</v>
      </c>
      <c r="L10" s="497">
        <f t="shared" si="0"/>
        <v>6.2838507936803192E-2</v>
      </c>
      <c r="M10" s="498">
        <f t="shared" si="0"/>
        <v>5.2953972031059733E-2</v>
      </c>
      <c r="N10" s="496">
        <f t="shared" si="0"/>
        <v>0.16164175784593271</v>
      </c>
      <c r="O10" s="498">
        <f t="shared" si="0"/>
        <v>9.4341805665063574E-2</v>
      </c>
      <c r="P10" s="499">
        <f t="shared" si="0"/>
        <v>6.7299952180869135E-2</v>
      </c>
      <c r="Q10" s="40"/>
      <c r="R10" s="40"/>
      <c r="S10" s="40"/>
      <c r="T10" s="40"/>
      <c r="U10" s="40"/>
      <c r="V10" s="40"/>
    </row>
    <row r="11" spans="2:22">
      <c r="B11" s="199" t="s">
        <v>27</v>
      </c>
      <c r="C11" s="260">
        <f>+'Table U1'!J9</f>
        <v>65.748720000000006</v>
      </c>
      <c r="D11" s="285">
        <f>+VLOOKUP(B11,'[4]Data C 2,4'!$A$2:$S$189,17,0)%</f>
        <v>0.3</v>
      </c>
      <c r="E11" s="282">
        <f>D11*TableC4!C11/(1000)</f>
        <v>8.0294254807010788</v>
      </c>
      <c r="F11" s="281">
        <f>+D11*TableC4!D11/(1000)</f>
        <v>2.0433793988098055</v>
      </c>
      <c r="G11" s="283">
        <f>+E11-F11</f>
        <v>5.9860460818912733</v>
      </c>
      <c r="H11" s="282">
        <f>D11*TableC4!N11/(1000)</f>
        <v>0.73103933284317457</v>
      </c>
      <c r="I11" s="281">
        <f>+D11*TableC4!O11/(1000)</f>
        <v>-6.4848634307086386E-2</v>
      </c>
      <c r="J11" s="280">
        <f>+H11-I11</f>
        <v>0.795887967150261</v>
      </c>
      <c r="K11" s="47">
        <f t="shared" si="0"/>
        <v>0.12212291708037933</v>
      </c>
      <c r="L11" s="27">
        <f t="shared" si="0"/>
        <v>3.1078618698733684E-2</v>
      </c>
      <c r="M11" s="228">
        <f t="shared" si="0"/>
        <v>9.1044298381645641E-2</v>
      </c>
      <c r="N11" s="47">
        <f t="shared" si="0"/>
        <v>1.1118685395596668E-2</v>
      </c>
      <c r="O11" s="228">
        <f t="shared" si="0"/>
        <v>-9.8631021724964948E-4</v>
      </c>
      <c r="P11" s="41">
        <f t="shared" si="0"/>
        <v>1.2104995612846317E-2</v>
      </c>
      <c r="Q11" s="43"/>
      <c r="R11" s="43"/>
      <c r="S11" s="43"/>
      <c r="T11" s="43"/>
      <c r="U11" s="43"/>
      <c r="V11" s="43"/>
    </row>
    <row r="12" spans="2:22">
      <c r="B12" s="199" t="s">
        <v>91</v>
      </c>
      <c r="C12" s="260">
        <f>+'Table U1'!J10</f>
        <v>12.085129999999999</v>
      </c>
      <c r="D12" s="285">
        <f>+VLOOKUP(B12,'[4]Data C 2,4'!$A$2:$S$189,17,0)%</f>
        <v>0.25</v>
      </c>
      <c r="E12" s="282">
        <f>D12*TableC4!C12/(1000)</f>
        <v>1.0441225290757548</v>
      </c>
      <c r="F12" s="281">
        <f>+D12*TableC4!D12/(1000)</f>
        <v>0.78735537349398244</v>
      </c>
      <c r="G12" s="283">
        <f>+E12-F12</f>
        <v>0.25676715558177232</v>
      </c>
      <c r="H12" s="282">
        <f>D12*TableC4!N12/(1000)</f>
        <v>0.77523355854416298</v>
      </c>
      <c r="I12" s="281">
        <f>+D12*TableC4!O12/(1000)</f>
        <v>0.12898600218542156</v>
      </c>
      <c r="J12" s="280">
        <f>+H12-I12</f>
        <v>0.64624755635874143</v>
      </c>
      <c r="K12" s="47">
        <f t="shared" si="0"/>
        <v>8.6397293953458076E-2</v>
      </c>
      <c r="L12" s="27">
        <f t="shared" si="0"/>
        <v>6.515075745928943E-2</v>
      </c>
      <c r="M12" s="228">
        <f t="shared" si="0"/>
        <v>2.1246536494168647E-2</v>
      </c>
      <c r="N12" s="47">
        <f t="shared" si="0"/>
        <v>6.4147721914796368E-2</v>
      </c>
      <c r="O12" s="228">
        <f t="shared" si="0"/>
        <v>1.0673116647104464E-2</v>
      </c>
      <c r="P12" s="41">
        <f t="shared" si="0"/>
        <v>5.3474605267691905E-2</v>
      </c>
      <c r="Q12" s="43"/>
      <c r="R12" s="43"/>
      <c r="S12" s="43"/>
      <c r="T12" s="43"/>
      <c r="U12" s="43"/>
      <c r="V12" s="43"/>
    </row>
    <row r="13" spans="2:22">
      <c r="B13" s="199" t="s">
        <v>25</v>
      </c>
      <c r="C13" s="260">
        <f>+'Table U1'!J11</f>
        <v>19.858049999999999</v>
      </c>
      <c r="D13" s="291"/>
      <c r="E13" s="282"/>
      <c r="F13" s="281"/>
      <c r="G13" s="283"/>
      <c r="H13" s="282"/>
      <c r="I13" s="281"/>
      <c r="J13" s="280"/>
      <c r="K13" s="47"/>
      <c r="L13" s="27"/>
      <c r="M13" s="228"/>
      <c r="N13" s="47"/>
      <c r="O13" s="228"/>
      <c r="P13" s="41"/>
      <c r="T13" s="293"/>
      <c r="U13" s="293"/>
      <c r="V13" s="293"/>
    </row>
    <row r="14" spans="2:22">
      <c r="B14" s="199" t="s">
        <v>43</v>
      </c>
      <c r="C14" s="260">
        <f>+'Table U1'!J12</f>
        <v>72.475239999999999</v>
      </c>
      <c r="D14" s="285">
        <f>+VLOOKUP(B14,'[4]Data C 2,4'!$A$2:$S$189,17,0)%</f>
        <v>0.26500000000000001</v>
      </c>
      <c r="E14" s="282">
        <f>D14*TableC4!C14/(1000)</f>
        <v>6.0551004239117443</v>
      </c>
      <c r="F14" s="281">
        <f>+D14*TableC4!D14/(1000)</f>
        <v>1.0350510457451061</v>
      </c>
      <c r="G14" s="283">
        <f t="shared" ref="G14:G24" si="1">+E14-F14</f>
        <v>5.0200493781666378</v>
      </c>
      <c r="H14" s="282">
        <f>D14*TableC4!N14/(1000)</f>
        <v>6.0587853175426014</v>
      </c>
      <c r="I14" s="281">
        <f>+D14*TableC4!O14/(1000)</f>
        <v>1.5894262859475414</v>
      </c>
      <c r="J14" s="280">
        <f t="shared" ref="J14:J24" si="2">+H14-I14</f>
        <v>4.4693590315950598</v>
      </c>
      <c r="K14" s="47">
        <f t="shared" ref="K14:K24" si="3">+E14/$C14</f>
        <v>8.354715933209389E-2</v>
      </c>
      <c r="L14" s="27">
        <f t="shared" ref="L14:L24" si="4">+F14/$C14</f>
        <v>1.428144350739792E-2</v>
      </c>
      <c r="M14" s="228">
        <f t="shared" ref="M14:M24" si="5">+G14/$C14</f>
        <v>6.9265715824695956E-2</v>
      </c>
      <c r="N14" s="47">
        <f t="shared" ref="N14:N24" si="6">+H14/$C14</f>
        <v>8.3598002815066241E-2</v>
      </c>
      <c r="O14" s="228">
        <f t="shared" ref="O14:O24" si="7">+I14/$C14</f>
        <v>2.1930610867208461E-2</v>
      </c>
      <c r="P14" s="41">
        <f t="shared" ref="P14:P24" si="8">+J14/$C14</f>
        <v>6.1667391947857773E-2</v>
      </c>
      <c r="T14" s="293"/>
      <c r="U14" s="293"/>
      <c r="V14" s="293"/>
    </row>
    <row r="15" spans="2:22">
      <c r="B15" s="199" t="s">
        <v>112</v>
      </c>
      <c r="C15" s="260">
        <f>+'Table U1'!J13</f>
        <v>4.2252999999999998</v>
      </c>
      <c r="D15" s="285">
        <f>+VLOOKUP(B15,'[4]Data C 2,4'!$A$2:$S$189,17,0)%</f>
        <v>0.27</v>
      </c>
      <c r="E15" s="282">
        <f>D15*TableC4!C15/(1000)</f>
        <v>2.178080966641752</v>
      </c>
      <c r="F15" s="281">
        <f>+D15*TableC4!D15/(1000)</f>
        <v>0.27995691206227596</v>
      </c>
      <c r="G15" s="283">
        <f t="shared" si="1"/>
        <v>1.898124054579476</v>
      </c>
      <c r="H15" s="282">
        <f>D15*TableC4!N15/(1000)</f>
        <v>-3.924357077075475E-2</v>
      </c>
      <c r="I15" s="281">
        <f>+D15*TableC4!O15/(1000)</f>
        <v>-4.5745168186334957E-2</v>
      </c>
      <c r="J15" s="280">
        <f t="shared" si="2"/>
        <v>6.501597415580207E-3</v>
      </c>
      <c r="K15" s="47">
        <f t="shared" si="3"/>
        <v>0.51548551975995838</v>
      </c>
      <c r="L15" s="27">
        <f t="shared" si="4"/>
        <v>6.6257286361270443E-2</v>
      </c>
      <c r="M15" s="228">
        <f t="shared" si="5"/>
        <v>0.44922823339868789</v>
      </c>
      <c r="N15" s="47">
        <f t="shared" si="6"/>
        <v>-9.2877596314474131E-3</v>
      </c>
      <c r="O15" s="228">
        <f t="shared" si="7"/>
        <v>-1.0826489997475909E-2</v>
      </c>
      <c r="P15" s="41">
        <f t="shared" si="8"/>
        <v>1.5387303660284967E-3</v>
      </c>
      <c r="T15" s="292"/>
      <c r="U15" s="292"/>
      <c r="V15" s="292"/>
    </row>
    <row r="16" spans="2:22">
      <c r="B16" s="199" t="s">
        <v>92</v>
      </c>
      <c r="C16" s="260">
        <f>+'Table U1'!J14</f>
        <v>8.8572399999999991</v>
      </c>
      <c r="D16" s="285">
        <f>+VLOOKUP(B16,'[4]Data C 2,4'!$A$2:$S$189,17,0)%</f>
        <v>0.19</v>
      </c>
      <c r="E16" s="282">
        <f>D16*TableC4!C16/(1000)</f>
        <v>0.47054860548739152</v>
      </c>
      <c r="F16" s="281">
        <f>+D16*TableC4!D16/(1000)</f>
        <v>0.385525200707867</v>
      </c>
      <c r="G16" s="283">
        <f t="shared" si="1"/>
        <v>8.5023404779524525E-2</v>
      </c>
      <c r="H16" s="282">
        <f>D16*TableC4!N16/(1000)</f>
        <v>0.1248586829720353</v>
      </c>
      <c r="I16" s="281">
        <f>+D16*TableC4!O16/(1000)</f>
        <v>0.12482317669878977</v>
      </c>
      <c r="J16" s="280">
        <f t="shared" si="2"/>
        <v>3.5506273245528019E-5</v>
      </c>
      <c r="K16" s="47">
        <f t="shared" si="3"/>
        <v>5.312587278739106E-2</v>
      </c>
      <c r="L16" s="27">
        <f t="shared" si="4"/>
        <v>4.3526561401505098E-2</v>
      </c>
      <c r="M16" s="228">
        <f t="shared" si="5"/>
        <v>9.5993113858859561E-3</v>
      </c>
      <c r="N16" s="47">
        <f t="shared" si="6"/>
        <v>1.4096793467494989E-2</v>
      </c>
      <c r="O16" s="228">
        <f t="shared" si="7"/>
        <v>1.4092784738675906E-2</v>
      </c>
      <c r="P16" s="41">
        <f t="shared" si="8"/>
        <v>4.0087288190822451E-6</v>
      </c>
      <c r="T16" s="292"/>
      <c r="U16" s="292"/>
      <c r="V16" s="292"/>
    </row>
    <row r="17" spans="1:22">
      <c r="B17" s="199" t="s">
        <v>41</v>
      </c>
      <c r="C17" s="260">
        <f>+'Table U1'!J15</f>
        <v>10.9041</v>
      </c>
      <c r="D17" s="285">
        <f>+VLOOKUP(B17,'[4]Data C 2,4'!$A$2:$S$189,17,0)%</f>
        <v>0.22</v>
      </c>
      <c r="E17" s="282">
        <f>D17*TableC4!C17/(1000)</f>
        <v>1.0888585236101593</v>
      </c>
      <c r="F17" s="281">
        <f>+D17*TableC4!D17/(1000)</f>
        <v>0.94624191571472338</v>
      </c>
      <c r="G17" s="283">
        <f t="shared" si="1"/>
        <v>0.14261660789543595</v>
      </c>
      <c r="H17" s="282">
        <f>D17*TableC4!N17/(1000)</f>
        <v>1.112851028700877</v>
      </c>
      <c r="I17" s="281">
        <f>+D17*TableC4!O17/(1000)</f>
        <v>0.64762013729126888</v>
      </c>
      <c r="J17" s="280">
        <f t="shared" si="2"/>
        <v>0.46523089140960816</v>
      </c>
      <c r="K17" s="47">
        <f t="shared" si="3"/>
        <v>9.9857716236109298E-2</v>
      </c>
      <c r="L17" s="27">
        <f t="shared" si="4"/>
        <v>8.6778543457481441E-2</v>
      </c>
      <c r="M17" s="228">
        <f t="shared" si="5"/>
        <v>1.3079172778627851E-2</v>
      </c>
      <c r="N17" s="47">
        <f t="shared" si="6"/>
        <v>0.10205803584898131</v>
      </c>
      <c r="O17" s="228">
        <f t="shared" si="7"/>
        <v>5.939235125239762E-2</v>
      </c>
      <c r="P17" s="41">
        <f t="shared" si="8"/>
        <v>4.2665684596583688E-2</v>
      </c>
      <c r="Q17" s="43"/>
      <c r="R17" s="43"/>
      <c r="S17" s="43"/>
      <c r="T17" s="43"/>
      <c r="U17" s="43"/>
      <c r="V17" s="43"/>
    </row>
    <row r="18" spans="1:22">
      <c r="B18" s="199" t="s">
        <v>93</v>
      </c>
      <c r="C18" s="260">
        <f>+'Table U1'!J16</f>
        <v>0.56993000000000005</v>
      </c>
      <c r="D18" s="285">
        <f>+VLOOKUP(B18,'[4]Data C 2,4'!$A$2:$S$189,17,0)%</f>
        <v>0.2</v>
      </c>
      <c r="E18" s="282">
        <f>D18*TableC4!C18/(1000)</f>
        <v>7.2242947344289279E-2</v>
      </c>
      <c r="F18" s="281">
        <f>+D18*TableC4!D18/(1000)</f>
        <v>5.7314928783495506E-2</v>
      </c>
      <c r="G18" s="283">
        <f t="shared" si="1"/>
        <v>1.4928018560793774E-2</v>
      </c>
      <c r="H18" s="282">
        <f>D18*TableC4!N18/(1000)</f>
        <v>-1.1287985051935507E-3</v>
      </c>
      <c r="I18" s="281">
        <f>+D18*TableC4!O18/(1000)</f>
        <v>-1.1287985051935507E-3</v>
      </c>
      <c r="J18" s="280">
        <f t="shared" si="2"/>
        <v>0</v>
      </c>
      <c r="K18" s="47">
        <f t="shared" si="3"/>
        <v>0.1267575796050204</v>
      </c>
      <c r="L18" s="27">
        <f t="shared" si="4"/>
        <v>0.10056485670783342</v>
      </c>
      <c r="M18" s="228">
        <f t="shared" si="5"/>
        <v>2.6192722897186976E-2</v>
      </c>
      <c r="N18" s="47">
        <f t="shared" si="6"/>
        <v>-1.9805914852588048E-3</v>
      </c>
      <c r="O18" s="228">
        <f t="shared" si="7"/>
        <v>-1.9805914852588048E-3</v>
      </c>
      <c r="P18" s="41">
        <f t="shared" si="8"/>
        <v>0</v>
      </c>
      <c r="Q18" s="43"/>
      <c r="R18" s="43"/>
      <c r="S18" s="43"/>
      <c r="T18" s="43"/>
      <c r="U18" s="43"/>
      <c r="V18" s="43"/>
    </row>
    <row r="19" spans="1:22">
      <c r="B19" s="199" t="s">
        <v>94</v>
      </c>
      <c r="C19" s="260">
        <f>+'Table U1'!J17</f>
        <v>6.7940899999999997</v>
      </c>
      <c r="D19" s="285">
        <f>+VLOOKUP(B19,'[4]Data C 2,4'!$A$2:$S$189,17,0)%</f>
        <v>0.2</v>
      </c>
      <c r="E19" s="282">
        <f>D19*TableC4!C19/(1000)</f>
        <v>0.84411466123261458</v>
      </c>
      <c r="F19" s="281">
        <f>+D19*TableC4!D19/(1000)</f>
        <v>0.68913631096820638</v>
      </c>
      <c r="G19" s="283">
        <f t="shared" si="1"/>
        <v>0.1549783502644082</v>
      </c>
      <c r="H19" s="282">
        <f>D19*TableC4!N19/(1000)</f>
        <v>0.62894445794668674</v>
      </c>
      <c r="I19" s="281">
        <f>+D19*TableC4!O19/(1000)</f>
        <v>0.56795844886534075</v>
      </c>
      <c r="J19" s="280">
        <f t="shared" si="2"/>
        <v>6.0986009081345993E-2</v>
      </c>
      <c r="K19" s="47">
        <f t="shared" si="3"/>
        <v>0.12424249034567023</v>
      </c>
      <c r="L19" s="27">
        <f t="shared" si="4"/>
        <v>0.10143173124998438</v>
      </c>
      <c r="M19" s="228">
        <f t="shared" si="5"/>
        <v>2.2810759095685841E-2</v>
      </c>
      <c r="N19" s="47">
        <f t="shared" si="6"/>
        <v>9.2572288260339031E-2</v>
      </c>
      <c r="O19" s="228">
        <f t="shared" si="7"/>
        <v>8.3595956024330079E-2</v>
      </c>
      <c r="P19" s="41">
        <f t="shared" si="8"/>
        <v>8.9763322360089416E-3</v>
      </c>
      <c r="Q19" s="43"/>
      <c r="R19" s="43"/>
      <c r="S19" s="43"/>
      <c r="T19" s="43"/>
      <c r="U19" s="43"/>
      <c r="V19" s="43"/>
    </row>
    <row r="20" spans="1:22">
      <c r="B20" s="199" t="s">
        <v>32</v>
      </c>
      <c r="C20" s="260">
        <f>+'Table U1'!J18</f>
        <v>60.736750000000001</v>
      </c>
      <c r="D20" s="285">
        <f>+VLOOKUP(B20,'[4]Data C 2,4'!$A$2:$S$189,17,0)%</f>
        <v>0.31</v>
      </c>
      <c r="E20" s="282">
        <f>D20*TableC4!C20/(1000)</f>
        <v>11.678686190657499</v>
      </c>
      <c r="F20" s="281">
        <f>+D20*TableC4!D20/(1000)</f>
        <v>9.6982975248813812</v>
      </c>
      <c r="G20" s="283">
        <f t="shared" si="1"/>
        <v>1.9803886657761183</v>
      </c>
      <c r="H20" s="282">
        <f>D20*TableC4!N20/(1000)</f>
        <v>27.769941060578393</v>
      </c>
      <c r="I20" s="281">
        <f>+D20*TableC4!O20/(1000)</f>
        <v>21.949354682031757</v>
      </c>
      <c r="J20" s="280">
        <f t="shared" si="2"/>
        <v>5.8205863785466363</v>
      </c>
      <c r="K20" s="47">
        <f t="shared" si="3"/>
        <v>0.19228368641156302</v>
      </c>
      <c r="L20" s="27">
        <f t="shared" si="4"/>
        <v>0.15967758440946184</v>
      </c>
      <c r="M20" s="228">
        <f t="shared" si="5"/>
        <v>3.2606102002101171E-2</v>
      </c>
      <c r="N20" s="47">
        <f t="shared" si="6"/>
        <v>0.45721809383245554</v>
      </c>
      <c r="O20" s="228">
        <f t="shared" si="7"/>
        <v>0.36138507052207697</v>
      </c>
      <c r="P20" s="41">
        <f t="shared" si="8"/>
        <v>9.5833023310378573E-2</v>
      </c>
      <c r="Q20" s="43"/>
      <c r="R20" s="43"/>
      <c r="S20" s="43"/>
      <c r="T20" s="43"/>
      <c r="U20" s="43"/>
      <c r="V20" s="43"/>
    </row>
    <row r="21" spans="1:22">
      <c r="B21" s="199" t="s">
        <v>34</v>
      </c>
      <c r="C21" s="260">
        <f>+'Table U1'!J19</f>
        <v>77.736310000000003</v>
      </c>
      <c r="D21" s="285">
        <f>+VLOOKUP(B21,'[4]Data C 2,4'!$A$2:$S$189,17,0)%</f>
        <v>0.3</v>
      </c>
      <c r="E21" s="282">
        <f>D21*TableC4!C21/(1000)</f>
        <v>20.06283927358243</v>
      </c>
      <c r="F21" s="281">
        <f>+D21*TableC4!D21/(1000)</f>
        <v>16.82433768272745</v>
      </c>
      <c r="G21" s="283">
        <f t="shared" si="1"/>
        <v>3.2385015908549803</v>
      </c>
      <c r="H21" s="282">
        <f>D21*TableC4!N21/(1000)</f>
        <v>14.88194854120295</v>
      </c>
      <c r="I21" s="281">
        <f>+D21*TableC4!O21/(1000)</f>
        <v>10.592566916986234</v>
      </c>
      <c r="J21" s="280">
        <f t="shared" si="2"/>
        <v>4.2893816242167162</v>
      </c>
      <c r="K21" s="47">
        <f t="shared" si="3"/>
        <v>0.25808839233020486</v>
      </c>
      <c r="L21" s="27">
        <f t="shared" si="4"/>
        <v>0.2164283033594912</v>
      </c>
      <c r="M21" s="228">
        <f t="shared" si="5"/>
        <v>4.1660088970713688E-2</v>
      </c>
      <c r="N21" s="47">
        <f t="shared" si="6"/>
        <v>0.1914414067403373</v>
      </c>
      <c r="O21" s="228">
        <f t="shared" si="7"/>
        <v>0.13626279555829487</v>
      </c>
      <c r="P21" s="41">
        <f t="shared" si="8"/>
        <v>5.5178611182042418E-2</v>
      </c>
      <c r="Q21" s="43"/>
      <c r="R21" s="43"/>
      <c r="S21" s="43"/>
      <c r="T21" s="43"/>
      <c r="U21" s="43"/>
      <c r="V21" s="43"/>
    </row>
    <row r="22" spans="1:22">
      <c r="B22" s="199" t="s">
        <v>40</v>
      </c>
      <c r="C22" s="260">
        <f>+'Table U1'!J20</f>
        <v>4.5573899999999998</v>
      </c>
      <c r="D22" s="285">
        <f>+VLOOKUP(B22,'[4]Data C 2,4'!$A$2:$S$189,17,0)%</f>
        <v>0.28000000000000003</v>
      </c>
      <c r="E22" s="282">
        <f>D22*TableC4!C22/(1000)</f>
        <v>0.47629546691557456</v>
      </c>
      <c r="F22" s="281">
        <f>+D22*TableC4!D22/(1000)</f>
        <v>0.40150140738998319</v>
      </c>
      <c r="G22" s="283">
        <f t="shared" si="1"/>
        <v>7.4794059525591372E-2</v>
      </c>
      <c r="H22" s="282">
        <f>D22*TableC4!N22/(1000)</f>
        <v>0.17128565871127621</v>
      </c>
      <c r="I22" s="281">
        <f>+D22*TableC4!O22/(1000)</f>
        <v>0.17097401912624674</v>
      </c>
      <c r="J22" s="280">
        <f t="shared" si="2"/>
        <v>3.1163958502947176E-4</v>
      </c>
      <c r="K22" s="47">
        <f t="shared" si="3"/>
        <v>0.10451057884349915</v>
      </c>
      <c r="L22" s="27">
        <f t="shared" si="4"/>
        <v>8.8098979325882398E-2</v>
      </c>
      <c r="M22" s="228">
        <f t="shared" si="5"/>
        <v>1.6411599517616744E-2</v>
      </c>
      <c r="N22" s="47">
        <f t="shared" si="6"/>
        <v>3.7584156438504546E-2</v>
      </c>
      <c r="O22" s="228">
        <f t="shared" si="7"/>
        <v>3.7515775285030847E-2</v>
      </c>
      <c r="P22" s="41">
        <f t="shared" si="8"/>
        <v>6.8381153473692571E-5</v>
      </c>
      <c r="Q22" s="43"/>
      <c r="R22" s="43"/>
      <c r="S22" s="43"/>
      <c r="T22" s="43"/>
      <c r="U22" s="43"/>
      <c r="V22" s="43"/>
    </row>
    <row r="23" spans="1:22">
      <c r="B23" s="199" t="s">
        <v>95</v>
      </c>
      <c r="C23" s="260">
        <f>+'Table U1'!J21</f>
        <v>2.1118399999999999</v>
      </c>
      <c r="D23" s="285">
        <f>+VLOOKUP(B23,'[4]Data C 2,4'!$A$2:$S$189,17,0)%</f>
        <v>0.09</v>
      </c>
      <c r="E23" s="282">
        <f>D23*TableC4!C23/(1000)</f>
        <v>0.45973356173481594</v>
      </c>
      <c r="F23" s="281">
        <f>+D23*TableC4!D23/(1000)</f>
        <v>0.39409490022999855</v>
      </c>
      <c r="G23" s="283">
        <f t="shared" si="1"/>
        <v>6.5638661504817397E-2</v>
      </c>
      <c r="H23" s="282">
        <f>D23*TableC4!N23/(1000)</f>
        <v>6.264597760061956E-2</v>
      </c>
      <c r="I23" s="281">
        <f>+D23*TableC4!O23/(1000)</f>
        <v>6.1773949007659167E-2</v>
      </c>
      <c r="J23" s="280">
        <f t="shared" si="2"/>
        <v>8.7202859296039298E-4</v>
      </c>
      <c r="K23" s="47">
        <f t="shared" si="3"/>
        <v>0.2176933677432078</v>
      </c>
      <c r="L23" s="27">
        <f t="shared" si="4"/>
        <v>0.18661210140446177</v>
      </c>
      <c r="M23" s="228">
        <f t="shared" si="5"/>
        <v>3.1081266338746021E-2</v>
      </c>
      <c r="N23" s="47">
        <f t="shared" si="6"/>
        <v>2.9664168497906832E-2</v>
      </c>
      <c r="O23" s="228">
        <f t="shared" si="7"/>
        <v>2.9251244889602984E-2</v>
      </c>
      <c r="P23" s="41">
        <f t="shared" si="8"/>
        <v>4.1292360830384549E-4</v>
      </c>
      <c r="Q23" s="43"/>
      <c r="R23" s="43"/>
      <c r="S23" s="43"/>
      <c r="T23" s="43"/>
      <c r="U23" s="43"/>
      <c r="V23" s="43"/>
    </row>
    <row r="24" spans="1:22">
      <c r="B24" s="199" t="s">
        <v>113</v>
      </c>
      <c r="C24" s="260">
        <f>+'Table U1'!J22</f>
        <v>0.51439999999999997</v>
      </c>
      <c r="D24" s="285">
        <f>+VLOOKUP(B24,'[4]Data C 2,4'!$A$2:$S$189,17,0)%</f>
        <v>0.2</v>
      </c>
      <c r="E24" s="282">
        <f>D24*TableC4!C24/(1000)</f>
        <v>0.11663274337824482</v>
      </c>
      <c r="F24" s="281">
        <f>+D24*TableC4!D24/(1000)</f>
        <v>4.3908934328678491E-2</v>
      </c>
      <c r="G24" s="283">
        <f t="shared" si="1"/>
        <v>7.2723809049566324E-2</v>
      </c>
      <c r="H24" s="282">
        <f>D24*TableC4!N24/(1000)</f>
        <v>3.8142516123157431E-3</v>
      </c>
      <c r="I24" s="281">
        <f>+D24*TableC4!O24/(1000)</f>
        <v>3.623186128499553E-3</v>
      </c>
      <c r="J24" s="280">
        <f t="shared" si="2"/>
        <v>1.9106548381619005E-4</v>
      </c>
      <c r="K24" s="47">
        <f t="shared" si="3"/>
        <v>0.22673550423453503</v>
      </c>
      <c r="L24" s="27">
        <f t="shared" si="4"/>
        <v>8.5359514635844666E-2</v>
      </c>
      <c r="M24" s="228">
        <f t="shared" si="5"/>
        <v>0.14137598959869038</v>
      </c>
      <c r="N24" s="47">
        <f t="shared" si="6"/>
        <v>7.4149525900383817E-3</v>
      </c>
      <c r="O24" s="228">
        <f t="shared" si="7"/>
        <v>7.0435189123241706E-3</v>
      </c>
      <c r="P24" s="41">
        <f t="shared" si="8"/>
        <v>3.7143367771421082E-4</v>
      </c>
      <c r="Q24" s="43"/>
      <c r="R24" s="43"/>
      <c r="S24" s="43"/>
      <c r="T24" s="43"/>
      <c r="U24" s="43"/>
      <c r="V24" s="43"/>
    </row>
    <row r="25" spans="1:22">
      <c r="B25" s="199" t="s">
        <v>20</v>
      </c>
      <c r="C25" s="260">
        <f>+'Table U1'!J23</f>
        <v>12.195489999999999</v>
      </c>
      <c r="D25" s="291"/>
      <c r="E25" s="282"/>
      <c r="F25" s="281"/>
      <c r="G25" s="283"/>
      <c r="H25" s="282"/>
      <c r="I25" s="281"/>
      <c r="J25" s="280"/>
      <c r="K25" s="47"/>
      <c r="L25" s="27"/>
      <c r="M25" s="228"/>
      <c r="N25" s="47"/>
      <c r="O25" s="228"/>
      <c r="P25" s="41"/>
      <c r="Q25" s="43"/>
      <c r="R25" s="43"/>
      <c r="S25" s="43"/>
      <c r="T25" s="43"/>
      <c r="U25" s="43"/>
      <c r="V25" s="43"/>
    </row>
    <row r="26" spans="1:22">
      <c r="B26" s="199" t="s">
        <v>114</v>
      </c>
      <c r="C26" s="260">
        <f>+'Table U1'!J24</f>
        <v>12.14495</v>
      </c>
      <c r="D26" s="285">
        <f>+VLOOKUP(B26,'[4]Data C 2,4'!$A$2:$S$189,17,0)%</f>
        <v>0.23</v>
      </c>
      <c r="E26" s="282">
        <f>D26*TableC4!C26/(1000)</f>
        <v>0.98932656137919672</v>
      </c>
      <c r="F26" s="281">
        <f>+D26*TableC4!D26/(1000)</f>
        <v>7.7310602190816147E-2</v>
      </c>
      <c r="G26" s="283">
        <f>+E26-F26</f>
        <v>0.91201595918838052</v>
      </c>
      <c r="H26" s="282">
        <f>D26*TableC4!N26/(1000)</f>
        <v>0.17096677389082598</v>
      </c>
      <c r="I26" s="281">
        <f>+D26*TableC4!O26/(1000)</f>
        <v>2.1163213975431982E-2</v>
      </c>
      <c r="J26" s="280">
        <f>+H26-I26</f>
        <v>0.14980355991539401</v>
      </c>
      <c r="K26" s="47">
        <f t="shared" ref="K26:P30" si="9">+E26/$C26</f>
        <v>8.1459912258115247E-2</v>
      </c>
      <c r="L26" s="27">
        <f t="shared" si="9"/>
        <v>6.3656583346013073E-3</v>
      </c>
      <c r="M26" s="228">
        <f t="shared" si="9"/>
        <v>7.5094253923513932E-2</v>
      </c>
      <c r="N26" s="47">
        <f t="shared" si="9"/>
        <v>1.4077190428188341E-2</v>
      </c>
      <c r="O26" s="228">
        <f t="shared" si="9"/>
        <v>1.7425525815612235E-3</v>
      </c>
      <c r="P26" s="41">
        <f t="shared" si="9"/>
        <v>1.2334637846627118E-2</v>
      </c>
      <c r="Q26" s="43"/>
      <c r="R26" s="43"/>
      <c r="S26" s="43"/>
      <c r="T26" s="43"/>
      <c r="U26" s="43"/>
      <c r="V26" s="43"/>
    </row>
    <row r="27" spans="1:22">
      <c r="B27" s="199" t="s">
        <v>33</v>
      </c>
      <c r="C27" s="260">
        <f>+'Table U1'!J25</f>
        <v>39.477260000000001</v>
      </c>
      <c r="D27" s="285">
        <f>+VLOOKUP(B27,'[4]Data C 2,4'!$A$2:$S$189,17,0)%</f>
        <v>0.24</v>
      </c>
      <c r="E27" s="282">
        <f>D27*TableC4!C27/(1000)</f>
        <v>6.1459981754138022</v>
      </c>
      <c r="F27" s="281">
        <f>+D27*TableC4!D27/(1000)</f>
        <v>5.4497414371684663</v>
      </c>
      <c r="G27" s="283">
        <f>+E27-F27</f>
        <v>0.69625673824533596</v>
      </c>
      <c r="H27" s="282">
        <f>D27*TableC4!N27/(1000)</f>
        <v>1.2503320084335698</v>
      </c>
      <c r="I27" s="281">
        <f>+D27*TableC4!O27/(1000)</f>
        <v>0.84188878589003213</v>
      </c>
      <c r="J27" s="280">
        <f>+H27-I27</f>
        <v>0.40844322254353771</v>
      </c>
      <c r="K27" s="47">
        <f t="shared" si="9"/>
        <v>0.15568451750232418</v>
      </c>
      <c r="L27" s="27">
        <f t="shared" si="9"/>
        <v>0.13804761113533376</v>
      </c>
      <c r="M27" s="228">
        <f t="shared" si="9"/>
        <v>1.7636906366990411E-2</v>
      </c>
      <c r="N27" s="47">
        <f t="shared" si="9"/>
        <v>3.1672208467192757E-2</v>
      </c>
      <c r="O27" s="228">
        <f t="shared" si="9"/>
        <v>2.1325917398776716E-2</v>
      </c>
      <c r="P27" s="41">
        <f t="shared" si="9"/>
        <v>1.0346291068416037E-2</v>
      </c>
      <c r="Q27" s="43"/>
      <c r="R27" s="43"/>
      <c r="S27" s="43"/>
      <c r="T27" s="43"/>
      <c r="U27" s="43"/>
      <c r="V27" s="43"/>
    </row>
    <row r="28" spans="1:22">
      <c r="B28" s="199" t="s">
        <v>31</v>
      </c>
      <c r="C28" s="260">
        <f>+'Table U1'!J26</f>
        <v>193.06609</v>
      </c>
      <c r="D28" s="285">
        <f>+VLOOKUP(B28,'[4]Data C 2,4'!$A$2:$S$189,17,0)%</f>
        <v>0.30620000000000003</v>
      </c>
      <c r="E28" s="282">
        <f>D28*TableC4!C28/(1000)</f>
        <v>4.7746977442405294</v>
      </c>
      <c r="F28" s="281">
        <f>+D28*TableC4!D28/(1000)</f>
        <v>2.6884155029595198</v>
      </c>
      <c r="G28" s="283">
        <f>+E28-F28</f>
        <v>2.0862822412810096</v>
      </c>
      <c r="H28" s="282">
        <f>D28*TableC4!N28/(1000)</f>
        <v>8.222601564743556</v>
      </c>
      <c r="I28" s="281"/>
      <c r="J28" s="280">
        <f>+H28-I28</f>
        <v>8.222601564743556</v>
      </c>
      <c r="K28" s="47">
        <f t="shared" si="9"/>
        <v>2.47308978197079E-2</v>
      </c>
      <c r="L28" s="27">
        <f t="shared" si="9"/>
        <v>1.3924845647205678E-2</v>
      </c>
      <c r="M28" s="228">
        <f t="shared" si="9"/>
        <v>1.0806052172502223E-2</v>
      </c>
      <c r="N28" s="47">
        <f t="shared" si="9"/>
        <v>4.2589569016203498E-2</v>
      </c>
      <c r="O28" s="228">
        <f t="shared" si="9"/>
        <v>0</v>
      </c>
      <c r="P28" s="41">
        <f t="shared" si="9"/>
        <v>4.2589569016203498E-2</v>
      </c>
      <c r="Q28" s="43"/>
      <c r="R28" s="43"/>
      <c r="S28" s="43"/>
      <c r="T28" s="43"/>
      <c r="U28" s="43"/>
      <c r="V28" s="43"/>
    </row>
    <row r="29" spans="1:22">
      <c r="A29" s="146" t="s">
        <v>362</v>
      </c>
      <c r="B29" s="199" t="s">
        <v>48</v>
      </c>
      <c r="C29" s="260">
        <f>+'Table U1'!J27</f>
        <v>53.051799375000002</v>
      </c>
      <c r="D29" s="285">
        <f>+VLOOKUP(A29,'[4]Data C 2,4'!$A$2:$S$189,17,0)%</f>
        <v>0.22</v>
      </c>
      <c r="E29" s="282">
        <f>D29*TableC4!C29/(1000)</f>
        <v>1.9543566450282981</v>
      </c>
      <c r="F29" s="281">
        <f>+D29*TableC4!D29/(1000)</f>
        <v>0.36985592786367583</v>
      </c>
      <c r="G29" s="283">
        <f>+E29-F29</f>
        <v>1.5845007171646222</v>
      </c>
      <c r="H29" s="282">
        <f>D29*TableC4!N29/(1000)</f>
        <v>0.47927066002934376</v>
      </c>
      <c r="I29" s="281">
        <f>+D29*TableC4!O29/(1000)</f>
        <v>0.23874007185692153</v>
      </c>
      <c r="J29" s="280">
        <f>+H29-I29</f>
        <v>0.24053058817242223</v>
      </c>
      <c r="K29" s="47">
        <f t="shared" si="9"/>
        <v>3.6838649547281221E-2</v>
      </c>
      <c r="L29" s="27">
        <f t="shared" si="9"/>
        <v>6.9716000629747883E-3</v>
      </c>
      <c r="M29" s="228">
        <f t="shared" si="9"/>
        <v>2.9867049484306431E-2</v>
      </c>
      <c r="N29" s="47">
        <f t="shared" si="9"/>
        <v>9.0340132790141334E-3</v>
      </c>
      <c r="O29" s="228">
        <f t="shared" si="9"/>
        <v>4.5001314690454181E-3</v>
      </c>
      <c r="P29" s="41">
        <f t="shared" si="9"/>
        <v>4.5338818099687163E-3</v>
      </c>
      <c r="Q29" s="43"/>
      <c r="R29" s="43"/>
      <c r="S29" s="43"/>
      <c r="T29" s="43"/>
      <c r="U29" s="43"/>
      <c r="V29" s="43"/>
    </row>
    <row r="30" spans="1:22">
      <c r="B30" s="185" t="s">
        <v>96</v>
      </c>
      <c r="C30" s="260">
        <f>+'Table U1'!J28</f>
        <v>0.79118261639999998</v>
      </c>
      <c r="D30" s="285">
        <f>+VLOOKUP(B30,'[4]Data C 2,4'!$A$2:$S$189,17,0)%</f>
        <v>0.2</v>
      </c>
      <c r="E30" s="282">
        <f>D30*TableC4!C30/(1000)</f>
        <v>6.7911432954671336E-2</v>
      </c>
      <c r="F30" s="281">
        <f>+D30*TableC4!D30/(1000)</f>
        <v>4.9651856027318239E-2</v>
      </c>
      <c r="G30" s="283">
        <f>+E30-F30</f>
        <v>1.8259576927353097E-2</v>
      </c>
      <c r="H30" s="282">
        <f>D30*TableC4!N30/(1000)</f>
        <v>-3.6115899998204496E-4</v>
      </c>
      <c r="I30" s="281">
        <f>+D30*TableC4!O30/(1000)</f>
        <v>-3.8481022191171011E-4</v>
      </c>
      <c r="J30" s="280">
        <f>+H30-I30</f>
        <v>2.365122192966515E-5</v>
      </c>
      <c r="K30" s="47">
        <f t="shared" si="9"/>
        <v>8.5835345149111814E-2</v>
      </c>
      <c r="L30" s="27">
        <f t="shared" si="9"/>
        <v>6.2756505259483147E-2</v>
      </c>
      <c r="M30" s="228">
        <f t="shared" si="9"/>
        <v>2.307883988962867E-2</v>
      </c>
      <c r="N30" s="47">
        <f t="shared" si="9"/>
        <v>-4.5647994849200909E-4</v>
      </c>
      <c r="O30" s="228">
        <f t="shared" si="9"/>
        <v>-4.8637345403600314E-4</v>
      </c>
      <c r="P30" s="41">
        <f t="shared" si="9"/>
        <v>2.9893505543994091E-5</v>
      </c>
      <c r="Q30" s="43"/>
      <c r="R30" s="43"/>
      <c r="S30" s="43"/>
      <c r="T30" s="43"/>
      <c r="U30" s="43"/>
      <c r="V30" s="43"/>
    </row>
    <row r="31" spans="1:22">
      <c r="B31" s="185" t="s">
        <v>19</v>
      </c>
      <c r="C31" s="260">
        <f>+'Table U1'!J29</f>
        <v>4.2104900000000001</v>
      </c>
      <c r="D31" s="284"/>
      <c r="E31" s="282"/>
      <c r="F31" s="281"/>
      <c r="G31" s="283"/>
      <c r="H31" s="282"/>
      <c r="I31" s="281"/>
      <c r="J31" s="280"/>
      <c r="K31" s="47"/>
      <c r="L31" s="27"/>
      <c r="M31" s="228"/>
      <c r="N31" s="47"/>
      <c r="O31" s="228"/>
      <c r="P31" s="41"/>
      <c r="Q31" s="43"/>
      <c r="R31" s="43"/>
      <c r="S31" s="43"/>
      <c r="T31" s="43"/>
      <c r="U31" s="43"/>
      <c r="V31" s="43"/>
    </row>
    <row r="32" spans="1:22">
      <c r="B32" s="185" t="s">
        <v>38</v>
      </c>
      <c r="C32" s="260">
        <f>+'Table U1'!J30</f>
        <v>41.718220000000002</v>
      </c>
      <c r="D32" s="285">
        <f>+VLOOKUP(B32,'[4]Data C 2,4'!$A$2:$S$189,17,0)%</f>
        <v>0.3</v>
      </c>
      <c r="E32" s="282">
        <f>D32*TableC4!C32/(1000)</f>
        <v>5.4068995934699604</v>
      </c>
      <c r="F32" s="281">
        <f>+D32*TableC4!D32/(1000)</f>
        <v>1.1624727465138109</v>
      </c>
      <c r="G32" s="283">
        <f>+E32-F32</f>
        <v>4.2444268469561495</v>
      </c>
      <c r="H32" s="282">
        <f>D32*TableC4!N32/(1000)</f>
        <v>1.5178828955732251</v>
      </c>
      <c r="I32" s="281">
        <f>+D32*TableC4!O32/(1000)</f>
        <v>1.2552693734790836</v>
      </c>
      <c r="J32" s="280">
        <f>+H32-I32</f>
        <v>0.26261352209414146</v>
      </c>
      <c r="K32" s="47">
        <f t="shared" ref="K32:P32" si="10">+E32/$C32</f>
        <v>0.1296052322814818</v>
      </c>
      <c r="L32" s="27">
        <f t="shared" si="10"/>
        <v>2.7864869270879986E-2</v>
      </c>
      <c r="M32" s="228">
        <f t="shared" si="10"/>
        <v>0.10174036301060183</v>
      </c>
      <c r="N32" s="47">
        <f t="shared" si="10"/>
        <v>3.6384172085319674E-2</v>
      </c>
      <c r="O32" s="228">
        <f t="shared" si="10"/>
        <v>3.0089236153390139E-2</v>
      </c>
      <c r="P32" s="41">
        <f t="shared" si="10"/>
        <v>6.2949359319295368E-3</v>
      </c>
      <c r="Q32" s="43"/>
      <c r="R32" s="43"/>
      <c r="S32" s="43"/>
      <c r="T32" s="43"/>
      <c r="U32" s="43"/>
      <c r="V32" s="43"/>
    </row>
    <row r="33" spans="1:22">
      <c r="B33" s="185" t="s">
        <v>23</v>
      </c>
      <c r="C33" s="260">
        <f>+'Table U1'!J31</f>
        <v>33.623420000000003</v>
      </c>
      <c r="D33" s="284"/>
      <c r="E33" s="282"/>
      <c r="F33" s="281"/>
      <c r="G33" s="283"/>
      <c r="H33" s="282"/>
      <c r="I33" s="281"/>
      <c r="J33" s="280"/>
      <c r="K33" s="47"/>
      <c r="L33" s="27"/>
      <c r="M33" s="228"/>
      <c r="N33" s="47"/>
      <c r="O33" s="228"/>
      <c r="P33" s="41"/>
      <c r="Q33" s="43"/>
      <c r="R33" s="43"/>
      <c r="S33" s="43"/>
      <c r="T33" s="43"/>
      <c r="U33" s="43"/>
      <c r="V33" s="43"/>
    </row>
    <row r="34" spans="1:22">
      <c r="B34" s="185" t="s">
        <v>116</v>
      </c>
      <c r="C34" s="260">
        <f>+'Table U1'!J32</f>
        <v>8.2780299999999993</v>
      </c>
      <c r="D34" s="285">
        <f>+VLOOKUP(B34,'[4]Data C 2,4'!$A$2:$S$189,17,0)%</f>
        <v>0.28000000000000003</v>
      </c>
      <c r="E34" s="282">
        <f>D34*TableC4!C34/(1000)</f>
        <v>0.78206848694457676</v>
      </c>
      <c r="F34" s="281">
        <f>+D34*TableC4!D34/(1000)</f>
        <v>0.14248613720703648</v>
      </c>
      <c r="G34" s="283">
        <f t="shared" ref="G34:G45" si="11">+E34-F34</f>
        <v>0.63958234973754025</v>
      </c>
      <c r="H34" s="282">
        <f>D34*TableC4!N34/(1000)</f>
        <v>0.25881156604839178</v>
      </c>
      <c r="I34" s="281">
        <f>+D34*TableC4!O34/(1000)</f>
        <v>-4.2279553149604333E-2</v>
      </c>
      <c r="J34" s="280">
        <f t="shared" ref="J34:J45" si="12">+H34-I34</f>
        <v>0.30109111919799614</v>
      </c>
      <c r="K34" s="47">
        <f t="shared" ref="K34:P41" si="13">+E34/$C34</f>
        <v>9.4475193608210745E-2</v>
      </c>
      <c r="L34" s="27">
        <f t="shared" si="13"/>
        <v>1.7212565937431552E-2</v>
      </c>
      <c r="M34" s="228">
        <f t="shared" si="13"/>
        <v>7.7262627670779196E-2</v>
      </c>
      <c r="N34" s="47">
        <f t="shared" si="13"/>
        <v>3.1264874136526663E-2</v>
      </c>
      <c r="O34" s="228">
        <f t="shared" si="13"/>
        <v>-5.1074414020732392E-3</v>
      </c>
      <c r="P34" s="41">
        <f t="shared" si="13"/>
        <v>3.6372315538599903E-2</v>
      </c>
      <c r="Q34" s="43"/>
      <c r="R34" s="43"/>
      <c r="S34" s="43"/>
      <c r="T34" s="43"/>
      <c r="U34" s="43"/>
      <c r="V34" s="43"/>
    </row>
    <row r="35" spans="1:22">
      <c r="B35" s="185" t="s">
        <v>117</v>
      </c>
      <c r="C35" s="260">
        <f>+'Table U1'!J33</f>
        <v>23.824539999999999</v>
      </c>
      <c r="D35" s="285">
        <f>+VLOOKUP(B35,'[4]Data C 2,4'!$A$2:$S$189,17,0)%</f>
        <v>0.22</v>
      </c>
      <c r="E35" s="282">
        <f>D35*TableC4!C35/(1000)</f>
        <v>1.5836346569260318</v>
      </c>
      <c r="F35" s="281">
        <f>+D35*TableC4!D35/(1000)</f>
        <v>0.64084598711735885</v>
      </c>
      <c r="G35" s="283">
        <f t="shared" si="11"/>
        <v>0.94278866980867293</v>
      </c>
      <c r="H35" s="282">
        <f>D35*TableC4!N35/(1000)</f>
        <v>1.6630879876308704</v>
      </c>
      <c r="I35" s="281">
        <f>+D35*TableC4!O35/(1000)</f>
        <v>1.1755065263172908</v>
      </c>
      <c r="J35" s="280">
        <f t="shared" si="12"/>
        <v>0.4875814613135796</v>
      </c>
      <c r="K35" s="47">
        <f t="shared" si="13"/>
        <v>6.6470733828482384E-2</v>
      </c>
      <c r="L35" s="27">
        <f t="shared" si="13"/>
        <v>2.6898567070648957E-2</v>
      </c>
      <c r="M35" s="228">
        <f t="shared" si="13"/>
        <v>3.9572166757833434E-2</v>
      </c>
      <c r="N35" s="47">
        <f t="shared" si="13"/>
        <v>6.9805670440263298E-2</v>
      </c>
      <c r="O35" s="228">
        <f t="shared" si="13"/>
        <v>4.934015625557895E-2</v>
      </c>
      <c r="P35" s="41">
        <f t="shared" si="13"/>
        <v>2.0465514184684348E-2</v>
      </c>
      <c r="Q35" s="43"/>
      <c r="R35" s="43"/>
      <c r="S35" s="43"/>
      <c r="T35" s="43"/>
      <c r="U35" s="43"/>
      <c r="V35" s="43"/>
    </row>
    <row r="36" spans="1:22">
      <c r="B36" s="185" t="s">
        <v>97</v>
      </c>
      <c r="C36" s="260">
        <f>+'Table U1'!J34</f>
        <v>13.18097</v>
      </c>
      <c r="D36" s="285">
        <f>+VLOOKUP(B36,'[4]Data C 2,4'!$A$2:$S$189,17,0)%</f>
        <v>0.19</v>
      </c>
      <c r="E36" s="282">
        <f>D36*TableC4!C36/(1000)</f>
        <v>0.9001698359248842</v>
      </c>
      <c r="F36" s="281">
        <f>+D36*TableC4!D36/(1000)</f>
        <v>0.78293767391250235</v>
      </c>
      <c r="G36" s="283">
        <f t="shared" si="11"/>
        <v>0.11723216201238185</v>
      </c>
      <c r="H36" s="282">
        <f>D36*TableC4!N36/(1000)</f>
        <v>-0.66816777277988515</v>
      </c>
      <c r="I36" s="281">
        <f>+D36*TableC4!O36/(1000)</f>
        <v>-0.66865361775157039</v>
      </c>
      <c r="J36" s="280">
        <f t="shared" si="12"/>
        <v>4.8584497168524532E-4</v>
      </c>
      <c r="K36" s="47">
        <f t="shared" si="13"/>
        <v>6.8293140483961665E-2</v>
      </c>
      <c r="L36" s="27">
        <f t="shared" si="13"/>
        <v>5.9399093838503718E-2</v>
      </c>
      <c r="M36" s="228">
        <f t="shared" si="13"/>
        <v>8.8940466454579484E-3</v>
      </c>
      <c r="N36" s="47">
        <f t="shared" si="13"/>
        <v>-5.0691851417603191E-2</v>
      </c>
      <c r="O36" s="228">
        <f t="shared" si="13"/>
        <v>-5.0728710994074819E-2</v>
      </c>
      <c r="P36" s="41">
        <f t="shared" si="13"/>
        <v>3.6859576471628815E-5</v>
      </c>
      <c r="Q36" s="43"/>
      <c r="R36" s="43"/>
      <c r="S36" s="43"/>
      <c r="T36" s="43"/>
      <c r="U36" s="43"/>
      <c r="V36" s="43"/>
    </row>
    <row r="37" spans="1:22">
      <c r="B37" s="185" t="s">
        <v>42</v>
      </c>
      <c r="C37" s="260">
        <f>+'Table U1'!J35</f>
        <v>7.4580700000000002</v>
      </c>
      <c r="D37" s="285">
        <f>+VLOOKUP(B37,'[4]Data C 2,4'!$A$2:$S$189,17,0)%</f>
        <v>0.21</v>
      </c>
      <c r="E37" s="282">
        <f>D37*TableC4!C37/(1000)</f>
        <v>0.64127644582479137</v>
      </c>
      <c r="F37" s="281">
        <f>+D37*TableC4!D37/(1000)</f>
        <v>0.57660733225394023</v>
      </c>
      <c r="G37" s="283">
        <f t="shared" si="11"/>
        <v>6.4669113570851144E-2</v>
      </c>
      <c r="H37" s="282">
        <f>D37*TableC4!N37/(1000)</f>
        <v>8.1245828254237401E-2</v>
      </c>
      <c r="I37" s="281">
        <f>+D37*TableC4!O37/(1000)</f>
        <v>9.2807235711034471E-4</v>
      </c>
      <c r="J37" s="280">
        <f t="shared" si="12"/>
        <v>8.0317755897127058E-2</v>
      </c>
      <c r="K37" s="47">
        <f t="shared" si="13"/>
        <v>8.5984235308168386E-2</v>
      </c>
      <c r="L37" s="27">
        <f t="shared" si="13"/>
        <v>7.731321002001057E-2</v>
      </c>
      <c r="M37" s="228">
        <f t="shared" si="13"/>
        <v>8.6710252881578125E-3</v>
      </c>
      <c r="N37" s="47">
        <f t="shared" si="13"/>
        <v>1.0893680034410699E-2</v>
      </c>
      <c r="O37" s="228">
        <f t="shared" si="13"/>
        <v>1.2443867610659924E-4</v>
      </c>
      <c r="P37" s="41">
        <f t="shared" si="13"/>
        <v>1.0769241358304099E-2</v>
      </c>
      <c r="Q37" s="43"/>
      <c r="R37" s="43"/>
      <c r="S37" s="43"/>
      <c r="T37" s="43"/>
      <c r="U37" s="43"/>
      <c r="V37" s="43"/>
    </row>
    <row r="38" spans="1:22">
      <c r="A38" s="146" t="s">
        <v>119</v>
      </c>
      <c r="B38" s="185" t="s">
        <v>98</v>
      </c>
      <c r="C38" s="260">
        <f>+'Table U1'!J36</f>
        <v>3.1883599999999999</v>
      </c>
      <c r="D38" s="285">
        <f>+VLOOKUP(B38,'[4]Data C 2,4'!$A$2:$S$189,17,0)%</f>
        <v>0.21</v>
      </c>
      <c r="E38" s="282">
        <f>D38*TableC4!C38/(1000)</f>
        <v>0.19505031229247721</v>
      </c>
      <c r="F38" s="281">
        <f>+D38*TableC4!D38/(1000)</f>
        <v>0.16677307032485394</v>
      </c>
      <c r="G38" s="283">
        <f t="shared" si="11"/>
        <v>2.8277241967623268E-2</v>
      </c>
      <c r="H38" s="282">
        <f>D38*TableC4!N38/(1000)</f>
        <v>2.6280464505280644E-2</v>
      </c>
      <c r="I38" s="281">
        <f>+D38*TableC4!O38/(1000)</f>
        <v>2.5244388045993823E-2</v>
      </c>
      <c r="J38" s="280">
        <f t="shared" si="12"/>
        <v>1.0360764592868207E-3</v>
      </c>
      <c r="K38" s="47">
        <f t="shared" si="13"/>
        <v>6.1175749379768038E-2</v>
      </c>
      <c r="L38" s="27">
        <f t="shared" si="13"/>
        <v>5.2306850645740741E-2</v>
      </c>
      <c r="M38" s="228">
        <f t="shared" si="13"/>
        <v>8.8688987340272956E-3</v>
      </c>
      <c r="N38" s="47">
        <f t="shared" si="13"/>
        <v>8.242627716217945E-3</v>
      </c>
      <c r="O38" s="228">
        <f t="shared" si="13"/>
        <v>7.9176717955293085E-3</v>
      </c>
      <c r="P38" s="41">
        <f t="shared" si="13"/>
        <v>3.2495592068863642E-4</v>
      </c>
      <c r="Q38" s="43"/>
      <c r="R38" s="43"/>
      <c r="S38" s="43"/>
      <c r="T38" s="43"/>
      <c r="U38" s="43"/>
      <c r="V38" s="43"/>
    </row>
    <row r="39" spans="1:22">
      <c r="B39" s="185" t="s">
        <v>99</v>
      </c>
      <c r="C39" s="260">
        <f>+'Table U1'!J37</f>
        <v>1.0674600000000001</v>
      </c>
      <c r="D39" s="285">
        <f>+VLOOKUP(B39,'[4]Data C 2,4'!$A$2:$S$189,17,0)%</f>
        <v>0.19</v>
      </c>
      <c r="E39" s="282">
        <f>D39*TableC4!C39/(1000)</f>
        <v>6.9695904125376656E-2</v>
      </c>
      <c r="F39" s="281">
        <f>+D39*TableC4!D39/(1000)</f>
        <v>5.5033889171495147E-2</v>
      </c>
      <c r="G39" s="283">
        <f t="shared" si="11"/>
        <v>1.4662014953881509E-2</v>
      </c>
      <c r="H39" s="282">
        <f>D39*TableC4!N39/(1000)</f>
        <v>-1.8658465629632815E-3</v>
      </c>
      <c r="I39" s="281">
        <f>+D39*TableC4!O39/(1000)</f>
        <v>-2.0049373497711756E-3</v>
      </c>
      <c r="J39" s="280">
        <f t="shared" si="12"/>
        <v>1.3909078680789414E-4</v>
      </c>
      <c r="K39" s="47">
        <f t="shared" si="13"/>
        <v>6.5291349676218927E-2</v>
      </c>
      <c r="L39" s="27">
        <f t="shared" si="13"/>
        <v>5.1555926378033037E-2</v>
      </c>
      <c r="M39" s="228">
        <f t="shared" si="13"/>
        <v>1.3735423298185889E-2</v>
      </c>
      <c r="N39" s="47">
        <f t="shared" si="13"/>
        <v>-1.7479311290008819E-3</v>
      </c>
      <c r="O39" s="228">
        <f t="shared" si="13"/>
        <v>-1.8782318304865525E-3</v>
      </c>
      <c r="P39" s="41">
        <f t="shared" si="13"/>
        <v>1.3030070148567079E-4</v>
      </c>
      <c r="Q39" s="43"/>
      <c r="R39" s="43"/>
      <c r="S39" s="43"/>
      <c r="T39" s="43"/>
      <c r="U39" s="43"/>
      <c r="V39" s="43"/>
    </row>
    <row r="40" spans="1:22">
      <c r="B40" s="185" t="s">
        <v>30</v>
      </c>
      <c r="C40" s="260">
        <f>+'Table U1'!J38</f>
        <v>28.790649999999999</v>
      </c>
      <c r="D40" s="285">
        <f>+VLOOKUP(B40,'[4]Data C 2,4'!$A$2:$S$189,17,0)%</f>
        <v>0.25</v>
      </c>
      <c r="E40" s="282">
        <f>D40*TableC4!C40/(1000)</f>
        <v>4.6661295890012147</v>
      </c>
      <c r="F40" s="281">
        <f>+D40*TableC4!D40/(1000)</f>
        <v>3.9205866550207666</v>
      </c>
      <c r="G40" s="283">
        <f t="shared" si="11"/>
        <v>0.74554293398044802</v>
      </c>
      <c r="H40" s="282">
        <f>D40*TableC4!N40/(1000)</f>
        <v>1.0784874909350948</v>
      </c>
      <c r="I40" s="281">
        <f>+D40*TableC4!O40/(1000)</f>
        <v>0.38370019950432399</v>
      </c>
      <c r="J40" s="280">
        <f t="shared" si="12"/>
        <v>0.69478729143077078</v>
      </c>
      <c r="K40" s="47">
        <f t="shared" si="13"/>
        <v>0.16207100530905744</v>
      </c>
      <c r="L40" s="27">
        <f t="shared" si="13"/>
        <v>0.13617569089342432</v>
      </c>
      <c r="M40" s="228">
        <f t="shared" si="13"/>
        <v>2.5895314415633131E-2</v>
      </c>
      <c r="N40" s="47">
        <f t="shared" si="13"/>
        <v>3.7459643701517498E-2</v>
      </c>
      <c r="O40" s="228">
        <f t="shared" si="13"/>
        <v>1.3327250322737556E-2</v>
      </c>
      <c r="P40" s="41">
        <f t="shared" si="13"/>
        <v>2.4132393378779943E-2</v>
      </c>
      <c r="Q40" s="43"/>
      <c r="R40" s="43"/>
      <c r="S40" s="43"/>
      <c r="T40" s="43"/>
      <c r="U40" s="43"/>
      <c r="V40" s="43"/>
    </row>
    <row r="41" spans="1:22">
      <c r="B41" s="185" t="s">
        <v>100</v>
      </c>
      <c r="C41" s="260">
        <f>+'Table U1'!J39</f>
        <v>16.066210000000002</v>
      </c>
      <c r="D41" s="285">
        <f>+VLOOKUP(B41,'[4]Data C 2,4'!$A$2:$S$189,17,0)%</f>
        <v>0.214</v>
      </c>
      <c r="E41" s="282">
        <f>D41*TableC4!C41/(1000)</f>
        <v>2.3808865526678251</v>
      </c>
      <c r="F41" s="281">
        <f>+D41*TableC4!D41/(1000)</f>
        <v>2.0116870732728782</v>
      </c>
      <c r="G41" s="283">
        <f t="shared" si="11"/>
        <v>0.36919947939494691</v>
      </c>
      <c r="H41" s="282">
        <f>D41*TableC4!N41/(1000)</f>
        <v>2.8240297494735813</v>
      </c>
      <c r="I41" s="281">
        <f>+D41*TableC4!O41/(1000)</f>
        <v>2.0063201718246746</v>
      </c>
      <c r="J41" s="280">
        <f t="shared" si="12"/>
        <v>0.81770957764890673</v>
      </c>
      <c r="K41" s="47">
        <f t="shared" si="13"/>
        <v>0.14819217181076463</v>
      </c>
      <c r="L41" s="27">
        <f t="shared" si="13"/>
        <v>0.12521229793914546</v>
      </c>
      <c r="M41" s="228">
        <f t="shared" si="13"/>
        <v>2.2979873871619184E-2</v>
      </c>
      <c r="N41" s="47">
        <f t="shared" si="13"/>
        <v>0.17577448256144923</v>
      </c>
      <c r="O41" s="228">
        <f t="shared" si="13"/>
        <v>0.12487824893516732</v>
      </c>
      <c r="P41" s="41">
        <f t="shared" si="13"/>
        <v>5.0896233626281907E-2</v>
      </c>
      <c r="Q41" s="43"/>
      <c r="R41" s="43"/>
      <c r="S41" s="43"/>
      <c r="T41" s="43"/>
      <c r="U41" s="43"/>
      <c r="V41" s="43"/>
    </row>
    <row r="42" spans="1:22">
      <c r="B42" s="185" t="s">
        <v>21</v>
      </c>
      <c r="C42" s="260">
        <f>+'Table U1'!J40</f>
        <v>22.828510000000001</v>
      </c>
      <c r="D42" s="285"/>
      <c r="E42" s="282">
        <f>D42*TableC4!C42/(1000)</f>
        <v>0</v>
      </c>
      <c r="F42" s="281">
        <f>+D42*TableC4!D42/(1000)</f>
        <v>0</v>
      </c>
      <c r="G42" s="283">
        <f t="shared" si="11"/>
        <v>0</v>
      </c>
      <c r="H42" s="282">
        <f>D42*TableC4!N42/(1000)</f>
        <v>0</v>
      </c>
      <c r="I42" s="281">
        <f>+D42*TableC4!O42/(1000)</f>
        <v>0</v>
      </c>
      <c r="J42" s="280">
        <f t="shared" si="12"/>
        <v>0</v>
      </c>
      <c r="K42" s="47"/>
      <c r="L42" s="27"/>
      <c r="M42" s="228"/>
      <c r="N42" s="47"/>
      <c r="O42" s="228"/>
      <c r="P42" s="41"/>
      <c r="Q42" s="43"/>
      <c r="R42" s="43"/>
      <c r="S42" s="43"/>
      <c r="T42" s="43"/>
      <c r="U42" s="43"/>
      <c r="V42" s="43"/>
    </row>
    <row r="43" spans="1:22">
      <c r="B43" s="185" t="s">
        <v>44</v>
      </c>
      <c r="C43" s="260">
        <f>+'Table U1'!J41</f>
        <v>13.893509999999999</v>
      </c>
      <c r="D43" s="285">
        <f>+VLOOKUP(B43,'[4]Data C 2,4'!$A$2:$S$189,17,0)%</f>
        <v>0.22</v>
      </c>
      <c r="E43" s="282">
        <f>D43*TableC4!C43/(1000)</f>
        <v>1.1164008812279906</v>
      </c>
      <c r="F43" s="281">
        <f>+D43*TableC4!D43/(1000)</f>
        <v>0.34062764396945411</v>
      </c>
      <c r="G43" s="283">
        <f t="shared" si="11"/>
        <v>0.77577323725853653</v>
      </c>
      <c r="H43" s="282">
        <f>D43*TableC4!N43/(1000)</f>
        <v>0.14330856733425346</v>
      </c>
      <c r="I43" s="281">
        <f>+D43*TableC4!O43/(1000)</f>
        <v>0.13732723657345156</v>
      </c>
      <c r="J43" s="280">
        <f t="shared" si="12"/>
        <v>5.9813307608019006E-3</v>
      </c>
      <c r="K43" s="47">
        <f t="shared" ref="K43:K53" si="14">+E43/$C43</f>
        <v>8.0354128022939536E-2</v>
      </c>
      <c r="L43" s="27">
        <f t="shared" ref="L43:L53" si="15">+F43/$C43</f>
        <v>2.4517033058561451E-2</v>
      </c>
      <c r="M43" s="228">
        <f t="shared" ref="M43:M53" si="16">+G43/$C43</f>
        <v>5.5837094964378088E-2</v>
      </c>
      <c r="N43" s="47">
        <f t="shared" ref="N43:N53" si="17">+H43/$C43</f>
        <v>1.0314784912830053E-2</v>
      </c>
      <c r="O43" s="228">
        <f t="shared" ref="O43:O53" si="18">+I43/$C43</f>
        <v>9.8842723381961477E-3</v>
      </c>
      <c r="P43" s="41">
        <f t="shared" ref="P43:P53" si="19">+J43/$C43</f>
        <v>4.3051257463390467E-4</v>
      </c>
      <c r="Q43" s="43"/>
      <c r="R43" s="43"/>
      <c r="S43" s="43"/>
      <c r="T43" s="43"/>
      <c r="U43" s="43"/>
      <c r="V43" s="43"/>
    </row>
    <row r="44" spans="1:22">
      <c r="B44" s="185" t="s">
        <v>28</v>
      </c>
      <c r="C44" s="260">
        <f>+'Table U1'!J42</f>
        <v>65.100920000000002</v>
      </c>
      <c r="D44" s="285">
        <f>+VLOOKUP(B44,'[4]Data C 2,4'!$A$2:$S$189,17,0)%</f>
        <v>0.19</v>
      </c>
      <c r="E44" s="282">
        <f>D44*TableC4!C44/(1000)</f>
        <v>18.434375943624925</v>
      </c>
      <c r="F44" s="281">
        <f>+D44*TableC4!D44/(1000)</f>
        <v>13.994105974065798</v>
      </c>
      <c r="G44" s="283">
        <f t="shared" si="11"/>
        <v>4.440269969559127</v>
      </c>
      <c r="H44" s="282">
        <f>D44*TableC4!N44/(1000)</f>
        <v>14.402760770235187</v>
      </c>
      <c r="I44" s="281">
        <f>+D44*TableC4!O44/(1000)</f>
        <v>10.258030089878991</v>
      </c>
      <c r="J44" s="280">
        <f t="shared" si="12"/>
        <v>4.1447306803561954</v>
      </c>
      <c r="K44" s="47">
        <f t="shared" si="14"/>
        <v>0.2831661356494643</v>
      </c>
      <c r="L44" s="27">
        <f t="shared" si="15"/>
        <v>0.21496018756825244</v>
      </c>
      <c r="M44" s="228">
        <f t="shared" si="16"/>
        <v>6.8205948081211859E-2</v>
      </c>
      <c r="N44" s="47">
        <f t="shared" si="17"/>
        <v>0.22123743827637438</v>
      </c>
      <c r="O44" s="228">
        <f t="shared" si="18"/>
        <v>0.15757120006720321</v>
      </c>
      <c r="P44" s="41">
        <f t="shared" si="19"/>
        <v>6.3666238209171166E-2</v>
      </c>
      <c r="Q44" s="43"/>
      <c r="R44" s="43"/>
      <c r="S44" s="43"/>
      <c r="T44" s="43"/>
      <c r="U44" s="43"/>
      <c r="V44" s="43"/>
    </row>
    <row r="45" spans="1:22">
      <c r="B45" s="185" t="s">
        <v>11</v>
      </c>
      <c r="C45" s="260">
        <f>+'Table U1'!J43</f>
        <v>286.81943000000001</v>
      </c>
      <c r="D45" s="285">
        <f>+VLOOKUP(B45,'[4]Data C 2,4'!$A$2:$S$189,17,0)%</f>
        <v>0.27</v>
      </c>
      <c r="E45" s="282">
        <f>D45*TableC4!C45/(1000)</f>
        <v>39.501821661430498</v>
      </c>
      <c r="F45" s="281">
        <f>+D45*TableC4!D45/(1000)</f>
        <v>11.147308043176814</v>
      </c>
      <c r="G45" s="283">
        <f t="shared" si="11"/>
        <v>28.354513618253684</v>
      </c>
      <c r="H45" s="282">
        <f>D45*TableC4!N45/(1000)</f>
        <v>114.75835790317062</v>
      </c>
      <c r="I45" s="281">
        <f>+D45*TableC4!O45/(1000)</f>
        <v>64.490845756876766</v>
      </c>
      <c r="J45" s="280">
        <f t="shared" si="12"/>
        <v>50.267512146293853</v>
      </c>
      <c r="K45" s="47">
        <f t="shared" si="14"/>
        <v>0.13772366000947181</v>
      </c>
      <c r="L45" s="27">
        <f t="shared" si="15"/>
        <v>3.8865247180697671E-2</v>
      </c>
      <c r="M45" s="228">
        <f t="shared" si="16"/>
        <v>9.8858412828774125E-2</v>
      </c>
      <c r="N45" s="47">
        <f t="shared" si="17"/>
        <v>0.400106638184068</v>
      </c>
      <c r="O45" s="228">
        <f t="shared" si="18"/>
        <v>0.22484824600926362</v>
      </c>
      <c r="P45" s="41">
        <f t="shared" si="19"/>
        <v>0.17525839217480438</v>
      </c>
      <c r="Q45" s="43"/>
      <c r="R45" s="43"/>
      <c r="S45" s="43"/>
      <c r="T45" s="43"/>
      <c r="U45" s="43"/>
      <c r="V45" s="43"/>
    </row>
    <row r="46" spans="1:22" ht="46.5">
      <c r="B46" s="195" t="s">
        <v>77</v>
      </c>
      <c r="C46" s="290">
        <f>SUM(C47:C53)</f>
        <v>781.81883984420006</v>
      </c>
      <c r="D46" s="289"/>
      <c r="E46" s="288">
        <f>F46+G46</f>
        <v>40.381098576835271</v>
      </c>
      <c r="F46" s="287">
        <f>SUM(F47:F53)</f>
        <v>6.7695941889509461</v>
      </c>
      <c r="G46" s="286">
        <f>SUM(G47:G53)</f>
        <v>33.611504387884324</v>
      </c>
      <c r="H46" s="288">
        <f>I46+J46</f>
        <v>23.435430240408984</v>
      </c>
      <c r="I46" s="287">
        <f>SUM(I47:I53)</f>
        <v>3.0914795174520542</v>
      </c>
      <c r="J46" s="286">
        <f>SUM(J47:J53)</f>
        <v>20.343950722956929</v>
      </c>
      <c r="K46" s="32">
        <f t="shared" si="14"/>
        <v>5.1650198893751866E-2</v>
      </c>
      <c r="L46" s="31">
        <f t="shared" si="15"/>
        <v>8.6587759771815966E-3</v>
      </c>
      <c r="M46" s="230">
        <f t="shared" si="16"/>
        <v>4.2991422916570272E-2</v>
      </c>
      <c r="N46" s="32">
        <f t="shared" si="17"/>
        <v>2.997552507826387E-2</v>
      </c>
      <c r="O46" s="230">
        <f t="shared" si="18"/>
        <v>3.9542146593296735E-3</v>
      </c>
      <c r="P46" s="224">
        <f t="shared" si="19"/>
        <v>2.6021310418934199E-2</v>
      </c>
      <c r="Q46" s="31"/>
      <c r="R46" s="31"/>
      <c r="S46" s="31"/>
      <c r="T46" s="31"/>
      <c r="U46" s="31"/>
      <c r="V46" s="31"/>
    </row>
    <row r="47" spans="1:22">
      <c r="B47" s="199" t="s">
        <v>37</v>
      </c>
      <c r="C47" s="260">
        <f>+'Table U1'!J45</f>
        <v>52.606450000000002</v>
      </c>
      <c r="D47" s="285">
        <f>+VLOOKUP(B47,'[4]Data C 2,4'!$A$2:$S$189,17,0)%</f>
        <v>0.34</v>
      </c>
      <c r="E47" s="282">
        <f>D47*TableC4!C47/(1000)</f>
        <v>8.0705371793713248</v>
      </c>
      <c r="F47" s="281">
        <f>+D47*TableC4!D47/(1000)</f>
        <v>2.0518094398914566</v>
      </c>
      <c r="G47" s="283">
        <f t="shared" ref="G47:G102" si="20">+E47-F47</f>
        <v>6.0187277394798677</v>
      </c>
      <c r="H47" s="282">
        <f>D47*TableC4!N47/(1000)</f>
        <v>3.2060192815562463</v>
      </c>
      <c r="I47" s="281">
        <f>+D47*TableC4!O47/(1000)</f>
        <v>3.0655421461968135</v>
      </c>
      <c r="J47" s="280">
        <f t="shared" ref="J47:J102" si="21">+H47-I47</f>
        <v>0.14047713535943274</v>
      </c>
      <c r="K47" s="47">
        <f t="shared" si="14"/>
        <v>0.15341345366150586</v>
      </c>
      <c r="L47" s="27">
        <f t="shared" si="15"/>
        <v>3.9003001340927899E-2</v>
      </c>
      <c r="M47" s="228">
        <f t="shared" si="16"/>
        <v>0.11441045232057794</v>
      </c>
      <c r="N47" s="47">
        <f t="shared" si="17"/>
        <v>6.0943463806363021E-2</v>
      </c>
      <c r="O47" s="228">
        <f t="shared" si="18"/>
        <v>5.8273123280449708E-2</v>
      </c>
      <c r="P47" s="41">
        <f t="shared" si="19"/>
        <v>2.6703405259133192E-3</v>
      </c>
      <c r="Q47" s="43"/>
      <c r="R47" s="43"/>
      <c r="S47" s="43"/>
      <c r="T47" s="43"/>
      <c r="U47" s="43"/>
      <c r="V47" s="43"/>
    </row>
    <row r="48" spans="1:22">
      <c r="A48" s="219" t="s">
        <v>171</v>
      </c>
      <c r="B48" s="185" t="s">
        <v>47</v>
      </c>
      <c r="C48" s="260">
        <f>+'Table U1'!J46</f>
        <v>537.69146999999998</v>
      </c>
      <c r="D48" s="285">
        <f>+VLOOKUP(B48,'[4]Data C 2,4'!$A$2:$S$189,17,0)%</f>
        <v>0.25</v>
      </c>
      <c r="E48" s="282">
        <f>D48*TableC4!C48/(1000)</f>
        <v>20.511784388670399</v>
      </c>
      <c r="F48" s="281">
        <f>+D48*TableC4!D48/(1000)</f>
        <v>1.6661522773913278</v>
      </c>
      <c r="G48" s="283">
        <f t="shared" si="20"/>
        <v>18.845632111279073</v>
      </c>
      <c r="H48" s="282">
        <f>D48*TableC4!N48/(1000)</f>
        <v>15.836110324839968</v>
      </c>
      <c r="I48" s="281">
        <f>+D48*TableC4!O48/(1000)</f>
        <v>2.2370703250886633E-3</v>
      </c>
      <c r="J48" s="280">
        <f t="shared" si="21"/>
        <v>15.833873254514879</v>
      </c>
      <c r="K48" s="47">
        <f t="shared" si="14"/>
        <v>3.8147870169244827E-2</v>
      </c>
      <c r="L48" s="27">
        <f t="shared" si="15"/>
        <v>3.0987143563786269E-3</v>
      </c>
      <c r="M48" s="228">
        <f t="shared" si="16"/>
        <v>3.5049155812866203E-2</v>
      </c>
      <c r="N48" s="47">
        <f t="shared" si="17"/>
        <v>2.9452039335569093E-2</v>
      </c>
      <c r="O48" s="228">
        <f t="shared" si="18"/>
        <v>4.1605092323459459E-6</v>
      </c>
      <c r="P48" s="41">
        <f t="shared" si="19"/>
        <v>2.9447878826336746E-2</v>
      </c>
      <c r="Q48" s="43"/>
      <c r="R48" s="43"/>
      <c r="S48" s="43"/>
      <c r="T48" s="43"/>
      <c r="U48" s="43"/>
      <c r="V48" s="43"/>
    </row>
    <row r="49" spans="1:22">
      <c r="B49" s="185" t="s">
        <v>121</v>
      </c>
      <c r="C49" s="260">
        <f>+'Table U1'!J47</f>
        <v>11.143359844199999</v>
      </c>
      <c r="D49" s="285">
        <f>+VLOOKUP(B49,'[4]Data C 2,4'!$A$2:$S$189,17,0)%</f>
        <v>0.33</v>
      </c>
      <c r="E49" s="282">
        <f>D49*TableC4!C49/(1000)</f>
        <v>0.65685972007967153</v>
      </c>
      <c r="F49" s="281">
        <f>+D49*TableC4!D49/(1000)</f>
        <v>0.18063053753528235</v>
      </c>
      <c r="G49" s="283">
        <f t="shared" si="20"/>
        <v>0.47622918254438917</v>
      </c>
      <c r="H49" s="282">
        <f>D49*TableC4!N49/(1000)</f>
        <v>0.45877060141945414</v>
      </c>
      <c r="I49" s="281">
        <f>+D49*TableC4!O49/(1000)</f>
        <v>-1.3537403668861128E-3</v>
      </c>
      <c r="J49" s="280">
        <f t="shared" si="21"/>
        <v>0.46012434178634026</v>
      </c>
      <c r="K49" s="47">
        <f t="shared" si="14"/>
        <v>5.8946289921846154E-2</v>
      </c>
      <c r="L49" s="27">
        <f t="shared" si="15"/>
        <v>1.6209701567637937E-2</v>
      </c>
      <c r="M49" s="228">
        <f t="shared" si="16"/>
        <v>4.2736588354208217E-2</v>
      </c>
      <c r="N49" s="47">
        <f t="shared" si="17"/>
        <v>4.1169863293810741E-2</v>
      </c>
      <c r="O49" s="228">
        <f t="shared" si="18"/>
        <v>-1.2148403944710807E-4</v>
      </c>
      <c r="P49" s="41">
        <f t="shared" si="19"/>
        <v>4.1291347333257851E-2</v>
      </c>
      <c r="Q49" s="43"/>
      <c r="R49" s="43"/>
      <c r="S49" s="43"/>
      <c r="T49" s="43"/>
      <c r="U49" s="43"/>
      <c r="V49" s="43"/>
    </row>
    <row r="50" spans="1:22">
      <c r="B50" s="185" t="s">
        <v>122</v>
      </c>
      <c r="C50" s="260">
        <f>+'Table U1'!J48</f>
        <v>1.8016300000000001</v>
      </c>
      <c r="D50" s="285">
        <f>+VLOOKUP(B50,'[4]Data C 2,4'!$A$2:$S$189,17,0)%</f>
        <v>0.3</v>
      </c>
      <c r="E50" s="282">
        <f>D50*TableC4!C50/(1000)</f>
        <v>0.51660617970165912</v>
      </c>
      <c r="F50" s="281">
        <f>+D50*TableC4!D50/(1000)</f>
        <v>0.14206207060807607</v>
      </c>
      <c r="G50" s="283">
        <f t="shared" si="20"/>
        <v>0.37454410909358304</v>
      </c>
      <c r="H50" s="282">
        <f>D50*TableC4!N50/(1000)</f>
        <v>4.9768928217494193E-2</v>
      </c>
      <c r="I50" s="281">
        <f>+D50*TableC4!O50/(1000)</f>
        <v>-6.1634197943626642E-4</v>
      </c>
      <c r="J50" s="280">
        <f t="shared" si="21"/>
        <v>5.0385270196930461E-2</v>
      </c>
      <c r="K50" s="47">
        <f t="shared" si="14"/>
        <v>0.28674377075296209</v>
      </c>
      <c r="L50" s="27">
        <f t="shared" si="15"/>
        <v>7.8851967722604568E-2</v>
      </c>
      <c r="M50" s="228">
        <f t="shared" si="16"/>
        <v>0.20789180303035754</v>
      </c>
      <c r="N50" s="47">
        <f t="shared" si="17"/>
        <v>2.7624389146214366E-2</v>
      </c>
      <c r="O50" s="228">
        <f t="shared" si="18"/>
        <v>-3.421024180526892E-4</v>
      </c>
      <c r="P50" s="41">
        <f t="shared" si="19"/>
        <v>2.7966491564267056E-2</v>
      </c>
      <c r="Q50" s="43"/>
      <c r="R50" s="43"/>
      <c r="S50" s="43"/>
      <c r="T50" s="43"/>
      <c r="U50" s="43"/>
      <c r="V50" s="43"/>
    </row>
    <row r="51" spans="1:22">
      <c r="B51" s="185" t="s">
        <v>45</v>
      </c>
      <c r="C51" s="260">
        <f>+'Table U1'!J49</f>
        <v>90.875349999999997</v>
      </c>
      <c r="D51" s="285">
        <f>+VLOOKUP(B51,'[4]Data C 2,4'!$A$2:$S$189,17,0)%</f>
        <v>0.3</v>
      </c>
      <c r="E51" s="282">
        <f>D51*TableC4!C51/(1000)</f>
        <v>5.0617359479089599</v>
      </c>
      <c r="F51" s="281">
        <f>+D51*TableC4!D51/(1000)</f>
        <v>1.1967484165024265</v>
      </c>
      <c r="G51" s="283">
        <f t="shared" si="20"/>
        <v>3.8649875314065332</v>
      </c>
      <c r="H51" s="282">
        <f>D51*TableC4!N51/(1000)</f>
        <v>1.9525505355846347</v>
      </c>
      <c r="I51" s="281">
        <f>+D51*TableC4!O51/(1000)</f>
        <v>1.2033988766431849E-2</v>
      </c>
      <c r="J51" s="280">
        <f t="shared" si="21"/>
        <v>1.9405165468182028</v>
      </c>
      <c r="K51" s="47">
        <f t="shared" si="14"/>
        <v>5.5699768396038747E-2</v>
      </c>
      <c r="L51" s="27">
        <f t="shared" si="15"/>
        <v>1.3169120300526232E-2</v>
      </c>
      <c r="M51" s="228">
        <f t="shared" si="16"/>
        <v>4.2530648095512519E-2</v>
      </c>
      <c r="N51" s="47">
        <f t="shared" si="17"/>
        <v>2.1486030431625679E-2</v>
      </c>
      <c r="O51" s="228">
        <f t="shared" si="18"/>
        <v>1.3242302523656691E-4</v>
      </c>
      <c r="P51" s="41">
        <f t="shared" si="19"/>
        <v>2.1353607406389113E-2</v>
      </c>
      <c r="Q51" s="43"/>
      <c r="R51" s="43"/>
      <c r="S51" s="43"/>
      <c r="T51" s="43"/>
      <c r="U51" s="43"/>
      <c r="V51" s="43"/>
    </row>
    <row r="52" spans="1:22">
      <c r="A52" s="219" t="s">
        <v>172</v>
      </c>
      <c r="B52" s="185" t="s">
        <v>46</v>
      </c>
      <c r="C52" s="260">
        <f>+'Table U1'!J50</f>
        <v>70.846710000000002</v>
      </c>
      <c r="D52" s="285">
        <f>+VLOOKUP(B52,'[4]Data C 2,4'!$A$2:$S$189,17,0)%</f>
        <v>0.2</v>
      </c>
      <c r="E52" s="282">
        <f>D52*TableC4!C52/(1000)</f>
        <v>3.6013304810714226</v>
      </c>
      <c r="F52" s="281">
        <f>+D52*TableC4!D52/(1000)</f>
        <v>1.0575156390901588</v>
      </c>
      <c r="G52" s="283">
        <f t="shared" si="20"/>
        <v>2.5438148419812636</v>
      </c>
      <c r="H52" s="282">
        <f>D52*TableC4!N52/(1000)</f>
        <v>0.21012406842660619</v>
      </c>
      <c r="I52" s="281">
        <f>+D52*TableC4!O52/(1000)</f>
        <v>0.19981210215285078</v>
      </c>
      <c r="J52" s="280">
        <f t="shared" si="21"/>
        <v>1.0311966273755413E-2</v>
      </c>
      <c r="K52" s="47">
        <f t="shared" si="14"/>
        <v>5.0832713065595038E-2</v>
      </c>
      <c r="L52" s="27">
        <f t="shared" si="15"/>
        <v>1.4926813667002445E-2</v>
      </c>
      <c r="M52" s="228">
        <f t="shared" si="16"/>
        <v>3.5905899398592588E-2</v>
      </c>
      <c r="N52" s="47">
        <f t="shared" si="17"/>
        <v>2.9658973356223059E-3</v>
      </c>
      <c r="O52" s="228">
        <f t="shared" si="18"/>
        <v>2.8203441225831201E-3</v>
      </c>
      <c r="P52" s="41">
        <f t="shared" si="19"/>
        <v>1.4555321303918577E-4</v>
      </c>
      <c r="Q52" s="43"/>
      <c r="R52" s="43"/>
      <c r="S52" s="43"/>
      <c r="T52" s="43"/>
      <c r="U52" s="43"/>
      <c r="V52" s="43"/>
    </row>
    <row r="53" spans="1:22">
      <c r="B53" s="185" t="s">
        <v>39</v>
      </c>
      <c r="C53" s="260">
        <f>+'Table U1'!J51</f>
        <v>16.853870000000001</v>
      </c>
      <c r="D53" s="285">
        <f>+VLOOKUP(B53,'[4]Data C 2,4'!$A$2:$S$189,17,0)%</f>
        <v>0.28000000000000003</v>
      </c>
      <c r="E53" s="282">
        <f>D53*TableC4!C53/(1000)</f>
        <v>1.9622446800318272</v>
      </c>
      <c r="F53" s="281">
        <f>+D53*TableC4!D53/(1000)</f>
        <v>0.4746758079322177</v>
      </c>
      <c r="G53" s="283">
        <f t="shared" si="20"/>
        <v>1.4875688720996094</v>
      </c>
      <c r="H53" s="282">
        <f>D53*TableC4!N53/(1000)</f>
        <v>1.7220865003645827</v>
      </c>
      <c r="I53" s="281">
        <f>+D53*TableC4!O53/(1000)</f>
        <v>-0.18617570764280822</v>
      </c>
      <c r="J53" s="280">
        <f t="shared" si="21"/>
        <v>1.908262208007391</v>
      </c>
      <c r="K53" s="47">
        <f t="shared" si="14"/>
        <v>0.11642695001396279</v>
      </c>
      <c r="L53" s="27">
        <f t="shared" si="15"/>
        <v>2.8164202520383607E-2</v>
      </c>
      <c r="M53" s="228">
        <f t="shared" si="16"/>
        <v>8.826274749357918E-2</v>
      </c>
      <c r="N53" s="47">
        <f t="shared" si="17"/>
        <v>0.10217751177412562</v>
      </c>
      <c r="O53" s="228">
        <f t="shared" si="18"/>
        <v>-1.1046466339351628E-2</v>
      </c>
      <c r="P53" s="41">
        <f t="shared" si="19"/>
        <v>0.11322397811347726</v>
      </c>
      <c r="Q53" s="43"/>
      <c r="R53" s="43"/>
      <c r="S53" s="43"/>
      <c r="T53" s="43"/>
      <c r="U53" s="43"/>
      <c r="V53" s="43"/>
    </row>
    <row r="54" spans="1:22" ht="40" hidden="1" customHeight="1">
      <c r="B54" s="195" t="s">
        <v>124</v>
      </c>
      <c r="C54" s="193"/>
      <c r="D54" s="285" t="e">
        <f>+VLOOKUP(B54,'[4]Data C 2,4'!$A$2:$S$189,16,0)%</f>
        <v>#N/A</v>
      </c>
      <c r="E54" s="282" t="e">
        <f>D54*TableC4!C54/(1000)</f>
        <v>#N/A</v>
      </c>
      <c r="F54" s="281" t="e">
        <f>+D54*TableC4!D54/(1000)</f>
        <v>#N/A</v>
      </c>
      <c r="G54" s="283" t="e">
        <f t="shared" si="20"/>
        <v>#N/A</v>
      </c>
      <c r="H54" s="282" t="e">
        <f>D54*TableC4!N54/(1000)</f>
        <v>#N/A</v>
      </c>
      <c r="I54" s="281" t="e">
        <f>+D54*TableC4!O54/(1000)</f>
        <v>#N/A</v>
      </c>
      <c r="J54" s="280" t="e">
        <f t="shared" si="21"/>
        <v>#N/A</v>
      </c>
      <c r="K54" s="46"/>
      <c r="L54" s="42"/>
      <c r="M54" s="276"/>
      <c r="N54" s="46"/>
      <c r="O54" s="279"/>
      <c r="P54" s="275"/>
      <c r="Q54" s="31"/>
      <c r="R54" s="31"/>
      <c r="S54" s="31"/>
      <c r="T54" s="31"/>
      <c r="U54" s="31"/>
      <c r="V54" s="31"/>
    </row>
    <row r="55" spans="1:22" ht="14" hidden="1" customHeight="1">
      <c r="B55" s="185" t="s">
        <v>173</v>
      </c>
      <c r="C55" s="253"/>
      <c r="D55" s="285">
        <f>+VLOOKUP(B55,'[4]Data C 2,4'!$A$2:$S$189,16,0)%</f>
        <v>0.1</v>
      </c>
      <c r="E55" s="282">
        <f>D55*TableC4!C55/(1000)</f>
        <v>0</v>
      </c>
      <c r="F55" s="281">
        <f>+D55*TableC4!D55/(1000)</f>
        <v>0</v>
      </c>
      <c r="G55" s="283">
        <f t="shared" si="20"/>
        <v>0</v>
      </c>
      <c r="H55" s="282">
        <f>D55*TableC4!N55/(1000)</f>
        <v>1.0266531080332955E-4</v>
      </c>
      <c r="I55" s="281">
        <f>+D55*TableC4!O55/(1000)</f>
        <v>3.0525160465409004E-6</v>
      </c>
      <c r="J55" s="280">
        <f t="shared" si="21"/>
        <v>9.961279475678864E-5</v>
      </c>
      <c r="K55" s="227"/>
      <c r="L55" s="42"/>
      <c r="M55" s="228"/>
      <c r="N55" s="227"/>
      <c r="O55" s="279"/>
      <c r="P55" s="41"/>
      <c r="Q55" s="27"/>
      <c r="R55" s="27"/>
      <c r="S55" s="27"/>
      <c r="T55" s="27"/>
      <c r="U55" s="27"/>
      <c r="V55" s="27"/>
    </row>
    <row r="56" spans="1:22" ht="14" hidden="1" customHeight="1">
      <c r="B56" s="185" t="s">
        <v>174</v>
      </c>
      <c r="C56" s="253"/>
      <c r="D56" s="285">
        <f>+VLOOKUP(B56,'[4]Data C 2,4'!$A$2:$S$189,16,0)%</f>
        <v>0</v>
      </c>
      <c r="E56" s="282">
        <f>D56*TableC4!C56/(1000)</f>
        <v>0</v>
      </c>
      <c r="F56" s="281">
        <f>+D56*TableC4!D56/(1000)</f>
        <v>0</v>
      </c>
      <c r="G56" s="283">
        <f t="shared" si="20"/>
        <v>0</v>
      </c>
      <c r="H56" s="282">
        <f>D56*TableC4!N56/(1000)</f>
        <v>0</v>
      </c>
      <c r="I56" s="281">
        <f>+D56*TableC4!O56/(1000)</f>
        <v>0</v>
      </c>
      <c r="J56" s="280">
        <f t="shared" si="21"/>
        <v>0</v>
      </c>
      <c r="K56" s="227"/>
      <c r="L56" s="42"/>
      <c r="M56" s="228"/>
      <c r="N56" s="227"/>
      <c r="O56" s="279"/>
      <c r="P56" s="41"/>
      <c r="Q56" s="27"/>
      <c r="R56" s="27"/>
      <c r="S56" s="27"/>
      <c r="T56" s="27"/>
      <c r="U56" s="27"/>
      <c r="V56" s="27"/>
    </row>
    <row r="57" spans="1:22" ht="14" hidden="1" customHeight="1">
      <c r="B57" s="185" t="s">
        <v>175</v>
      </c>
      <c r="C57" s="253"/>
      <c r="D57" s="285">
        <f>+VLOOKUP(B57,'[4]Data C 2,4'!$A$2:$S$189,16,0)%</f>
        <v>0.25</v>
      </c>
      <c r="E57" s="282">
        <f>D57*TableC4!C57/(1000)</f>
        <v>0</v>
      </c>
      <c r="F57" s="281">
        <f>+D57*TableC4!D57/(1000)</f>
        <v>0</v>
      </c>
      <c r="G57" s="283">
        <f t="shared" si="20"/>
        <v>0</v>
      </c>
      <c r="H57" s="282">
        <f>D57*TableC4!N57/(1000)</f>
        <v>1.4051894806345804E-3</v>
      </c>
      <c r="I57" s="281">
        <f>+D57*TableC4!O57/(1000)</f>
        <v>2.9397840989215235E-6</v>
      </c>
      <c r="J57" s="280">
        <f t="shared" si="21"/>
        <v>1.4022496965356587E-3</v>
      </c>
      <c r="K57" s="227"/>
      <c r="L57" s="42"/>
      <c r="M57" s="228"/>
      <c r="N57" s="227"/>
      <c r="O57" s="279"/>
      <c r="P57" s="41"/>
      <c r="Q57" s="27"/>
      <c r="R57" s="27"/>
      <c r="S57" s="27"/>
      <c r="T57" s="27"/>
      <c r="U57" s="27"/>
      <c r="V57" s="27"/>
    </row>
    <row r="58" spans="1:22" ht="14" hidden="1" customHeight="1">
      <c r="B58" s="185" t="s">
        <v>176</v>
      </c>
      <c r="C58" s="253"/>
      <c r="D58" s="285">
        <f>+VLOOKUP(B58,'[4]Data C 2,4'!$A$2:$S$189,16,0)%</f>
        <v>0.25</v>
      </c>
      <c r="E58" s="282">
        <f>D58*TableC4!C58/(1000)</f>
        <v>0</v>
      </c>
      <c r="F58" s="281">
        <f>+D58*TableC4!D58/(1000)</f>
        <v>0</v>
      </c>
      <c r="G58" s="283">
        <f t="shared" si="20"/>
        <v>0</v>
      </c>
      <c r="H58" s="282">
        <f>D58*TableC4!N58/(1000)</f>
        <v>1.3064341090441085E-2</v>
      </c>
      <c r="I58" s="281">
        <f>+D58*TableC4!O58/(1000)</f>
        <v>0</v>
      </c>
      <c r="J58" s="280">
        <f t="shared" si="21"/>
        <v>1.3064341090441085E-2</v>
      </c>
      <c r="K58" s="227"/>
      <c r="L58" s="42"/>
      <c r="M58" s="228"/>
      <c r="N58" s="227"/>
      <c r="O58" s="279"/>
      <c r="P58" s="41"/>
      <c r="Q58" s="27"/>
      <c r="R58" s="27"/>
      <c r="S58" s="27"/>
      <c r="T58" s="27"/>
      <c r="U58" s="27"/>
      <c r="V58" s="27"/>
    </row>
    <row r="59" spans="1:22" ht="14" hidden="1" customHeight="1">
      <c r="A59" s="219" t="s">
        <v>177</v>
      </c>
      <c r="B59" s="185" t="s">
        <v>178</v>
      </c>
      <c r="C59" s="253"/>
      <c r="D59" s="285">
        <f>+VLOOKUP(B59,'[4]Data C 2,4'!$A$2:$S$189,16,0)%</f>
        <v>0</v>
      </c>
      <c r="E59" s="282">
        <f>D59*TableC4!C59/(1000)</f>
        <v>0</v>
      </c>
      <c r="F59" s="281">
        <f>+D59*TableC4!D59/(1000)</f>
        <v>0</v>
      </c>
      <c r="G59" s="283">
        <f t="shared" si="20"/>
        <v>0</v>
      </c>
      <c r="H59" s="282">
        <f>D59*TableC4!N59/(1000)</f>
        <v>0</v>
      </c>
      <c r="I59" s="281">
        <f>+D59*TableC4!O59/(1000)</f>
        <v>0</v>
      </c>
      <c r="J59" s="280">
        <f t="shared" si="21"/>
        <v>0</v>
      </c>
      <c r="K59" s="227"/>
      <c r="L59" s="42"/>
      <c r="M59" s="228"/>
      <c r="N59" s="227"/>
      <c r="O59" s="279"/>
      <c r="P59" s="41"/>
      <c r="Q59" s="27"/>
      <c r="R59" s="27"/>
      <c r="S59" s="27"/>
      <c r="T59" s="27"/>
      <c r="U59" s="27"/>
      <c r="V59" s="27"/>
    </row>
    <row r="60" spans="1:22" ht="14" hidden="1" customHeight="1">
      <c r="A60" s="219" t="s">
        <v>179</v>
      </c>
      <c r="B60" s="185" t="s">
        <v>180</v>
      </c>
      <c r="C60" s="253"/>
      <c r="D60" s="285">
        <f>+VLOOKUP(B60,'[4]Data C 2,4'!$A$2:$S$189,16,0)%</f>
        <v>0</v>
      </c>
      <c r="E60" s="282">
        <f>D60*TableC4!C60/(1000)</f>
        <v>0</v>
      </c>
      <c r="F60" s="281">
        <f>+D60*TableC4!D60/(1000)</f>
        <v>0</v>
      </c>
      <c r="G60" s="283">
        <f t="shared" si="20"/>
        <v>0</v>
      </c>
      <c r="H60" s="282">
        <f>D60*TableC4!N60/(1000)</f>
        <v>0</v>
      </c>
      <c r="I60" s="281">
        <f>+D60*TableC4!O60/(1000)</f>
        <v>0</v>
      </c>
      <c r="J60" s="280">
        <f t="shared" si="21"/>
        <v>0</v>
      </c>
      <c r="K60" s="227"/>
      <c r="L60" s="42"/>
      <c r="M60" s="228"/>
      <c r="N60" s="227"/>
      <c r="O60" s="279"/>
      <c r="P60" s="41"/>
      <c r="Q60" s="27"/>
      <c r="R60" s="27"/>
      <c r="S60" s="27"/>
      <c r="T60" s="27"/>
      <c r="U60" s="27"/>
      <c r="V60" s="27"/>
    </row>
    <row r="61" spans="1:22" ht="14" hidden="1" customHeight="1">
      <c r="B61" s="185" t="s">
        <v>181</v>
      </c>
      <c r="C61" s="253"/>
      <c r="D61" s="285">
        <f>+VLOOKUP(B61,'[4]Data C 2,4'!$A$2:$S$189,16,0)%</f>
        <v>0.25</v>
      </c>
      <c r="E61" s="282">
        <f>D61*TableC4!C61/(1000)</f>
        <v>0</v>
      </c>
      <c r="F61" s="281">
        <f>+D61*TableC4!D61/(1000)</f>
        <v>0</v>
      </c>
      <c r="G61" s="283">
        <f t="shared" si="20"/>
        <v>0</v>
      </c>
      <c r="H61" s="282">
        <f>D61*TableC4!N61/(1000)</f>
        <v>2.2906155923225886E-2</v>
      </c>
      <c r="I61" s="281">
        <f>+D61*TableC4!O61/(1000)</f>
        <v>2.5199380577941477E-3</v>
      </c>
      <c r="J61" s="280">
        <f t="shared" si="21"/>
        <v>2.0386217865431738E-2</v>
      </c>
      <c r="K61" s="227"/>
      <c r="L61" s="42"/>
      <c r="M61" s="228"/>
      <c r="N61" s="227"/>
      <c r="O61" s="279"/>
      <c r="P61" s="41"/>
      <c r="Q61" s="27"/>
      <c r="R61" s="27"/>
      <c r="S61" s="27"/>
      <c r="T61" s="27"/>
      <c r="U61" s="27"/>
      <c r="V61" s="27"/>
    </row>
    <row r="62" spans="1:22" ht="14" hidden="1" customHeight="1">
      <c r="B62" s="185" t="s">
        <v>182</v>
      </c>
      <c r="C62" s="253"/>
      <c r="D62" s="285" t="e">
        <f>+VLOOKUP(B62,'[4]Data C 2,4'!$A$2:$S$189,16,0)%</f>
        <v>#N/A</v>
      </c>
      <c r="E62" s="282" t="e">
        <f>D62*TableC4!C62/(1000)</f>
        <v>#N/A</v>
      </c>
      <c r="F62" s="281" t="e">
        <f>+D62*TableC4!D62/(1000)</f>
        <v>#N/A</v>
      </c>
      <c r="G62" s="283" t="e">
        <f t="shared" si="20"/>
        <v>#N/A</v>
      </c>
      <c r="H62" s="282" t="e">
        <f>D62*TableC4!N62/(1000)</f>
        <v>#N/A</v>
      </c>
      <c r="I62" s="281" t="e">
        <f>+D62*TableC4!O62/(1000)</f>
        <v>#N/A</v>
      </c>
      <c r="J62" s="280" t="e">
        <f t="shared" si="21"/>
        <v>#N/A</v>
      </c>
      <c r="K62" s="227"/>
      <c r="L62" s="42"/>
      <c r="M62" s="228"/>
      <c r="N62" s="227"/>
      <c r="O62" s="279"/>
      <c r="P62" s="41"/>
      <c r="Q62" s="27"/>
      <c r="R62" s="27"/>
      <c r="S62" s="27"/>
      <c r="T62" s="27"/>
      <c r="U62" s="27"/>
      <c r="V62" s="27"/>
    </row>
    <row r="63" spans="1:22" ht="14" hidden="1" customHeight="1">
      <c r="B63" s="185" t="s">
        <v>89</v>
      </c>
      <c r="C63" s="253"/>
      <c r="D63" s="285">
        <f>+VLOOKUP(B63,'[4]Data C 2,4'!$A$2:$S$189,16,0)%</f>
        <v>0</v>
      </c>
      <c r="E63" s="282">
        <f>D63*TableC4!C63/(1000)</f>
        <v>0</v>
      </c>
      <c r="F63" s="281">
        <f>+D63*TableC4!D63/(1000)</f>
        <v>0</v>
      </c>
      <c r="G63" s="283">
        <f t="shared" si="20"/>
        <v>0</v>
      </c>
      <c r="H63" s="282">
        <f>D63*TableC4!N63/(1000)</f>
        <v>0</v>
      </c>
      <c r="I63" s="281">
        <f>+D63*TableC4!O63/(1000)</f>
        <v>0</v>
      </c>
      <c r="J63" s="280">
        <f t="shared" si="21"/>
        <v>0</v>
      </c>
      <c r="K63" s="227"/>
      <c r="L63" s="42"/>
      <c r="M63" s="228"/>
      <c r="N63" s="227"/>
      <c r="O63" s="279"/>
      <c r="P63" s="41"/>
      <c r="Q63" s="27"/>
      <c r="R63" s="27"/>
      <c r="S63" s="27"/>
      <c r="T63" s="27"/>
      <c r="U63" s="27"/>
      <c r="V63" s="27"/>
    </row>
    <row r="64" spans="1:22" ht="14" hidden="1" customHeight="1">
      <c r="A64" s="219" t="s">
        <v>375</v>
      </c>
      <c r="B64" s="185" t="s">
        <v>183</v>
      </c>
      <c r="C64" s="253"/>
      <c r="D64" s="285" t="e">
        <f>+VLOOKUP(B64,'[4]Data C 2,4'!$A$2:$S$189,16,0)%</f>
        <v>#N/A</v>
      </c>
      <c r="E64" s="282" t="e">
        <f>D64*TableC4!C64/(1000)</f>
        <v>#N/A</v>
      </c>
      <c r="F64" s="281" t="e">
        <f>+D64*TableC4!D64/(1000)</f>
        <v>#N/A</v>
      </c>
      <c r="G64" s="283" t="e">
        <f t="shared" si="20"/>
        <v>#N/A</v>
      </c>
      <c r="H64" s="282" t="e">
        <f>D64*TableC4!N64/(1000)</f>
        <v>#N/A</v>
      </c>
      <c r="I64" s="281" t="e">
        <f>+D64*TableC4!O64/(1000)</f>
        <v>#N/A</v>
      </c>
      <c r="J64" s="280" t="e">
        <f t="shared" si="21"/>
        <v>#N/A</v>
      </c>
      <c r="K64" s="227"/>
      <c r="L64" s="42"/>
      <c r="M64" s="228"/>
      <c r="N64" s="227"/>
      <c r="O64" s="279"/>
      <c r="P64" s="41"/>
      <c r="Q64" s="27"/>
      <c r="R64" s="27"/>
      <c r="S64" s="27"/>
      <c r="T64" s="27"/>
      <c r="U64" s="27"/>
      <c r="V64" s="27"/>
    </row>
    <row r="65" spans="1:22" ht="14" hidden="1" customHeight="1">
      <c r="A65" s="219" t="s">
        <v>376</v>
      </c>
      <c r="B65" s="185" t="s">
        <v>364</v>
      </c>
      <c r="C65" s="253"/>
      <c r="D65" s="285" t="e">
        <f>+VLOOKUP(B65,'[4]Data C 2,4'!$A$2:$S$189,16,0)%</f>
        <v>#N/A</v>
      </c>
      <c r="E65" s="282" t="e">
        <f>D65*TableC4!C65/(1000)</f>
        <v>#N/A</v>
      </c>
      <c r="F65" s="281" t="e">
        <f>+D65*TableC4!D65/(1000)</f>
        <v>#N/A</v>
      </c>
      <c r="G65" s="283" t="e">
        <f t="shared" si="20"/>
        <v>#N/A</v>
      </c>
      <c r="H65" s="282" t="e">
        <f>D65*TableC4!N65/(1000)</f>
        <v>#N/A</v>
      </c>
      <c r="I65" s="281" t="e">
        <f>+D65*TableC4!O65/(1000)</f>
        <v>#N/A</v>
      </c>
      <c r="J65" s="280" t="e">
        <f t="shared" si="21"/>
        <v>#N/A</v>
      </c>
      <c r="K65" s="227"/>
      <c r="L65" s="42"/>
      <c r="M65" s="228"/>
      <c r="N65" s="227"/>
      <c r="O65" s="279"/>
      <c r="P65" s="41"/>
      <c r="Q65" s="27"/>
      <c r="R65" s="27"/>
      <c r="S65" s="27"/>
      <c r="T65" s="27"/>
      <c r="U65" s="27"/>
      <c r="V65" s="27"/>
    </row>
    <row r="66" spans="1:22" ht="14" hidden="1" customHeight="1">
      <c r="B66" s="189" t="s">
        <v>185</v>
      </c>
      <c r="C66" s="255"/>
      <c r="D66" s="285">
        <f>+VLOOKUP(B66,'[4]Data C 2,4'!$A$2:$S$189,16,0)%</f>
        <v>0</v>
      </c>
      <c r="E66" s="282">
        <f>D66*TableC4!C66/(1000)</f>
        <v>0</v>
      </c>
      <c r="F66" s="281">
        <f>+D66*TableC4!D66/(1000)</f>
        <v>0</v>
      </c>
      <c r="G66" s="283">
        <f t="shared" si="20"/>
        <v>0</v>
      </c>
      <c r="H66" s="282">
        <f>D66*TableC4!N66/(1000)</f>
        <v>0</v>
      </c>
      <c r="I66" s="281">
        <f>+D66*TableC4!O66/(1000)</f>
        <v>0</v>
      </c>
      <c r="J66" s="280">
        <f t="shared" si="21"/>
        <v>0</v>
      </c>
      <c r="K66" s="229"/>
      <c r="L66" s="42"/>
      <c r="M66" s="228"/>
      <c r="N66" s="229"/>
      <c r="O66" s="279"/>
      <c r="P66" s="41"/>
      <c r="Q66" s="27"/>
      <c r="R66" s="27"/>
      <c r="S66" s="27"/>
      <c r="T66" s="27"/>
      <c r="U66" s="27"/>
      <c r="V66" s="27"/>
    </row>
    <row r="67" spans="1:22" ht="14" hidden="1" customHeight="1">
      <c r="B67" s="185" t="s">
        <v>186</v>
      </c>
      <c r="C67" s="253"/>
      <c r="D67" s="285">
        <f>+VLOOKUP(B67,'[4]Data C 2,4'!$A$2:$S$189,16,0)%</f>
        <v>0.22</v>
      </c>
      <c r="E67" s="282">
        <f>D67*TableC4!C67/(1000)</f>
        <v>0</v>
      </c>
      <c r="F67" s="281">
        <f>+D67*TableC4!D67/(1000)</f>
        <v>0</v>
      </c>
      <c r="G67" s="283">
        <f t="shared" si="20"/>
        <v>0</v>
      </c>
      <c r="H67" s="282">
        <f>D67*TableC4!N67/(1000)</f>
        <v>1.0768944921880737E-2</v>
      </c>
      <c r="I67" s="281">
        <f>+D67*TableC4!O67/(1000)</f>
        <v>-1.4564943771814937E-3</v>
      </c>
      <c r="J67" s="280">
        <f t="shared" si="21"/>
        <v>1.2225439299062231E-2</v>
      </c>
      <c r="K67" s="227"/>
      <c r="L67" s="42"/>
      <c r="M67" s="228"/>
      <c r="N67" s="227"/>
      <c r="O67" s="279"/>
      <c r="P67" s="41"/>
      <c r="Q67" s="27"/>
      <c r="R67" s="27"/>
      <c r="S67" s="27"/>
      <c r="T67" s="27"/>
      <c r="U67" s="27"/>
      <c r="V67" s="27"/>
    </row>
    <row r="68" spans="1:22" ht="14" hidden="1" customHeight="1">
      <c r="B68" s="185" t="s">
        <v>187</v>
      </c>
      <c r="C68" s="253"/>
      <c r="D68" s="285">
        <f>+VLOOKUP(B68,'[4]Data C 2,4'!$A$2:$S$189,16,0)%</f>
        <v>0.125</v>
      </c>
      <c r="E68" s="282">
        <f>D68*TableC4!C68/(1000)</f>
        <v>0</v>
      </c>
      <c r="F68" s="281">
        <f>+D68*TableC4!D68/(1000)</f>
        <v>0</v>
      </c>
      <c r="G68" s="283">
        <f t="shared" si="20"/>
        <v>0</v>
      </c>
      <c r="H68" s="282">
        <f>D68*TableC4!N68/(1000)</f>
        <v>0.38514088120580181</v>
      </c>
      <c r="I68" s="281">
        <f>+D68*TableC4!O68/(1000)</f>
        <v>0.3540828919085427</v>
      </c>
      <c r="J68" s="280">
        <f t="shared" si="21"/>
        <v>3.1057989297259114E-2</v>
      </c>
      <c r="K68" s="227"/>
      <c r="L68" s="42"/>
      <c r="M68" s="228"/>
      <c r="N68" s="227"/>
      <c r="O68" s="279"/>
      <c r="P68" s="41"/>
      <c r="Q68" s="27"/>
      <c r="R68" s="27"/>
      <c r="S68" s="27"/>
      <c r="T68" s="27"/>
      <c r="U68" s="27"/>
      <c r="V68" s="27"/>
    </row>
    <row r="69" spans="1:22" ht="14" hidden="1" customHeight="1">
      <c r="B69" s="185" t="s">
        <v>188</v>
      </c>
      <c r="C69" s="253"/>
      <c r="D69" s="285">
        <f>+VLOOKUP(B69,'[4]Data C 2,4'!$A$2:$S$189,16,0)%</f>
        <v>0.2</v>
      </c>
      <c r="E69" s="282">
        <f>D69*TableC4!C69/(1000)</f>
        <v>0</v>
      </c>
      <c r="F69" s="281">
        <f>+D69*TableC4!D69/(1000)</f>
        <v>0</v>
      </c>
      <c r="G69" s="283">
        <f t="shared" si="20"/>
        <v>0</v>
      </c>
      <c r="H69" s="282">
        <f>D69*TableC4!N69/(1000)</f>
        <v>0.28669456805899385</v>
      </c>
      <c r="I69" s="281">
        <f>+D69*TableC4!O69/(1000)</f>
        <v>0.24523194208877239</v>
      </c>
      <c r="J69" s="280">
        <f t="shared" si="21"/>
        <v>4.1462625970221462E-2</v>
      </c>
      <c r="K69" s="227"/>
      <c r="L69" s="42"/>
      <c r="M69" s="228"/>
      <c r="N69" s="227"/>
      <c r="O69" s="279"/>
      <c r="P69" s="41"/>
      <c r="Q69" s="27"/>
      <c r="R69" s="27"/>
      <c r="S69" s="27"/>
      <c r="T69" s="27"/>
      <c r="U69" s="27"/>
      <c r="V69" s="27"/>
    </row>
    <row r="70" spans="1:22" ht="14" hidden="1" customHeight="1">
      <c r="B70" s="185" t="s">
        <v>189</v>
      </c>
      <c r="C70" s="253"/>
      <c r="D70" s="285">
        <f>+VLOOKUP(B70,'[4]Data C 2,4'!$A$2:$S$189,16,0)%</f>
        <v>0.3</v>
      </c>
      <c r="E70" s="282">
        <f>D70*TableC4!C70/(1000)</f>
        <v>0</v>
      </c>
      <c r="F70" s="281">
        <f>+D70*TableC4!D70/(1000)</f>
        <v>0</v>
      </c>
      <c r="G70" s="283">
        <f t="shared" si="20"/>
        <v>0</v>
      </c>
      <c r="H70" s="282">
        <f>D70*TableC4!N70/(1000)</f>
        <v>5.3037263859322256E-4</v>
      </c>
      <c r="I70" s="281">
        <f>+D70*TableC4!O70/(1000)</f>
        <v>2.1638819866964129E-5</v>
      </c>
      <c r="J70" s="280">
        <f t="shared" si="21"/>
        <v>5.0873381872625838E-4</v>
      </c>
      <c r="K70" s="227"/>
      <c r="L70" s="42"/>
      <c r="M70" s="228"/>
      <c r="N70" s="227"/>
      <c r="O70" s="279"/>
      <c r="P70" s="41"/>
      <c r="Q70" s="27"/>
      <c r="R70" s="27"/>
      <c r="S70" s="27"/>
      <c r="T70" s="27"/>
      <c r="U70" s="27"/>
      <c r="V70" s="27"/>
    </row>
    <row r="71" spans="1:22" ht="14" hidden="1" customHeight="1">
      <c r="B71" s="185" t="s">
        <v>190</v>
      </c>
      <c r="C71" s="253"/>
      <c r="D71" s="285">
        <f>+VLOOKUP(B71,'[4]Data C 2,4'!$A$2:$S$189,16,0)%</f>
        <v>0</v>
      </c>
      <c r="E71" s="282">
        <f>D71*TableC4!C71/(1000)</f>
        <v>0</v>
      </c>
      <c r="F71" s="281">
        <f>+D71*TableC4!D71/(1000)</f>
        <v>0</v>
      </c>
      <c r="G71" s="283">
        <f t="shared" si="20"/>
        <v>0</v>
      </c>
      <c r="H71" s="282">
        <f>D71*TableC4!N71/(1000)</f>
        <v>0</v>
      </c>
      <c r="I71" s="281">
        <f>+D71*TableC4!O71/(1000)</f>
        <v>0</v>
      </c>
      <c r="J71" s="280">
        <f t="shared" si="21"/>
        <v>0</v>
      </c>
      <c r="K71" s="227"/>
      <c r="L71" s="42"/>
      <c r="M71" s="228"/>
      <c r="N71" s="227"/>
      <c r="O71" s="279"/>
      <c r="P71" s="41"/>
      <c r="Q71" s="27"/>
      <c r="R71" s="27"/>
      <c r="S71" s="27"/>
      <c r="T71" s="27"/>
      <c r="U71" s="27"/>
      <c r="V71" s="27"/>
    </row>
    <row r="72" spans="1:22" ht="14" hidden="1" customHeight="1">
      <c r="A72" s="219" t="s">
        <v>191</v>
      </c>
      <c r="B72" s="185" t="s">
        <v>365</v>
      </c>
      <c r="C72" s="253"/>
      <c r="D72" s="285" t="e">
        <f>+VLOOKUP(B72,'[4]Data C 2,4'!$A$2:$S$189,16,0)%</f>
        <v>#N/A</v>
      </c>
      <c r="E72" s="282" t="e">
        <f>D72*TableC4!C72/(1000)</f>
        <v>#N/A</v>
      </c>
      <c r="F72" s="281" t="e">
        <f>+D72*TableC4!D72/(1000)</f>
        <v>#N/A</v>
      </c>
      <c r="G72" s="283" t="e">
        <f t="shared" si="20"/>
        <v>#N/A</v>
      </c>
      <c r="H72" s="282" t="e">
        <f>D72*TableC4!N72/(1000)</f>
        <v>#N/A</v>
      </c>
      <c r="I72" s="281" t="e">
        <f>+D72*TableC4!O72/(1000)</f>
        <v>#N/A</v>
      </c>
      <c r="J72" s="280" t="e">
        <f t="shared" si="21"/>
        <v>#N/A</v>
      </c>
      <c r="K72" s="227"/>
      <c r="L72" s="42"/>
      <c r="M72" s="228"/>
      <c r="N72" s="227"/>
      <c r="O72" s="279"/>
      <c r="P72" s="41"/>
      <c r="Q72" s="27"/>
      <c r="R72" s="27"/>
      <c r="S72" s="27"/>
      <c r="T72" s="27"/>
      <c r="U72" s="27"/>
      <c r="V72" s="27"/>
    </row>
    <row r="73" spans="1:22" ht="14" hidden="1" customHeight="1">
      <c r="A73" s="219" t="s">
        <v>192</v>
      </c>
      <c r="B73" s="185" t="s">
        <v>24</v>
      </c>
      <c r="C73" s="253"/>
      <c r="D73" s="285" t="e">
        <f>+VLOOKUP(B73,'[4]Data C 2,4'!$A$2:$S$189,16,0)%</f>
        <v>#N/A</v>
      </c>
      <c r="E73" s="282" t="e">
        <f>D73*TableC4!C73/(1000)</f>
        <v>#N/A</v>
      </c>
      <c r="F73" s="281" t="e">
        <f>+D73*TableC4!D73/(1000)</f>
        <v>#N/A</v>
      </c>
      <c r="G73" s="283" t="e">
        <f t="shared" si="20"/>
        <v>#N/A</v>
      </c>
      <c r="H73" s="282" t="e">
        <f>D73*TableC4!N73/(1000)</f>
        <v>#N/A</v>
      </c>
      <c r="I73" s="281" t="e">
        <f>+D73*TableC4!O73/(1000)</f>
        <v>#N/A</v>
      </c>
      <c r="J73" s="280" t="e">
        <f t="shared" si="21"/>
        <v>#N/A</v>
      </c>
      <c r="K73" s="227"/>
      <c r="L73" s="42"/>
      <c r="M73" s="228"/>
      <c r="N73" s="227"/>
      <c r="O73" s="279"/>
      <c r="P73" s="41"/>
      <c r="Q73" s="27"/>
      <c r="R73" s="27"/>
      <c r="S73" s="27"/>
      <c r="T73" s="27"/>
      <c r="U73" s="27"/>
      <c r="V73" s="27"/>
    </row>
    <row r="74" spans="1:22" ht="14" hidden="1" customHeight="1">
      <c r="B74" s="185" t="s">
        <v>193</v>
      </c>
      <c r="C74" s="253"/>
      <c r="D74" s="285">
        <f>+VLOOKUP(B74,'[4]Data C 2,4'!$A$2:$S$189,16,0)%</f>
        <v>0</v>
      </c>
      <c r="E74" s="282">
        <f>D74*TableC4!C74/(1000)</f>
        <v>0</v>
      </c>
      <c r="F74" s="281">
        <f>+D74*TableC4!D74/(1000)</f>
        <v>0</v>
      </c>
      <c r="G74" s="283">
        <f t="shared" si="20"/>
        <v>0</v>
      </c>
      <c r="H74" s="282">
        <f>D74*TableC4!N74/(1000)</f>
        <v>0</v>
      </c>
      <c r="I74" s="281">
        <f>+D74*TableC4!O74/(1000)</f>
        <v>0</v>
      </c>
      <c r="J74" s="280">
        <f t="shared" si="21"/>
        <v>0</v>
      </c>
      <c r="K74" s="227"/>
      <c r="L74" s="42"/>
      <c r="M74" s="228"/>
      <c r="N74" s="227"/>
      <c r="O74" s="279"/>
      <c r="P74" s="41"/>
      <c r="Q74" s="27"/>
      <c r="R74" s="27"/>
      <c r="S74" s="27"/>
      <c r="T74" s="27"/>
      <c r="U74" s="27"/>
      <c r="V74" s="27"/>
    </row>
    <row r="75" spans="1:22" ht="14" hidden="1" customHeight="1">
      <c r="B75" s="185" t="s">
        <v>194</v>
      </c>
      <c r="C75" s="253"/>
      <c r="D75" s="285">
        <f>+VLOOKUP(B75,'[4]Data C 2,4'!$A$2:$S$189,16,0)%</f>
        <v>0.15</v>
      </c>
      <c r="E75" s="282">
        <f>D75*TableC4!C75/(1000)</f>
        <v>0</v>
      </c>
      <c r="F75" s="281">
        <f>+D75*TableC4!D75/(1000)</f>
        <v>0</v>
      </c>
      <c r="G75" s="283">
        <f t="shared" si="20"/>
        <v>0</v>
      </c>
      <c r="H75" s="282">
        <f>D75*TableC4!N75/(1000)</f>
        <v>1.3782011377853957E-2</v>
      </c>
      <c r="I75" s="281">
        <f>+D75*TableC4!O75/(1000)</f>
        <v>7.4203434847458713E-3</v>
      </c>
      <c r="J75" s="280">
        <f t="shared" si="21"/>
        <v>6.3616678931080854E-3</v>
      </c>
      <c r="K75" s="227"/>
      <c r="L75" s="42"/>
      <c r="M75" s="228"/>
      <c r="N75" s="227"/>
      <c r="O75" s="279"/>
      <c r="P75" s="41"/>
      <c r="Q75" s="27"/>
      <c r="R75" s="27"/>
      <c r="S75" s="27"/>
      <c r="T75" s="27"/>
      <c r="U75" s="27"/>
      <c r="V75" s="27"/>
    </row>
    <row r="76" spans="1:22" ht="14" hidden="1" customHeight="1">
      <c r="B76" s="185" t="s">
        <v>195</v>
      </c>
      <c r="C76" s="253"/>
      <c r="D76" s="285">
        <f>+VLOOKUP(B76,'[4]Data C 2,4'!$A$2:$S$189,16,0)%</f>
        <v>0.125</v>
      </c>
      <c r="E76" s="282">
        <f>D76*TableC4!C76/(1000)</f>
        <v>0</v>
      </c>
      <c r="F76" s="281">
        <f>+D76*TableC4!D76/(1000)</f>
        <v>0</v>
      </c>
      <c r="G76" s="283">
        <f t="shared" si="20"/>
        <v>0</v>
      </c>
      <c r="H76" s="282">
        <f>D76*TableC4!N76/(1000)</f>
        <v>5.1309028522330068E-2</v>
      </c>
      <c r="I76" s="281">
        <f>+D76*TableC4!O76/(1000)</f>
        <v>3.1827849708961894E-2</v>
      </c>
      <c r="J76" s="280">
        <f t="shared" si="21"/>
        <v>1.9481178813368173E-2</v>
      </c>
      <c r="K76" s="227"/>
      <c r="L76" s="42"/>
      <c r="M76" s="228"/>
      <c r="N76" s="227"/>
      <c r="O76" s="279"/>
      <c r="P76" s="41"/>
      <c r="Q76" s="27"/>
      <c r="R76" s="27"/>
      <c r="S76" s="27"/>
      <c r="T76" s="27"/>
      <c r="U76" s="27"/>
      <c r="V76" s="27"/>
    </row>
    <row r="77" spans="1:22" ht="14" hidden="1" customHeight="1">
      <c r="A77" s="219" t="s">
        <v>196</v>
      </c>
      <c r="B77" s="185" t="s">
        <v>197</v>
      </c>
      <c r="C77" s="253"/>
      <c r="D77" s="285">
        <f>+VLOOKUP(B77,'[4]Data C 2,4'!$A$2:$S$189,16,0)%</f>
        <v>0.12</v>
      </c>
      <c r="E77" s="282">
        <f>D77*TableC4!C77/(1000)</f>
        <v>0</v>
      </c>
      <c r="F77" s="281">
        <f>+D77*TableC4!D77/(1000)</f>
        <v>0</v>
      </c>
      <c r="G77" s="283">
        <f t="shared" si="20"/>
        <v>0</v>
      </c>
      <c r="H77" s="282">
        <f>D77*TableC4!N77/(1000)</f>
        <v>0.13573064231692472</v>
      </c>
      <c r="I77" s="281">
        <f>+D77*TableC4!O77/(1000)</f>
        <v>2.2777899069389977E-5</v>
      </c>
      <c r="J77" s="280">
        <f t="shared" si="21"/>
        <v>0.13570786441785532</v>
      </c>
      <c r="K77" s="227"/>
      <c r="L77" s="42"/>
      <c r="M77" s="228"/>
      <c r="N77" s="227"/>
      <c r="O77" s="279"/>
      <c r="P77" s="41"/>
      <c r="Q77" s="27"/>
      <c r="R77" s="27"/>
      <c r="S77" s="27"/>
      <c r="T77" s="27"/>
      <c r="U77" s="27"/>
      <c r="V77" s="27"/>
    </row>
    <row r="78" spans="1:22" ht="14" hidden="1" customHeight="1">
      <c r="B78" s="185" t="s">
        <v>87</v>
      </c>
      <c r="C78" s="253"/>
      <c r="D78" s="285">
        <f>+VLOOKUP(B78,'[4]Data C 2,4'!$A$2:$S$189,16,0)%</f>
        <v>0.35</v>
      </c>
      <c r="E78" s="282">
        <f>D78*TableC4!C78/(1000)</f>
        <v>0</v>
      </c>
      <c r="F78" s="281">
        <f>+D78*TableC4!D78/(1000)</f>
        <v>0</v>
      </c>
      <c r="G78" s="283">
        <f t="shared" si="20"/>
        <v>0</v>
      </c>
      <c r="H78" s="282">
        <f>D78*TableC4!N78/(1000)</f>
        <v>0.31237911322156764</v>
      </c>
      <c r="I78" s="281">
        <f>+D78*TableC4!O78/(1000)</f>
        <v>0.31133729750290989</v>
      </c>
      <c r="J78" s="280">
        <f t="shared" si="21"/>
        <v>1.0418157186577459E-3</v>
      </c>
      <c r="K78" s="227"/>
      <c r="L78" s="42"/>
      <c r="M78" s="228"/>
      <c r="N78" s="227"/>
      <c r="O78" s="279"/>
      <c r="P78" s="41"/>
      <c r="Q78" s="27"/>
      <c r="R78" s="27"/>
      <c r="S78" s="27"/>
      <c r="T78" s="27"/>
      <c r="U78" s="27"/>
      <c r="V78" s="27"/>
    </row>
    <row r="79" spans="1:22" ht="14" hidden="1" customHeight="1">
      <c r="A79" s="219" t="s">
        <v>198</v>
      </c>
      <c r="B79" s="185" t="s">
        <v>134</v>
      </c>
      <c r="C79" s="253"/>
      <c r="D79" s="285" t="e">
        <f>+VLOOKUP(B79,'[4]Data C 2,4'!$A$2:$S$189,16,0)%</f>
        <v>#N/A</v>
      </c>
      <c r="E79" s="282" t="e">
        <f>D79*TableC4!C79/(1000)</f>
        <v>#N/A</v>
      </c>
      <c r="F79" s="281" t="e">
        <f>+D79*TableC4!D79/(1000)</f>
        <v>#N/A</v>
      </c>
      <c r="G79" s="283" t="e">
        <f t="shared" si="20"/>
        <v>#N/A</v>
      </c>
      <c r="H79" s="282" t="e">
        <f>D79*TableC4!N79/(1000)</f>
        <v>#N/A</v>
      </c>
      <c r="I79" s="281" t="e">
        <f>+D79*TableC4!O79/(1000)</f>
        <v>#N/A</v>
      </c>
      <c r="J79" s="280" t="e">
        <f t="shared" si="21"/>
        <v>#N/A</v>
      </c>
      <c r="K79" s="227"/>
      <c r="L79" s="42"/>
      <c r="M79" s="228"/>
      <c r="N79" s="227"/>
      <c r="O79" s="279"/>
      <c r="P79" s="41"/>
      <c r="Q79" s="27"/>
      <c r="R79" s="27"/>
      <c r="S79" s="27"/>
      <c r="T79" s="27"/>
      <c r="U79" s="27"/>
      <c r="V79" s="27"/>
    </row>
    <row r="80" spans="1:22" ht="14" hidden="1" customHeight="1">
      <c r="B80" s="185" t="s">
        <v>199</v>
      </c>
      <c r="C80" s="253"/>
      <c r="D80" s="285">
        <f>+VLOOKUP(B80,'[4]Data C 2,4'!$A$2:$S$189,16,0)%</f>
        <v>0.33329999999999999</v>
      </c>
      <c r="E80" s="282">
        <f>D80*TableC4!C80/(1000)</f>
        <v>0</v>
      </c>
      <c r="F80" s="281">
        <f>+D80*TableC4!D80/(1000)</f>
        <v>0</v>
      </c>
      <c r="G80" s="283">
        <f t="shared" si="20"/>
        <v>0</v>
      </c>
      <c r="H80" s="282">
        <f>D80*TableC4!N80/(1000)</f>
        <v>3.10847444513225E-4</v>
      </c>
      <c r="I80" s="281">
        <f>+D80*TableC4!O80/(1000)</f>
        <v>0</v>
      </c>
      <c r="J80" s="280">
        <f t="shared" si="21"/>
        <v>3.10847444513225E-4</v>
      </c>
      <c r="K80" s="227"/>
      <c r="L80" s="42"/>
      <c r="M80" s="228"/>
      <c r="N80" s="227"/>
      <c r="O80" s="279"/>
      <c r="P80" s="41"/>
      <c r="Q80" s="27"/>
      <c r="R80" s="27"/>
      <c r="S80" s="27"/>
      <c r="T80" s="27"/>
      <c r="U80" s="27"/>
      <c r="V80" s="27"/>
    </row>
    <row r="81" spans="1:22" ht="14" hidden="1" customHeight="1">
      <c r="B81" s="185" t="s">
        <v>200</v>
      </c>
      <c r="C81" s="253"/>
      <c r="D81" s="285" t="e">
        <f>+VLOOKUP(B81,'[4]Data C 2,4'!$A$2:$S$189,16,0)%</f>
        <v>#N/A</v>
      </c>
      <c r="E81" s="282" t="e">
        <f>D81*TableC4!C81/(1000)</f>
        <v>#N/A</v>
      </c>
      <c r="F81" s="281" t="e">
        <f>+D81*TableC4!D81/(1000)</f>
        <v>#N/A</v>
      </c>
      <c r="G81" s="283" t="e">
        <f t="shared" si="20"/>
        <v>#N/A</v>
      </c>
      <c r="H81" s="282" t="e">
        <f>D81*TableC4!N81/(1000)</f>
        <v>#N/A</v>
      </c>
      <c r="I81" s="281" t="e">
        <f>+D81*TableC4!O81/(1000)</f>
        <v>#N/A</v>
      </c>
      <c r="J81" s="280" t="e">
        <f t="shared" si="21"/>
        <v>#N/A</v>
      </c>
      <c r="K81" s="227"/>
      <c r="L81" s="42"/>
      <c r="M81" s="228"/>
      <c r="N81" s="227"/>
      <c r="O81" s="279"/>
      <c r="P81" s="41"/>
      <c r="Q81" s="27"/>
      <c r="R81" s="27"/>
      <c r="S81" s="27"/>
      <c r="T81" s="27"/>
      <c r="U81" s="27"/>
      <c r="V81" s="27"/>
    </row>
    <row r="82" spans="1:22" ht="14" hidden="1" customHeight="1">
      <c r="B82" s="185" t="s">
        <v>201</v>
      </c>
      <c r="C82" s="253"/>
      <c r="D82" s="285">
        <f>+VLOOKUP(B82,'[4]Data C 2,4'!$A$2:$S$189,16,0)%</f>
        <v>0.15</v>
      </c>
      <c r="E82" s="282">
        <f>D82*TableC4!C82/(1000)</f>
        <v>0</v>
      </c>
      <c r="F82" s="281">
        <f>+D82*TableC4!D82/(1000)</f>
        <v>0</v>
      </c>
      <c r="G82" s="283">
        <f t="shared" si="20"/>
        <v>0</v>
      </c>
      <c r="H82" s="282">
        <f>D82*TableC4!N82/(1000)</f>
        <v>0.20051451288309996</v>
      </c>
      <c r="I82" s="281">
        <f>+D82*TableC4!O82/(1000)</f>
        <v>3.8560501263830893E-4</v>
      </c>
      <c r="J82" s="280">
        <f t="shared" si="21"/>
        <v>0.20012890787046164</v>
      </c>
      <c r="K82" s="227"/>
      <c r="L82" s="42"/>
      <c r="M82" s="228"/>
      <c r="N82" s="227"/>
      <c r="O82" s="279"/>
      <c r="P82" s="41"/>
      <c r="Q82" s="27"/>
      <c r="R82" s="27"/>
      <c r="S82" s="27"/>
      <c r="T82" s="27"/>
      <c r="U82" s="27"/>
      <c r="V82" s="27"/>
    </row>
    <row r="83" spans="1:22" ht="14" hidden="1" customHeight="1">
      <c r="B83" s="185" t="s">
        <v>202</v>
      </c>
      <c r="C83" s="253"/>
      <c r="D83" s="285" t="e">
        <f>+VLOOKUP(B83,'[4]Data C 2,4'!$A$2:$S$189,16,0)%</f>
        <v>#N/A</v>
      </c>
      <c r="E83" s="282" t="e">
        <f>D83*TableC4!C83/(1000)</f>
        <v>#N/A</v>
      </c>
      <c r="F83" s="281" t="e">
        <f>+D83*TableC4!D83/(1000)</f>
        <v>#N/A</v>
      </c>
      <c r="G83" s="283" t="e">
        <f t="shared" si="20"/>
        <v>#N/A</v>
      </c>
      <c r="H83" s="282" t="e">
        <f>D83*TableC4!N83/(1000)</f>
        <v>#N/A</v>
      </c>
      <c r="I83" s="281" t="e">
        <f>+D83*TableC4!O83/(1000)</f>
        <v>#N/A</v>
      </c>
      <c r="J83" s="280" t="e">
        <f t="shared" si="21"/>
        <v>#N/A</v>
      </c>
      <c r="K83" s="227"/>
      <c r="L83" s="42"/>
      <c r="M83" s="228"/>
      <c r="N83" s="227"/>
      <c r="O83" s="279"/>
      <c r="P83" s="41"/>
      <c r="Q83" s="27"/>
      <c r="R83" s="27"/>
      <c r="S83" s="27"/>
      <c r="T83" s="27"/>
      <c r="U83" s="27"/>
      <c r="V83" s="27"/>
    </row>
    <row r="84" spans="1:22" hidden="1">
      <c r="B84" s="185" t="s">
        <v>22</v>
      </c>
      <c r="C84" s="253"/>
      <c r="D84" s="285">
        <f>+VLOOKUP(B84,'[4]Data C 2,4'!$A$2:$S$189,16,0)%</f>
        <v>0.17</v>
      </c>
      <c r="E84" s="282">
        <f>D84*TableC4!C84/(1000)</f>
        <v>0</v>
      </c>
      <c r="F84" s="281">
        <f>+D84*TableC4!D84/(1000)</f>
        <v>0</v>
      </c>
      <c r="G84" s="283">
        <f t="shared" si="20"/>
        <v>0</v>
      </c>
      <c r="H84" s="282">
        <f>D84*TableC4!N84/(1000)</f>
        <v>2.1844834017246324</v>
      </c>
      <c r="I84" s="281">
        <f>+D84*TableC4!O84/(1000)</f>
        <v>0.21748533796573549</v>
      </c>
      <c r="J84" s="280">
        <f t="shared" si="21"/>
        <v>1.9669980637588969</v>
      </c>
      <c r="K84" s="227"/>
      <c r="L84" s="42"/>
      <c r="M84" s="228"/>
      <c r="N84" s="227"/>
      <c r="O84" s="279"/>
      <c r="P84" s="41"/>
      <c r="Q84" s="27"/>
      <c r="R84" s="27"/>
      <c r="S84" s="27"/>
      <c r="T84" s="27"/>
      <c r="U84" s="27"/>
      <c r="V84" s="27"/>
    </row>
    <row r="85" spans="1:22" hidden="1">
      <c r="B85" s="185" t="s">
        <v>524</v>
      </c>
      <c r="C85" s="253"/>
      <c r="D85" s="285" t="e">
        <f>+VLOOKUP(B85,'[4]Data C 2,4'!$A$2:$S$189,16,0)%</f>
        <v>#N/A</v>
      </c>
      <c r="E85" s="282" t="e">
        <f>D85*TableC4!C85/(1000)</f>
        <v>#N/A</v>
      </c>
      <c r="F85" s="281" t="e">
        <f>+D85*TableC4!D85/(1000)</f>
        <v>#N/A</v>
      </c>
      <c r="G85" s="283" t="e">
        <f t="shared" si="20"/>
        <v>#N/A</v>
      </c>
      <c r="H85" s="282" t="e">
        <f>D85*TableC4!N85/(1000)</f>
        <v>#N/A</v>
      </c>
      <c r="I85" s="281" t="e">
        <f>+D85*TableC4!O85/(1000)</f>
        <v>#N/A</v>
      </c>
      <c r="J85" s="280" t="e">
        <f t="shared" si="21"/>
        <v>#N/A</v>
      </c>
      <c r="K85" s="227"/>
      <c r="L85" s="42"/>
      <c r="M85" s="228"/>
      <c r="N85" s="227"/>
      <c r="O85" s="279"/>
      <c r="P85" s="41"/>
      <c r="Q85" s="27"/>
      <c r="R85" s="27"/>
      <c r="S85" s="27"/>
      <c r="T85" s="27"/>
      <c r="U85" s="27"/>
      <c r="V85" s="27"/>
    </row>
    <row r="86" spans="1:22" hidden="1">
      <c r="B86" s="185" t="s">
        <v>523</v>
      </c>
      <c r="C86" s="253"/>
      <c r="D86" s="285" t="e">
        <f>+VLOOKUP(B86,'[4]Data C 2,4'!$A$2:$S$189,16,0)%</f>
        <v>#N/A</v>
      </c>
      <c r="E86" s="282" t="e">
        <f>D86*TableC4!C86/(1000)</f>
        <v>#N/A</v>
      </c>
      <c r="F86" s="281" t="e">
        <f>+D86*TableC4!D86/(1000)</f>
        <v>#N/A</v>
      </c>
      <c r="G86" s="283" t="e">
        <f t="shared" si="20"/>
        <v>#N/A</v>
      </c>
      <c r="H86" s="282" t="e">
        <f>D86*TableC4!N86/(1000)</f>
        <v>#N/A</v>
      </c>
      <c r="I86" s="281" t="e">
        <f>+D86*TableC4!O86/(1000)</f>
        <v>#N/A</v>
      </c>
      <c r="J86" s="280" t="e">
        <f t="shared" si="21"/>
        <v>#N/A</v>
      </c>
      <c r="K86" s="227"/>
      <c r="L86" s="42"/>
      <c r="M86" s="228"/>
      <c r="N86" s="227"/>
      <c r="O86" s="279"/>
      <c r="P86" s="41"/>
      <c r="Q86" s="27"/>
      <c r="R86" s="27"/>
      <c r="S86" s="27"/>
      <c r="T86" s="27"/>
      <c r="U86" s="27"/>
      <c r="V86" s="27"/>
    </row>
    <row r="87" spans="1:22" hidden="1">
      <c r="B87" s="185" t="s">
        <v>522</v>
      </c>
      <c r="C87" s="253"/>
      <c r="D87" s="285" t="e">
        <f>+VLOOKUP(B87,'[4]Data C 2,4'!$A$2:$S$189,16,0)%</f>
        <v>#N/A</v>
      </c>
      <c r="E87" s="282" t="e">
        <f>D87*TableC4!C87/(1000)</f>
        <v>#N/A</v>
      </c>
      <c r="F87" s="281" t="e">
        <f>+D87*TableC4!D87/(1000)</f>
        <v>#N/A</v>
      </c>
      <c r="G87" s="283" t="e">
        <f t="shared" si="20"/>
        <v>#N/A</v>
      </c>
      <c r="H87" s="282" t="e">
        <f>D87*TableC4!N87/(1000)</f>
        <v>#N/A</v>
      </c>
      <c r="I87" s="281" t="e">
        <f>+D87*TableC4!O87/(1000)</f>
        <v>#N/A</v>
      </c>
      <c r="J87" s="280" t="e">
        <f t="shared" si="21"/>
        <v>#N/A</v>
      </c>
      <c r="K87" s="227"/>
      <c r="L87" s="42"/>
      <c r="M87" s="228"/>
      <c r="N87" s="227"/>
      <c r="O87" s="279"/>
      <c r="P87" s="41"/>
      <c r="Q87" s="27"/>
      <c r="R87" s="27"/>
      <c r="S87" s="27"/>
      <c r="T87" s="27"/>
      <c r="U87" s="27"/>
      <c r="V87" s="27"/>
    </row>
    <row r="88" spans="1:22" ht="23" hidden="1">
      <c r="A88" s="219" t="s">
        <v>377</v>
      </c>
      <c r="B88" s="185" t="s">
        <v>206</v>
      </c>
      <c r="C88" s="253"/>
      <c r="D88" s="285" t="e">
        <f>+VLOOKUP(B88,'[4]Data C 2,4'!$A$2:$S$189,16,0)%</f>
        <v>#N/A</v>
      </c>
      <c r="E88" s="282" t="e">
        <f>D88*TableC4!C88/(1000)</f>
        <v>#N/A</v>
      </c>
      <c r="F88" s="281" t="e">
        <f>+D88*TableC4!D88/(1000)</f>
        <v>#N/A</v>
      </c>
      <c r="G88" s="283" t="e">
        <f t="shared" si="20"/>
        <v>#N/A</v>
      </c>
      <c r="H88" s="282" t="e">
        <f>D88*TableC4!N88/(1000)</f>
        <v>#N/A</v>
      </c>
      <c r="I88" s="281" t="e">
        <f>+D88*TableC4!O88/(1000)</f>
        <v>#N/A</v>
      </c>
      <c r="J88" s="280" t="e">
        <f t="shared" si="21"/>
        <v>#N/A</v>
      </c>
      <c r="K88" s="227"/>
      <c r="L88" s="42"/>
      <c r="M88" s="228"/>
      <c r="N88" s="227"/>
      <c r="O88" s="279"/>
      <c r="P88" s="41"/>
      <c r="Q88" s="27"/>
      <c r="R88" s="27"/>
      <c r="S88" s="27"/>
      <c r="T88" s="27"/>
      <c r="U88" s="27"/>
      <c r="V88" s="27"/>
    </row>
    <row r="89" spans="1:22" hidden="1">
      <c r="B89" s="185" t="s">
        <v>207</v>
      </c>
      <c r="C89" s="253"/>
      <c r="D89" s="285">
        <f>+VLOOKUP(B89,'[4]Data C 2,4'!$A$2:$S$189,16,0)%</f>
        <v>0.25</v>
      </c>
      <c r="E89" s="282">
        <f>D89*TableC4!C89/(1000)</f>
        <v>0</v>
      </c>
      <c r="F89" s="281">
        <f>+D89*TableC4!D89/(1000)</f>
        <v>0</v>
      </c>
      <c r="G89" s="283">
        <f t="shared" si="20"/>
        <v>0</v>
      </c>
      <c r="H89" s="282">
        <f>D89*TableC4!N89/(1000)</f>
        <v>0.1989071853433228</v>
      </c>
      <c r="I89" s="281">
        <f>+D89*TableC4!O89/(1000)</f>
        <v>-2.0319679314965912E-3</v>
      </c>
      <c r="J89" s="280">
        <f t="shared" si="21"/>
        <v>0.2009391532748194</v>
      </c>
      <c r="K89" s="227"/>
      <c r="L89" s="42"/>
      <c r="M89" s="228"/>
      <c r="N89" s="227"/>
      <c r="O89" s="279"/>
      <c r="P89" s="41"/>
      <c r="Q89" s="27"/>
      <c r="R89" s="27"/>
      <c r="S89" s="27"/>
      <c r="T89" s="27"/>
      <c r="U89" s="27"/>
      <c r="V89" s="27"/>
    </row>
    <row r="90" spans="1:22" hidden="1">
      <c r="B90" s="185" t="s">
        <v>18</v>
      </c>
      <c r="C90" s="253"/>
      <c r="D90" s="285" t="e">
        <f>+VLOOKUP(B90,'[4]Data C 2,4'!$A$2:$S$189,16,0)%</f>
        <v>#N/A</v>
      </c>
      <c r="E90" s="282" t="e">
        <f>D90*TableC4!C90/(1000)</f>
        <v>#N/A</v>
      </c>
      <c r="F90" s="281" t="e">
        <f>+D90*TableC4!D90/(1000)</f>
        <v>#N/A</v>
      </c>
      <c r="G90" s="283" t="e">
        <f t="shared" si="20"/>
        <v>#N/A</v>
      </c>
      <c r="H90" s="282" t="e">
        <f>D90*TableC4!N90/(1000)</f>
        <v>#N/A</v>
      </c>
      <c r="I90" s="281" t="e">
        <f>+D90*TableC4!O90/(1000)</f>
        <v>#N/A</v>
      </c>
      <c r="J90" s="280" t="e">
        <f t="shared" si="21"/>
        <v>#N/A</v>
      </c>
      <c r="K90" s="227"/>
      <c r="L90" s="42"/>
      <c r="M90" s="228"/>
      <c r="N90" s="227"/>
      <c r="O90" s="279"/>
      <c r="P90" s="41"/>
      <c r="Q90" s="27"/>
      <c r="R90" s="27"/>
      <c r="S90" s="27"/>
      <c r="T90" s="27"/>
      <c r="U90" s="27"/>
      <c r="V90" s="27"/>
    </row>
    <row r="91" spans="1:22" ht="52" customHeight="1">
      <c r="B91" s="195" t="s">
        <v>366</v>
      </c>
      <c r="C91" s="290">
        <f>SUM(C92:C99)</f>
        <v>98.595118505000002</v>
      </c>
      <c r="D91" s="289"/>
      <c r="E91" s="288">
        <f>F91+G91</f>
        <v>10.359839091593672</v>
      </c>
      <c r="F91" s="287">
        <f>SUM(F92:F99)</f>
        <v>1.9552027478066221</v>
      </c>
      <c r="G91" s="286">
        <f>SUM(G92:G99)</f>
        <v>8.4046363437870504</v>
      </c>
      <c r="H91" s="288"/>
      <c r="I91" s="287"/>
      <c r="J91" s="286"/>
      <c r="K91" s="32">
        <f t="shared" ref="K91:K99" si="22">+E91/$C91</f>
        <v>0.10507456402183135</v>
      </c>
      <c r="L91" s="31">
        <f t="shared" ref="L91:L99" si="23">+F91/$C91</f>
        <v>1.9830624248476043E-2</v>
      </c>
      <c r="M91" s="230">
        <f t="shared" ref="M91:M99" si="24">+G91/$C91</f>
        <v>8.5243939773355315E-2</v>
      </c>
      <c r="N91" s="32"/>
      <c r="O91" s="230"/>
      <c r="P91" s="224"/>
      <c r="Q91" s="31"/>
      <c r="R91" s="31"/>
      <c r="S91" s="31"/>
      <c r="T91" s="31"/>
      <c r="U91" s="31"/>
      <c r="V91" s="31"/>
    </row>
    <row r="92" spans="1:22">
      <c r="A92" s="219"/>
      <c r="B92" s="185" t="s">
        <v>78</v>
      </c>
      <c r="C92" s="260">
        <f>+[4]globaltaxrev!$B$6</f>
        <v>12.253769999999999</v>
      </c>
      <c r="D92" s="285">
        <f>+VLOOKUP(B92,'[4]Data C 2,4'!$A$2:$S$189,17,0)%</f>
        <v>0.3</v>
      </c>
      <c r="E92" s="282">
        <f>D92*TableC4!C92/(1000)</f>
        <v>1.3088120164742032</v>
      </c>
      <c r="F92" s="281">
        <f>+D92*TableC4!D92/(1000)</f>
        <v>0.37632845363359918</v>
      </c>
      <c r="G92" s="283">
        <f>+E92-F92</f>
        <v>0.93248356284060407</v>
      </c>
      <c r="H92" s="282"/>
      <c r="I92" s="281"/>
      <c r="J92" s="280"/>
      <c r="K92" s="47">
        <f t="shared" si="22"/>
        <v>0.1068089262711968</v>
      </c>
      <c r="L92" s="27">
        <f t="shared" si="23"/>
        <v>3.0711238552184283E-2</v>
      </c>
      <c r="M92" s="228">
        <f t="shared" si="24"/>
        <v>7.6097687719012527E-2</v>
      </c>
      <c r="N92" s="47"/>
      <c r="O92" s="228"/>
      <c r="P92" s="41"/>
      <c r="Q92" s="43"/>
      <c r="R92" s="328">
        <v>2.2999999999999998</v>
      </c>
      <c r="S92" s="43"/>
      <c r="T92" s="43"/>
      <c r="U92" s="43"/>
      <c r="V92" s="43"/>
    </row>
    <row r="93" spans="1:22">
      <c r="A93" s="219"/>
      <c r="B93" s="185" t="s">
        <v>79</v>
      </c>
      <c r="C93" s="260">
        <f>+[4]globaltaxrev!$B$50</f>
        <v>9.2695900000000009</v>
      </c>
      <c r="D93" s="285">
        <f>+VLOOKUP(B93,'[4]Data C 2,4'!$A$2:$S$189,17,0)%</f>
        <v>0.22500000000000001</v>
      </c>
      <c r="E93" s="282">
        <f>D93*TableC4!C93/(1000)</f>
        <v>1.0977236288335543</v>
      </c>
      <c r="F93" s="281">
        <f>+D93*TableC4!D93/(1000)</f>
        <v>0.20735951617219323</v>
      </c>
      <c r="G93" s="283">
        <f t="shared" ref="G93:G99" si="25">+E93-F93</f>
        <v>0.89036411266136106</v>
      </c>
      <c r="H93" s="282"/>
      <c r="I93" s="281"/>
      <c r="J93" s="280"/>
      <c r="K93" s="47">
        <f t="shared" si="22"/>
        <v>0.11842202609107352</v>
      </c>
      <c r="L93" s="27">
        <f t="shared" si="23"/>
        <v>2.2369869236092774E-2</v>
      </c>
      <c r="M93" s="228">
        <f t="shared" si="24"/>
        <v>9.6052156854980753E-2</v>
      </c>
      <c r="N93" s="47"/>
      <c r="O93" s="228"/>
      <c r="P93" s="41"/>
      <c r="Q93" s="43"/>
      <c r="R93" s="328"/>
      <c r="S93" s="43"/>
      <c r="T93" s="43"/>
      <c r="U93" s="43"/>
      <c r="V93" s="43"/>
    </row>
    <row r="94" spans="1:22">
      <c r="A94" s="219"/>
      <c r="B94" s="185" t="s">
        <v>80</v>
      </c>
      <c r="C94" s="260">
        <v>21.502871950999999</v>
      </c>
      <c r="D94" s="285">
        <f>+VLOOKUP(B94,'[4]Data C 2,4'!$A$2:$S$189,17,0)%</f>
        <v>0.25</v>
      </c>
      <c r="E94" s="282">
        <f>D94*TableC4!C94/(1000)</f>
        <v>2.6512676644964004</v>
      </c>
      <c r="F94" s="281">
        <f>+D94*TableC4!D94/(1000)</f>
        <v>0.41314508704964831</v>
      </c>
      <c r="G94" s="283">
        <f t="shared" si="25"/>
        <v>2.2381225774467519</v>
      </c>
      <c r="H94" s="282"/>
      <c r="I94" s="281"/>
      <c r="J94" s="280"/>
      <c r="K94" s="47">
        <f t="shared" si="22"/>
        <v>0.12329830501423332</v>
      </c>
      <c r="L94" s="27">
        <f t="shared" si="23"/>
        <v>1.9213484040230024E-2</v>
      </c>
      <c r="M94" s="228">
        <f t="shared" si="24"/>
        <v>0.10408482097400329</v>
      </c>
      <c r="N94" s="47"/>
      <c r="O94" s="228"/>
      <c r="P94" s="41"/>
      <c r="Q94" s="43"/>
      <c r="R94" s="328">
        <v>3.2</v>
      </c>
      <c r="S94" s="43"/>
      <c r="T94" s="43"/>
      <c r="U94" s="43"/>
      <c r="V94" s="43"/>
    </row>
    <row r="95" spans="1:22">
      <c r="A95" s="219"/>
      <c r="B95" s="185" t="s">
        <v>81</v>
      </c>
      <c r="C95" s="260">
        <f>+[4]globaltaxrev!$B$116</f>
        <v>23.350930000000002</v>
      </c>
      <c r="D95" s="285">
        <f>+VLOOKUP(B95,'[4]Data C 2,4'!$A$2:$S$189,17,0)%</f>
        <v>0.24</v>
      </c>
      <c r="E95" s="282">
        <f>D95*TableC4!C95/(1000)</f>
        <v>1.4968566814033195</v>
      </c>
      <c r="F95" s="281">
        <f>+D95*TableC4!D95/(1000)</f>
        <v>0.31357469483090056</v>
      </c>
      <c r="G95" s="283">
        <f t="shared" si="25"/>
        <v>1.1832819865724189</v>
      </c>
      <c r="H95" s="282"/>
      <c r="I95" s="281"/>
      <c r="J95" s="280"/>
      <c r="K95" s="47">
        <f t="shared" si="22"/>
        <v>6.4102658069863566E-2</v>
      </c>
      <c r="L95" s="27">
        <f t="shared" si="23"/>
        <v>1.3428788268000483E-2</v>
      </c>
      <c r="M95" s="228">
        <f t="shared" si="24"/>
        <v>5.0673869801863086E-2</v>
      </c>
      <c r="N95" s="47"/>
      <c r="O95" s="228"/>
      <c r="P95" s="41"/>
      <c r="Q95" s="43"/>
      <c r="R95" s="328">
        <v>1.1000000000000001</v>
      </c>
      <c r="S95" s="43"/>
      <c r="T95" s="43"/>
      <c r="U95" s="43"/>
      <c r="V95" s="43"/>
    </row>
    <row r="96" spans="1:22">
      <c r="A96" s="219"/>
      <c r="B96" s="185" t="s">
        <v>82</v>
      </c>
      <c r="C96" s="260">
        <f>+[4]globaltaxrev!$B$119</f>
        <v>5.0382800000000003</v>
      </c>
      <c r="D96" s="285">
        <f>+VLOOKUP(B96,'[4]Data C 2,4'!$A$2:$S$189,17,0)%</f>
        <v>0.3</v>
      </c>
      <c r="E96" s="282">
        <f>D96*TableC4!C96/(1000)</f>
        <v>1.1425641189582456</v>
      </c>
      <c r="F96" s="281">
        <f>+D96*TableC4!D96/(1000)</f>
        <v>0.28398203483876444</v>
      </c>
      <c r="G96" s="283">
        <f t="shared" si="25"/>
        <v>0.85858208411948111</v>
      </c>
      <c r="H96" s="282"/>
      <c r="I96" s="281"/>
      <c r="J96" s="280"/>
      <c r="K96" s="47">
        <f t="shared" si="22"/>
        <v>0.22677662197381757</v>
      </c>
      <c r="L96" s="27">
        <f t="shared" si="23"/>
        <v>5.6364877465874152E-2</v>
      </c>
      <c r="M96" s="228">
        <f t="shared" si="24"/>
        <v>0.17041174450794339</v>
      </c>
      <c r="N96" s="47"/>
      <c r="O96" s="228"/>
      <c r="P96" s="41"/>
      <c r="Q96" s="43"/>
      <c r="R96" s="328">
        <v>1.1000000000000001</v>
      </c>
      <c r="S96" s="43"/>
      <c r="T96" s="43"/>
      <c r="U96" s="43"/>
      <c r="V96" s="43"/>
    </row>
    <row r="97" spans="1:22">
      <c r="A97" s="219"/>
      <c r="B97" s="185" t="s">
        <v>83</v>
      </c>
      <c r="C97" s="260">
        <f>+[4]globaltaxrev!$B$156</f>
        <v>23.624559999999999</v>
      </c>
      <c r="D97" s="285">
        <f>+VLOOKUP(B97,'[4]Data C 2,4'!$A$2:$S$189,17,0)%</f>
        <v>0.2</v>
      </c>
      <c r="E97" s="282">
        <f>D97*TableC4!C97/(1000)</f>
        <v>1.9454504478387564</v>
      </c>
      <c r="F97" s="281">
        <f>+D97*TableC4!D97/(1000)</f>
        <v>0.21975511300921213</v>
      </c>
      <c r="G97" s="283">
        <f t="shared" si="25"/>
        <v>1.7256953348295443</v>
      </c>
      <c r="H97" s="282"/>
      <c r="I97" s="281"/>
      <c r="J97" s="280"/>
      <c r="K97" s="47">
        <f t="shared" si="22"/>
        <v>8.2348642592232679E-2</v>
      </c>
      <c r="L97" s="27">
        <f t="shared" si="23"/>
        <v>9.3019769684265924E-3</v>
      </c>
      <c r="M97" s="228">
        <f t="shared" si="24"/>
        <v>7.3046665623806087E-2</v>
      </c>
      <c r="N97" s="47"/>
      <c r="O97" s="228"/>
      <c r="P97" s="41"/>
      <c r="Q97" s="43"/>
      <c r="R97" s="328">
        <v>1.4</v>
      </c>
      <c r="S97" s="43"/>
      <c r="T97" s="43"/>
      <c r="U97" s="43"/>
      <c r="V97" s="43"/>
    </row>
    <row r="98" spans="1:22">
      <c r="A98" s="219"/>
      <c r="B98" s="185" t="s">
        <v>84</v>
      </c>
      <c r="C98" s="260">
        <f>+[4]globaltaxrev!$B$166</f>
        <v>1.6471499999999999</v>
      </c>
      <c r="D98" s="285">
        <f>+VLOOKUP(B98,'[4]Data C 2,4'!$A$2:$S$189,17,0)%</f>
        <v>0.25</v>
      </c>
      <c r="E98" s="282">
        <f>D98*TableC4!C98/(1000)</f>
        <v>0.38094751000407207</v>
      </c>
      <c r="F98" s="281">
        <f>+D98*TableC4!D98/(1000)</f>
        <v>8.69091532311939E-2</v>
      </c>
      <c r="G98" s="283">
        <f t="shared" si="25"/>
        <v>0.29403835677287815</v>
      </c>
      <c r="H98" s="282"/>
      <c r="I98" s="281"/>
      <c r="J98" s="280"/>
      <c r="K98" s="47">
        <f t="shared" si="22"/>
        <v>0.2312767568248624</v>
      </c>
      <c r="L98" s="27">
        <f t="shared" si="23"/>
        <v>5.2763350776306894E-2</v>
      </c>
      <c r="M98" s="228">
        <f t="shared" si="24"/>
        <v>0.17851340604855548</v>
      </c>
      <c r="N98" s="47"/>
      <c r="O98" s="228"/>
      <c r="P98" s="41"/>
      <c r="Q98" s="43"/>
      <c r="R98" s="328"/>
      <c r="S98" s="43"/>
      <c r="T98" s="43"/>
      <c r="U98" s="43"/>
      <c r="V98" s="43"/>
    </row>
    <row r="99" spans="1:22">
      <c r="A99" s="219"/>
      <c r="B99" s="185" t="s">
        <v>85</v>
      </c>
      <c r="C99" s="260">
        <v>1.9079665540000001</v>
      </c>
      <c r="D99" s="285">
        <f>+VLOOKUP(B99,'[4]Data C 2,4'!$A$2:$S$189,17,0)%</f>
        <v>0.34</v>
      </c>
      <c r="E99" s="282">
        <f>D99*TableC4!C99/(1000)</f>
        <v>0.33621702358512151</v>
      </c>
      <c r="F99" s="281">
        <f>+D99*TableC4!D99/(1000)</f>
        <v>5.4148695041110369E-2</v>
      </c>
      <c r="G99" s="283">
        <f t="shared" si="25"/>
        <v>0.28206832854401115</v>
      </c>
      <c r="H99" s="282"/>
      <c r="I99" s="281"/>
      <c r="J99" s="280"/>
      <c r="K99" s="47">
        <f t="shared" si="22"/>
        <v>0.17621746192576157</v>
      </c>
      <c r="L99" s="27">
        <f t="shared" si="23"/>
        <v>2.8380316692443636E-2</v>
      </c>
      <c r="M99" s="228">
        <f t="shared" si="24"/>
        <v>0.14783714523331792</v>
      </c>
      <c r="N99" s="47"/>
      <c r="O99" s="228"/>
      <c r="P99" s="41"/>
      <c r="Q99" s="43"/>
      <c r="R99" s="328">
        <v>0.5</v>
      </c>
      <c r="S99" s="43"/>
      <c r="T99" s="43"/>
      <c r="U99" s="43"/>
      <c r="V99" s="43"/>
    </row>
    <row r="100" spans="1:22" s="150" customFormat="1" ht="40" customHeight="1">
      <c r="B100" s="176" t="s">
        <v>367</v>
      </c>
      <c r="C100" s="330">
        <f>+'Table U1'!$J$89</f>
        <v>415.71769613472094</v>
      </c>
      <c r="D100" s="331">
        <f>+'[4]Data C 2,4'!$Q$179%</f>
        <v>0.23809999999999998</v>
      </c>
      <c r="E100" s="332">
        <f>D100*TableC4!C100/(1000)</f>
        <v>35.879577836619653</v>
      </c>
      <c r="F100" s="515">
        <f>+D100*TableC4!D100/(1000)</f>
        <v>10.531521655565637</v>
      </c>
      <c r="G100" s="516">
        <f t="shared" si="20"/>
        <v>25.348056181054016</v>
      </c>
      <c r="H100" s="332">
        <f>D100*TableC4!N100/(1000)</f>
        <v>6.6019304077409986</v>
      </c>
      <c r="I100" s="515">
        <f>+D100*TableC4!O100/(1000)</f>
        <v>0.82209899398291708</v>
      </c>
      <c r="J100" s="333">
        <f t="shared" si="21"/>
        <v>5.7798314137580817</v>
      </c>
      <c r="K100" s="226">
        <f t="shared" ref="K100:P100" si="26">+E100/$C100</f>
        <v>8.6307554790720817E-2</v>
      </c>
      <c r="L100" s="501">
        <f t="shared" si="26"/>
        <v>2.533334941833389E-2</v>
      </c>
      <c r="M100" s="502">
        <f t="shared" si="26"/>
        <v>6.0974205372386923E-2</v>
      </c>
      <c r="N100" s="226">
        <f t="shared" si="26"/>
        <v>1.5880801970002072E-2</v>
      </c>
      <c r="O100" s="334">
        <f t="shared" si="26"/>
        <v>1.9775414942078888E-3</v>
      </c>
      <c r="P100" s="225">
        <f t="shared" si="26"/>
        <v>1.3903260475794182E-2</v>
      </c>
      <c r="Q100" s="31"/>
      <c r="R100" s="329"/>
      <c r="S100" s="31"/>
      <c r="T100" s="31"/>
      <c r="U100" s="31"/>
      <c r="V100" s="31"/>
    </row>
    <row r="101" spans="1:22" ht="40" hidden="1" customHeight="1">
      <c r="B101" s="166"/>
      <c r="C101" s="162"/>
      <c r="D101" s="278"/>
      <c r="E101" s="32">
        <f>D101*TableC4!C101/(1000)</f>
        <v>0</v>
      </c>
      <c r="F101" s="31">
        <f>+D101*TableC4!D101/(1000)</f>
        <v>0</v>
      </c>
      <c r="G101" s="31">
        <f t="shared" si="20"/>
        <v>0</v>
      </c>
      <c r="H101" s="32">
        <f>D101*TableC4!N101/(1000)</f>
        <v>0</v>
      </c>
      <c r="I101" s="31">
        <f>+D101*TableC4!O101/(1000)</f>
        <v>0</v>
      </c>
      <c r="J101" s="246">
        <f t="shared" si="21"/>
        <v>0</v>
      </c>
      <c r="K101" s="277"/>
      <c r="L101" s="29"/>
      <c r="M101" s="29"/>
      <c r="N101" s="277"/>
      <c r="O101" s="276"/>
      <c r="P101" s="275"/>
      <c r="Q101" s="31"/>
      <c r="R101" s="31"/>
      <c r="S101" s="31"/>
      <c r="T101" s="31"/>
      <c r="U101" s="31"/>
      <c r="V101" s="31"/>
    </row>
    <row r="102" spans="1:22" ht="34.5" customHeight="1" thickBot="1">
      <c r="B102" s="157" t="str">
        <f>+TableC3!B91</f>
        <v>Non-haven total</v>
      </c>
      <c r="C102" s="274">
        <f>+C100+C10+C46</f>
        <v>2425.4865879703211</v>
      </c>
      <c r="D102" s="273"/>
      <c r="E102" s="272">
        <f>E100+E46+E10</f>
        <v>218.44805821020532</v>
      </c>
      <c r="F102" s="271">
        <f>F100+F46+F10</f>
        <v>94.463664932576066</v>
      </c>
      <c r="G102" s="271">
        <f t="shared" si="20"/>
        <v>123.98439327762925</v>
      </c>
      <c r="H102" s="272">
        <f>H100+H46+H10</f>
        <v>228.52536559904433</v>
      </c>
      <c r="I102" s="271">
        <f>I100+I46+I10</f>
        <v>119.76060368281235</v>
      </c>
      <c r="J102" s="271">
        <f t="shared" si="21"/>
        <v>108.76476191623199</v>
      </c>
      <c r="K102" s="269">
        <f t="shared" ref="K102:P102" si="27">+E102/$C102</f>
        <v>9.0063601791756556E-2</v>
      </c>
      <c r="L102" s="270">
        <f t="shared" si="27"/>
        <v>3.8946273873905236E-2</v>
      </c>
      <c r="M102" s="270">
        <f t="shared" si="27"/>
        <v>5.1117327917851327E-2</v>
      </c>
      <c r="N102" s="269">
        <f t="shared" si="27"/>
        <v>9.4218358795493215E-2</v>
      </c>
      <c r="O102" s="268">
        <f t="shared" si="27"/>
        <v>4.9375908437007517E-2</v>
      </c>
      <c r="P102" s="267">
        <f t="shared" si="27"/>
        <v>4.4842450358485705E-2</v>
      </c>
      <c r="Q102" s="40"/>
      <c r="R102" s="40"/>
      <c r="S102" s="40"/>
      <c r="T102" s="40"/>
      <c r="U102" s="40"/>
      <c r="V102" s="40"/>
    </row>
    <row r="103" spans="1:22" ht="16" thickTop="1"/>
  </sheetData>
  <mergeCells count="13">
    <mergeCell ref="B4:P4"/>
    <mergeCell ref="E6:J6"/>
    <mergeCell ref="E7:G7"/>
    <mergeCell ref="H7:J7"/>
    <mergeCell ref="E8:E9"/>
    <mergeCell ref="H8:H9"/>
    <mergeCell ref="K6:P6"/>
    <mergeCell ref="K7:M7"/>
    <mergeCell ref="N7:P7"/>
    <mergeCell ref="K8:K9"/>
    <mergeCell ref="N8:N9"/>
    <mergeCell ref="C6:C9"/>
    <mergeCell ref="D6:D9"/>
  </mergeCells>
  <pageMargins left="0.7" right="0.7" top="0.75" bottom="0.75" header="0.3" footer="0.3"/>
  <pageSetup scale="62" fitToHeight="2" orientation="landscape"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0"/>
  <sheetViews>
    <sheetView workbookViewId="0">
      <selection activeCell="B5" sqref="B5"/>
    </sheetView>
  </sheetViews>
  <sheetFormatPr defaultColWidth="8.6328125" defaultRowHeight="14.5"/>
  <cols>
    <col min="1" max="16384" width="8.6328125" style="342"/>
  </cols>
  <sheetData>
    <row r="1" spans="1:16">
      <c r="A1" s="342" t="s">
        <v>394</v>
      </c>
      <c r="B1" s="343" t="s">
        <v>395</v>
      </c>
      <c r="C1" s="342" t="s">
        <v>396</v>
      </c>
      <c r="D1" s="343" t="s">
        <v>397</v>
      </c>
      <c r="E1" s="342" t="s">
        <v>398</v>
      </c>
      <c r="F1" s="342" t="s">
        <v>399</v>
      </c>
      <c r="G1" s="342" t="s">
        <v>400</v>
      </c>
      <c r="H1" s="342" t="s">
        <v>401</v>
      </c>
      <c r="I1" s="342" t="s">
        <v>402</v>
      </c>
      <c r="J1" s="342" t="s">
        <v>403</v>
      </c>
      <c r="K1" s="342" t="s">
        <v>404</v>
      </c>
      <c r="L1" s="342" t="s">
        <v>405</v>
      </c>
      <c r="M1" s="342" t="s">
        <v>406</v>
      </c>
      <c r="N1" s="342" t="s">
        <v>407</v>
      </c>
      <c r="O1" s="342" t="s">
        <v>408</v>
      </c>
      <c r="P1" s="342" t="s">
        <v>409</v>
      </c>
    </row>
    <row r="2" spans="1:16">
      <c r="A2" s="342" t="s">
        <v>410</v>
      </c>
      <c r="B2" s="343" t="s">
        <v>411</v>
      </c>
      <c r="C2" s="342" t="s">
        <v>412</v>
      </c>
      <c r="D2" s="343" t="s">
        <v>413</v>
      </c>
      <c r="E2" s="342">
        <v>15.802938251987564</v>
      </c>
      <c r="F2" s="342">
        <v>15.665791836504388</v>
      </c>
      <c r="G2" s="342">
        <v>16.494416436466278</v>
      </c>
      <c r="H2" s="342">
        <v>16.637102443630265</v>
      </c>
      <c r="I2" s="342">
        <v>16.802408362635443</v>
      </c>
      <c r="J2" s="342">
        <v>17.047442363087278</v>
      </c>
      <c r="K2" s="342">
        <v>17.064440194124401</v>
      </c>
      <c r="L2" s="342">
        <v>16.938735178395316</v>
      </c>
      <c r="M2" s="342">
        <v>17.236719819218727</v>
      </c>
      <c r="N2" s="342">
        <v>17.434189233963973</v>
      </c>
      <c r="O2" s="342">
        <v>18.515699851037414</v>
      </c>
      <c r="P2" s="342" t="s">
        <v>414</v>
      </c>
    </row>
    <row r="3" spans="1:16">
      <c r="B3" s="343"/>
      <c r="D3" s="343"/>
    </row>
    <row r="4" spans="1:16">
      <c r="B4" s="343"/>
      <c r="D4" s="343"/>
    </row>
    <row r="5" spans="1:16">
      <c r="B5" s="343"/>
      <c r="D5" s="343"/>
    </row>
    <row r="6" spans="1:16">
      <c r="A6" s="342" t="s">
        <v>415</v>
      </c>
      <c r="B6" s="343"/>
      <c r="D6" s="343"/>
    </row>
    <row r="7" spans="1:16">
      <c r="A7" s="342" t="s">
        <v>416</v>
      </c>
    </row>
    <row r="9" spans="1:16">
      <c r="A9" s="342" t="s">
        <v>417</v>
      </c>
      <c r="B9" s="342" t="s">
        <v>418</v>
      </c>
      <c r="C9" s="342" t="s">
        <v>419</v>
      </c>
      <c r="D9" s="342" t="s">
        <v>420</v>
      </c>
      <c r="E9" s="342" t="s">
        <v>421</v>
      </c>
      <c r="F9" s="342" t="s">
        <v>422</v>
      </c>
      <c r="G9" s="342" t="s">
        <v>423</v>
      </c>
      <c r="H9" s="342" t="s">
        <v>424</v>
      </c>
      <c r="I9" s="342" t="s">
        <v>425</v>
      </c>
    </row>
    <row r="10" spans="1:16">
      <c r="A10" s="342" t="s">
        <v>411</v>
      </c>
      <c r="B10" s="342" t="s">
        <v>426</v>
      </c>
      <c r="C10" s="342" t="s">
        <v>410</v>
      </c>
      <c r="D10" s="342" t="s">
        <v>427</v>
      </c>
      <c r="E10" s="342" t="s">
        <v>428</v>
      </c>
      <c r="F10" s="342" t="s">
        <v>429</v>
      </c>
      <c r="G10" s="342" t="s">
        <v>430</v>
      </c>
      <c r="H10" s="342" t="s">
        <v>431</v>
      </c>
      <c r="I10" s="342" t="s">
        <v>432</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858E-84AD-B841-95F8-C974B18DED87}">
  <sheetPr>
    <tabColor theme="1"/>
  </sheetPr>
  <dimension ref="A1"/>
  <sheetViews>
    <sheetView workbookViewId="0">
      <selection activeCell="C26" sqref="C26"/>
    </sheetView>
  </sheetViews>
  <sheetFormatPr defaultColWidth="10.81640625" defaultRowHeight="15.5"/>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Charts</vt:lpstr>
      </vt:variant>
      <vt:variant>
        <vt:i4>13</vt:i4>
      </vt:variant>
    </vt:vector>
  </HeadingPairs>
  <TitlesOfParts>
    <vt:vector size="40" baseType="lpstr">
      <vt:lpstr>Content</vt:lpstr>
      <vt:lpstr>MainTableFigures &gt;</vt:lpstr>
      <vt:lpstr>Table1</vt:lpstr>
      <vt:lpstr>DataF1</vt:lpstr>
      <vt:lpstr>DataF2</vt:lpstr>
      <vt:lpstr>DataF3</vt:lpstr>
      <vt:lpstr>GlobalDIEquityIncome</vt:lpstr>
      <vt:lpstr>AppenixTableFigures &gt;</vt:lpstr>
      <vt:lpstr>TableA1</vt:lpstr>
      <vt:lpstr>TableA2</vt:lpstr>
      <vt:lpstr>TableA3</vt:lpstr>
      <vt:lpstr>DataAF3</vt:lpstr>
      <vt:lpstr>Select updated tables from TWZ&gt;</vt:lpstr>
      <vt:lpstr>Wright-Zucman</vt:lpstr>
      <vt:lpstr>US-CBCR-2020</vt:lpstr>
      <vt:lpstr>Table U1</vt:lpstr>
      <vt:lpstr>TableB10</vt:lpstr>
      <vt:lpstr>TableB11</vt:lpstr>
      <vt:lpstr>TableC1</vt:lpstr>
      <vt:lpstr>TableC2</vt:lpstr>
      <vt:lpstr>TableC3</vt:lpstr>
      <vt:lpstr>TableC4</vt:lpstr>
      <vt:lpstr>TableC4b</vt:lpstr>
      <vt:lpstr>TableC4c</vt:lpstr>
      <vt:lpstr>TableC4d</vt:lpstr>
      <vt:lpstr>Depreciation</vt:lpstr>
      <vt:lpstr>SupplementaryFigures &gt;</vt:lpstr>
      <vt:lpstr>Chart1</vt:lpstr>
      <vt:lpstr>Chart2</vt:lpstr>
      <vt:lpstr>Chart3</vt:lpstr>
      <vt:lpstr>Chart4</vt:lpstr>
      <vt:lpstr>Figure3b</vt:lpstr>
      <vt:lpstr>Chart5</vt:lpstr>
      <vt:lpstr>Chart6</vt:lpstr>
      <vt:lpstr>Chart7</vt:lpstr>
      <vt:lpstr>Chart8</vt:lpstr>
      <vt:lpstr>Chart9</vt:lpstr>
      <vt:lpstr>Chart10</vt:lpstr>
      <vt:lpstr>Chart11</vt:lpstr>
      <vt:lpstr>Chart12</vt:lpstr>
    </vt:vector>
  </TitlesOfParts>
  <Manager/>
  <Company>SAMF-IT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Ludvig S C Petersen Wier</dc:creator>
  <cp:keywords/>
  <dc:description/>
  <cp:lastModifiedBy>Idann Gidron</cp:lastModifiedBy>
  <cp:revision/>
  <cp:lastPrinted>2023-07-07T02:02:25Z</cp:lastPrinted>
  <dcterms:created xsi:type="dcterms:W3CDTF">2019-06-07T08:42:44Z</dcterms:created>
  <dcterms:modified xsi:type="dcterms:W3CDTF">2024-01-05T14:38:14Z</dcterms:modified>
  <cp:category/>
  <cp:contentStatus/>
</cp:coreProperties>
</file>