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indicadores3\"/>
    </mc:Choice>
  </mc:AlternateContent>
  <xr:revisionPtr revIDLastSave="0" documentId="13_ncr:1_{2B1E08C1-30B6-4A3B-9EA8-03DC50AAD099}" xr6:coauthVersionLast="47" xr6:coauthVersionMax="47" xr10:uidLastSave="{00000000-0000-0000-0000-000000000000}"/>
  <bookViews>
    <workbookView xWindow="28680" yWindow="1695" windowWidth="20730" windowHeight="11040" tabRatio="856" firstSheet="11" activeTab="19" xr2:uid="{00000000-000D-0000-FFFF-FFFF00000000}"/>
  </bookViews>
  <sheets>
    <sheet name="MDE" sheetId="2" r:id="rId1"/>
    <sheet name="FUNDEB" sheetId="3" r:id="rId2"/>
    <sheet name="ASPS" sheetId="4" r:id="rId3"/>
    <sheet name="PessoalLRF" sheetId="5" r:id="rId4"/>
    <sheet name="Suplementacao" sheetId="6" r:id="rId5"/>
    <sheet name="ReceitaDespesaCorrentes" sheetId="7" r:id="rId6"/>
    <sheet name="DotacaoFolha" sheetId="8" r:id="rId7"/>
    <sheet name="DotacaoVale" sheetId="9" r:id="rId8"/>
    <sheet name="CaixaProjetado" sheetId="10" r:id="rId9"/>
    <sheet name="Superavit" sheetId="11" r:id="rId10"/>
    <sheet name="ReceitaTotal" sheetId="12" r:id="rId11"/>
    <sheet name="ReceitaCorrente" sheetId="14" r:id="rId12"/>
    <sheet name="ArrecadacaoPropria" sheetId="15" r:id="rId13"/>
    <sheet name="TransfCorr" sheetId="16" r:id="rId14"/>
    <sheet name="FPM" sheetId="17" r:id="rId15"/>
    <sheet name="ICMS" sheetId="18" r:id="rId16"/>
    <sheet name="TransfFUNDEB" sheetId="19" r:id="rId17"/>
    <sheet name="TransfSaude" sheetId="20" r:id="rId18"/>
    <sheet name="TransfEducacao" sheetId="21" r:id="rId19"/>
    <sheet name="TransfAssistSocial" sheetId="22" r:id="rId20"/>
    <sheet name="TransfFederal" sheetId="23" r:id="rId21"/>
    <sheet name="TransfEstadual" sheetId="24" r:id="rId22"/>
    <sheet name="DespesaTotal" sheetId="25" r:id="rId23"/>
    <sheet name="DespesaCorrente" sheetId="26" r:id="rId24"/>
    <sheet name="DespesaPessoal" sheetId="2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C2" i="11"/>
  <c r="C3" i="11"/>
  <c r="C4" i="11"/>
  <c r="C5" i="11"/>
  <c r="C6" i="11"/>
  <c r="C7" i="11"/>
  <c r="C8" i="11"/>
  <c r="C9" i="11"/>
  <c r="C10" i="11"/>
  <c r="C11" i="11"/>
  <c r="C12" i="11"/>
  <c r="C13" i="11"/>
  <c r="P13" i="27"/>
  <c r="O13" i="27"/>
  <c r="L13" i="27"/>
  <c r="K13" i="27"/>
  <c r="J13" i="27"/>
  <c r="I13" i="27"/>
  <c r="H13" i="27"/>
  <c r="F13" i="27"/>
  <c r="N13" i="27" s="1"/>
  <c r="E13" i="27"/>
  <c r="P12" i="27"/>
  <c r="O12" i="27"/>
  <c r="L12" i="27"/>
  <c r="K12" i="27"/>
  <c r="J12" i="27"/>
  <c r="I12" i="27"/>
  <c r="H12" i="27"/>
  <c r="F12" i="27"/>
  <c r="N12" i="27" s="1"/>
  <c r="E12" i="27"/>
  <c r="P11" i="27"/>
  <c r="O11" i="27"/>
  <c r="L11" i="27"/>
  <c r="F11" i="27"/>
  <c r="P10" i="27"/>
  <c r="O10" i="27"/>
  <c r="L10" i="27"/>
  <c r="G10" i="27"/>
  <c r="F10" i="27"/>
  <c r="I10" i="27" s="1"/>
  <c r="P9" i="27"/>
  <c r="O9" i="27"/>
  <c r="L9" i="27"/>
  <c r="G9" i="27"/>
  <c r="F9" i="27"/>
  <c r="I9" i="27" s="1"/>
  <c r="P8" i="27"/>
  <c r="O8" i="27"/>
  <c r="L8" i="27"/>
  <c r="G8" i="27"/>
  <c r="F8" i="27"/>
  <c r="I8" i="27" s="1"/>
  <c r="P7" i="27"/>
  <c r="O7" i="27"/>
  <c r="L7" i="27"/>
  <c r="G7" i="27"/>
  <c r="F7" i="27"/>
  <c r="P6" i="27"/>
  <c r="O6" i="27"/>
  <c r="L6" i="27"/>
  <c r="G6" i="27"/>
  <c r="F6" i="27"/>
  <c r="I6" i="27" s="1"/>
  <c r="P5" i="27"/>
  <c r="O5" i="27"/>
  <c r="L5" i="27"/>
  <c r="G5" i="27"/>
  <c r="F5" i="27"/>
  <c r="I5" i="27" s="1"/>
  <c r="P4" i="27"/>
  <c r="O4" i="27"/>
  <c r="L4" i="27"/>
  <c r="G4" i="27"/>
  <c r="F4" i="27"/>
  <c r="I4" i="27" s="1"/>
  <c r="P3" i="27"/>
  <c r="O3" i="27"/>
  <c r="L3" i="27"/>
  <c r="G3" i="27"/>
  <c r="F3" i="27"/>
  <c r="I3" i="27" s="1"/>
  <c r="E3" i="27"/>
  <c r="J3" i="27" s="1"/>
  <c r="P2" i="27"/>
  <c r="O2" i="27"/>
  <c r="G13" i="27" s="1"/>
  <c r="L2" i="27"/>
  <c r="G2" i="27"/>
  <c r="F2" i="27"/>
  <c r="I2" i="27" s="1"/>
  <c r="E2" i="27"/>
  <c r="J2" i="27" s="1"/>
  <c r="L2" i="26"/>
  <c r="L3" i="26"/>
  <c r="L4" i="26"/>
  <c r="L5" i="26"/>
  <c r="L6" i="26"/>
  <c r="L7" i="26"/>
  <c r="L8" i="26"/>
  <c r="L9" i="26"/>
  <c r="L10" i="26"/>
  <c r="L11" i="26"/>
  <c r="L12" i="26"/>
  <c r="L13" i="26"/>
  <c r="P13" i="26"/>
  <c r="O13" i="26"/>
  <c r="K13" i="26"/>
  <c r="J13" i="26"/>
  <c r="I13" i="26"/>
  <c r="H13" i="26"/>
  <c r="G13" i="26"/>
  <c r="F13" i="26"/>
  <c r="N13" i="26" s="1"/>
  <c r="E13" i="26"/>
  <c r="P12" i="26"/>
  <c r="O12" i="26"/>
  <c r="K12" i="26"/>
  <c r="J12" i="26"/>
  <c r="I12" i="26"/>
  <c r="H12" i="26"/>
  <c r="G12" i="26"/>
  <c r="F12" i="26"/>
  <c r="N12" i="26" s="1"/>
  <c r="E12" i="26"/>
  <c r="P11" i="26"/>
  <c r="O11" i="26"/>
  <c r="G11" i="26"/>
  <c r="F11" i="26"/>
  <c r="E11" i="26"/>
  <c r="P10" i="26"/>
  <c r="O10" i="26"/>
  <c r="G10" i="26"/>
  <c r="F10" i="26"/>
  <c r="E10" i="26"/>
  <c r="P9" i="26"/>
  <c r="O9" i="26"/>
  <c r="G9" i="26"/>
  <c r="F9" i="26"/>
  <c r="E9" i="26"/>
  <c r="P8" i="26"/>
  <c r="O8" i="26"/>
  <c r="G8" i="26"/>
  <c r="F8" i="26"/>
  <c r="E8" i="26"/>
  <c r="P7" i="26"/>
  <c r="O7" i="26"/>
  <c r="G7" i="26"/>
  <c r="F7" i="26"/>
  <c r="E7" i="26"/>
  <c r="P6" i="26"/>
  <c r="O6" i="26"/>
  <c r="G6" i="26"/>
  <c r="F6" i="26"/>
  <c r="E6" i="26"/>
  <c r="P5" i="26"/>
  <c r="O5" i="26"/>
  <c r="G5" i="26"/>
  <c r="F5" i="26"/>
  <c r="E5" i="26"/>
  <c r="P4" i="26"/>
  <c r="O4" i="26"/>
  <c r="G4" i="26"/>
  <c r="F4" i="26"/>
  <c r="E4" i="26"/>
  <c r="P3" i="26"/>
  <c r="O3" i="26"/>
  <c r="G3" i="26"/>
  <c r="F3" i="26"/>
  <c r="E3" i="26"/>
  <c r="P2" i="26"/>
  <c r="O2" i="26"/>
  <c r="G2" i="26"/>
  <c r="F2" i="26"/>
  <c r="E2" i="26"/>
  <c r="N2" i="25"/>
  <c r="N3" i="25"/>
  <c r="N4" i="25"/>
  <c r="N5" i="25"/>
  <c r="N6" i="25"/>
  <c r="N7" i="25"/>
  <c r="N8" i="25"/>
  <c r="N9" i="25"/>
  <c r="N10" i="25"/>
  <c r="N11" i="25"/>
  <c r="N12" i="25"/>
  <c r="N13" i="25"/>
  <c r="M2" i="25"/>
  <c r="M3" i="25"/>
  <c r="M4" i="25"/>
  <c r="M5" i="25"/>
  <c r="M6" i="25"/>
  <c r="M7" i="25"/>
  <c r="M8" i="25"/>
  <c r="M9" i="25"/>
  <c r="M10" i="25"/>
  <c r="M11" i="25"/>
  <c r="M12" i="25"/>
  <c r="M13" i="25"/>
  <c r="L2" i="25"/>
  <c r="L3" i="25"/>
  <c r="L4" i="25"/>
  <c r="L5" i="25"/>
  <c r="L6" i="25"/>
  <c r="L7" i="25"/>
  <c r="L8" i="25"/>
  <c r="L9" i="25"/>
  <c r="L10" i="25"/>
  <c r="L11" i="25"/>
  <c r="L12" i="25"/>
  <c r="L13" i="25"/>
  <c r="K2" i="25"/>
  <c r="K3" i="25"/>
  <c r="K4" i="25"/>
  <c r="K5" i="25"/>
  <c r="K6" i="25"/>
  <c r="K7" i="25"/>
  <c r="K8" i="25"/>
  <c r="K9" i="25"/>
  <c r="K10" i="25"/>
  <c r="K11" i="25"/>
  <c r="K12" i="25"/>
  <c r="K13" i="25"/>
  <c r="J2" i="25"/>
  <c r="J3" i="25"/>
  <c r="J4" i="25"/>
  <c r="J5" i="25"/>
  <c r="J6" i="25"/>
  <c r="J7" i="25"/>
  <c r="J8" i="25"/>
  <c r="J9" i="25"/>
  <c r="J10" i="25"/>
  <c r="J11" i="25"/>
  <c r="J12" i="25"/>
  <c r="J13" i="25"/>
  <c r="I2" i="25"/>
  <c r="I3" i="25"/>
  <c r="I4" i="25"/>
  <c r="I5" i="25"/>
  <c r="I6" i="25"/>
  <c r="I7" i="25"/>
  <c r="I8" i="25"/>
  <c r="I9" i="25"/>
  <c r="I10" i="25"/>
  <c r="I11" i="25"/>
  <c r="I12" i="25"/>
  <c r="I13" i="25"/>
  <c r="H2" i="25"/>
  <c r="H3" i="25"/>
  <c r="H4" i="25"/>
  <c r="H5" i="25"/>
  <c r="H6" i="25"/>
  <c r="H7" i="25"/>
  <c r="H8" i="25"/>
  <c r="H9" i="25"/>
  <c r="H10" i="25"/>
  <c r="H11" i="25"/>
  <c r="H12" i="25"/>
  <c r="H13" i="25"/>
  <c r="G2" i="25"/>
  <c r="G3" i="25"/>
  <c r="G4" i="25"/>
  <c r="G5" i="25"/>
  <c r="G6" i="25"/>
  <c r="G7" i="25"/>
  <c r="G8" i="25"/>
  <c r="G9" i="25"/>
  <c r="G10" i="25"/>
  <c r="G11" i="25"/>
  <c r="G12" i="25"/>
  <c r="G13" i="25"/>
  <c r="F2" i="25"/>
  <c r="F3" i="25"/>
  <c r="F4" i="25"/>
  <c r="F5" i="25"/>
  <c r="F6" i="25"/>
  <c r="F7" i="25"/>
  <c r="F8" i="25"/>
  <c r="F9" i="25"/>
  <c r="F10" i="25"/>
  <c r="F11" i="25"/>
  <c r="F12" i="25"/>
  <c r="F13" i="25"/>
  <c r="E2" i="25"/>
  <c r="E3" i="25"/>
  <c r="E4" i="25"/>
  <c r="E5" i="25"/>
  <c r="E6" i="25"/>
  <c r="E7" i="25"/>
  <c r="E8" i="25"/>
  <c r="E9" i="25"/>
  <c r="E10" i="25"/>
  <c r="E11" i="25"/>
  <c r="E12" i="25"/>
  <c r="E13" i="25"/>
  <c r="P2" i="25"/>
  <c r="P3" i="25"/>
  <c r="P4" i="25"/>
  <c r="P5" i="25"/>
  <c r="P6" i="25"/>
  <c r="P7" i="25"/>
  <c r="P8" i="25"/>
  <c r="P9" i="25"/>
  <c r="P10" i="25"/>
  <c r="P11" i="25"/>
  <c r="P12" i="25"/>
  <c r="P13" i="25"/>
  <c r="O2" i="25"/>
  <c r="O3" i="25"/>
  <c r="O4" i="25"/>
  <c r="O5" i="25"/>
  <c r="O6" i="25"/>
  <c r="O7" i="25"/>
  <c r="O8" i="25"/>
  <c r="O9" i="25"/>
  <c r="O10" i="25"/>
  <c r="O11" i="25"/>
  <c r="O12" i="25"/>
  <c r="O13" i="25"/>
  <c r="M13" i="24"/>
  <c r="L13" i="24"/>
  <c r="F13" i="24"/>
  <c r="M12" i="24"/>
  <c r="L12" i="24"/>
  <c r="F12" i="24"/>
  <c r="M11" i="24"/>
  <c r="L11" i="24"/>
  <c r="M10" i="24"/>
  <c r="L10" i="24"/>
  <c r="M9" i="24"/>
  <c r="L9" i="24"/>
  <c r="M8" i="24"/>
  <c r="L8" i="24"/>
  <c r="M7" i="24"/>
  <c r="L7" i="24"/>
  <c r="M6" i="24"/>
  <c r="L6" i="24"/>
  <c r="F6" i="24"/>
  <c r="M5" i="24"/>
  <c r="L5" i="24"/>
  <c r="M4" i="24"/>
  <c r="L4" i="24"/>
  <c r="F4" i="24"/>
  <c r="M3" i="24"/>
  <c r="L3" i="24"/>
  <c r="M2" i="24"/>
  <c r="L2" i="24"/>
  <c r="G13" i="24" s="1"/>
  <c r="F2" i="24"/>
  <c r="M13" i="23"/>
  <c r="L13" i="23"/>
  <c r="F13" i="23"/>
  <c r="M12" i="23"/>
  <c r="L12" i="23"/>
  <c r="F12" i="23"/>
  <c r="M11" i="23"/>
  <c r="L11" i="23"/>
  <c r="M10" i="23"/>
  <c r="L10" i="23"/>
  <c r="M9" i="23"/>
  <c r="L9" i="23"/>
  <c r="M8" i="23"/>
  <c r="L8" i="23"/>
  <c r="M7" i="23"/>
  <c r="L7" i="23"/>
  <c r="M6" i="23"/>
  <c r="L6" i="23"/>
  <c r="M5" i="23"/>
  <c r="L5" i="23"/>
  <c r="M4" i="23"/>
  <c r="L4" i="23"/>
  <c r="F4" i="23"/>
  <c r="M3" i="23"/>
  <c r="L3" i="23"/>
  <c r="F3" i="23"/>
  <c r="M2" i="23"/>
  <c r="L2" i="23"/>
  <c r="G13" i="23" s="1"/>
  <c r="F2" i="23"/>
  <c r="M13" i="22"/>
  <c r="L13" i="22"/>
  <c r="F13" i="22"/>
  <c r="M12" i="22"/>
  <c r="L12" i="22"/>
  <c r="F12" i="22"/>
  <c r="M11" i="22"/>
  <c r="L11" i="22"/>
  <c r="M10" i="22"/>
  <c r="L10" i="22"/>
  <c r="M9" i="22"/>
  <c r="L9" i="22"/>
  <c r="M8" i="22"/>
  <c r="L8" i="22"/>
  <c r="M7" i="22"/>
  <c r="L7" i="22"/>
  <c r="M6" i="22"/>
  <c r="L6" i="22"/>
  <c r="M5" i="22"/>
  <c r="L5" i="22"/>
  <c r="M4" i="22"/>
  <c r="L4" i="22"/>
  <c r="F4" i="22"/>
  <c r="M3" i="22"/>
  <c r="L3" i="22"/>
  <c r="M2" i="22"/>
  <c r="L2" i="22"/>
  <c r="G13" i="22" s="1"/>
  <c r="F2" i="22"/>
  <c r="M13" i="21"/>
  <c r="L13" i="21"/>
  <c r="F13" i="21"/>
  <c r="M12" i="21"/>
  <c r="L12" i="21"/>
  <c r="F12" i="21"/>
  <c r="M11" i="21"/>
  <c r="L11" i="21"/>
  <c r="M10" i="21"/>
  <c r="L10" i="21"/>
  <c r="M9" i="21"/>
  <c r="L9" i="21"/>
  <c r="M8" i="21"/>
  <c r="L8" i="21"/>
  <c r="M7" i="21"/>
  <c r="L7" i="21"/>
  <c r="M6" i="21"/>
  <c r="L6" i="21"/>
  <c r="M5" i="21"/>
  <c r="L5" i="21"/>
  <c r="M4" i="21"/>
  <c r="L4" i="21"/>
  <c r="F4" i="21"/>
  <c r="M3" i="21"/>
  <c r="L3" i="21"/>
  <c r="M2" i="21"/>
  <c r="L2" i="21"/>
  <c r="G13" i="21" s="1"/>
  <c r="I13" i="21" s="1"/>
  <c r="F2" i="21"/>
  <c r="M13" i="20"/>
  <c r="L13" i="20"/>
  <c r="F13" i="20"/>
  <c r="M12" i="20"/>
  <c r="L12" i="20"/>
  <c r="F12" i="20"/>
  <c r="M11" i="20"/>
  <c r="L11" i="20"/>
  <c r="M10" i="20"/>
  <c r="L10" i="20"/>
  <c r="M9" i="20"/>
  <c r="L9" i="20"/>
  <c r="M8" i="20"/>
  <c r="L8" i="20"/>
  <c r="M7" i="20"/>
  <c r="L7" i="20"/>
  <c r="M6" i="20"/>
  <c r="L6" i="20"/>
  <c r="M5" i="20"/>
  <c r="L5" i="20"/>
  <c r="M4" i="20"/>
  <c r="L4" i="20"/>
  <c r="M3" i="20"/>
  <c r="L3" i="20"/>
  <c r="M2" i="20"/>
  <c r="L2" i="20"/>
  <c r="G13" i="20" s="1"/>
  <c r="F2" i="20"/>
  <c r="M13" i="19"/>
  <c r="L13" i="19"/>
  <c r="F13" i="19"/>
  <c r="M12" i="19"/>
  <c r="L12" i="19"/>
  <c r="F12" i="19"/>
  <c r="M11" i="19"/>
  <c r="L11" i="19"/>
  <c r="M10" i="19"/>
  <c r="L10" i="19"/>
  <c r="M9" i="19"/>
  <c r="L9" i="19"/>
  <c r="M8" i="19"/>
  <c r="L8" i="19"/>
  <c r="M7" i="19"/>
  <c r="L7" i="19"/>
  <c r="M6" i="19"/>
  <c r="L6" i="19"/>
  <c r="F6" i="19"/>
  <c r="M5" i="19"/>
  <c r="L5" i="19"/>
  <c r="M4" i="19"/>
  <c r="L4" i="19"/>
  <c r="F4" i="19"/>
  <c r="M3" i="19"/>
  <c r="L3" i="19"/>
  <c r="M2" i="19"/>
  <c r="L2" i="19"/>
  <c r="G13" i="19" s="1"/>
  <c r="F2" i="19"/>
  <c r="M13" i="18"/>
  <c r="L13" i="18"/>
  <c r="F13" i="18"/>
  <c r="K13" i="18" s="1"/>
  <c r="M12" i="18"/>
  <c r="L12" i="18"/>
  <c r="F12" i="18"/>
  <c r="J12" i="18" s="1"/>
  <c r="E12" i="18"/>
  <c r="M11" i="18"/>
  <c r="L11" i="18"/>
  <c r="M10" i="18"/>
  <c r="L10" i="18"/>
  <c r="E10" i="18"/>
  <c r="M9" i="18"/>
  <c r="L9" i="18"/>
  <c r="M8" i="18"/>
  <c r="L8" i="18"/>
  <c r="E8" i="18"/>
  <c r="M7" i="18"/>
  <c r="L7" i="18"/>
  <c r="M6" i="18"/>
  <c r="L6" i="18"/>
  <c r="E6" i="18"/>
  <c r="M5" i="18"/>
  <c r="L5" i="18"/>
  <c r="M4" i="18"/>
  <c r="L4" i="18"/>
  <c r="F4" i="18"/>
  <c r="E4" i="18"/>
  <c r="M3" i="18"/>
  <c r="L3" i="18"/>
  <c r="M2" i="18"/>
  <c r="L2" i="18"/>
  <c r="G13" i="18" s="1"/>
  <c r="F2" i="18"/>
  <c r="E2" i="18"/>
  <c r="M13" i="17"/>
  <c r="L13" i="17"/>
  <c r="F13" i="17"/>
  <c r="K13" i="17" s="1"/>
  <c r="M12" i="17"/>
  <c r="L12" i="17"/>
  <c r="F12" i="17"/>
  <c r="J12" i="17" s="1"/>
  <c r="E12" i="17"/>
  <c r="M11" i="17"/>
  <c r="L11" i="17"/>
  <c r="M10" i="17"/>
  <c r="L10" i="17"/>
  <c r="E10" i="17"/>
  <c r="M9" i="17"/>
  <c r="L9" i="17"/>
  <c r="M8" i="17"/>
  <c r="L8" i="17"/>
  <c r="E8" i="17"/>
  <c r="M7" i="17"/>
  <c r="L7" i="17"/>
  <c r="M6" i="17"/>
  <c r="L6" i="17"/>
  <c r="E6" i="17"/>
  <c r="M5" i="17"/>
  <c r="L5" i="17"/>
  <c r="M4" i="17"/>
  <c r="L4" i="17"/>
  <c r="E4" i="17"/>
  <c r="M3" i="17"/>
  <c r="L3" i="17"/>
  <c r="M2" i="17"/>
  <c r="L2" i="17"/>
  <c r="G13" i="17" s="1"/>
  <c r="F2" i="17"/>
  <c r="J2" i="17" s="1"/>
  <c r="E2" i="17"/>
  <c r="M13" i="16"/>
  <c r="L13" i="16"/>
  <c r="F13" i="16"/>
  <c r="M12" i="16"/>
  <c r="L12" i="16"/>
  <c r="F12" i="16"/>
  <c r="J12" i="16" s="1"/>
  <c r="E12" i="16"/>
  <c r="M11" i="16"/>
  <c r="L11" i="16"/>
  <c r="M10" i="16"/>
  <c r="L10" i="16"/>
  <c r="E10" i="16"/>
  <c r="M9" i="16"/>
  <c r="L9" i="16"/>
  <c r="M8" i="16"/>
  <c r="L8" i="16"/>
  <c r="E8" i="16"/>
  <c r="M7" i="16"/>
  <c r="L7" i="16"/>
  <c r="M6" i="16"/>
  <c r="L6" i="16"/>
  <c r="E6" i="16"/>
  <c r="M5" i="16"/>
  <c r="L5" i="16"/>
  <c r="M4" i="16"/>
  <c r="L4" i="16"/>
  <c r="F4" i="16"/>
  <c r="E4" i="16"/>
  <c r="M3" i="16"/>
  <c r="L3" i="16"/>
  <c r="M2" i="16"/>
  <c r="L2" i="16"/>
  <c r="G13" i="16" s="1"/>
  <c r="F2" i="16"/>
  <c r="E2" i="16"/>
  <c r="M13" i="15"/>
  <c r="L13" i="15"/>
  <c r="F13" i="15"/>
  <c r="M12" i="15"/>
  <c r="L12" i="15"/>
  <c r="F12" i="15"/>
  <c r="J12" i="15" s="1"/>
  <c r="E12" i="15"/>
  <c r="M11" i="15"/>
  <c r="L11" i="15"/>
  <c r="M10" i="15"/>
  <c r="L10" i="15"/>
  <c r="E10" i="15"/>
  <c r="M9" i="15"/>
  <c r="L9" i="15"/>
  <c r="M8" i="15"/>
  <c r="L8" i="15"/>
  <c r="E8" i="15"/>
  <c r="M7" i="15"/>
  <c r="L7" i="15"/>
  <c r="M6" i="15"/>
  <c r="L6" i="15"/>
  <c r="F6" i="15"/>
  <c r="E6" i="15"/>
  <c r="M5" i="15"/>
  <c r="L5" i="15"/>
  <c r="M4" i="15"/>
  <c r="L4" i="15"/>
  <c r="F4" i="15"/>
  <c r="E4" i="15"/>
  <c r="M3" i="15"/>
  <c r="L3" i="15"/>
  <c r="M2" i="15"/>
  <c r="L2" i="15"/>
  <c r="G13" i="15" s="1"/>
  <c r="F2" i="15"/>
  <c r="E2" i="15"/>
  <c r="M13" i="14"/>
  <c r="L13" i="14"/>
  <c r="F13" i="14"/>
  <c r="M12" i="14"/>
  <c r="L12" i="14"/>
  <c r="F12" i="14"/>
  <c r="J12" i="14" s="1"/>
  <c r="E12" i="14"/>
  <c r="M11" i="14"/>
  <c r="L11" i="14"/>
  <c r="M10" i="14"/>
  <c r="L10" i="14"/>
  <c r="E10" i="14"/>
  <c r="M9" i="14"/>
  <c r="L9" i="14"/>
  <c r="M8" i="14"/>
  <c r="L8" i="14"/>
  <c r="E8" i="14"/>
  <c r="M7" i="14"/>
  <c r="L7" i="14"/>
  <c r="M6" i="14"/>
  <c r="L6" i="14"/>
  <c r="E6" i="14"/>
  <c r="M5" i="14"/>
  <c r="L5" i="14"/>
  <c r="M4" i="14"/>
  <c r="L4" i="14"/>
  <c r="E4" i="14"/>
  <c r="M3" i="14"/>
  <c r="L3" i="14"/>
  <c r="M2" i="14"/>
  <c r="L2" i="14"/>
  <c r="G13" i="14" s="1"/>
  <c r="F2" i="14"/>
  <c r="E2" i="14"/>
  <c r="K2" i="12"/>
  <c r="K3" i="12"/>
  <c r="K4" i="12"/>
  <c r="K5" i="12"/>
  <c r="K6" i="12"/>
  <c r="K7" i="12"/>
  <c r="K8" i="12"/>
  <c r="K9" i="12"/>
  <c r="K10" i="12"/>
  <c r="K11" i="12"/>
  <c r="K12" i="12"/>
  <c r="K13" i="12"/>
  <c r="J2" i="12"/>
  <c r="J3" i="12"/>
  <c r="J4" i="12"/>
  <c r="J5" i="12"/>
  <c r="J6" i="12"/>
  <c r="J7" i="12"/>
  <c r="J8" i="12"/>
  <c r="J9" i="12"/>
  <c r="J10" i="12"/>
  <c r="J11" i="12"/>
  <c r="J12" i="12"/>
  <c r="J13" i="12"/>
  <c r="I2" i="12"/>
  <c r="I3" i="12"/>
  <c r="I4" i="12"/>
  <c r="I5" i="12"/>
  <c r="I6" i="12"/>
  <c r="I7" i="12"/>
  <c r="I8" i="12"/>
  <c r="I9" i="12"/>
  <c r="I10" i="12"/>
  <c r="I11" i="12"/>
  <c r="I12" i="12"/>
  <c r="I13" i="12"/>
  <c r="H2" i="12"/>
  <c r="H3" i="12"/>
  <c r="H4" i="12"/>
  <c r="H5" i="12"/>
  <c r="H6" i="12"/>
  <c r="H7" i="12"/>
  <c r="H8" i="12"/>
  <c r="H9" i="12"/>
  <c r="H10" i="12"/>
  <c r="H11" i="12"/>
  <c r="H12" i="12"/>
  <c r="H13" i="12"/>
  <c r="G2" i="12"/>
  <c r="G3" i="12"/>
  <c r="G4" i="12"/>
  <c r="G5" i="12"/>
  <c r="G6" i="12"/>
  <c r="G7" i="12"/>
  <c r="G8" i="12"/>
  <c r="G9" i="12"/>
  <c r="G10" i="12"/>
  <c r="G11" i="12"/>
  <c r="G12" i="12"/>
  <c r="G13" i="12"/>
  <c r="F2" i="12"/>
  <c r="F3" i="12"/>
  <c r="F4" i="12"/>
  <c r="F5" i="12"/>
  <c r="F6" i="12"/>
  <c r="F7" i="12"/>
  <c r="F8" i="12"/>
  <c r="F9" i="12"/>
  <c r="F10" i="12"/>
  <c r="F11" i="12"/>
  <c r="F12" i="12"/>
  <c r="F13" i="12"/>
  <c r="E2" i="12"/>
  <c r="E3" i="12"/>
  <c r="E4" i="12"/>
  <c r="E5" i="12"/>
  <c r="E6" i="12"/>
  <c r="E7" i="12"/>
  <c r="E8" i="12"/>
  <c r="E9" i="12"/>
  <c r="E10" i="12"/>
  <c r="E11" i="12"/>
  <c r="E12" i="12"/>
  <c r="E13" i="12"/>
  <c r="M2" i="12"/>
  <c r="M3" i="12"/>
  <c r="M4" i="12"/>
  <c r="M5" i="12"/>
  <c r="M6" i="12"/>
  <c r="M7" i="12"/>
  <c r="M8" i="12"/>
  <c r="M9" i="12"/>
  <c r="M10" i="12"/>
  <c r="M11" i="12"/>
  <c r="M12" i="12"/>
  <c r="M13" i="12"/>
  <c r="L2" i="12"/>
  <c r="L3" i="12"/>
  <c r="L4" i="12"/>
  <c r="L5" i="12"/>
  <c r="L6" i="12"/>
  <c r="L7" i="12"/>
  <c r="L8" i="12"/>
  <c r="L9" i="12"/>
  <c r="L10" i="12"/>
  <c r="L11" i="12"/>
  <c r="L12" i="12"/>
  <c r="L13" i="12"/>
  <c r="I13" i="22" l="1"/>
  <c r="M2" i="27"/>
  <c r="M3" i="27"/>
  <c r="I7" i="27"/>
  <c r="M12" i="27"/>
  <c r="M13" i="27"/>
  <c r="K2" i="27"/>
  <c r="K3" i="27"/>
  <c r="E4" i="27"/>
  <c r="K4" i="27"/>
  <c r="E5" i="27"/>
  <c r="K5" i="27"/>
  <c r="E6" i="27"/>
  <c r="K6" i="27"/>
  <c r="E7" i="27"/>
  <c r="K7" i="27"/>
  <c r="E8" i="27"/>
  <c r="K8" i="27"/>
  <c r="E9" i="27"/>
  <c r="K9" i="27"/>
  <c r="E10" i="27"/>
  <c r="K10" i="27"/>
  <c r="E11" i="27"/>
  <c r="G11" i="27"/>
  <c r="I11" i="27" s="1"/>
  <c r="G12" i="27"/>
  <c r="H2" i="27"/>
  <c r="N2" i="27"/>
  <c r="H3" i="27"/>
  <c r="N3" i="27"/>
  <c r="N4" i="27"/>
  <c r="N5" i="27"/>
  <c r="N6" i="27"/>
  <c r="N7" i="27"/>
  <c r="N8" i="27"/>
  <c r="N9" i="27"/>
  <c r="N10" i="27"/>
  <c r="N11" i="27"/>
  <c r="M13" i="26"/>
  <c r="J2" i="26"/>
  <c r="J3" i="26"/>
  <c r="J4" i="26"/>
  <c r="J5" i="26"/>
  <c r="J6" i="26"/>
  <c r="J7" i="26"/>
  <c r="J8" i="26"/>
  <c r="J9" i="26"/>
  <c r="J10" i="26"/>
  <c r="J11" i="26"/>
  <c r="I2" i="26"/>
  <c r="I3" i="26"/>
  <c r="I4" i="26"/>
  <c r="I5" i="26"/>
  <c r="I6" i="26"/>
  <c r="I7" i="26"/>
  <c r="I8" i="26"/>
  <c r="I9" i="26"/>
  <c r="I10" i="26"/>
  <c r="I11" i="26"/>
  <c r="M12" i="26"/>
  <c r="K2" i="26"/>
  <c r="K3" i="26"/>
  <c r="K4" i="26"/>
  <c r="K5" i="26"/>
  <c r="K6" i="26"/>
  <c r="K7" i="26"/>
  <c r="K8" i="26"/>
  <c r="K9" i="26"/>
  <c r="K10" i="26"/>
  <c r="K11" i="26"/>
  <c r="M2" i="26"/>
  <c r="M3" i="26"/>
  <c r="M10" i="26"/>
  <c r="M11" i="26"/>
  <c r="H2" i="26"/>
  <c r="N2" i="26"/>
  <c r="H3" i="26"/>
  <c r="N3" i="26"/>
  <c r="H4" i="26"/>
  <c r="N4" i="26"/>
  <c r="H5" i="26"/>
  <c r="N5" i="26"/>
  <c r="H6" i="26"/>
  <c r="N6" i="26"/>
  <c r="H7" i="26"/>
  <c r="N7" i="26"/>
  <c r="H8" i="26"/>
  <c r="N8" i="26"/>
  <c r="H9" i="26"/>
  <c r="N9" i="26"/>
  <c r="H10" i="26"/>
  <c r="N10" i="26"/>
  <c r="H11" i="26"/>
  <c r="N11" i="26"/>
  <c r="M4" i="26"/>
  <c r="M7" i="26"/>
  <c r="M5" i="26"/>
  <c r="M6" i="26"/>
  <c r="M8" i="26"/>
  <c r="M9" i="26"/>
  <c r="I13" i="24"/>
  <c r="K13" i="24"/>
  <c r="F8" i="24"/>
  <c r="E2" i="24"/>
  <c r="J2" i="24" s="1"/>
  <c r="E4" i="24"/>
  <c r="J4" i="24" s="1"/>
  <c r="E6" i="24"/>
  <c r="J6" i="24" s="1"/>
  <c r="E8" i="24"/>
  <c r="E10" i="24"/>
  <c r="E12" i="24"/>
  <c r="J12" i="24" s="1"/>
  <c r="H13" i="24"/>
  <c r="G2" i="24"/>
  <c r="K2" i="24" s="1"/>
  <c r="G4" i="24"/>
  <c r="I4" i="24" s="1"/>
  <c r="G6" i="24"/>
  <c r="K6" i="24" s="1"/>
  <c r="G8" i="24"/>
  <c r="G10" i="24"/>
  <c r="G12" i="24"/>
  <c r="I12" i="24" s="1"/>
  <c r="H2" i="24"/>
  <c r="E3" i="24"/>
  <c r="E5" i="24"/>
  <c r="E7" i="24"/>
  <c r="E9" i="24"/>
  <c r="E11" i="24"/>
  <c r="H12" i="24"/>
  <c r="E13" i="24"/>
  <c r="J13" i="24" s="1"/>
  <c r="F10" i="24"/>
  <c r="F3" i="24"/>
  <c r="F5" i="24"/>
  <c r="I6" i="24"/>
  <c r="F7" i="24"/>
  <c r="F9" i="24"/>
  <c r="F11" i="24"/>
  <c r="G3" i="24"/>
  <c r="G5" i="24"/>
  <c r="G7" i="24"/>
  <c r="G9" i="24"/>
  <c r="G11" i="24"/>
  <c r="I13" i="23"/>
  <c r="K13" i="23"/>
  <c r="E7" i="23"/>
  <c r="E2" i="23"/>
  <c r="J2" i="23" s="1"/>
  <c r="E4" i="23"/>
  <c r="J4" i="23" s="1"/>
  <c r="E6" i="23"/>
  <c r="E8" i="23"/>
  <c r="E10" i="23"/>
  <c r="E12" i="23"/>
  <c r="J12" i="23" s="1"/>
  <c r="G2" i="23"/>
  <c r="I2" i="23" s="1"/>
  <c r="G4" i="23"/>
  <c r="K4" i="23" s="1"/>
  <c r="G6" i="23"/>
  <c r="G8" i="23"/>
  <c r="G10" i="23"/>
  <c r="G12" i="23"/>
  <c r="I12" i="23" s="1"/>
  <c r="F8" i="23"/>
  <c r="E5" i="23"/>
  <c r="E9" i="23"/>
  <c r="E11" i="23"/>
  <c r="H12" i="23"/>
  <c r="E13" i="23"/>
  <c r="J13" i="23" s="1"/>
  <c r="F10" i="23"/>
  <c r="E3" i="23"/>
  <c r="J3" i="23" s="1"/>
  <c r="F5" i="23"/>
  <c r="F7" i="23"/>
  <c r="F9" i="23"/>
  <c r="F11" i="23"/>
  <c r="F6" i="23"/>
  <c r="G3" i="23"/>
  <c r="G5" i="23"/>
  <c r="G7" i="23"/>
  <c r="G9" i="23"/>
  <c r="G11" i="23"/>
  <c r="K13" i="22"/>
  <c r="F8" i="22"/>
  <c r="E2" i="22"/>
  <c r="J2" i="22" s="1"/>
  <c r="E4" i="22"/>
  <c r="J4" i="22" s="1"/>
  <c r="E6" i="22"/>
  <c r="E8" i="22"/>
  <c r="E10" i="22"/>
  <c r="E12" i="22"/>
  <c r="J12" i="22" s="1"/>
  <c r="G2" i="22"/>
  <c r="K2" i="22" s="1"/>
  <c r="G6" i="22"/>
  <c r="G8" i="22"/>
  <c r="G10" i="22"/>
  <c r="G12" i="22"/>
  <c r="K12" i="22" s="1"/>
  <c r="F10" i="22"/>
  <c r="G4" i="22"/>
  <c r="K4" i="22" s="1"/>
  <c r="H2" i="22"/>
  <c r="E3" i="22"/>
  <c r="E5" i="22"/>
  <c r="E7" i="22"/>
  <c r="E9" i="22"/>
  <c r="E11" i="22"/>
  <c r="H12" i="22"/>
  <c r="E13" i="22"/>
  <c r="H13" i="22" s="1"/>
  <c r="F6" i="22"/>
  <c r="F3" i="22"/>
  <c r="F5" i="22"/>
  <c r="F7" i="22"/>
  <c r="F9" i="22"/>
  <c r="F11" i="22"/>
  <c r="I12" i="22"/>
  <c r="G3" i="22"/>
  <c r="G5" i="22"/>
  <c r="G7" i="22"/>
  <c r="G9" i="22"/>
  <c r="G11" i="22"/>
  <c r="J12" i="21"/>
  <c r="K13" i="21"/>
  <c r="E2" i="21"/>
  <c r="J2" i="21" s="1"/>
  <c r="E4" i="21"/>
  <c r="J4" i="21" s="1"/>
  <c r="E6" i="21"/>
  <c r="E8" i="21"/>
  <c r="E10" i="21"/>
  <c r="E12" i="21"/>
  <c r="K12" i="21"/>
  <c r="F8" i="21"/>
  <c r="G2" i="21"/>
  <c r="K2" i="21" s="1"/>
  <c r="G4" i="21"/>
  <c r="K4" i="21" s="1"/>
  <c r="G6" i="21"/>
  <c r="G8" i="21"/>
  <c r="G10" i="21"/>
  <c r="G12" i="21"/>
  <c r="I12" i="21" s="1"/>
  <c r="F10" i="21"/>
  <c r="E3" i="21"/>
  <c r="E5" i="21"/>
  <c r="E7" i="21"/>
  <c r="E9" i="21"/>
  <c r="E11" i="21"/>
  <c r="H12" i="21"/>
  <c r="E13" i="21"/>
  <c r="H13" i="21" s="1"/>
  <c r="F3" i="21"/>
  <c r="I4" i="21"/>
  <c r="F5" i="21"/>
  <c r="F7" i="21"/>
  <c r="F9" i="21"/>
  <c r="F11" i="21"/>
  <c r="F6" i="21"/>
  <c r="G3" i="21"/>
  <c r="G5" i="21"/>
  <c r="G7" i="21"/>
  <c r="G9" i="21"/>
  <c r="G11" i="21"/>
  <c r="I13" i="20"/>
  <c r="K13" i="20"/>
  <c r="F8" i="20"/>
  <c r="G8" i="20"/>
  <c r="E2" i="20"/>
  <c r="J2" i="20" s="1"/>
  <c r="E4" i="20"/>
  <c r="E6" i="20"/>
  <c r="E8" i="20"/>
  <c r="E10" i="20"/>
  <c r="E12" i="20"/>
  <c r="J12" i="20" s="1"/>
  <c r="G4" i="20"/>
  <c r="G12" i="20"/>
  <c r="K12" i="20" s="1"/>
  <c r="E3" i="20"/>
  <c r="E5" i="20"/>
  <c r="E7" i="20"/>
  <c r="E9" i="20"/>
  <c r="E11" i="20"/>
  <c r="H12" i="20"/>
  <c r="E13" i="20"/>
  <c r="J13" i="20" s="1"/>
  <c r="F6" i="20"/>
  <c r="F10" i="20"/>
  <c r="G10" i="20"/>
  <c r="I2" i="20"/>
  <c r="F3" i="20"/>
  <c r="F5" i="20"/>
  <c r="F7" i="20"/>
  <c r="F9" i="20"/>
  <c r="F11" i="20"/>
  <c r="F4" i="20"/>
  <c r="G2" i="20"/>
  <c r="K2" i="20" s="1"/>
  <c r="G6" i="20"/>
  <c r="G3" i="20"/>
  <c r="G5" i="20"/>
  <c r="G7" i="20"/>
  <c r="G9" i="20"/>
  <c r="G11" i="20"/>
  <c r="I13" i="19"/>
  <c r="K13" i="19"/>
  <c r="F3" i="19"/>
  <c r="E2" i="19"/>
  <c r="H2" i="19" s="1"/>
  <c r="E4" i="19"/>
  <c r="J4" i="19" s="1"/>
  <c r="E6" i="19"/>
  <c r="J6" i="19" s="1"/>
  <c r="E8" i="19"/>
  <c r="E10" i="19"/>
  <c r="E12" i="19"/>
  <c r="J12" i="19" s="1"/>
  <c r="G2" i="19"/>
  <c r="K2" i="19" s="1"/>
  <c r="G4" i="19"/>
  <c r="I4" i="19" s="1"/>
  <c r="G6" i="19"/>
  <c r="I6" i="19" s="1"/>
  <c r="G8" i="19"/>
  <c r="G10" i="19"/>
  <c r="G12" i="19"/>
  <c r="K12" i="19" s="1"/>
  <c r="J13" i="19"/>
  <c r="F8" i="19"/>
  <c r="E3" i="19"/>
  <c r="E5" i="19"/>
  <c r="H6" i="19"/>
  <c r="E7" i="19"/>
  <c r="E9" i="19"/>
  <c r="E11" i="19"/>
  <c r="E13" i="19"/>
  <c r="H13" i="19" s="1"/>
  <c r="F5" i="19"/>
  <c r="F7" i="19"/>
  <c r="F9" i="19"/>
  <c r="F11" i="19"/>
  <c r="I12" i="19"/>
  <c r="F10" i="19"/>
  <c r="G3" i="19"/>
  <c r="G5" i="19"/>
  <c r="G7" i="19"/>
  <c r="G9" i="19"/>
  <c r="G11" i="19"/>
  <c r="I13" i="18"/>
  <c r="J2" i="18"/>
  <c r="J4" i="18"/>
  <c r="F6" i="18"/>
  <c r="F10" i="18"/>
  <c r="G4" i="18"/>
  <c r="K4" i="18" s="1"/>
  <c r="G8" i="18"/>
  <c r="H2" i="18"/>
  <c r="E7" i="18"/>
  <c r="E9" i="18"/>
  <c r="E11" i="18"/>
  <c r="H12" i="18"/>
  <c r="E13" i="18"/>
  <c r="G2" i="18"/>
  <c r="K2" i="18" s="1"/>
  <c r="G10" i="18"/>
  <c r="E5" i="18"/>
  <c r="F5" i="18"/>
  <c r="F11" i="18"/>
  <c r="I12" i="18"/>
  <c r="F8" i="18"/>
  <c r="G6" i="18"/>
  <c r="G12" i="18"/>
  <c r="K12" i="18" s="1"/>
  <c r="E3" i="18"/>
  <c r="H4" i="18"/>
  <c r="F3" i="18"/>
  <c r="F7" i="18"/>
  <c r="F9" i="18"/>
  <c r="G3" i="18"/>
  <c r="G5" i="18"/>
  <c r="G7" i="18"/>
  <c r="G9" i="18"/>
  <c r="G11" i="18"/>
  <c r="I13" i="17"/>
  <c r="F6" i="17"/>
  <c r="F10" i="17"/>
  <c r="G2" i="17"/>
  <c r="K2" i="17" s="1"/>
  <c r="G8" i="17"/>
  <c r="G12" i="17"/>
  <c r="K12" i="17" s="1"/>
  <c r="H2" i="17"/>
  <c r="E5" i="17"/>
  <c r="E7" i="17"/>
  <c r="E9" i="17"/>
  <c r="E11" i="17"/>
  <c r="H12" i="17"/>
  <c r="E13" i="17"/>
  <c r="F4" i="17"/>
  <c r="F8" i="17"/>
  <c r="G4" i="17"/>
  <c r="G6" i="17"/>
  <c r="G10" i="17"/>
  <c r="E3" i="17"/>
  <c r="F3" i="17"/>
  <c r="F5" i="17"/>
  <c r="F7" i="17"/>
  <c r="F9" i="17"/>
  <c r="F11" i="17"/>
  <c r="G3" i="17"/>
  <c r="G5" i="17"/>
  <c r="G7" i="17"/>
  <c r="G9" i="17"/>
  <c r="G11" i="17"/>
  <c r="J2" i="16"/>
  <c r="J4" i="16"/>
  <c r="K13" i="16"/>
  <c r="I13" i="16"/>
  <c r="G4" i="16"/>
  <c r="K4" i="16" s="1"/>
  <c r="E5" i="16"/>
  <c r="H12" i="16"/>
  <c r="F6" i="16"/>
  <c r="F10" i="16"/>
  <c r="G6" i="16"/>
  <c r="G10" i="16"/>
  <c r="H2" i="16"/>
  <c r="H4" i="16"/>
  <c r="E9" i="16"/>
  <c r="E11" i="16"/>
  <c r="F3" i="16"/>
  <c r="I4" i="16"/>
  <c r="F5" i="16"/>
  <c r="F7" i="16"/>
  <c r="F9" i="16"/>
  <c r="F11" i="16"/>
  <c r="I12" i="16"/>
  <c r="F8" i="16"/>
  <c r="G2" i="16"/>
  <c r="K2" i="16" s="1"/>
  <c r="G8" i="16"/>
  <c r="G12" i="16"/>
  <c r="K12" i="16" s="1"/>
  <c r="E3" i="16"/>
  <c r="E7" i="16"/>
  <c r="E13" i="16"/>
  <c r="G3" i="16"/>
  <c r="G5" i="16"/>
  <c r="G7" i="16"/>
  <c r="G9" i="16"/>
  <c r="G11" i="16"/>
  <c r="J6" i="15"/>
  <c r="J2" i="15"/>
  <c r="J4" i="15"/>
  <c r="K13" i="15"/>
  <c r="I13" i="15"/>
  <c r="E7" i="15"/>
  <c r="F10" i="15"/>
  <c r="G4" i="15"/>
  <c r="K4" i="15" s="1"/>
  <c r="G8" i="15"/>
  <c r="G10" i="15"/>
  <c r="E3" i="15"/>
  <c r="H4" i="15"/>
  <c r="E9" i="15"/>
  <c r="H12" i="15"/>
  <c r="F3" i="15"/>
  <c r="F5" i="15"/>
  <c r="F9" i="15"/>
  <c r="F11" i="15"/>
  <c r="I12" i="15"/>
  <c r="F8" i="15"/>
  <c r="G2" i="15"/>
  <c r="K2" i="15" s="1"/>
  <c r="G6" i="15"/>
  <c r="K6" i="15" s="1"/>
  <c r="G12" i="15"/>
  <c r="K12" i="15" s="1"/>
  <c r="H2" i="15"/>
  <c r="E5" i="15"/>
  <c r="H6" i="15"/>
  <c r="E11" i="15"/>
  <c r="E13" i="15"/>
  <c r="I2" i="15"/>
  <c r="F7" i="15"/>
  <c r="G3" i="15"/>
  <c r="G5" i="15"/>
  <c r="G7" i="15"/>
  <c r="G9" i="15"/>
  <c r="G11" i="15"/>
  <c r="I13" i="14"/>
  <c r="J2" i="14"/>
  <c r="K13" i="14"/>
  <c r="G2" i="14"/>
  <c r="K2" i="14" s="1"/>
  <c r="G6" i="14"/>
  <c r="G8" i="14"/>
  <c r="G10" i="14"/>
  <c r="G12" i="14"/>
  <c r="K12" i="14" s="1"/>
  <c r="F8" i="14"/>
  <c r="G4" i="14"/>
  <c r="H2" i="14"/>
  <c r="E3" i="14"/>
  <c r="E5" i="14"/>
  <c r="E7" i="14"/>
  <c r="E9" i="14"/>
  <c r="E11" i="14"/>
  <c r="H12" i="14"/>
  <c r="E13" i="14"/>
  <c r="H13" i="14" s="1"/>
  <c r="F6" i="14"/>
  <c r="F3" i="14"/>
  <c r="F7" i="14"/>
  <c r="F9" i="14"/>
  <c r="F11" i="14"/>
  <c r="I12" i="14"/>
  <c r="F4" i="14"/>
  <c r="F10" i="14"/>
  <c r="I2" i="14"/>
  <c r="F5" i="14"/>
  <c r="G3" i="14"/>
  <c r="G5" i="14"/>
  <c r="G7" i="14"/>
  <c r="G9" i="14"/>
  <c r="G11" i="14"/>
  <c r="J11" i="27" l="1"/>
  <c r="H11" i="27"/>
  <c r="M11" i="27"/>
  <c r="J8" i="27"/>
  <c r="H8" i="27"/>
  <c r="M8" i="27"/>
  <c r="J5" i="27"/>
  <c r="M5" i="27"/>
  <c r="H5" i="27"/>
  <c r="J10" i="27"/>
  <c r="H10" i="27"/>
  <c r="M10" i="27"/>
  <c r="J7" i="27"/>
  <c r="M7" i="27"/>
  <c r="H7" i="27"/>
  <c r="J4" i="27"/>
  <c r="H4" i="27"/>
  <c r="M4" i="27"/>
  <c r="J9" i="27"/>
  <c r="H9" i="27"/>
  <c r="M9" i="27"/>
  <c r="J6" i="27"/>
  <c r="M6" i="27"/>
  <c r="H6" i="27"/>
  <c r="K11" i="27"/>
  <c r="I2" i="24"/>
  <c r="H4" i="24"/>
  <c r="J10" i="24"/>
  <c r="I10" i="24"/>
  <c r="H10" i="24"/>
  <c r="K10" i="24"/>
  <c r="H6" i="24"/>
  <c r="K9" i="24"/>
  <c r="I9" i="24"/>
  <c r="J9" i="24"/>
  <c r="H9" i="24"/>
  <c r="J8" i="24"/>
  <c r="I8" i="24"/>
  <c r="H8" i="24"/>
  <c r="K8" i="24"/>
  <c r="K12" i="24"/>
  <c r="K4" i="24"/>
  <c r="I7" i="24"/>
  <c r="K7" i="24"/>
  <c r="J7" i="24"/>
  <c r="H7" i="24"/>
  <c r="I5" i="24"/>
  <c r="K5" i="24"/>
  <c r="J5" i="24"/>
  <c r="H5" i="24"/>
  <c r="K11" i="24"/>
  <c r="I11" i="24"/>
  <c r="J11" i="24"/>
  <c r="H11" i="24"/>
  <c r="I3" i="24"/>
  <c r="K3" i="24"/>
  <c r="J3" i="24"/>
  <c r="H3" i="24"/>
  <c r="K2" i="23"/>
  <c r="I4" i="23"/>
  <c r="J6" i="23"/>
  <c r="H6" i="23"/>
  <c r="I6" i="23"/>
  <c r="K6" i="23"/>
  <c r="K12" i="23"/>
  <c r="K3" i="23"/>
  <c r="I3" i="23"/>
  <c r="K5" i="23"/>
  <c r="J5" i="23"/>
  <c r="H5" i="23"/>
  <c r="I5" i="23"/>
  <c r="J8" i="23"/>
  <c r="I8" i="23"/>
  <c r="H8" i="23"/>
  <c r="K8" i="23"/>
  <c r="H13" i="23"/>
  <c r="I11" i="23"/>
  <c r="K11" i="23"/>
  <c r="J11" i="23"/>
  <c r="H11" i="23"/>
  <c r="H4" i="23"/>
  <c r="K9" i="23"/>
  <c r="I9" i="23"/>
  <c r="J9" i="23"/>
  <c r="H9" i="23"/>
  <c r="I7" i="23"/>
  <c r="K7" i="23"/>
  <c r="J7" i="23"/>
  <c r="H7" i="23"/>
  <c r="J10" i="23"/>
  <c r="I10" i="23"/>
  <c r="H10" i="23"/>
  <c r="K10" i="23"/>
  <c r="H2" i="23"/>
  <c r="H3" i="23"/>
  <c r="I2" i="22"/>
  <c r="H4" i="22"/>
  <c r="I4" i="22"/>
  <c r="J8" i="22"/>
  <c r="I8" i="22"/>
  <c r="H8" i="22"/>
  <c r="K8" i="22"/>
  <c r="I11" i="22"/>
  <c r="K11" i="22"/>
  <c r="J11" i="22"/>
  <c r="H11" i="22"/>
  <c r="J10" i="22"/>
  <c r="I10" i="22"/>
  <c r="H10" i="22"/>
  <c r="K10" i="22"/>
  <c r="K9" i="22"/>
  <c r="J9" i="22"/>
  <c r="I9" i="22"/>
  <c r="H9" i="22"/>
  <c r="J6" i="22"/>
  <c r="I6" i="22"/>
  <c r="H6" i="22"/>
  <c r="K6" i="22"/>
  <c r="J13" i="22"/>
  <c r="I7" i="22"/>
  <c r="K7" i="22"/>
  <c r="J7" i="22"/>
  <c r="H7" i="22"/>
  <c r="I3" i="22"/>
  <c r="K3" i="22"/>
  <c r="J3" i="22"/>
  <c r="H3" i="22"/>
  <c r="K5" i="22"/>
  <c r="J5" i="22"/>
  <c r="I5" i="22"/>
  <c r="H5" i="22"/>
  <c r="I2" i="21"/>
  <c r="H4" i="21"/>
  <c r="K5" i="21"/>
  <c r="I5" i="21"/>
  <c r="J5" i="21"/>
  <c r="H5" i="21"/>
  <c r="H2" i="21"/>
  <c r="J6" i="21"/>
  <c r="I6" i="21"/>
  <c r="H6" i="21"/>
  <c r="K6" i="21"/>
  <c r="K3" i="21"/>
  <c r="I3" i="21"/>
  <c r="J3" i="21"/>
  <c r="H3" i="21"/>
  <c r="J13" i="21"/>
  <c r="K11" i="21"/>
  <c r="J11" i="21"/>
  <c r="I11" i="21"/>
  <c r="H11" i="21"/>
  <c r="J8" i="21"/>
  <c r="I8" i="21"/>
  <c r="H8" i="21"/>
  <c r="K8" i="21"/>
  <c r="J10" i="21"/>
  <c r="I10" i="21"/>
  <c r="H10" i="21"/>
  <c r="K10" i="21"/>
  <c r="K9" i="21"/>
  <c r="J9" i="21"/>
  <c r="I9" i="21"/>
  <c r="H9" i="21"/>
  <c r="I7" i="21"/>
  <c r="K7" i="21"/>
  <c r="J7" i="21"/>
  <c r="H7" i="21"/>
  <c r="H2" i="20"/>
  <c r="J4" i="20"/>
  <c r="I4" i="20"/>
  <c r="H4" i="20"/>
  <c r="K4" i="20"/>
  <c r="I5" i="20"/>
  <c r="J5" i="20"/>
  <c r="K5" i="20"/>
  <c r="H5" i="20"/>
  <c r="J3" i="20"/>
  <c r="I3" i="20"/>
  <c r="K3" i="20"/>
  <c r="H3" i="20"/>
  <c r="I12" i="20"/>
  <c r="J8" i="20"/>
  <c r="I8" i="20"/>
  <c r="H8" i="20"/>
  <c r="K8" i="20"/>
  <c r="I11" i="20"/>
  <c r="K11" i="20"/>
  <c r="H11" i="20"/>
  <c r="J11" i="20"/>
  <c r="J9" i="20"/>
  <c r="I9" i="20"/>
  <c r="K9" i="20"/>
  <c r="H9" i="20"/>
  <c r="J10" i="20"/>
  <c r="I10" i="20"/>
  <c r="H10" i="20"/>
  <c r="K10" i="20"/>
  <c r="H13" i="20"/>
  <c r="J7" i="20"/>
  <c r="I7" i="20"/>
  <c r="K7" i="20"/>
  <c r="H7" i="20"/>
  <c r="J6" i="20"/>
  <c r="I6" i="20"/>
  <c r="H6" i="20"/>
  <c r="K6" i="20"/>
  <c r="I2" i="19"/>
  <c r="J2" i="19"/>
  <c r="H12" i="19"/>
  <c r="H4" i="19"/>
  <c r="K4" i="19"/>
  <c r="I3" i="19"/>
  <c r="K3" i="19"/>
  <c r="J3" i="19"/>
  <c r="H3" i="19"/>
  <c r="K11" i="19"/>
  <c r="I11" i="19"/>
  <c r="J11" i="19"/>
  <c r="H11" i="19"/>
  <c r="K9" i="19"/>
  <c r="I9" i="19"/>
  <c r="J9" i="19"/>
  <c r="H9" i="19"/>
  <c r="K7" i="19"/>
  <c r="J7" i="19"/>
  <c r="I7" i="19"/>
  <c r="H7" i="19"/>
  <c r="J8" i="19"/>
  <c r="I8" i="19"/>
  <c r="H8" i="19"/>
  <c r="K8" i="19"/>
  <c r="I5" i="19"/>
  <c r="K5" i="19"/>
  <c r="J5" i="19"/>
  <c r="H5" i="19"/>
  <c r="K6" i="19"/>
  <c r="J10" i="19"/>
  <c r="I10" i="19"/>
  <c r="H10" i="19"/>
  <c r="K10" i="19"/>
  <c r="K5" i="18"/>
  <c r="J5" i="18"/>
  <c r="I5" i="18"/>
  <c r="H5" i="18"/>
  <c r="I9" i="18"/>
  <c r="K9" i="18"/>
  <c r="J9" i="18"/>
  <c r="H9" i="18"/>
  <c r="I2" i="18"/>
  <c r="J10" i="18"/>
  <c r="I10" i="18"/>
  <c r="K10" i="18"/>
  <c r="H10" i="18"/>
  <c r="K3" i="18"/>
  <c r="I3" i="18"/>
  <c r="H3" i="18"/>
  <c r="J3" i="18"/>
  <c r="J13" i="18"/>
  <c r="H13" i="18"/>
  <c r="J7" i="18"/>
  <c r="K7" i="18"/>
  <c r="I7" i="18"/>
  <c r="H7" i="18"/>
  <c r="J6" i="18"/>
  <c r="H6" i="18"/>
  <c r="I6" i="18"/>
  <c r="K6" i="18"/>
  <c r="I11" i="18"/>
  <c r="H11" i="18"/>
  <c r="J11" i="18"/>
  <c r="K11" i="18"/>
  <c r="I4" i="18"/>
  <c r="J8" i="18"/>
  <c r="I8" i="18"/>
  <c r="H8" i="18"/>
  <c r="K8" i="18"/>
  <c r="J11" i="17"/>
  <c r="H11" i="17"/>
  <c r="K11" i="17"/>
  <c r="I11" i="17"/>
  <c r="J13" i="17"/>
  <c r="H13" i="17"/>
  <c r="I9" i="17"/>
  <c r="H9" i="17"/>
  <c r="K9" i="17"/>
  <c r="J9" i="17"/>
  <c r="I5" i="17"/>
  <c r="H5" i="17"/>
  <c r="K5" i="17"/>
  <c r="J5" i="17"/>
  <c r="J7" i="17"/>
  <c r="K7" i="17"/>
  <c r="I7" i="17"/>
  <c r="H7" i="17"/>
  <c r="K3" i="17"/>
  <c r="J3" i="17"/>
  <c r="I3" i="17"/>
  <c r="H3" i="17"/>
  <c r="J8" i="17"/>
  <c r="I8" i="17"/>
  <c r="K8" i="17"/>
  <c r="H8" i="17"/>
  <c r="J10" i="17"/>
  <c r="I10" i="17"/>
  <c r="K10" i="17"/>
  <c r="H10" i="17"/>
  <c r="I12" i="17"/>
  <c r="I2" i="17"/>
  <c r="J4" i="17"/>
  <c r="I4" i="17"/>
  <c r="K4" i="17"/>
  <c r="H4" i="17"/>
  <c r="J6" i="17"/>
  <c r="I6" i="17"/>
  <c r="H6" i="17"/>
  <c r="K6" i="17"/>
  <c r="J5" i="16"/>
  <c r="K5" i="16"/>
  <c r="I5" i="16"/>
  <c r="H5" i="16"/>
  <c r="K7" i="16"/>
  <c r="J7" i="16"/>
  <c r="I7" i="16"/>
  <c r="H7" i="16"/>
  <c r="J6" i="16"/>
  <c r="I6" i="16"/>
  <c r="H6" i="16"/>
  <c r="K6" i="16"/>
  <c r="J13" i="16"/>
  <c r="H13" i="16"/>
  <c r="J8" i="16"/>
  <c r="I8" i="16"/>
  <c r="H8" i="16"/>
  <c r="K8" i="16"/>
  <c r="J3" i="16"/>
  <c r="K3" i="16"/>
  <c r="I3" i="16"/>
  <c r="H3" i="16"/>
  <c r="K11" i="16"/>
  <c r="J11" i="16"/>
  <c r="I11" i="16"/>
  <c r="H11" i="16"/>
  <c r="I2" i="16"/>
  <c r="K9" i="16"/>
  <c r="J9" i="16"/>
  <c r="I9" i="16"/>
  <c r="H9" i="16"/>
  <c r="J10" i="16"/>
  <c r="H10" i="16"/>
  <c r="K10" i="16"/>
  <c r="I10" i="16"/>
  <c r="J7" i="15"/>
  <c r="K7" i="15"/>
  <c r="I7" i="15"/>
  <c r="H7" i="15"/>
  <c r="J8" i="15"/>
  <c r="K8" i="15"/>
  <c r="I8" i="15"/>
  <c r="H8" i="15"/>
  <c r="J3" i="15"/>
  <c r="K3" i="15"/>
  <c r="I3" i="15"/>
  <c r="H3" i="15"/>
  <c r="I4" i="15"/>
  <c r="K11" i="15"/>
  <c r="I11" i="15"/>
  <c r="J11" i="15"/>
  <c r="H11" i="15"/>
  <c r="J10" i="15"/>
  <c r="I10" i="15"/>
  <c r="H10" i="15"/>
  <c r="K10" i="15"/>
  <c r="J9" i="15"/>
  <c r="I9" i="15"/>
  <c r="H9" i="15"/>
  <c r="K9" i="15"/>
  <c r="J13" i="15"/>
  <c r="H13" i="15"/>
  <c r="I6" i="15"/>
  <c r="K5" i="15"/>
  <c r="J5" i="15"/>
  <c r="I5" i="15"/>
  <c r="H5" i="15"/>
  <c r="I11" i="14"/>
  <c r="H11" i="14"/>
  <c r="K11" i="14"/>
  <c r="J11" i="14"/>
  <c r="I7" i="14"/>
  <c r="K7" i="14"/>
  <c r="J7" i="14"/>
  <c r="H7" i="14"/>
  <c r="J8" i="14"/>
  <c r="I8" i="14"/>
  <c r="K8" i="14"/>
  <c r="H8" i="14"/>
  <c r="J10" i="14"/>
  <c r="I10" i="14"/>
  <c r="H10" i="14"/>
  <c r="K10" i="14"/>
  <c r="H3" i="14"/>
  <c r="K3" i="14"/>
  <c r="I3" i="14"/>
  <c r="J3" i="14"/>
  <c r="J13" i="14"/>
  <c r="I5" i="14"/>
  <c r="K5" i="14"/>
  <c r="J5" i="14"/>
  <c r="H5" i="14"/>
  <c r="J4" i="14"/>
  <c r="I4" i="14"/>
  <c r="H4" i="14"/>
  <c r="K4" i="14"/>
  <c r="J6" i="14"/>
  <c r="I6" i="14"/>
  <c r="H6" i="14"/>
  <c r="K6" i="14"/>
  <c r="H9" i="14"/>
  <c r="K9" i="14"/>
  <c r="I9" i="14"/>
  <c r="J9" i="14"/>
  <c r="E2" i="10" l="1"/>
  <c r="E3" i="10"/>
  <c r="E4" i="10"/>
  <c r="E5" i="10"/>
  <c r="E6" i="10"/>
  <c r="E7" i="10"/>
  <c r="E8" i="10"/>
  <c r="E9" i="10"/>
  <c r="E10" i="10"/>
  <c r="E11" i="10"/>
  <c r="E12" i="10"/>
  <c r="E13" i="10"/>
  <c r="D2" i="10"/>
  <c r="D3" i="10"/>
  <c r="D4" i="10"/>
  <c r="D5" i="10"/>
  <c r="D6" i="10"/>
  <c r="D7" i="10"/>
  <c r="D8" i="10"/>
  <c r="D9" i="10"/>
  <c r="D10" i="10"/>
  <c r="D11" i="10"/>
  <c r="D12" i="10"/>
  <c r="D13" i="10"/>
  <c r="D2" i="9"/>
  <c r="D3" i="9"/>
  <c r="D4" i="9"/>
  <c r="D5" i="9"/>
  <c r="D6" i="9"/>
  <c r="D7" i="9"/>
  <c r="D8" i="9"/>
  <c r="D9" i="9"/>
  <c r="D10" i="9"/>
  <c r="D11" i="9"/>
  <c r="D12" i="9"/>
  <c r="D13" i="9"/>
  <c r="C2" i="9"/>
  <c r="C3" i="9"/>
  <c r="C4" i="9"/>
  <c r="C5" i="9"/>
  <c r="C6" i="9"/>
  <c r="C7" i="9"/>
  <c r="C8" i="9"/>
  <c r="C9" i="9"/>
  <c r="C10" i="9"/>
  <c r="C11" i="9"/>
  <c r="C12" i="9"/>
  <c r="C13" i="9"/>
  <c r="D2" i="8"/>
  <c r="D3" i="8"/>
  <c r="D4" i="8"/>
  <c r="D5" i="8"/>
  <c r="D6" i="8"/>
  <c r="D7" i="8"/>
  <c r="D8" i="8"/>
  <c r="D9" i="8"/>
  <c r="D10" i="8"/>
  <c r="D11" i="8"/>
  <c r="D12" i="8"/>
  <c r="D13" i="8"/>
  <c r="E2" i="8"/>
  <c r="E3" i="8"/>
  <c r="E4" i="8"/>
  <c r="E5" i="8"/>
  <c r="E6" i="8"/>
  <c r="E7" i="8"/>
  <c r="E8" i="8"/>
  <c r="E9" i="8"/>
  <c r="E10" i="8"/>
  <c r="E11" i="8"/>
  <c r="E12" i="8"/>
  <c r="E13" i="8"/>
  <c r="B2" i="7"/>
  <c r="B3" i="7"/>
  <c r="B4" i="7"/>
  <c r="B5" i="7"/>
  <c r="B6" i="7"/>
  <c r="B7" i="7"/>
  <c r="B8" i="7"/>
  <c r="B9" i="7"/>
  <c r="B10" i="7"/>
  <c r="B11" i="7"/>
  <c r="B12" i="7"/>
  <c r="B13" i="7"/>
  <c r="F2" i="7"/>
  <c r="G2" i="7"/>
  <c r="F3" i="7"/>
  <c r="F4" i="7"/>
  <c r="F5" i="7"/>
  <c r="F6" i="7"/>
  <c r="F7" i="7"/>
  <c r="F8" i="7"/>
  <c r="F9" i="7"/>
  <c r="F10" i="7"/>
  <c r="F11" i="7"/>
  <c r="F12" i="7"/>
  <c r="F13" i="7"/>
  <c r="G3" i="7"/>
  <c r="G4" i="7"/>
  <c r="G5" i="7"/>
  <c r="G6" i="7"/>
  <c r="G7" i="7"/>
  <c r="G8" i="7"/>
  <c r="G9" i="7"/>
  <c r="G10" i="7"/>
  <c r="G11" i="7"/>
  <c r="G12" i="7"/>
  <c r="G13" i="7"/>
  <c r="E2" i="6"/>
  <c r="E3" i="6"/>
  <c r="E4" i="6"/>
  <c r="E5" i="6"/>
  <c r="E6" i="6"/>
  <c r="E7" i="6"/>
  <c r="E8" i="6"/>
  <c r="E9" i="6"/>
  <c r="E10" i="6"/>
  <c r="E11" i="6"/>
  <c r="E12" i="6"/>
  <c r="E13" i="6"/>
  <c r="J2" i="6"/>
  <c r="H2" i="6" s="1"/>
  <c r="F2" i="6" s="1"/>
  <c r="J3" i="6"/>
  <c r="H3" i="6" s="1"/>
  <c r="F3" i="6" s="1"/>
  <c r="J4" i="6"/>
  <c r="H4" i="6" s="1"/>
  <c r="F4" i="6" s="1"/>
  <c r="J5" i="6"/>
  <c r="H5" i="6" s="1"/>
  <c r="F5" i="6" s="1"/>
  <c r="J6" i="6"/>
  <c r="H6" i="6" s="1"/>
  <c r="F6" i="6" s="1"/>
  <c r="J7" i="6"/>
  <c r="H7" i="6" s="1"/>
  <c r="F7" i="6" s="1"/>
  <c r="J8" i="6"/>
  <c r="H8" i="6" s="1"/>
  <c r="F8" i="6" s="1"/>
  <c r="J9" i="6"/>
  <c r="H9" i="6" s="1"/>
  <c r="F9" i="6" s="1"/>
  <c r="J10" i="6"/>
  <c r="H10" i="6" s="1"/>
  <c r="F10" i="6" s="1"/>
  <c r="J11" i="6"/>
  <c r="H11" i="6" s="1"/>
  <c r="F11" i="6" s="1"/>
  <c r="J12" i="6"/>
  <c r="H12" i="6" s="1"/>
  <c r="F12" i="6" s="1"/>
  <c r="J13" i="6"/>
  <c r="H13" i="6" s="1"/>
  <c r="F13" i="6" s="1"/>
  <c r="I2" i="6"/>
  <c r="I3" i="6"/>
  <c r="I4" i="6"/>
  <c r="I5" i="6"/>
  <c r="I6" i="6"/>
  <c r="I7" i="6"/>
  <c r="I8" i="6"/>
  <c r="I9" i="6"/>
  <c r="I10" i="6"/>
  <c r="I11" i="6"/>
  <c r="I12" i="6"/>
  <c r="I13" i="6"/>
  <c r="D2" i="6"/>
  <c r="D3" i="6"/>
  <c r="D4" i="6"/>
  <c r="D5" i="6"/>
  <c r="D6" i="6"/>
  <c r="D7" i="6"/>
  <c r="D8" i="6"/>
  <c r="D9" i="6"/>
  <c r="D10" i="6"/>
  <c r="D11" i="6"/>
  <c r="D12" i="6"/>
  <c r="D13" i="6"/>
  <c r="B2" i="5" l="1"/>
  <c r="B3" i="5"/>
  <c r="B4" i="5"/>
  <c r="B5" i="5"/>
  <c r="B6" i="5"/>
  <c r="B7" i="5"/>
  <c r="B8" i="5"/>
  <c r="B9" i="5"/>
  <c r="B10" i="5"/>
  <c r="B11" i="5"/>
  <c r="B12" i="5"/>
  <c r="B13" i="5"/>
  <c r="H11" i="5" l="1"/>
  <c r="I11" i="5"/>
  <c r="E2" i="5" l="1"/>
  <c r="E3" i="5"/>
  <c r="E4" i="5"/>
  <c r="E5" i="5"/>
  <c r="E6" i="5"/>
  <c r="E7" i="5"/>
  <c r="E8" i="5"/>
  <c r="E9" i="5"/>
  <c r="E10" i="5"/>
  <c r="E11" i="5"/>
  <c r="E12" i="5"/>
  <c r="E13" i="5"/>
  <c r="D2" i="5"/>
  <c r="D3" i="5"/>
  <c r="D4" i="5"/>
  <c r="D5" i="5"/>
  <c r="D6" i="5"/>
  <c r="D7" i="5"/>
  <c r="D8" i="5"/>
  <c r="D9" i="5"/>
  <c r="D10" i="5"/>
  <c r="D11" i="5"/>
  <c r="D12" i="5"/>
  <c r="D13" i="5"/>
  <c r="I2" i="5"/>
  <c r="I3" i="5"/>
  <c r="I4" i="5"/>
  <c r="I5" i="5"/>
  <c r="I6" i="5"/>
  <c r="I7" i="5"/>
  <c r="I8" i="5"/>
  <c r="I9" i="5"/>
  <c r="I10" i="5"/>
  <c r="I12" i="5"/>
  <c r="I13" i="5"/>
  <c r="H2" i="5"/>
  <c r="H3" i="5"/>
  <c r="H4" i="5"/>
  <c r="H5" i="5"/>
  <c r="H6" i="5"/>
  <c r="H7" i="5"/>
  <c r="H8" i="5"/>
  <c r="H9" i="5"/>
  <c r="H10" i="5"/>
  <c r="H12" i="5"/>
  <c r="H13" i="5"/>
  <c r="B2" i="4"/>
  <c r="B3" i="4"/>
  <c r="B4" i="4"/>
  <c r="B5" i="4"/>
  <c r="B6" i="4"/>
  <c r="B7" i="4"/>
  <c r="B8" i="4"/>
  <c r="B9" i="4"/>
  <c r="B10" i="4"/>
  <c r="B11" i="4"/>
  <c r="B12" i="4"/>
  <c r="B13" i="4"/>
  <c r="G2" i="4"/>
  <c r="G3" i="4"/>
  <c r="G4" i="4"/>
  <c r="G5" i="4"/>
  <c r="G6" i="4"/>
  <c r="G7" i="4"/>
  <c r="G8" i="4"/>
  <c r="G9" i="4"/>
  <c r="G10" i="4"/>
  <c r="G11" i="4"/>
  <c r="G12" i="4"/>
  <c r="G13" i="4"/>
  <c r="F2" i="4"/>
  <c r="F3" i="4"/>
  <c r="F4" i="4"/>
  <c r="F5" i="4"/>
  <c r="F6" i="4"/>
  <c r="F7" i="4"/>
  <c r="F8" i="4"/>
  <c r="F9" i="4"/>
  <c r="F10" i="4"/>
  <c r="F11" i="4"/>
  <c r="F12" i="4"/>
  <c r="F13" i="4"/>
  <c r="G2" i="3"/>
  <c r="G3" i="3"/>
  <c r="G4" i="3"/>
  <c r="G5" i="3"/>
  <c r="G6" i="3"/>
  <c r="G7" i="3"/>
  <c r="G8" i="3"/>
  <c r="G9" i="3"/>
  <c r="G10" i="3"/>
  <c r="G11" i="3"/>
  <c r="G12" i="3"/>
  <c r="G13" i="3"/>
  <c r="F2" i="3"/>
  <c r="F3" i="3"/>
  <c r="F4" i="3"/>
  <c r="F5" i="3"/>
  <c r="F6" i="3"/>
  <c r="F7" i="3"/>
  <c r="F8" i="3"/>
  <c r="F9" i="3"/>
  <c r="F10" i="3"/>
  <c r="F11" i="3"/>
  <c r="F12" i="3"/>
  <c r="F13" i="3"/>
  <c r="B2" i="3"/>
  <c r="B3" i="3"/>
  <c r="B4" i="3"/>
  <c r="B5" i="3"/>
  <c r="B6" i="3"/>
  <c r="B7" i="3"/>
  <c r="B8" i="3"/>
  <c r="B9" i="3"/>
  <c r="B10" i="3"/>
  <c r="B11" i="3"/>
  <c r="B12" i="3"/>
  <c r="B13" i="3"/>
  <c r="B2" i="2"/>
  <c r="B3" i="2"/>
  <c r="B4" i="2"/>
  <c r="B5" i="2"/>
  <c r="B6" i="2"/>
  <c r="B7" i="2"/>
  <c r="B8" i="2"/>
  <c r="B9" i="2"/>
  <c r="B10" i="2"/>
  <c r="B11" i="2"/>
  <c r="B12" i="2"/>
  <c r="B13" i="2"/>
  <c r="G2" i="2" l="1"/>
  <c r="G3" i="2"/>
  <c r="G4" i="2"/>
  <c r="G5" i="2"/>
  <c r="G6" i="2"/>
  <c r="G7" i="2"/>
  <c r="G8" i="2"/>
  <c r="G9" i="2"/>
  <c r="G10" i="2"/>
  <c r="G11" i="2"/>
  <c r="G12" i="2"/>
  <c r="G13" i="2"/>
  <c r="F2" i="2"/>
  <c r="F3" i="2"/>
  <c r="F4" i="2"/>
  <c r="F5" i="2"/>
  <c r="F6" i="2"/>
  <c r="F7" i="2"/>
  <c r="F8" i="2"/>
  <c r="F9" i="2"/>
  <c r="F10" i="2"/>
  <c r="F11" i="2"/>
  <c r="F12" i="2"/>
  <c r="F13" i="2"/>
</calcChain>
</file>

<file path=xl/sharedStrings.xml><?xml version="1.0" encoding="utf-8"?>
<sst xmlns="http://schemas.openxmlformats.org/spreadsheetml/2006/main" count="271" uniqueCount="49">
  <si>
    <t>data_base</t>
  </si>
  <si>
    <t>indice</t>
  </si>
  <si>
    <t>minimo</t>
  </si>
  <si>
    <t>receita_bc</t>
  </si>
  <si>
    <t>despesa_bc</t>
  </si>
  <si>
    <t>ano</t>
  </si>
  <si>
    <t>mês</t>
  </si>
  <si>
    <t>legal</t>
  </si>
  <si>
    <t>prudencial</t>
  </si>
  <si>
    <t>alerta</t>
  </si>
  <si>
    <t>rcl</t>
  </si>
  <si>
    <t>dtp</t>
  </si>
  <si>
    <t>vl_autorizado</t>
  </si>
  <si>
    <t>vl_utilizado</t>
  </si>
  <si>
    <t>vl_disponivel</t>
  </si>
  <si>
    <t>perc_utilizado</t>
  </si>
  <si>
    <t>perc_esperado</t>
  </si>
  <si>
    <t>perc_limite</t>
  </si>
  <si>
    <t>vl_esperado</t>
  </si>
  <si>
    <t>maximo</t>
  </si>
  <si>
    <t/>
  </si>
  <si>
    <t>com_contratos</t>
  </si>
  <si>
    <t>sem_contratos</t>
  </si>
  <si>
    <t>valor</t>
  </si>
  <si>
    <t>proprio</t>
  </si>
  <si>
    <t>total_sem_rpps</t>
  </si>
  <si>
    <t>arrec_mes_ant</t>
  </si>
  <si>
    <t>arrec_mes_atual</t>
  </si>
  <si>
    <t>prev_mes_atual</t>
  </si>
  <si>
    <t>arrec_acum_ant</t>
  </si>
  <si>
    <t>arrec_acum_atual</t>
  </si>
  <si>
    <t>prev_acum_atual</t>
  </si>
  <si>
    <t>vl_var_ant</t>
  </si>
  <si>
    <t>vl_var_prev</t>
  </si>
  <si>
    <t>var_ant</t>
  </si>
  <si>
    <t>var_prev</t>
  </si>
  <si>
    <t>emp_mes</t>
  </si>
  <si>
    <t>liq_mes</t>
  </si>
  <si>
    <t>prev_mes</t>
  </si>
  <si>
    <t>emp_acum</t>
  </si>
  <si>
    <t>liq_acum</t>
  </si>
  <si>
    <t>prev_acum</t>
  </si>
  <si>
    <t>vl_emp_prev</t>
  </si>
  <si>
    <t>vl_liq_prev</t>
  </si>
  <si>
    <t>perc_emp_prev</t>
  </si>
  <si>
    <t>perc_liq_prev</t>
  </si>
  <si>
    <t>arrec_acum</t>
  </si>
  <si>
    <t>perc_emp_arrec</t>
  </si>
  <si>
    <t>perc_liq_arrec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</si>
</sst>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* #,##0.00_-;[Red]* \(#,##0.00\)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2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64" formatCode="* #,##0.00_-;[Red]* \(#,##0.00\);* &quot;-&quot;??_-;_-@_-"/>
    </dxf>
    <dxf>
      <numFmt numFmtId="14" formatCode="0.00%"/>
    </dxf>
    <dxf>
      <numFmt numFmtId="14" formatCode="0.00%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64" formatCode="* #,##0.00_-;[Red]* \(#,##0.00\);* &quot;-&quot;??_-;_-@_-"/>
    </dxf>
    <dxf>
      <numFmt numFmtId="14" formatCode="0.00%"/>
    </dxf>
    <dxf>
      <numFmt numFmtId="14" formatCode="0.00%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64" formatCode="* #,##0.00_-;[Red]* \(#,##0.00\);* &quot;-&quot;??_-;_-@_-"/>
    </dxf>
    <dxf>
      <numFmt numFmtId="14" formatCode="0.00%"/>
    </dxf>
    <dxf>
      <numFmt numFmtId="14" formatCode="0.00%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164" formatCode="* #,##0.00_-;[Red]* \(#,##0.00\);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* #,##0.00_-;[Red]* \(#,##0.00\);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13" formatCode="0%"/>
    </dxf>
    <dxf>
      <numFmt numFmtId="14" formatCode="0.00%"/>
    </dxf>
    <dxf>
      <numFmt numFmtId="14" formatCode="0.00%"/>
    </dxf>
    <dxf>
      <numFmt numFmtId="164" formatCode="* #,##0.00_-;[Red]* \(#,##0.00\);* &quot;-&quot;??_-;_-@_-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2EA66-C066-491F-AC0C-A68786CDF216}" name="tblMDE" displayName="tblMDE" ref="A1:G13" totalsRowShown="0">
  <autoFilter ref="A1:G13" xr:uid="{FD92EA66-C066-491F-AC0C-A68786CDF216}"/>
  <tableColumns count="7">
    <tableColumn id="1" xr3:uid="{672C51DD-5AA6-49C0-BAFF-53B9275E7089}" name="data_base" dataDxfId="220"/>
    <tableColumn id="2" xr3:uid="{84D5D140-6E39-41F1-B713-70C348C45CC5}" name="indice" dataDxfId="219" dataCellStyle="Porcentagem">
      <calculatedColumnFormula>IFERROR(tblMDE[[#This Row],[despesa_bc]]/tblMDE[[#This Row],[receita_bc]],"")</calculatedColumnFormula>
    </tableColumn>
    <tableColumn id="3" xr3:uid="{BD85229B-C211-49B8-BB81-046A97F17E2D}" name="minimo" dataDxfId="218" dataCellStyle="Porcentagem"/>
    <tableColumn id="4" xr3:uid="{7BE57E92-B998-4210-8FA3-49331682950F}" name="receita_bc" dataDxfId="217" dataCellStyle="Vírgula"/>
    <tableColumn id="5" xr3:uid="{822D237B-253A-437D-AE6E-5DC145362E80}" name="despesa_bc" dataDxfId="216" dataCellStyle="Vírgula"/>
    <tableColumn id="6" xr3:uid="{3EED9937-BC01-49F5-80C4-AFC7F4AB7653}" name="ano" dataDxfId="215">
      <calculatedColumnFormula>YEAR(tblMDE[[#This Row],[data_base]])</calculatedColumnFormula>
    </tableColumn>
    <tableColumn id="7" xr3:uid="{8B07DC0D-05A7-4F4C-AFC0-8CCC845A9713}" name="mês" dataDxfId="214">
      <calculatedColumnFormula>MONTH(tblMDE[[#This Row],[data_base]])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229D7A-F291-4765-B459-8B4889092F28}" name="tblSuperavit" displayName="tblSuperavit" ref="A1:D13" totalsRowShown="0">
  <autoFilter ref="A1:D13" xr:uid="{32229D7A-F291-4765-B459-8B4889092F28}"/>
  <tableColumns count="4">
    <tableColumn id="1" xr3:uid="{5D30FDE6-2EA8-4BD5-B775-ADA998032C67}" name="data_base" dataDxfId="171"/>
    <tableColumn id="2" xr3:uid="{C7C7FB37-19DF-446C-B966-25801AFFD731}" name="valor" dataDxfId="170"/>
    <tableColumn id="3" xr3:uid="{3B9FE7ED-B4E8-459F-81C5-BBC598606680}" name="ano" dataDxfId="1">
      <calculatedColumnFormula>YEAR(tblSuperavit[[#This Row],[data_base]])</calculatedColumnFormula>
    </tableColumn>
    <tableColumn id="4" xr3:uid="{99E43CFC-AB02-4538-B7A8-CB7B62B1606A}" name="mês" dataDxfId="0">
      <calculatedColumnFormula>MONTH(tblSuperavit[[#This Row],[data_base]])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FD938-10A4-4DA8-B0EB-32AF803635BE}" name="tblReceitaTotal" displayName="tblReceitaTotal" ref="A1:M13" totalsRowShown="0">
  <autoFilter ref="A1:M13" xr:uid="{400FD938-10A4-4DA8-B0EB-32AF803635BE}"/>
  <tableColumns count="13">
    <tableColumn id="1" xr3:uid="{CD02AA5E-B583-479A-8133-95CB1C26B053}" name="data_base" dataDxfId="169"/>
    <tableColumn id="2" xr3:uid="{F4444627-F1FD-45C7-9D73-A90BBCA30211}" name="arrec_mes_ant" dataCellStyle="Vírgula"/>
    <tableColumn id="3" xr3:uid="{3A093594-DE90-410D-AA9D-34A944755F43}" name="arrec_mes_atual" dataCellStyle="Vírgula"/>
    <tableColumn id="4" xr3:uid="{4ADC42A7-7A72-4968-9CA9-367A91A0149D}" name="prev_mes_atual" dataCellStyle="Vírgula"/>
    <tableColumn id="5" xr3:uid="{95B99B60-D165-4161-885A-90DEF3586C58}" name="arrec_acum_ant" dataDxfId="168" dataCellStyle="Vírgula">
      <calculatedColumnFormula>IF(tblReceitaTotal[[#This Row],[arrec_mes_ant]]&gt;0,SUMIFS(tblReceitaTotal[arrec_mes_ant],tblReceitaTotal[ano],YEAR(tblReceitaTotal[[#This Row],[data_base]]),tblReceitaTotal[mês],"&lt;="&amp;MONTH(tblReceitaTotal[[#This Row],[data_base]])),"")</calculatedColumnFormula>
    </tableColumn>
    <tableColumn id="6" xr3:uid="{22BA8A24-37EE-44CF-8D41-2A96382BD0DC}" name="arrec_acum_atual" dataDxfId="167" dataCellStyle="Vírgula">
      <calculatedColumnFormula>IF(tblReceitaTotal[[#This Row],[arrec_mes_atual]]&gt;0,SUMIFS(tblReceitaTotal[arrec_mes_atual],tblReceitaTotal[ano],YEAR(tblReceitaTotal[[#This Row],[data_base]]),tblReceitaTotal[mês],"&lt;="&amp;MONTH(tblReceitaTotal[[#This Row],[data_base]])),"")</calculatedColumnFormula>
    </tableColumn>
    <tableColumn id="7" xr3:uid="{7CC6AEFB-EB75-40C8-93E2-17CC36A6C073}" name="prev_acum_atual" dataDxfId="166" dataCellStyle="Vírgula">
      <calculatedColumnFormula>IF(tblReceitaTotal[[#This Row],[prev_mes_atual]]&gt;0,SUMIFS(tblReceitaTotal[prev_mes_atual],tblReceitaTotal[ano],YEAR(tblReceitaTotal[[#This Row],[data_base]]),tblReceitaTotal[mês],"&lt;="&amp;MONTH(tblReceitaTotal[[#This Row],[data_base]])),"")</calculatedColumnFormula>
    </tableColumn>
    <tableColumn id="8" xr3:uid="{8C3B3F20-A4B5-4508-8B77-50F307B81472}" name="vl_var_ant" dataDxfId="165" dataCellStyle="Vírgula">
      <calculatedColumnFormula>IFERROR(IF(tblReceitaTotal[[#This Row],[arrec_acum_atual]]&gt;0,tblReceitaTotal[[#This Row],[arrec_acum_atual]]-tblReceitaTotal[[#This Row],[arrec_acum_ant]],""),"")</calculatedColumnFormula>
    </tableColumn>
    <tableColumn id="9" xr3:uid="{80FB6B05-808A-425D-BAE5-B6B42FDB0F0D}" name="vl_var_prev" dataDxfId="164" dataCellStyle="Vírgula">
      <calculatedColumnFormula>IFERROR(IF(tblReceitaTotal[[#This Row],[arrec_acum_atual]]&gt;0,tblReceitaTotal[[#This Row],[arrec_acum_atual]]-tblReceitaTotal[[#This Row],[prev_acum_atual]],""),"")</calculatedColumnFormula>
    </tableColumn>
    <tableColumn id="10" xr3:uid="{58A1D250-1C07-4DAE-8061-58E8FA9A2C98}" name="var_ant" dataDxfId="163" dataCellStyle="Porcentagem">
      <calculatedColumnFormula>IFERROR(IF(tblReceitaTotal[[#This Row],[arrec_acum_atual]]&gt;0,(tblReceitaTotal[[#This Row],[arrec_acum_atual]]/tblReceitaTotal[[#This Row],[arrec_acum_ant]])-1,""),"")</calculatedColumnFormula>
    </tableColumn>
    <tableColumn id="11" xr3:uid="{2ADA2544-1926-4796-9AC6-13DC1D0469A5}" name="var_prev" dataDxfId="162" dataCellStyle="Porcentagem">
      <calculatedColumnFormula>IFERROR(IF(tblReceitaTotal[[#This Row],[arrec_acum_atual]]&gt;0,(tblReceitaTotal[[#This Row],[arrec_acum_atual]]/tblReceitaTotal[[#This Row],[prev_acum_atual]])-1,""),"")</calculatedColumnFormula>
    </tableColumn>
    <tableColumn id="12" xr3:uid="{93BCAC74-D39E-4480-90D0-BFAB79FAD2D5}" name="ano" dataDxfId="161" dataCellStyle="Vírgula">
      <calculatedColumnFormula>YEAR(tblReceitaTotal[[#This Row],[data_base]])</calculatedColumnFormula>
    </tableColumn>
    <tableColumn id="13" xr3:uid="{F0C1ACF2-778D-4DB6-8329-27E041485136}" name="mês" dataDxfId="160">
      <calculatedColumnFormula>MONTH(tblReceitaTotal[[#This Row],[data_base]])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4D23F4E-6706-4983-A841-CBC5A6C68DD9}" name="tblReceitaCorrente" displayName="tblReceitaCorrente" ref="A1:M13" totalsRowShown="0">
  <autoFilter ref="A1:M13" xr:uid="{400FD938-10A4-4DA8-B0EB-32AF803635BE}"/>
  <tableColumns count="13">
    <tableColumn id="1" xr3:uid="{E00F52D5-6C63-4B50-AE43-C6EA2803F5DC}" name="data_base" dataDxfId="159"/>
    <tableColumn id="2" xr3:uid="{6F77F0B4-D1B6-47BF-A7CD-4CC2C638A554}" name="arrec_mes_ant" dataCellStyle="Vírgula"/>
    <tableColumn id="3" xr3:uid="{07FA232A-ED47-44D2-8E61-F9F9466F082F}" name="arrec_mes_atual" dataCellStyle="Vírgula"/>
    <tableColumn id="4" xr3:uid="{CED4A06E-BDC6-496C-8A29-773AE39245B5}" name="prev_mes_atual" dataCellStyle="Vírgula"/>
    <tableColumn id="5" xr3:uid="{AD4396D4-2329-4BAC-9013-164FA3522946}" name="arrec_acum_ant" dataDxfId="158" dataCellStyle="Vírgula">
      <calculatedColumnFormula>IF(tblReceitaCorrente[[#This Row],[arrec_mes_ant]]&gt;0,SUMIFS(tblReceitaCorrente[arrec_mes_ant],tblReceitaCorrente[ano],YEAR(tblReceitaCorrente[[#This Row],[data_base]]),tblReceitaCorrente[mês],"&lt;="&amp;MONTH(tblReceitaCorrente[[#This Row],[data_base]])),"")</calculatedColumnFormula>
    </tableColumn>
    <tableColumn id="6" xr3:uid="{4BD0EC8B-CE32-436C-80D6-7C03C16F4FEB}" name="arrec_acum_atual" dataDxfId="157" dataCellStyle="Vírgula">
      <calculatedColumnFormula>IF(tblReceitaCorrente[[#This Row],[arrec_mes_atual]]&gt;0,SUMIFS(tblReceitaCorrente[arrec_mes_atual],tblReceitaCorrente[ano],YEAR(tblReceitaCorrente[[#This Row],[data_base]]),tblReceitaCorrente[mês],"&lt;="&amp;MONTH(tblReceitaCorrente[[#This Row],[data_base]])),"")</calculatedColumnFormula>
    </tableColumn>
    <tableColumn id="7" xr3:uid="{5508417F-4F09-40DF-9D8D-97525638956E}" name="prev_acum_atual" dataDxfId="156" dataCellStyle="Vírgula">
      <calculatedColumnFormula>IF(tblReceitaCorrente[[#This Row],[prev_mes_atual]]&gt;0,SUMIFS(tblReceitaCorrente[prev_mes_atual],tblReceitaCorrente[ano],YEAR(tblReceitaCorrente[[#This Row],[data_base]]),tblReceitaCorrente[mês],"&lt;="&amp;MONTH(tblReceitaCorrente[[#This Row],[data_base]])),"")</calculatedColumnFormula>
    </tableColumn>
    <tableColumn id="8" xr3:uid="{972A141A-2BAC-4E9D-B80B-BEC773F97350}" name="vl_var_ant" dataDxfId="155" dataCellStyle="Vírgula">
      <calculatedColumnFormula>IFERROR(IF(tblReceitaCorrente[[#This Row],[arrec_acum_atual]]&gt;0,tblReceitaCorrente[[#This Row],[arrec_acum_atual]]-tblReceitaCorrente[[#This Row],[arrec_acum_ant]],""),"")</calculatedColumnFormula>
    </tableColumn>
    <tableColumn id="9" xr3:uid="{867A1235-4F2C-4508-ABC5-8EC4764BE799}" name="vl_var_prev" dataDxfId="154" dataCellStyle="Vírgula">
      <calculatedColumnFormula>IFERROR(IF(tblReceitaCorrente[[#This Row],[arrec_acum_atual]]&gt;0,tblReceitaCorrente[[#This Row],[arrec_acum_atual]]-tblReceitaCorrente[[#This Row],[prev_acum_atual]],""),"")</calculatedColumnFormula>
    </tableColumn>
    <tableColumn id="10" xr3:uid="{C0AAA1ED-0561-4962-B866-1565F49339E5}" name="var_ant" dataDxfId="153" dataCellStyle="Porcentagem">
      <calculatedColumnFormula>IFERROR(IF(tblReceitaCorrente[[#This Row],[arrec_acum_atual]]&gt;0,(tblReceitaCorrente[[#This Row],[arrec_acum_atual]]/tblReceitaCorrente[[#This Row],[arrec_acum_ant]])-1,""),"")</calculatedColumnFormula>
    </tableColumn>
    <tableColumn id="11" xr3:uid="{CE465B7D-0D3C-4646-8B68-66B5A32BA914}" name="var_prev" dataDxfId="152" dataCellStyle="Porcentagem">
      <calculatedColumnFormula>IFERROR(IF(tblReceitaCorrente[[#This Row],[arrec_acum_atual]]&gt;0,(tblReceitaCorrente[[#This Row],[arrec_acum_atual]]/tblReceitaCorrente[[#This Row],[prev_acum_atual]])-1,""),"")</calculatedColumnFormula>
    </tableColumn>
    <tableColumn id="12" xr3:uid="{F7AB2312-F5C6-4201-8647-F05906F2F3DD}" name="ano" dataDxfId="151" dataCellStyle="Vírgula">
      <calculatedColumnFormula>YEAR(tblReceitaCorrente[[#This Row],[data_base]])</calculatedColumnFormula>
    </tableColumn>
    <tableColumn id="13" xr3:uid="{3CA9CED2-927F-4A1C-B2A9-5C212F676931}" name="mês" dataDxfId="150">
      <calculatedColumnFormula>MONTH(tblReceitaCorrente[[#This Row],[data_base]])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3C1AAC-C007-4D3F-8F86-344B3D2E10AD}" name="tblArrecadacaoPropria" displayName="tblArrecadacaoPropria" ref="A1:M13" totalsRowShown="0">
  <autoFilter ref="A1:M13" xr:uid="{400FD938-10A4-4DA8-B0EB-32AF803635BE}"/>
  <tableColumns count="13">
    <tableColumn id="1" xr3:uid="{1C701BD8-5664-450A-BAE2-7703FEF8AC32}" name="data_base" dataDxfId="149"/>
    <tableColumn id="2" xr3:uid="{D258C468-6A3E-441E-BE28-B266CBECD0C0}" name="arrec_mes_ant" dataCellStyle="Vírgula"/>
    <tableColumn id="3" xr3:uid="{13B900FB-8C4C-497E-B4B0-0DF06A595576}" name="arrec_mes_atual" dataCellStyle="Vírgula"/>
    <tableColumn id="4" xr3:uid="{849A9399-1B01-4CB0-9824-E0C8A055AC67}" name="prev_mes_atual" dataCellStyle="Vírgula"/>
    <tableColumn id="5" xr3:uid="{384F59DF-71C6-4172-B186-F90D6D02B6B8}" name="arrec_acum_ant" dataDxfId="148" dataCellStyle="Vírgula">
      <calculatedColumnFormula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calculatedColumnFormula>
    </tableColumn>
    <tableColumn id="6" xr3:uid="{3F231019-D325-423D-B634-83E85D9424AE}" name="arrec_acum_atual" dataDxfId="147" dataCellStyle="Vírgula">
      <calculatedColumnFormula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calculatedColumnFormula>
    </tableColumn>
    <tableColumn id="7" xr3:uid="{87888B7E-60E8-44D8-85CC-65A102AA898D}" name="prev_acum_atual" dataDxfId="146" dataCellStyle="Vírgula">
      <calculatedColumnFormula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calculatedColumnFormula>
    </tableColumn>
    <tableColumn id="8" xr3:uid="{B10A6ABD-7636-49C1-95A1-A8C936E53138}" name="vl_var_ant" dataDxfId="145" dataCellStyle="Vírgula">
      <calculatedColumnFormula>IFERROR(IF(tblArrecadacaoPropria[[#This Row],[arrec_acum_atual]]&gt;0,tblArrecadacaoPropria[[#This Row],[arrec_acum_atual]]-tblArrecadacaoPropria[[#This Row],[arrec_acum_ant]],""),"")</calculatedColumnFormula>
    </tableColumn>
    <tableColumn id="9" xr3:uid="{AA042CCA-DF8B-4EB0-BB66-B21B52BC2784}" name="vl_var_prev" dataDxfId="144" dataCellStyle="Vírgula">
      <calculatedColumnFormula>IFERROR(IF(tblArrecadacaoPropria[[#This Row],[arrec_acum_atual]]&gt;0,tblArrecadacaoPropria[[#This Row],[arrec_acum_atual]]-tblArrecadacaoPropria[[#This Row],[prev_acum_atual]],""),"")</calculatedColumnFormula>
    </tableColumn>
    <tableColumn id="10" xr3:uid="{294DC0BC-2BB1-487E-A7C9-14599F15E1DC}" name="var_ant" dataDxfId="143" dataCellStyle="Porcentagem">
      <calculatedColumnFormula>IFERROR(IF(tblArrecadacaoPropria[[#This Row],[arrec_acum_atual]]&gt;0,(tblArrecadacaoPropria[[#This Row],[arrec_acum_atual]]/tblArrecadacaoPropria[[#This Row],[arrec_acum_ant]])-1,""),"")</calculatedColumnFormula>
    </tableColumn>
    <tableColumn id="11" xr3:uid="{89B587B5-A117-4787-B608-534A721611A4}" name="var_prev" dataDxfId="142" dataCellStyle="Porcentagem">
      <calculatedColumnFormula>IFERROR(IF(tblArrecadacaoPropria[[#This Row],[arrec_acum_atual]]&gt;0,(tblArrecadacaoPropria[[#This Row],[arrec_acum_atual]]/tblArrecadacaoPropria[[#This Row],[prev_acum_atual]])-1,""),"")</calculatedColumnFormula>
    </tableColumn>
    <tableColumn id="12" xr3:uid="{70CABB3F-1FFE-47A8-A383-9E931171A969}" name="ano" dataDxfId="141" dataCellStyle="Vírgula">
      <calculatedColumnFormula>YEAR(tblArrecadacaoPropria[[#This Row],[data_base]])</calculatedColumnFormula>
    </tableColumn>
    <tableColumn id="13" xr3:uid="{76B010C1-C029-4443-8884-C71AB1C185A6}" name="mês" dataDxfId="140">
      <calculatedColumnFormula>MONTH(tblArrecadacaoPropria[[#This Row],[data_base]])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D6BBCA8-D2DE-4214-AEBF-26A50CA33BB8}" name="tblTransfCorr" displayName="tblTransfCorr" ref="A1:M13" totalsRowShown="0">
  <autoFilter ref="A1:M13" xr:uid="{400FD938-10A4-4DA8-B0EB-32AF803635BE}"/>
  <tableColumns count="13">
    <tableColumn id="1" xr3:uid="{BB853B68-950A-4FA0-B81E-1AAC30523F19}" name="data_base" dataDxfId="139"/>
    <tableColumn id="2" xr3:uid="{92079B98-0C5A-47BD-85ED-41C0D1665845}" name="arrec_mes_ant" dataCellStyle="Vírgula"/>
    <tableColumn id="3" xr3:uid="{6E3177EF-2BA2-4E2E-B7BA-53059D094905}" name="arrec_mes_atual" dataCellStyle="Vírgula"/>
    <tableColumn id="4" xr3:uid="{B20B037E-CCA3-4A5A-AE68-8002B2F8F2A7}" name="prev_mes_atual" dataCellStyle="Vírgula"/>
    <tableColumn id="5" xr3:uid="{ACB943CC-CD3E-4D2F-B0A4-525A2FFBD11C}" name="arrec_acum_ant" dataDxfId="138" dataCellStyle="Vírgula">
      <calculatedColumnFormula>IF(tblTransfCorr[[#This Row],[arrec_mes_ant]]&gt;0,SUMIFS(tblTransfCorr[arrec_mes_ant],tblTransfCorr[ano],YEAR(tblTransfCorr[[#This Row],[data_base]]),tblTransfCorr[mês],"&lt;="&amp;MONTH(tblTransfCorr[[#This Row],[data_base]])),"")</calculatedColumnFormula>
    </tableColumn>
    <tableColumn id="6" xr3:uid="{12ADBC6F-73A1-4805-B353-6B773AA073E1}" name="arrec_acum_atual" dataDxfId="137" dataCellStyle="Vírgula">
      <calculatedColumnFormula>IF(tblTransfCorr[[#This Row],[arrec_mes_atual]]&gt;0,SUMIFS(tblTransfCorr[arrec_mes_atual],tblTransfCorr[ano],YEAR(tblTransfCorr[[#This Row],[data_base]]),tblTransfCorr[mês],"&lt;="&amp;MONTH(tblTransfCorr[[#This Row],[data_base]])),"")</calculatedColumnFormula>
    </tableColumn>
    <tableColumn id="7" xr3:uid="{7D8B7028-76E4-4BAB-9B1A-FB3F876F39BD}" name="prev_acum_atual" dataDxfId="136" dataCellStyle="Vírgula">
      <calculatedColumnFormula>IF(tblTransfCorr[[#This Row],[prev_mes_atual]]&gt;0,SUMIFS(tblTransfCorr[prev_mes_atual],tblTransfCorr[ano],YEAR(tblTransfCorr[[#This Row],[data_base]]),tblTransfCorr[mês],"&lt;="&amp;MONTH(tblTransfCorr[[#This Row],[data_base]])),"")</calculatedColumnFormula>
    </tableColumn>
    <tableColumn id="8" xr3:uid="{B69837C2-D2EB-4368-B86B-C670D974EF09}" name="vl_var_ant" dataDxfId="135" dataCellStyle="Vírgula">
      <calculatedColumnFormula>IFERROR(IF(tblTransfCorr[[#This Row],[arrec_acum_atual]]&gt;0,tblTransfCorr[[#This Row],[arrec_acum_atual]]-tblTransfCorr[[#This Row],[arrec_acum_ant]],""),"")</calculatedColumnFormula>
    </tableColumn>
    <tableColumn id="9" xr3:uid="{385F67E6-F210-447C-BB42-CFE7CCC01480}" name="vl_var_prev" dataDxfId="134" dataCellStyle="Vírgula">
      <calculatedColumnFormula>IFERROR(IF(tblTransfCorr[[#This Row],[arrec_acum_atual]]&gt;0,tblTransfCorr[[#This Row],[arrec_acum_atual]]-tblTransfCorr[[#This Row],[prev_acum_atual]],""),"")</calculatedColumnFormula>
    </tableColumn>
    <tableColumn id="10" xr3:uid="{0A7BBF86-B0FD-4FB1-8B9E-0C54219607F0}" name="var_ant" dataDxfId="133" dataCellStyle="Porcentagem">
      <calculatedColumnFormula>IFERROR(IF(tblTransfCorr[[#This Row],[arrec_acum_atual]]&gt;0,(tblTransfCorr[[#This Row],[arrec_acum_atual]]/tblTransfCorr[[#This Row],[arrec_acum_ant]])-1,""),"")</calculatedColumnFormula>
    </tableColumn>
    <tableColumn id="11" xr3:uid="{FF87CCF4-2804-480A-B979-1791EE3F8F0F}" name="var_prev" dataDxfId="132" dataCellStyle="Porcentagem">
      <calculatedColumnFormula>IFERROR(IF(tblTransfCorr[[#This Row],[arrec_acum_atual]]&gt;0,(tblTransfCorr[[#This Row],[arrec_acum_atual]]/tblTransfCorr[[#This Row],[prev_acum_atual]])-1,""),"")</calculatedColumnFormula>
    </tableColumn>
    <tableColumn id="12" xr3:uid="{0131A346-1538-4712-A32E-D6762B40E175}" name="ano" dataDxfId="131" dataCellStyle="Vírgula">
      <calculatedColumnFormula>YEAR(tblTransfCorr[[#This Row],[data_base]])</calculatedColumnFormula>
    </tableColumn>
    <tableColumn id="13" xr3:uid="{2FE46DC9-B23C-4184-BFAD-2C437B629C64}" name="mês" dataDxfId="130">
      <calculatedColumnFormula>MONTH(tblTransfCorr[[#This Row],[data_base]])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72957A-9398-48B7-9E67-79AA3A4E7B0D}" name="tblFPM" displayName="tblFPM" ref="A1:M13" totalsRowShown="0">
  <autoFilter ref="A1:M13" xr:uid="{400FD938-10A4-4DA8-B0EB-32AF803635BE}"/>
  <tableColumns count="13">
    <tableColumn id="1" xr3:uid="{5CE40403-55F6-4E60-88BB-37AB7EB4C07D}" name="data_base" dataDxfId="129"/>
    <tableColumn id="2" xr3:uid="{9EB58FB4-650A-4581-97BC-824680C870CB}" name="arrec_mes_ant" dataCellStyle="Vírgula"/>
    <tableColumn id="3" xr3:uid="{8A37E157-CE60-4E43-933B-76DC9F2FCA4F}" name="arrec_mes_atual" dataCellStyle="Vírgula"/>
    <tableColumn id="4" xr3:uid="{36C97920-620D-488B-9107-BAC00FE528EB}" name="prev_mes_atual" dataCellStyle="Vírgula"/>
    <tableColumn id="5" xr3:uid="{355F0BAA-D27B-4D05-9FDF-55757641EA08}" name="arrec_acum_ant" dataDxfId="128" dataCellStyle="Vírgula">
      <calculatedColumnFormula>IF(tblFPM[[#This Row],[arrec_mes_ant]]&gt;0,SUMIFS(tblFPM[arrec_mes_ant],tblFPM[ano],YEAR(tblFPM[[#This Row],[data_base]]),tblFPM[mês],"&lt;="&amp;MONTH(tblFPM[[#This Row],[data_base]])),"")</calculatedColumnFormula>
    </tableColumn>
    <tableColumn id="6" xr3:uid="{4C092FCC-371F-465C-BF3A-EE0F649DD7F2}" name="arrec_acum_atual" dataDxfId="127" dataCellStyle="Vírgula">
      <calculatedColumnFormula>IF(tblFPM[[#This Row],[arrec_mes_atual]]&gt;0,SUMIFS(tblFPM[arrec_mes_atual],tblFPM[ano],YEAR(tblFPM[[#This Row],[data_base]]),tblFPM[mês],"&lt;="&amp;MONTH(tblFPM[[#This Row],[data_base]])),"")</calculatedColumnFormula>
    </tableColumn>
    <tableColumn id="7" xr3:uid="{FD0065A8-A47A-4577-9FA7-8052F268D160}" name="prev_acum_atual" dataDxfId="126" dataCellStyle="Vírgula">
      <calculatedColumnFormula>IF(tblFPM[[#This Row],[prev_mes_atual]]&gt;0,SUMIFS(tblFPM[prev_mes_atual],tblFPM[ano],YEAR(tblFPM[[#This Row],[data_base]]),tblFPM[mês],"&lt;="&amp;MONTH(tblFPM[[#This Row],[data_base]])),"")</calculatedColumnFormula>
    </tableColumn>
    <tableColumn id="8" xr3:uid="{316B77AA-B547-4ABA-91B1-E818BA1D3399}" name="vl_var_ant" dataDxfId="125" dataCellStyle="Vírgula">
      <calculatedColumnFormula>IFERROR(IF(tblFPM[[#This Row],[arrec_acum_atual]]&gt;0,tblFPM[[#This Row],[arrec_acum_atual]]-tblFPM[[#This Row],[arrec_acum_ant]],""),"")</calculatedColumnFormula>
    </tableColumn>
    <tableColumn id="9" xr3:uid="{1CEED9CB-2EED-4EC9-B5B5-3BA72D82AE57}" name="vl_var_prev" dataDxfId="124" dataCellStyle="Vírgula">
      <calculatedColumnFormula>IFERROR(IF(tblFPM[[#This Row],[arrec_acum_atual]]&gt;0,tblFPM[[#This Row],[arrec_acum_atual]]-tblFPM[[#This Row],[prev_acum_atual]],""),"")</calculatedColumnFormula>
    </tableColumn>
    <tableColumn id="10" xr3:uid="{0DC40A09-1A67-4616-958F-39931F02E53C}" name="var_ant" dataDxfId="123" dataCellStyle="Porcentagem">
      <calculatedColumnFormula>IFERROR(IF(tblFPM[[#This Row],[arrec_acum_atual]]&gt;0,(tblFPM[[#This Row],[arrec_acum_atual]]/tblFPM[[#This Row],[arrec_acum_ant]])-1,""),"")</calculatedColumnFormula>
    </tableColumn>
    <tableColumn id="11" xr3:uid="{E5E1B80F-C80D-44C0-8951-C63B6C07D2A1}" name="var_prev" dataDxfId="122" dataCellStyle="Porcentagem">
      <calculatedColumnFormula>IFERROR(IF(tblFPM[[#This Row],[arrec_acum_atual]]&gt;0,(tblFPM[[#This Row],[arrec_acum_atual]]/tblFPM[[#This Row],[prev_acum_atual]])-1,""),"")</calculatedColumnFormula>
    </tableColumn>
    <tableColumn id="12" xr3:uid="{C3F7D019-5FDC-45C6-9708-A40A49A44C53}" name="ano" dataDxfId="121" dataCellStyle="Vírgula">
      <calculatedColumnFormula>YEAR(tblFPM[[#This Row],[data_base]])</calculatedColumnFormula>
    </tableColumn>
    <tableColumn id="13" xr3:uid="{C7D6F0DE-2694-4FCA-B214-D943AEB4BF00}" name="mês" dataDxfId="120">
      <calculatedColumnFormula>MONTH(tblFPM[[#This Row],[data_base]])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F75D-84D2-487A-BDC6-593089E683D5}" name="tblICMS" displayName="tblICMS" ref="A1:M13" totalsRowShown="0">
  <autoFilter ref="A1:M13" xr:uid="{400FD938-10A4-4DA8-B0EB-32AF803635BE}"/>
  <tableColumns count="13">
    <tableColumn id="1" xr3:uid="{499A0968-F72D-4BC0-AEB4-30385496A764}" name="data_base" dataDxfId="119"/>
    <tableColumn id="2" xr3:uid="{A2CB435F-A3D9-4F25-B999-501B5A2E9BAB}" name="arrec_mes_ant" dataCellStyle="Vírgula"/>
    <tableColumn id="3" xr3:uid="{58F3D4CA-DCE7-4E80-B31A-D330638E7A29}" name="arrec_mes_atual" dataCellStyle="Vírgula"/>
    <tableColumn id="4" xr3:uid="{1271E7D0-B00A-4D59-81C9-E98A064EAED4}" name="prev_mes_atual" dataCellStyle="Vírgula"/>
    <tableColumn id="5" xr3:uid="{33E1CBE9-B525-4FA8-94F3-D0B52D65D6F7}" name="arrec_acum_ant" dataDxfId="118" dataCellStyle="Vírgula">
      <calculatedColumnFormula>IF(tblICMS[[#This Row],[arrec_mes_ant]]&gt;0,SUMIFS(tblICMS[arrec_mes_ant],tblICMS[ano],YEAR(tblICMS[[#This Row],[data_base]]),tblICMS[mês],"&lt;="&amp;MONTH(tblICMS[[#This Row],[data_base]])),"")</calculatedColumnFormula>
    </tableColumn>
    <tableColumn id="6" xr3:uid="{80317DA2-293E-43E9-B739-43FF31A33E10}" name="arrec_acum_atual" dataDxfId="117" dataCellStyle="Vírgula">
      <calculatedColumnFormula>IF(tblICMS[[#This Row],[arrec_mes_atual]]&gt;0,SUMIFS(tblICMS[arrec_mes_atual],tblICMS[ano],YEAR(tblICMS[[#This Row],[data_base]]),tblICMS[mês],"&lt;="&amp;MONTH(tblICMS[[#This Row],[data_base]])),"")</calculatedColumnFormula>
    </tableColumn>
    <tableColumn id="7" xr3:uid="{50BB8040-22B5-4365-B282-A4F771168263}" name="prev_acum_atual" dataDxfId="116" dataCellStyle="Vírgula">
      <calculatedColumnFormula>IF(tblICMS[[#This Row],[prev_mes_atual]]&gt;0,SUMIFS(tblICMS[prev_mes_atual],tblICMS[ano],YEAR(tblICMS[[#This Row],[data_base]]),tblICMS[mês],"&lt;="&amp;MONTH(tblICMS[[#This Row],[data_base]])),"")</calculatedColumnFormula>
    </tableColumn>
    <tableColumn id="8" xr3:uid="{1EA0B4F2-54E2-4BAE-A61A-E31A374A6753}" name="vl_var_ant" dataDxfId="115" dataCellStyle="Vírgula">
      <calculatedColumnFormula>IFERROR(IF(tblICMS[[#This Row],[arrec_acum_atual]]&gt;0,tblICMS[[#This Row],[arrec_acum_atual]]-tblICMS[[#This Row],[arrec_acum_ant]],""),"")</calculatedColumnFormula>
    </tableColumn>
    <tableColumn id="9" xr3:uid="{AB2CEB98-A4DC-4186-9952-D476F6B6127D}" name="vl_var_prev" dataDxfId="114" dataCellStyle="Vírgula">
      <calculatedColumnFormula>IFERROR(IF(tblICMS[[#This Row],[arrec_acum_atual]]&gt;0,tblICMS[[#This Row],[arrec_acum_atual]]-tblICMS[[#This Row],[prev_acum_atual]],""),"")</calculatedColumnFormula>
    </tableColumn>
    <tableColumn id="10" xr3:uid="{3B8003BF-880D-4CE3-A007-14B2F106F89B}" name="var_ant" dataDxfId="113" dataCellStyle="Porcentagem">
      <calculatedColumnFormula>IFERROR(IF(tblICMS[[#This Row],[arrec_acum_atual]]&gt;0,(tblICMS[[#This Row],[arrec_acum_atual]]/tblICMS[[#This Row],[arrec_acum_ant]])-1,""),"")</calculatedColumnFormula>
    </tableColumn>
    <tableColumn id="11" xr3:uid="{377D0D47-07A8-4427-A74C-95C05E0ED6CE}" name="var_prev" dataDxfId="112" dataCellStyle="Porcentagem">
      <calculatedColumnFormula>IFERROR(IF(tblICMS[[#This Row],[arrec_acum_atual]]&gt;0,(tblICMS[[#This Row],[arrec_acum_atual]]/tblICMS[[#This Row],[prev_acum_atual]])-1,""),"")</calculatedColumnFormula>
    </tableColumn>
    <tableColumn id="12" xr3:uid="{F2CC9271-51D1-4941-BB66-4C4E3628490C}" name="ano" dataDxfId="111" dataCellStyle="Vírgula">
      <calculatedColumnFormula>YEAR(tblICMS[[#This Row],[data_base]])</calculatedColumnFormula>
    </tableColumn>
    <tableColumn id="13" xr3:uid="{FD2DA898-587F-4F28-B833-ABF4E785B5D2}" name="mês" dataDxfId="110">
      <calculatedColumnFormula>MONTH(tblICMS[[#This Row],[data_base]])</calculatedColumnFormula>
    </tableColumn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88C28B5-87D5-4DF5-A88A-22BE06061217}" name="tblTransfFUNDEB" displayName="tblTransfFUNDEB" ref="A1:M13" totalsRowShown="0">
  <autoFilter ref="A1:M13" xr:uid="{400FD938-10A4-4DA8-B0EB-32AF803635BE}"/>
  <tableColumns count="13">
    <tableColumn id="1" xr3:uid="{DBC6D00B-C937-4DD5-977E-E6C6ADC934DB}" name="data_base" dataDxfId="109"/>
    <tableColumn id="2" xr3:uid="{02633682-2F9F-44FF-A201-94DE1675455F}" name="arrec_mes_ant" dataCellStyle="Vírgula"/>
    <tableColumn id="3" xr3:uid="{FB429A87-11D2-4922-9271-E0DAD1D7DD49}" name="arrec_mes_atual" dataCellStyle="Vírgula"/>
    <tableColumn id="4" xr3:uid="{DEBCF6DF-CE8C-4ABD-9619-77398B988FC2}" name="prev_mes_atual" dataCellStyle="Vírgula"/>
    <tableColumn id="5" xr3:uid="{31529133-FFEC-45CB-AC9B-B1AFFFC4F566}" name="arrec_acum_ant" dataDxfId="108" dataCellStyle="Vírgula">
      <calculatedColumnFormula>IF(tblTransfFUNDEB[[#This Row],[arrec_mes_ant]]&gt;0,SUMIFS(tblTransfFUNDEB[arrec_mes_ant],tblTransfFUNDEB[ano],YEAR(tblTransfFUNDEB[[#This Row],[data_base]]),tblTransfFUNDEB[mês],"&lt;="&amp;MONTH(tblTransfFUNDEB[[#This Row],[data_base]])),"")</calculatedColumnFormula>
    </tableColumn>
    <tableColumn id="6" xr3:uid="{95A86844-9724-4A71-AE40-D81C2F9BD1E3}" name="arrec_acum_atual" dataDxfId="107" dataCellStyle="Vírgula">
      <calculatedColumnFormula>IF(tblTransfFUNDEB[[#This Row],[arrec_mes_atual]]&gt;0,SUMIFS(tblTransfFUNDEB[arrec_mes_atual],tblTransfFUNDEB[ano],YEAR(tblTransfFUNDEB[[#This Row],[data_base]]),tblTransfFUNDEB[mês],"&lt;="&amp;MONTH(tblTransfFUNDEB[[#This Row],[data_base]])),"")</calculatedColumnFormula>
    </tableColumn>
    <tableColumn id="7" xr3:uid="{2576C325-7C35-4766-ADF5-FC927DD35982}" name="prev_acum_atual" dataDxfId="106" dataCellStyle="Vírgula">
      <calculatedColumnFormula>IF(tblTransfFUNDEB[[#This Row],[prev_mes_atual]]&gt;0,SUMIFS(tblTransfFUNDEB[prev_mes_atual],tblTransfFUNDEB[ano],YEAR(tblTransfFUNDEB[[#This Row],[data_base]]),tblTransfFUNDEB[mês],"&lt;="&amp;MONTH(tblTransfFUNDEB[[#This Row],[data_base]])),"")</calculatedColumnFormula>
    </tableColumn>
    <tableColumn id="8" xr3:uid="{1FA0805F-4C90-4EC4-8B5B-49DEC45258FF}" name="vl_var_ant" dataDxfId="105" dataCellStyle="Vírgula">
      <calculatedColumnFormula>IFERROR(IF(tblTransfFUNDEB[[#This Row],[arrec_acum_atual]]&gt;0,tblTransfFUNDEB[[#This Row],[arrec_acum_atual]]-tblTransfFUNDEB[[#This Row],[arrec_acum_ant]],""),"")</calculatedColumnFormula>
    </tableColumn>
    <tableColumn id="9" xr3:uid="{4ED1257B-2311-4C65-83CD-D177D057AC29}" name="vl_var_prev" dataDxfId="104" dataCellStyle="Vírgula">
      <calculatedColumnFormula>IFERROR(IF(tblTransfFUNDEB[[#This Row],[arrec_acum_atual]]&gt;0,tblTransfFUNDEB[[#This Row],[arrec_acum_atual]]-tblTransfFUNDEB[[#This Row],[prev_acum_atual]],""),"")</calculatedColumnFormula>
    </tableColumn>
    <tableColumn id="10" xr3:uid="{6E8A9D81-7624-4486-A815-5C1AB78C65D4}" name="var_ant" dataDxfId="103" dataCellStyle="Porcentagem">
      <calculatedColumnFormula>IFERROR(IF(tblTransfFUNDEB[[#This Row],[arrec_acum_atual]]&gt;0,(tblTransfFUNDEB[[#This Row],[arrec_acum_atual]]/tblTransfFUNDEB[[#This Row],[arrec_acum_ant]])-1,""),"")</calculatedColumnFormula>
    </tableColumn>
    <tableColumn id="11" xr3:uid="{A1462617-519F-4A56-98D4-CC7F7447210A}" name="var_prev" dataDxfId="102" dataCellStyle="Porcentagem">
      <calculatedColumnFormula>IFERROR(IF(tblTransfFUNDEB[[#This Row],[arrec_acum_atual]]&gt;0,(tblTransfFUNDEB[[#This Row],[arrec_acum_atual]]/tblTransfFUNDEB[[#This Row],[prev_acum_atual]])-1,""),"")</calculatedColumnFormula>
    </tableColumn>
    <tableColumn id="12" xr3:uid="{9D195F71-646F-46C9-8781-BFABC7AB6142}" name="ano" dataDxfId="101" dataCellStyle="Vírgula">
      <calculatedColumnFormula>YEAR(tblTransfFUNDEB[[#This Row],[data_base]])</calculatedColumnFormula>
    </tableColumn>
    <tableColumn id="13" xr3:uid="{179F8D87-9871-41E6-8A0B-C26F26C176E9}" name="mês" dataDxfId="100">
      <calculatedColumnFormula>MONTH(tblTransfFUNDEB[[#This Row],[data_base]])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179FD91-16D5-45F7-BCEB-6B79189D3A3D}" name="tblTransfSaude" displayName="tblTransfSaude" ref="A1:M13" totalsRowShown="0">
  <autoFilter ref="A1:M13" xr:uid="{400FD938-10A4-4DA8-B0EB-32AF803635BE}"/>
  <tableColumns count="13">
    <tableColumn id="1" xr3:uid="{E033377A-62BB-4564-B690-E19F1493D7DB}" name="data_base" dataDxfId="99"/>
    <tableColumn id="2" xr3:uid="{39D992EF-ABB9-4CB8-BC04-E18DCF73A955}" name="arrec_mes_ant" dataCellStyle="Vírgula"/>
    <tableColumn id="3" xr3:uid="{5AC48820-8209-4AFD-A4CA-A6B02E536EE9}" name="arrec_mes_atual" dataCellStyle="Vírgula"/>
    <tableColumn id="4" xr3:uid="{1EC84873-3ED9-4295-A317-288448E9CE15}" name="prev_mes_atual" dataCellStyle="Vírgula"/>
    <tableColumn id="5" xr3:uid="{760384AE-1A76-4338-A8FC-FC9D52CDA320}" name="arrec_acum_ant" dataDxfId="98" dataCellStyle="Vírgula">
      <calculatedColumnFormula>IF(tblTransfSaude[[#This Row],[arrec_mes_ant]]&gt;0,SUMIFS(tblTransfSaude[arrec_mes_ant],tblTransfSaude[ano],YEAR(tblTransfSaude[[#This Row],[data_base]]),tblTransfSaude[mês],"&lt;="&amp;MONTH(tblTransfSaude[[#This Row],[data_base]])),"")</calculatedColumnFormula>
    </tableColumn>
    <tableColumn id="6" xr3:uid="{B737508C-57EF-4A13-9498-51179F958E8E}" name="arrec_acum_atual" dataDxfId="97" dataCellStyle="Vírgula">
      <calculatedColumnFormula>IF(tblTransfSaude[[#This Row],[arrec_mes_atual]]&gt;0,SUMIFS(tblTransfSaude[arrec_mes_atual],tblTransfSaude[ano],YEAR(tblTransfSaude[[#This Row],[data_base]]),tblTransfSaude[mês],"&lt;="&amp;MONTH(tblTransfSaude[[#This Row],[data_base]])),"")</calculatedColumnFormula>
    </tableColumn>
    <tableColumn id="7" xr3:uid="{6FE77BBD-492F-4BE3-96FF-055F31656340}" name="prev_acum_atual" dataDxfId="96" dataCellStyle="Vírgula">
      <calculatedColumnFormula>IF(tblTransfSaude[[#This Row],[prev_mes_atual]]&gt;0,SUMIFS(tblTransfSaude[prev_mes_atual],tblTransfSaude[ano],YEAR(tblTransfSaude[[#This Row],[data_base]]),tblTransfSaude[mês],"&lt;="&amp;MONTH(tblTransfSaude[[#This Row],[data_base]])),"")</calculatedColumnFormula>
    </tableColumn>
    <tableColumn id="8" xr3:uid="{BE018EE6-9633-40DB-8EB3-21C820641902}" name="vl_var_ant" dataDxfId="95" dataCellStyle="Vírgula">
      <calculatedColumnFormula>IFERROR(IF(tblTransfSaude[[#This Row],[arrec_acum_atual]]&gt;0,tblTransfSaude[[#This Row],[arrec_acum_atual]]-tblTransfSaude[[#This Row],[arrec_acum_ant]],""),"")</calculatedColumnFormula>
    </tableColumn>
    <tableColumn id="9" xr3:uid="{7F5DBE41-194D-49E9-9D75-A8D0A50096A4}" name="vl_var_prev" dataDxfId="94" dataCellStyle="Vírgula">
      <calculatedColumnFormula>IFERROR(IF(tblTransfSaude[[#This Row],[arrec_acum_atual]]&gt;0,tblTransfSaude[[#This Row],[arrec_acum_atual]]-tblTransfSaude[[#This Row],[prev_acum_atual]],""),"")</calculatedColumnFormula>
    </tableColumn>
    <tableColumn id="10" xr3:uid="{F3458D19-E14D-4FA6-BA3D-541282078434}" name="var_ant" dataDxfId="93" dataCellStyle="Porcentagem">
      <calculatedColumnFormula>IFERROR(IF(tblTransfSaude[[#This Row],[arrec_acum_atual]]&gt;0,(tblTransfSaude[[#This Row],[arrec_acum_atual]]/tblTransfSaude[[#This Row],[arrec_acum_ant]])-1,""),"")</calculatedColumnFormula>
    </tableColumn>
    <tableColumn id="11" xr3:uid="{F7F51076-7EB9-4F48-8161-1A2F4A33B93C}" name="var_prev" dataDxfId="92" dataCellStyle="Porcentagem">
      <calculatedColumnFormula>IFERROR(IF(tblTransfSaude[[#This Row],[arrec_acum_atual]]&gt;0,(tblTransfSaude[[#This Row],[arrec_acum_atual]]/tblTransfSaude[[#This Row],[prev_acum_atual]])-1,""),"")</calculatedColumnFormula>
    </tableColumn>
    <tableColumn id="12" xr3:uid="{078D62F2-CF22-4236-9849-D246B61D4D59}" name="ano" dataDxfId="91" dataCellStyle="Vírgula">
      <calculatedColumnFormula>YEAR(tblTransfSaude[[#This Row],[data_base]])</calculatedColumnFormula>
    </tableColumn>
    <tableColumn id="13" xr3:uid="{35946DA1-64EB-4157-BC29-AF3945782E43}" name="mês" dataDxfId="90">
      <calculatedColumnFormula>MONTH(tblTransfSaude[[#This Row],[data_base]])</calculatedColumnFormula>
    </tableColumn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B5C3F1C-5C93-436D-9A55-FDFCD3C142C8}" name="tblTransfEducacao" displayName="tblTransfEducacao" ref="A1:M13" totalsRowShown="0">
  <autoFilter ref="A1:M13" xr:uid="{400FD938-10A4-4DA8-B0EB-32AF803635BE}"/>
  <tableColumns count="13">
    <tableColumn id="1" xr3:uid="{09280C75-8170-4BDF-A0EE-3A6C43753CE8}" name="data_base" dataDxfId="89"/>
    <tableColumn id="2" xr3:uid="{4EDB708A-EF76-4D95-80D7-D445887D5A91}" name="arrec_mes_ant" dataCellStyle="Vírgula"/>
    <tableColumn id="3" xr3:uid="{3048FA58-D5B0-473B-8661-7D3C903460E5}" name="arrec_mes_atual" dataCellStyle="Vírgula"/>
    <tableColumn id="4" xr3:uid="{F83F31CC-1EFF-4C8D-95C5-76CF1417EA6A}" name="prev_mes_atual" dataCellStyle="Vírgula"/>
    <tableColumn id="5" xr3:uid="{4CA75B3B-7D25-40EA-A5D2-43E4D8589B86}" name="arrec_acum_ant" dataDxfId="88" dataCellStyle="Vírgula">
      <calculatedColumnFormula>IF(tblTransfEducacao[[#This Row],[arrec_mes_ant]]&gt;0,SUMIFS(tblTransfEducacao[arrec_mes_ant],tblTransfEducacao[ano],YEAR(tblTransfEducacao[[#This Row],[data_base]]),tblTransfEducacao[mês],"&lt;="&amp;MONTH(tblTransfEducacao[[#This Row],[data_base]])),"")</calculatedColumnFormula>
    </tableColumn>
    <tableColumn id="6" xr3:uid="{997EF08A-9E41-4E29-9582-6260B50C2321}" name="arrec_acum_atual" dataDxfId="87" dataCellStyle="Vírgula">
      <calculatedColumnFormula>IF(tblTransfEducacao[[#This Row],[arrec_mes_atual]]&gt;0,SUMIFS(tblTransfEducacao[arrec_mes_atual],tblTransfEducacao[ano],YEAR(tblTransfEducacao[[#This Row],[data_base]]),tblTransfEducacao[mês],"&lt;="&amp;MONTH(tblTransfEducacao[[#This Row],[data_base]])),"")</calculatedColumnFormula>
    </tableColumn>
    <tableColumn id="7" xr3:uid="{EB226840-2825-40EE-9ABB-2A96C5F34AA3}" name="prev_acum_atual" dataDxfId="86" dataCellStyle="Vírgula">
      <calculatedColumnFormula>IF(tblTransfEducacao[[#This Row],[prev_mes_atual]]&gt;0,SUMIFS(tblTransfEducacao[prev_mes_atual],tblTransfEducacao[ano],YEAR(tblTransfEducacao[[#This Row],[data_base]]),tblTransfEducacao[mês],"&lt;="&amp;MONTH(tblTransfEducacao[[#This Row],[data_base]])),"")</calculatedColumnFormula>
    </tableColumn>
    <tableColumn id="8" xr3:uid="{C0308797-48FB-4BF1-BC8C-FDDBC81BA4E6}" name="vl_var_ant" dataDxfId="85" dataCellStyle="Vírgula">
      <calculatedColumnFormula>IFERROR(IF(tblTransfEducacao[[#This Row],[arrec_acum_atual]]&gt;0,tblTransfEducacao[[#This Row],[arrec_acum_atual]]-tblTransfEducacao[[#This Row],[arrec_acum_ant]],""),"")</calculatedColumnFormula>
    </tableColumn>
    <tableColumn id="9" xr3:uid="{9AE7C03C-1C87-4FF5-8EAC-EEEFDEBEB932}" name="vl_var_prev" dataDxfId="84" dataCellStyle="Vírgula">
      <calculatedColumnFormula>IFERROR(IF(tblTransfEducacao[[#This Row],[arrec_acum_atual]]&gt;0,tblTransfEducacao[[#This Row],[arrec_acum_atual]]-tblTransfEducacao[[#This Row],[prev_acum_atual]],""),"")</calculatedColumnFormula>
    </tableColumn>
    <tableColumn id="10" xr3:uid="{877F15B3-0473-4EAB-8128-B4A1F0D76B9D}" name="var_ant" dataDxfId="83" dataCellStyle="Porcentagem">
      <calculatedColumnFormula>IFERROR(IF(tblTransfEducacao[[#This Row],[arrec_acum_atual]]&gt;0,(tblTransfEducacao[[#This Row],[arrec_acum_atual]]/tblTransfEducacao[[#This Row],[arrec_acum_ant]])-1,""),"")</calculatedColumnFormula>
    </tableColumn>
    <tableColumn id="11" xr3:uid="{FA308459-0DE4-4EAE-8301-0E421BF2608F}" name="var_prev" dataDxfId="82" dataCellStyle="Porcentagem">
      <calculatedColumnFormula>IFERROR(IF(tblTransfEducacao[[#This Row],[arrec_acum_atual]]&gt;0,(tblTransfEducacao[[#This Row],[arrec_acum_atual]]/tblTransfEducacao[[#This Row],[prev_acum_atual]])-1,""),"")</calculatedColumnFormula>
    </tableColumn>
    <tableColumn id="12" xr3:uid="{FD2BA217-1E46-4332-A241-838BF8EB43B6}" name="ano" dataDxfId="81" dataCellStyle="Vírgula">
      <calculatedColumnFormula>YEAR(tblTransfEducacao[[#This Row],[data_base]])</calculatedColumnFormula>
    </tableColumn>
    <tableColumn id="13" xr3:uid="{84CE470F-1A76-4625-BF24-F824E695EF37}" name="mês" dataDxfId="80">
      <calculatedColumnFormula>MONTH(tblTransfEducacao[[#This Row],[data_base]])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7A7A47-2DE0-4D0D-988F-2D4DA6D122F7}" name="tblFUNDEB" displayName="tblFUNDEB" ref="A1:G13" totalsRowShown="0">
  <autoFilter ref="A1:G13" xr:uid="{9C7A7A47-2DE0-4D0D-988F-2D4DA6D122F7}"/>
  <tableColumns count="7">
    <tableColumn id="1" xr3:uid="{A66FA045-BA49-4AAE-AAD3-5ACECFBEDA5C}" name="data_base" dataDxfId="213"/>
    <tableColumn id="2" xr3:uid="{5B90594F-67A0-49A7-897B-592FAD629587}" name="indice" dataDxfId="212" dataCellStyle="Porcentagem">
      <calculatedColumnFormula>IFERROR(tblFUNDEB[[#This Row],[despesa_bc]]/tblFUNDEB[[#This Row],[receita_bc]],"")</calculatedColumnFormula>
    </tableColumn>
    <tableColumn id="3" xr3:uid="{EB6F25E5-9623-42F6-B951-142043C5B2BA}" name="minimo" dataCellStyle="Porcentagem"/>
    <tableColumn id="4" xr3:uid="{FE081D6B-9DE9-4C1E-90D9-D15581E38086}" name="receita_bc" dataCellStyle="Vírgula"/>
    <tableColumn id="5" xr3:uid="{B4984DD1-72DD-45CE-B6BE-4601EA8851AA}" name="despesa_bc" dataCellStyle="Vírgula"/>
    <tableColumn id="6" xr3:uid="{0A943D83-39A6-441D-9702-E8C5BCA04252}" name="ano" dataDxfId="211">
      <calculatedColumnFormula>YEAR(tblFUNDEB[[#This Row],[data_base]])</calculatedColumnFormula>
    </tableColumn>
    <tableColumn id="7" xr3:uid="{CF0DC996-6F5E-4113-9570-F8FF2A5DD50C}" name="mês" dataDxfId="210">
      <calculatedColumnFormula>MONTH(tblFUNDEB[[#This Row],[data_base]])</calculatedColumnFormula>
    </tableColumn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8FCA45D-A0B5-4E13-B2F0-5EB65FFD0310}" name="tblTransfAssistSocial" displayName="tblTransfAssistSocial" ref="A1:M13" totalsRowShown="0">
  <autoFilter ref="A1:M13" xr:uid="{400FD938-10A4-4DA8-B0EB-32AF803635BE}"/>
  <tableColumns count="13">
    <tableColumn id="1" xr3:uid="{795CBB80-2704-4D9E-BB92-C341B7519249}" name="data_base" dataDxfId="79"/>
    <tableColumn id="2" xr3:uid="{2B9F2E98-E98E-4F35-8091-3F37177A63DB}" name="arrec_mes_ant" dataCellStyle="Vírgula"/>
    <tableColumn id="3" xr3:uid="{A651B17E-7783-469F-BF43-BD8C780AB4A7}" name="arrec_mes_atual" dataCellStyle="Vírgula"/>
    <tableColumn id="4" xr3:uid="{308CE5DF-33B0-4B88-AAE5-157444391810}" name="prev_mes_atual" dataCellStyle="Vírgula"/>
    <tableColumn id="5" xr3:uid="{C3981E0C-190A-4B90-BF5C-FDA940F46CC8}" name="arrec_acum_ant" dataDxfId="78" dataCellStyle="Vírgula">
      <calculatedColumnFormula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calculatedColumnFormula>
    </tableColumn>
    <tableColumn id="6" xr3:uid="{7057672D-B3C5-4552-B458-B5DEA176B781}" name="arrec_acum_atual" dataDxfId="77" dataCellStyle="Vírgula">
      <calculatedColumnFormula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calculatedColumnFormula>
    </tableColumn>
    <tableColumn id="7" xr3:uid="{E5A5D403-AE2D-48C9-853B-D902163FA57C}" name="prev_acum_atual" dataDxfId="76" dataCellStyle="Vírgula">
      <calculatedColumnFormula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calculatedColumnFormula>
    </tableColumn>
    <tableColumn id="8" xr3:uid="{C4A1EEF0-7B66-486C-BAA3-F8EDDB4CFE8D}" name="vl_var_ant" dataDxfId="75" dataCellStyle="Vírgula">
      <calculatedColumnFormula>IFERROR(IF(tblTransfAssistSocial[[#This Row],[arrec_acum_atual]]&gt;0,tblTransfAssistSocial[[#This Row],[arrec_acum_atual]]-tblTransfAssistSocial[[#This Row],[arrec_acum_ant]],""),"")</calculatedColumnFormula>
    </tableColumn>
    <tableColumn id="9" xr3:uid="{A5FEA98B-EF15-497E-8A47-FABC14AC1895}" name="vl_var_prev" dataDxfId="74" dataCellStyle="Vírgula">
      <calculatedColumnFormula>IFERROR(IF(tblTransfAssistSocial[[#This Row],[arrec_acum_atual]]&gt;0,tblTransfAssistSocial[[#This Row],[arrec_acum_atual]]-tblTransfAssistSocial[[#This Row],[prev_acum_atual]],""),"")</calculatedColumnFormula>
    </tableColumn>
    <tableColumn id="10" xr3:uid="{5CD2496F-6B2D-4245-967C-7FD5BB3E9AB3}" name="var_ant" dataDxfId="73" dataCellStyle="Porcentagem">
      <calculatedColumnFormula>IFERROR(IF(tblTransfAssistSocial[[#This Row],[arrec_acum_atual]]&gt;0,(tblTransfAssistSocial[[#This Row],[arrec_acum_atual]]/tblTransfAssistSocial[[#This Row],[arrec_acum_ant]])-1,""),"")</calculatedColumnFormula>
    </tableColumn>
    <tableColumn id="11" xr3:uid="{0B6FFAAD-4B7E-44D0-8660-51892E8DA392}" name="var_prev" dataDxfId="72" dataCellStyle="Porcentagem">
      <calculatedColumnFormula>IFERROR(IF(tblTransfAssistSocial[[#This Row],[arrec_acum_atual]]&gt;0,(tblTransfAssistSocial[[#This Row],[arrec_acum_atual]]/tblTransfAssistSocial[[#This Row],[prev_acum_atual]])-1,""),"")</calculatedColumnFormula>
    </tableColumn>
    <tableColumn id="12" xr3:uid="{6F557AEA-457F-4FCC-A93C-06F11C039BB2}" name="ano" dataDxfId="71" dataCellStyle="Vírgula">
      <calculatedColumnFormula>YEAR(tblTransfAssistSocial[[#This Row],[data_base]])</calculatedColumnFormula>
    </tableColumn>
    <tableColumn id="13" xr3:uid="{2C6DBFA3-2CBD-492E-97B3-BF7ACE61D34C}" name="mês" dataDxfId="70">
      <calculatedColumnFormula>MONTH(tblTransfAssistSocial[[#This Row],[data_base]])</calculatedColumnFormula>
    </tableColumn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AF3BE3A-CF1D-40A7-B31B-EFDD8807CA84}" name="tblTransfFederal" displayName="tblTransfFederal" ref="A1:M13" totalsRowShown="0">
  <autoFilter ref="A1:M13" xr:uid="{400FD938-10A4-4DA8-B0EB-32AF803635BE}"/>
  <tableColumns count="13">
    <tableColumn id="1" xr3:uid="{2F3347B7-6C02-4252-8262-B82013769A22}" name="data_base" dataDxfId="69"/>
    <tableColumn id="2" xr3:uid="{F27E05D4-6E43-46DE-AB72-FE521BD52778}" name="arrec_mes_ant" dataCellStyle="Vírgula"/>
    <tableColumn id="3" xr3:uid="{3B82DF4F-89A6-4553-9EA1-21E66449EC09}" name="arrec_mes_atual" dataCellStyle="Vírgula"/>
    <tableColumn id="4" xr3:uid="{0A53446B-5AD4-45CB-BA70-EE4AC103CD9C}" name="prev_mes_atual" dataCellStyle="Vírgula"/>
    <tableColumn id="5" xr3:uid="{83B53641-BCE1-4E7E-B0D3-758AB9159C30}" name="arrec_acum_ant" dataDxfId="68" dataCellStyle="Vírgula">
      <calculatedColumnFormula>IF(tblTransfFederal[[#This Row],[arrec_mes_ant]]&gt;0,SUMIFS(tblTransfFederal[arrec_mes_ant],tblTransfFederal[ano],YEAR(tblTransfFederal[[#This Row],[data_base]]),tblTransfFederal[mês],"&lt;="&amp;MONTH(tblTransfFederal[[#This Row],[data_base]])),"")</calculatedColumnFormula>
    </tableColumn>
    <tableColumn id="6" xr3:uid="{91B44C22-54A5-49DE-B170-B3B95BF596BE}" name="arrec_acum_atual" dataDxfId="67" dataCellStyle="Vírgula">
      <calculatedColumnFormula>IF(tblTransfFederal[[#This Row],[arrec_mes_atual]]&gt;0,SUMIFS(tblTransfFederal[arrec_mes_atual],tblTransfFederal[ano],YEAR(tblTransfFederal[[#This Row],[data_base]]),tblTransfFederal[mês],"&lt;="&amp;MONTH(tblTransfFederal[[#This Row],[data_base]])),"")</calculatedColumnFormula>
    </tableColumn>
    <tableColumn id="7" xr3:uid="{B252C602-B9FA-429C-AC9B-931EB39AE03A}" name="prev_acum_atual" dataDxfId="66" dataCellStyle="Vírgula">
      <calculatedColumnFormula>IF(tblTransfFederal[[#This Row],[prev_mes_atual]]&gt;0,SUMIFS(tblTransfFederal[prev_mes_atual],tblTransfFederal[ano],YEAR(tblTransfFederal[[#This Row],[data_base]]),tblTransfFederal[mês],"&lt;="&amp;MONTH(tblTransfFederal[[#This Row],[data_base]])),"")</calculatedColumnFormula>
    </tableColumn>
    <tableColumn id="8" xr3:uid="{3ACD2940-F2E3-4553-A4EA-5B8E6818CBF9}" name="vl_var_ant" dataDxfId="65" dataCellStyle="Vírgula">
      <calculatedColumnFormula>IFERROR(IF(tblTransfFederal[[#This Row],[arrec_acum_atual]]&gt;0,tblTransfFederal[[#This Row],[arrec_acum_atual]]-tblTransfFederal[[#This Row],[arrec_acum_ant]],""),"")</calculatedColumnFormula>
    </tableColumn>
    <tableColumn id="9" xr3:uid="{0E6FB6CB-0A3A-4EB5-ABE9-959D302F0F5C}" name="vl_var_prev" dataDxfId="64" dataCellStyle="Vírgula">
      <calculatedColumnFormula>IFERROR(IF(tblTransfFederal[[#This Row],[arrec_acum_atual]]&gt;0,tblTransfFederal[[#This Row],[arrec_acum_atual]]-tblTransfFederal[[#This Row],[prev_acum_atual]],""),"")</calculatedColumnFormula>
    </tableColumn>
    <tableColumn id="10" xr3:uid="{D8E605EA-059A-49E6-967D-282D4E9C0152}" name="var_ant" dataDxfId="63" dataCellStyle="Porcentagem">
      <calculatedColumnFormula>IFERROR(IF(tblTransfFederal[[#This Row],[arrec_acum_atual]]&gt;0,(tblTransfFederal[[#This Row],[arrec_acum_atual]]/tblTransfFederal[[#This Row],[arrec_acum_ant]])-1,""),"")</calculatedColumnFormula>
    </tableColumn>
    <tableColumn id="11" xr3:uid="{27D049D1-2DBE-44F8-B587-E422F9B864BC}" name="var_prev" dataDxfId="62" dataCellStyle="Porcentagem">
      <calculatedColumnFormula>IFERROR(IF(tblTransfFederal[[#This Row],[arrec_acum_atual]]&gt;0,(tblTransfFederal[[#This Row],[arrec_acum_atual]]/tblTransfFederal[[#This Row],[prev_acum_atual]])-1,""),"")</calculatedColumnFormula>
    </tableColumn>
    <tableColumn id="12" xr3:uid="{C6F42555-B824-42B0-B5F8-5ACFAC27B2BC}" name="ano" dataDxfId="61" dataCellStyle="Vírgula">
      <calculatedColumnFormula>YEAR(tblTransfFederal[[#This Row],[data_base]])</calculatedColumnFormula>
    </tableColumn>
    <tableColumn id="13" xr3:uid="{4D42533B-86DB-43C5-91B4-E3C53F765D36}" name="mês" dataDxfId="60">
      <calculatedColumnFormula>MONTH(tblTransfFederal[[#This Row],[data_base]])</calculatedColumnFormula>
    </tableColumn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E11D478-4CF1-41E1-A2BB-7603ADC0D37B}" name="tblTransfEstadual" displayName="tblTransfEstadual" ref="A1:M13" totalsRowShown="0">
  <autoFilter ref="A1:M13" xr:uid="{400FD938-10A4-4DA8-B0EB-32AF803635BE}"/>
  <tableColumns count="13">
    <tableColumn id="1" xr3:uid="{49771162-1E5B-4765-A36C-2155DE589A76}" name="data_base" dataDxfId="59"/>
    <tableColumn id="2" xr3:uid="{6155361E-182B-4954-B46E-7102C0648494}" name="arrec_mes_ant" dataCellStyle="Vírgula"/>
    <tableColumn id="3" xr3:uid="{D3F4E5CF-47AA-408D-9126-3AB7D935FC38}" name="arrec_mes_atual" dataCellStyle="Vírgula"/>
    <tableColumn id="4" xr3:uid="{84596CD3-D5D2-4A68-82E2-2A8476210D1D}" name="prev_mes_atual" dataCellStyle="Vírgula"/>
    <tableColumn id="5" xr3:uid="{1BED35AC-DC5D-47EE-9ECB-3189F3301495}" name="arrec_acum_ant" dataDxfId="58" dataCellStyle="Vírgula">
      <calculatedColumnFormula>IF(tblTransfEstadual[[#This Row],[arrec_mes_ant]]&gt;0,SUMIFS(tblTransfEstadual[arrec_mes_ant],tblTransfEstadual[ano],YEAR(tblTransfEstadual[[#This Row],[data_base]]),tblTransfEstadual[mês],"&lt;="&amp;MONTH(tblTransfEstadual[[#This Row],[data_base]])),"")</calculatedColumnFormula>
    </tableColumn>
    <tableColumn id="6" xr3:uid="{CD22CDE1-13E2-439F-A7F0-29A577CCFBF0}" name="arrec_acum_atual" dataDxfId="57" dataCellStyle="Vírgula">
      <calculatedColumnFormula>IF(tblTransfEstadual[[#This Row],[arrec_mes_atual]]&gt;0,SUMIFS(tblTransfEstadual[arrec_mes_atual],tblTransfEstadual[ano],YEAR(tblTransfEstadual[[#This Row],[data_base]]),tblTransfEstadual[mês],"&lt;="&amp;MONTH(tblTransfEstadual[[#This Row],[data_base]])),"")</calculatedColumnFormula>
    </tableColumn>
    <tableColumn id="7" xr3:uid="{9986A298-FBE0-4CA6-83B6-599E6AD7026F}" name="prev_acum_atual" dataDxfId="56" dataCellStyle="Vírgula">
      <calculatedColumnFormula>IF(tblTransfEstadual[[#This Row],[prev_mes_atual]]&gt;0,SUMIFS(tblTransfEstadual[prev_mes_atual],tblTransfEstadual[ano],YEAR(tblTransfEstadual[[#This Row],[data_base]]),tblTransfEstadual[mês],"&lt;="&amp;MONTH(tblTransfEstadual[[#This Row],[data_base]])),"")</calculatedColumnFormula>
    </tableColumn>
    <tableColumn id="8" xr3:uid="{1E5FA2C4-B6E7-4397-AD94-B0318EB99298}" name="vl_var_ant" dataDxfId="55" dataCellStyle="Vírgula">
      <calculatedColumnFormula>IFERROR(IF(tblTransfEstadual[[#This Row],[arrec_acum_atual]]&gt;0,tblTransfEstadual[[#This Row],[arrec_acum_atual]]-tblTransfEstadual[[#This Row],[arrec_acum_ant]],""),"")</calculatedColumnFormula>
    </tableColumn>
    <tableColumn id="9" xr3:uid="{0BDC2AC3-566D-4F39-9B7B-67BEFCD8AE78}" name="vl_var_prev" dataDxfId="54" dataCellStyle="Vírgula">
      <calculatedColumnFormula>IFERROR(IF(tblTransfEstadual[[#This Row],[arrec_acum_atual]]&gt;0,tblTransfEstadual[[#This Row],[arrec_acum_atual]]-tblTransfEstadual[[#This Row],[prev_acum_atual]],""),"")</calculatedColumnFormula>
    </tableColumn>
    <tableColumn id="10" xr3:uid="{4EEF2030-3C2C-467B-A2D9-BD3268F3363F}" name="var_ant" dataDxfId="53" dataCellStyle="Porcentagem">
      <calculatedColumnFormula>IFERROR(IF(tblTransfEstadual[[#This Row],[arrec_acum_atual]]&gt;0,(tblTransfEstadual[[#This Row],[arrec_acum_atual]]/tblTransfEstadual[[#This Row],[arrec_acum_ant]])-1,""),"")</calculatedColumnFormula>
    </tableColumn>
    <tableColumn id="11" xr3:uid="{1AAC934B-20C1-4E78-9AA0-15E9E6165DB8}" name="var_prev" dataDxfId="52" dataCellStyle="Porcentagem">
      <calculatedColumnFormula>IFERROR(IF(tblTransfEstadual[[#This Row],[arrec_acum_atual]]&gt;0,(tblTransfEstadual[[#This Row],[arrec_acum_atual]]/tblTransfEstadual[[#This Row],[prev_acum_atual]])-1,""),"")</calculatedColumnFormula>
    </tableColumn>
    <tableColumn id="12" xr3:uid="{D301C7DD-F316-45B6-A549-61B7F95AF61C}" name="ano" dataDxfId="51" dataCellStyle="Vírgula">
      <calculatedColumnFormula>YEAR(tblTransfEstadual[[#This Row],[data_base]])</calculatedColumnFormula>
    </tableColumn>
    <tableColumn id="13" xr3:uid="{CDBE0E33-4D69-4698-9408-B6CA5F314B2C}" name="mês" dataDxfId="50">
      <calculatedColumnFormula>MONTH(tblTransfEstadual[[#This Row],[data_base]])</calculatedColumnFormula>
    </tableColumn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0C99919-A6D2-4E8F-B981-F5DC2E7F7073}" name="tblDespesaTotal" displayName="tblDespesaTotal" ref="A1:P13" totalsRowShown="0">
  <autoFilter ref="A1:P13" xr:uid="{60C99919-A6D2-4E8F-B981-F5DC2E7F7073}"/>
  <tableColumns count="16">
    <tableColumn id="1" xr3:uid="{063DEE91-ABDA-423B-9764-521E444C8D12}" name="data_base" dataDxfId="49"/>
    <tableColumn id="2" xr3:uid="{C572542F-E117-4BEE-92C7-58F948ED22C1}" name="emp_mes" dataDxfId="48"/>
    <tableColumn id="3" xr3:uid="{C6D08217-402A-4E7F-8E9E-3D2028E46E8B}" name="liq_mes" dataDxfId="47"/>
    <tableColumn id="4" xr3:uid="{26E87BC5-B796-4A18-BB8E-D3C659C58BAA}" name="prev_mes" dataDxfId="46"/>
    <tableColumn id="5" xr3:uid="{9BCD5357-9EA5-4F43-907B-93CA8F61E6C2}" name="emp_acum" dataDxfId="45">
      <calculatedColumnFormula>IF(tblDespesaTotal[[#This Row],[emp_mes]]&gt;0,SUMIFS(tblDespesaTotal[emp_mes],tblDespesaTotal[ano],YEAR(tblDespesaTotal[[#This Row],[data_base]]),tblDespesaTotal[mês],"&lt;="&amp;MONTH(tblDespesaTotal[[#This Row],[data_base]])),"")</calculatedColumnFormula>
    </tableColumn>
    <tableColumn id="6" xr3:uid="{4F456861-272F-4C33-BA9A-6847B852D3B4}" name="liq_acum" dataDxfId="44">
      <calculatedColumnFormula>IF(tblDespesaTotal[[#This Row],[liq_mes]]&gt;0,SUMIFS(tblDespesaTotal[liq_mes],tblDespesaTotal[ano],YEAR(tblDespesaTotal[[#This Row],[data_base]]),tblDespesaTotal[mês],"&lt;="&amp;MONTH(tblDespesaTotal[[#This Row],[data_base]])),"")</calculatedColumnFormula>
    </tableColumn>
    <tableColumn id="7" xr3:uid="{DFB9D48E-4CB5-481B-A081-1EC2B123B6DA}" name="prev_acum" dataDxfId="43">
      <calculatedColumnFormula>IF(tblDespesaTotal[[#This Row],[prev_mes]]&gt;0,SUMIFS(tblDespesaTotal[prev_mes],tblDespesaTotal[ano],YEAR(tblDespesaTotal[[#This Row],[data_base]]),tblDespesaTotal[mês],"&lt;="&amp;MONTH(tblDespesaTotal[[#This Row],[data_base]])),"")</calculatedColumnFormula>
    </tableColumn>
    <tableColumn id="8" xr3:uid="{392BBAA1-4828-4C0F-A998-791C4311A838}" name="vl_emp_prev" dataDxfId="42">
      <calculatedColumnFormula>IFERROR(IF(tblDespesaTotal[[#This Row],[emp_mes]]&gt;0,tblDespesaTotal[[#This Row],[emp_acum]]-tblDespesaTotal[[#This Row],[prev_acum]],""),"")</calculatedColumnFormula>
    </tableColumn>
    <tableColumn id="9" xr3:uid="{F838B16B-653A-4BC1-AF2F-BD5C80B8A77B}" name="vl_liq_prev" dataDxfId="41">
      <calculatedColumnFormula>IFERROR(IF(tblDespesaTotal[[#This Row],[liq_mes]]&gt;0,tblDespesaTotal[[#This Row],[liq_acum]]-tblDespesaTotal[[#This Row],[prev_acum]],""),"")</calculatedColumnFormula>
    </tableColumn>
    <tableColumn id="10" xr3:uid="{E8AC78FC-7B6D-4282-8F7E-2DFC9C30D30A}" name="perc_emp_prev" dataDxfId="40" dataCellStyle="Porcentagem">
      <calculatedColumnFormula>IFERROR(IF(tblDespesaTotal[[#This Row],[emp_mes]]&gt;0,(tblDespesaTotal[[#This Row],[emp_acum]]/tblDespesaTotal[[#This Row],[prev_acum]])-1,""),"")</calculatedColumnFormula>
    </tableColumn>
    <tableColumn id="11" xr3:uid="{E41F299F-66F6-426E-AB28-6BDCB7B3E25A}" name="perc_liq_prev" dataDxfId="39" dataCellStyle="Porcentagem">
      <calculatedColumnFormula>IFERROR(IF(tblDespesaTotal[[#This Row],[liq_mes]]&gt;0,(tblDespesaTotal[[#This Row],[liq_acum]]/tblDespesaTotal[[#This Row],[prev_acum]])-1,""),"")</calculatedColumnFormula>
    </tableColumn>
    <tableColumn id="12" xr3:uid="{F94F7C43-D677-4B00-8EFA-C481DB79941B}" name="arrec_acum" dataDxfId="38">
      <calculatedColumnFormula>INDEX(tblReceitaTotal[arrec_acum_atual],MATCH(tblDespesaTotal[[#This Row],[data_base]],tblReceitaTotal[data_base],0))</calculatedColumnFormula>
    </tableColumn>
    <tableColumn id="13" xr3:uid="{6B391724-6906-4874-98E1-FA6DB8A6BCE3}" name="perc_emp_arrec" dataDxfId="37" dataCellStyle="Porcentagem">
      <calculatedColumnFormula>IFERROR(IF(tblDespesaTotal[[#This Row],[emp_acum]]&gt;0,tblDespesaTotal[[#This Row],[emp_acum]]/tblDespesaTotal[[#This Row],[arrec_acum]],""),"")</calculatedColumnFormula>
    </tableColumn>
    <tableColumn id="14" xr3:uid="{692C256F-C6DA-438C-A4E3-0F16FCFA81E0}" name="perc_liq_arrec" dataDxfId="36" dataCellStyle="Porcentagem">
      <calculatedColumnFormula>IFERROR(IF(tblDespesaTotal[[#This Row],[liq_acum]]&gt;0,tblDespesaTotal[[#This Row],[liq_acum]]/tblDespesaTotal[[#This Row],[arrec_acum]],""),"")</calculatedColumnFormula>
    </tableColumn>
    <tableColumn id="15" xr3:uid="{BBB81904-245C-43C0-9CAE-43A4D1EFC1DE}" name="ano" dataDxfId="35">
      <calculatedColumnFormula>YEAR(tblDespesaTotal[[#This Row],[data_base]])</calculatedColumnFormula>
    </tableColumn>
    <tableColumn id="16" xr3:uid="{AEDB159D-55A3-446D-A714-A07238B3E1C4}" name="mês" dataDxfId="34">
      <calculatedColumnFormula>MONTH(tblDespesaTotal[[#This Row],[data_base]])</calculatedColumnFormula>
    </tableColumn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586F02D-A9D8-4A5D-B246-2881548DC835}" name="tblDespesaCorrente" displayName="tblDespesaCorrente" ref="A1:P13" totalsRowShown="0">
  <autoFilter ref="A1:P13" xr:uid="{60C99919-A6D2-4E8F-B981-F5DC2E7F7073}"/>
  <tableColumns count="16">
    <tableColumn id="1" xr3:uid="{0C6BCFD0-5380-4E46-BEBC-DF046FAB12D4}" name="data_base" dataDxfId="33"/>
    <tableColumn id="2" xr3:uid="{15975A41-ED72-47CA-A6F8-578DA83F3844}" name="emp_mes" dataDxfId="32"/>
    <tableColumn id="3" xr3:uid="{8887CED4-F187-4C1C-A1D6-359C253DF1DC}" name="liq_mes" dataDxfId="31"/>
    <tableColumn id="4" xr3:uid="{9DDB267B-2419-4EF4-8993-4EE20197D107}" name="prev_mes" dataDxfId="30"/>
    <tableColumn id="5" xr3:uid="{BF740B63-0C30-4A36-A243-C3398D33B6CC}" name="emp_acum" dataDxfId="29">
      <calculatedColumnFormula>IF(tblDespesaCorrente[[#This Row],[emp_mes]]&gt;0,SUMIFS(tblDespesaCorrente[emp_mes],tblDespesaCorrente[ano],YEAR(tblDespesaCorrente[[#This Row],[data_base]]),tblDespesaCorrente[mês],"&lt;="&amp;MONTH(tblDespesaCorrente[[#This Row],[data_base]])),"")</calculatedColumnFormula>
    </tableColumn>
    <tableColumn id="6" xr3:uid="{5430D3AE-7B1E-4621-8E0E-657558E0A26B}" name="liq_acum" dataDxfId="28">
      <calculatedColumnFormula>IF(tblDespesaCorrente[[#This Row],[liq_mes]]&gt;0,SUMIFS(tblDespesaCorrente[liq_mes],tblDespesaCorrente[ano],YEAR(tblDespesaCorrente[[#This Row],[data_base]]),tblDespesaCorrente[mês],"&lt;="&amp;MONTH(tblDespesaCorrente[[#This Row],[data_base]])),"")</calculatedColumnFormula>
    </tableColumn>
    <tableColumn id="7" xr3:uid="{13C00DC8-1CCB-4692-A0BB-942A43DF80F1}" name="prev_acum" dataDxfId="27">
      <calculatedColumnFormula>IF(tblDespesaCorrente[[#This Row],[prev_mes]]&gt;0,SUMIFS(tblDespesaCorrente[prev_mes],tblDespesaCorrente[ano],YEAR(tblDespesaCorrente[[#This Row],[data_base]]),tblDespesaCorrente[mês],"&lt;="&amp;MONTH(tblDespesaCorrente[[#This Row],[data_base]])),"")</calculatedColumnFormula>
    </tableColumn>
    <tableColumn id="8" xr3:uid="{126F493E-A24E-4618-A09F-F1D3B42F4C96}" name="vl_emp_prev" dataDxfId="26">
      <calculatedColumnFormula>IFERROR(IF(tblDespesaCorrente[[#This Row],[emp_mes]]&gt;0,tblDespesaCorrente[[#This Row],[emp_acum]]-tblDespesaCorrente[[#This Row],[prev_acum]],""),"")</calculatedColumnFormula>
    </tableColumn>
    <tableColumn id="9" xr3:uid="{0BDA796A-26F0-4437-A235-031A4A82C9F3}" name="vl_liq_prev" dataDxfId="25">
      <calculatedColumnFormula>IFERROR(IF(tblDespesaCorrente[[#This Row],[liq_mes]]&gt;0,tblDespesaCorrente[[#This Row],[liq_acum]]-tblDespesaCorrente[[#This Row],[prev_acum]],""),"")</calculatedColumnFormula>
    </tableColumn>
    <tableColumn id="10" xr3:uid="{52FE1C41-55AF-429F-A9DB-FCD964AF0F9D}" name="perc_emp_prev" dataDxfId="24" dataCellStyle="Porcentagem">
      <calculatedColumnFormula>IFERROR(IF(tblDespesaCorrente[[#This Row],[emp_mes]]&gt;0,(tblDespesaCorrente[[#This Row],[emp_acum]]/tblDespesaCorrente[[#This Row],[prev_acum]])-1,""),"")</calculatedColumnFormula>
    </tableColumn>
    <tableColumn id="11" xr3:uid="{9023360A-F61A-4A88-8327-EE0A3633CEA5}" name="perc_liq_prev" dataDxfId="23" dataCellStyle="Porcentagem">
      <calculatedColumnFormula>IFERROR(IF(tblDespesaCorrente[[#This Row],[liq_mes]]&gt;0,(tblDespesaCorrente[[#This Row],[liq_acum]]/tblDespesaCorrente[[#This Row],[prev_acum]])-1,""),"")</calculatedColumnFormula>
    </tableColumn>
    <tableColumn id="12" xr3:uid="{FB306103-BEB3-4AA9-9FC6-9FB2618B9C18}" name="arrec_acum" dataDxfId="22">
      <calculatedColumnFormula>INDEX(tblReceitaCorrente[arrec_acum_atual],MATCH(tblDespesaCorrente[[#This Row],[data_base]],tblReceitaCorrente[data_base],0))</calculatedColumnFormula>
    </tableColumn>
    <tableColumn id="13" xr3:uid="{73BD0E01-8768-4C2D-A6AE-BE316D872F61}" name="perc_emp_arrec" dataDxfId="21" dataCellStyle="Porcentagem">
      <calculatedColumnFormula>IFERROR(IF(tblDespesaCorrente[[#This Row],[emp_acum]]&gt;0,tblDespesaCorrente[[#This Row],[emp_acum]]/tblDespesaCorrente[[#This Row],[arrec_acum]],""),"")</calculatedColumnFormula>
    </tableColumn>
    <tableColumn id="14" xr3:uid="{0BAF3342-4151-4EF1-BEAC-236309BB7BD7}" name="perc_liq_arrec" dataDxfId="20" dataCellStyle="Porcentagem">
      <calculatedColumnFormula>IFERROR(IF(tblDespesaCorrente[[#This Row],[liq_acum]]&gt;0,tblDespesaCorrente[[#This Row],[liq_acum]]/tblDespesaCorrente[[#This Row],[arrec_acum]],""),"")</calculatedColumnFormula>
    </tableColumn>
    <tableColumn id="15" xr3:uid="{55EBD8EA-A341-46EC-A5DF-3FF66A17EC32}" name="ano" dataDxfId="19">
      <calculatedColumnFormula>YEAR(tblDespesaCorrente[[#This Row],[data_base]])</calculatedColumnFormula>
    </tableColumn>
    <tableColumn id="16" xr3:uid="{E4B62AB2-8922-4672-8DAE-445EC3228A10}" name="mês" dataDxfId="18">
      <calculatedColumnFormula>MONTH(tblDespesaCorrente[[#This Row],[data_base]])</calculatedColumnFormula>
    </tableColumn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EC81DA8-97E3-48D9-9E65-29001BF1C684}" name="tblDespesaPessoal" displayName="tblDespesaPessoal" ref="A1:P13" totalsRowShown="0">
  <autoFilter ref="A1:P13" xr:uid="{60C99919-A6D2-4E8F-B981-F5DC2E7F7073}"/>
  <tableColumns count="16">
    <tableColumn id="1" xr3:uid="{A6CC6049-DEDC-4466-BFA8-3D5F91C27B63}" name="data_base" dataDxfId="17"/>
    <tableColumn id="2" xr3:uid="{EAE9FCFA-1366-454F-A7EB-5416F8C72C25}" name="emp_mes" dataDxfId="16"/>
    <tableColumn id="3" xr3:uid="{AE75D594-7D04-432E-86B6-D50E3EF71760}" name="liq_mes" dataDxfId="15"/>
    <tableColumn id="4" xr3:uid="{CE04C805-9192-4BE0-B063-DEED74CCA4A1}" name="prev_mes" dataDxfId="14"/>
    <tableColumn id="5" xr3:uid="{7641A757-F1A0-4426-A01E-E7A155D89A28}" name="emp_acum" dataDxfId="13">
      <calculatedColumnFormula>IF(tblDespesaPessoal[[#This Row],[emp_mes]]&gt;0,SUMIFS(tblDespesaPessoal[emp_mes],tblDespesaPessoal[ano],YEAR(tblDespesaPessoal[[#This Row],[data_base]]),tblDespesaPessoal[mês],"&lt;="&amp;MONTH(tblDespesaPessoal[[#This Row],[data_base]])),"")</calculatedColumnFormula>
    </tableColumn>
    <tableColumn id="6" xr3:uid="{78CB6091-CC0E-4869-BBA8-A9B417DC724E}" name="liq_acum" dataDxfId="12">
      <calculatedColumnFormula>IF(tblDespesaPessoal[[#This Row],[liq_mes]]&gt;0,SUMIFS(tblDespesaPessoal[liq_mes],tblDespesaPessoal[ano],YEAR(tblDespesaPessoal[[#This Row],[data_base]]),tblDespesaPessoal[mês],"&lt;="&amp;MONTH(tblDespesaPessoal[[#This Row],[data_base]])),"")</calculatedColumnFormula>
    </tableColumn>
    <tableColumn id="7" xr3:uid="{FA464A8A-1B33-49CE-8A39-10971557BCBE}" name="prev_acum" dataDxfId="11">
      <calculatedColumnFormula>IF(tblDespesaPessoal[[#This Row],[prev_mes]]&gt;0,SUMIFS(tblDespesaPessoal[prev_mes],tblDespesaPessoal[ano],YEAR(tblDespesaPessoal[[#This Row],[data_base]]),tblDespesaPessoal[mês],"&lt;="&amp;MONTH(tblDespesaPessoal[[#This Row],[data_base]])),"")</calculatedColumnFormula>
    </tableColumn>
    <tableColumn id="8" xr3:uid="{D213BE87-A2F3-4868-95B5-1422819CA3CC}" name="vl_emp_prev" dataDxfId="10">
      <calculatedColumnFormula>IFERROR(IF(tblDespesaPessoal[[#This Row],[emp_mes]]&gt;0,tblDespesaPessoal[[#This Row],[emp_acum]]-tblDespesaPessoal[[#This Row],[prev_acum]],""),"")</calculatedColumnFormula>
    </tableColumn>
    <tableColumn id="9" xr3:uid="{8A159A92-4D5D-4BC2-A67F-34F2D5AC677D}" name="vl_liq_prev" dataDxfId="9">
      <calculatedColumnFormula>IFERROR(IF(tblDespesaPessoal[[#This Row],[liq_mes]]&gt;0,tblDespesaPessoal[[#This Row],[liq_acum]]-tblDespesaPessoal[[#This Row],[prev_acum]],""),"")</calculatedColumnFormula>
    </tableColumn>
    <tableColumn id="10" xr3:uid="{72CF437B-8F00-4556-BBA0-57CF8923E734}" name="perc_emp_prev" dataDxfId="8" dataCellStyle="Porcentagem">
      <calculatedColumnFormula>IFERROR(IF(tblDespesaPessoal[[#This Row],[emp_mes]]&gt;0,(tblDespesaPessoal[[#This Row],[emp_acum]]/tblDespesaPessoal[[#This Row],[prev_acum]])-1,""),"")</calculatedColumnFormula>
    </tableColumn>
    <tableColumn id="11" xr3:uid="{F9BC7D61-6DA5-44D9-898E-769EBF5A5A84}" name="perc_liq_prev" dataDxfId="7" dataCellStyle="Porcentagem">
      <calculatedColumnFormula>IFERROR(IF(tblDespesaPessoal[[#This Row],[liq_mes]]&gt;0,(tblDespesaPessoal[[#This Row],[liq_acum]]/tblDespesaPessoal[[#This Row],[prev_acum]])-1,""),"")</calculatedColumnFormula>
    </tableColumn>
    <tableColumn id="12" xr3:uid="{3BD23023-C2B4-45A4-84C5-D1A02D4C8E77}" name="arrec_acum" dataDxfId="6">
      <calculatedColumnFormula>INDEX(tblReceitaCorrente[arrec_acum_atual],MATCH(tblDespesaPessoal[[#This Row],[data_base]],tblReceitaCorrente[data_base],0))</calculatedColumnFormula>
    </tableColumn>
    <tableColumn id="13" xr3:uid="{B3DE7052-66D9-446C-9B03-233E7B372EB8}" name="perc_emp_arrec" dataDxfId="5" dataCellStyle="Porcentagem">
      <calculatedColumnFormula>IFERROR(IF(tblDespesaPessoal[[#This Row],[emp_acum]]&gt;0,tblDespesaPessoal[[#This Row],[emp_acum]]/tblDespesaPessoal[[#This Row],[arrec_acum]],""),"")</calculatedColumnFormula>
    </tableColumn>
    <tableColumn id="14" xr3:uid="{F9DACB54-BED2-46C7-86F3-5E8D342D7F71}" name="perc_liq_arrec" dataDxfId="4" dataCellStyle="Porcentagem">
      <calculatedColumnFormula>IFERROR(IF(tblDespesaPessoal[[#This Row],[liq_acum]]&gt;0,tblDespesaPessoal[[#This Row],[liq_acum]]/tblDespesaPessoal[[#This Row],[arrec_acum]],""),"")</calculatedColumnFormula>
    </tableColumn>
    <tableColumn id="15" xr3:uid="{E6E58465-95B2-45BE-9520-A33A0B957819}" name="ano" dataDxfId="3">
      <calculatedColumnFormula>YEAR(tblDespesaPessoal[[#This Row],[data_base]])</calculatedColumnFormula>
    </tableColumn>
    <tableColumn id="16" xr3:uid="{C2CB1258-1E40-41AE-B50B-02CB0CA8A4D7}" name="mês" dataDxfId="2">
      <calculatedColumnFormula>MONTH(tblDespesaPessoal[[#This Row],[data_base]])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878CE2-B10F-43CD-AF9E-225C671AF6FC}" name="tblASPS" displayName="tblASPS" ref="A1:G13" totalsRowShown="0">
  <autoFilter ref="A1:G13" xr:uid="{CA878CE2-B10F-43CD-AF9E-225C671AF6FC}"/>
  <tableColumns count="7">
    <tableColumn id="1" xr3:uid="{84CC08DF-6A4F-455C-BBF9-A1EFC0F649E3}" name="data_base" dataDxfId="209"/>
    <tableColumn id="2" xr3:uid="{0F684BBD-D592-4F52-92A2-312FAC48ED86}" name="indice" dataDxfId="208" dataCellStyle="Porcentagem">
      <calculatedColumnFormula>IFERROR(tblASPS[[#This Row],[despesa_bc]]/tblASPS[[#This Row],[receita_bc]],"")</calculatedColumnFormula>
    </tableColumn>
    <tableColumn id="3" xr3:uid="{35234644-DDD6-4359-84E0-A8D828509D09}" name="minimo" dataDxfId="207" dataCellStyle="Porcentagem"/>
    <tableColumn id="4" xr3:uid="{24B52C23-7AD3-49DC-8462-FECB9E5C2080}" name="receita_bc" dataCellStyle="Vírgula"/>
    <tableColumn id="5" xr3:uid="{5893F6C2-8D8F-489E-9646-469E94D07C52}" name="despesa_bc" dataCellStyle="Vírgula"/>
    <tableColumn id="6" xr3:uid="{6643F204-DE48-4247-9C2B-0ED0327E1E00}" name="ano" dataDxfId="206">
      <calculatedColumnFormula>YEAR(tblASPS[[#This Row],[data_base]])</calculatedColumnFormula>
    </tableColumn>
    <tableColumn id="7" xr3:uid="{3CB41315-1BC1-4A2C-B8A5-2D02E72ABC70}" name="mês" dataDxfId="205">
      <calculatedColumnFormula>MONTH(tblASPS[[#This Row],[data_base]])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4FCB38-CB43-4E83-AA26-DDA972693D49}" name="tblPessoalLRF" displayName="tblPessoalLRF" ref="A1:I13" totalsRowShown="0">
  <autoFilter ref="A1:I13" xr:uid="{1C4FCB38-CB43-4E83-AA26-DDA972693D49}"/>
  <tableColumns count="9">
    <tableColumn id="1" xr3:uid="{63B2C788-6683-4389-A2F4-DFCDDCDD5730}" name="data_base" dataDxfId="204"/>
    <tableColumn id="2" xr3:uid="{AE068891-38B0-40FF-8910-3516F6038140}" name="indice" dataDxfId="203" dataCellStyle="Porcentagem">
      <calculatedColumnFormula>IFERROR(tblPessoalLRF[[#This Row],[dtp]]/tblPessoalLRF[[#This Row],[rcl]],"")</calculatedColumnFormula>
    </tableColumn>
    <tableColumn id="3" xr3:uid="{B463F9B2-0E8E-4160-8127-3F94FBF366DB}" name="legal" dataDxfId="202" dataCellStyle="Porcentagem"/>
    <tableColumn id="4" xr3:uid="{B33F75CC-3707-48EA-BB6C-B735C2B48777}" name="prudencial" dataDxfId="201" dataCellStyle="Porcentagem">
      <calculatedColumnFormula>tblPessoalLRF[[#This Row],[legal]]*95%</calculatedColumnFormula>
    </tableColumn>
    <tableColumn id="5" xr3:uid="{4FE694A7-01EE-4FCE-9CA5-F491D5FA8753}" name="alerta" dataDxfId="200" dataCellStyle="Porcentagem">
      <calculatedColumnFormula>tblPessoalLRF[[#This Row],[legal]]*90%</calculatedColumnFormula>
    </tableColumn>
    <tableColumn id="6" xr3:uid="{0F414BF6-1A7E-4185-8478-9ED31E276C84}" name="rcl" dataCellStyle="Vírgula"/>
    <tableColumn id="7" xr3:uid="{B0944DBF-6242-4A97-B5B1-9871C4820FD2}" name="dtp" dataCellStyle="Vírgula"/>
    <tableColumn id="8" xr3:uid="{FF0FCBB1-F4F4-49C1-9AB3-9B2450459450}" name="ano" dataDxfId="199">
      <calculatedColumnFormula>YEAR(tblPessoalLRF[[#This Row],[data_base]])</calculatedColumnFormula>
    </tableColumn>
    <tableColumn id="9" xr3:uid="{5ACDF18C-555C-4D8B-86AB-E03B7ED88C86}" name="mês" dataDxfId="198">
      <calculatedColumnFormula>MONTH(tblPessoalLRF[[#This Row],[data_base]])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71A924-57A9-47A3-A5A5-FA64174E223A}" name="tblSuplementacao" displayName="tblSuplementacao" ref="A1:J13" totalsRowShown="0">
  <autoFilter ref="A1:J13" xr:uid="{E071A924-57A9-47A3-A5A5-FA64174E223A}"/>
  <tableColumns count="10">
    <tableColumn id="1" xr3:uid="{A7790876-C0B1-4DC3-A4BD-E104CBDE8774}" name="data_base" dataDxfId="197"/>
    <tableColumn id="2" xr3:uid="{A132D6AB-69CF-4AE8-9B0E-35BC5695BA4D}" name="vl_autorizado" dataCellStyle="Vírgula"/>
    <tableColumn id="3" xr3:uid="{1B406F64-C05F-43E7-B9B7-B8B8698B3414}" name="vl_utilizado" dataCellStyle="Vírgula"/>
    <tableColumn id="4" xr3:uid="{BBE3F240-E75B-4C08-9AC7-8184E847FD15}" name="vl_disponivel" dataDxfId="196" dataCellStyle="Vírgula">
      <calculatedColumnFormula>IF(tblSuplementacao[[#This Row],[vl_utilizado]]&gt;0,tblSuplementacao[[#This Row],[vl_autorizado]]-tblSuplementacao[[#This Row],[vl_utilizado]],"")</calculatedColumnFormula>
    </tableColumn>
    <tableColumn id="5" xr3:uid="{F383E910-A9EF-4F29-961B-8A2D42A390B3}" name="perc_utilizado" dataDxfId="195" dataCellStyle="Porcentagem">
      <calculatedColumnFormula>IF(tblSuplementacao[[#This Row],[vl_utilizado]]&gt;0,tblSuplementacao[[#This Row],[vl_utilizado]]/tblSuplementacao[[#This Row],[vl_autorizado]]*tblSuplementacao[[#This Row],[perc_limite]],"")</calculatedColumnFormula>
    </tableColumn>
    <tableColumn id="6" xr3:uid="{D538501B-617D-4062-A99D-97EE55BE9B95}" name="perc_esperado" dataDxfId="194" dataCellStyle="Porcentagem">
      <calculatedColumnFormula>tblSuplementacao[[#This Row],[vl_esperado]]/tblSuplementacao[[#This Row],[vl_autorizado]]*tblSuplementacao[[#This Row],[perc_limite]]</calculatedColumnFormula>
    </tableColumn>
    <tableColumn id="7" xr3:uid="{C35D168F-9B40-4E7A-9CCE-220157239E78}" name="perc_limite" dataDxfId="193" dataCellStyle="Porcentagem"/>
    <tableColumn id="8" xr3:uid="{675A0291-EDB9-4391-B67D-2A2AB7A51BD4}" name="vl_esperado" dataDxfId="192" dataCellStyle="Vírgula">
      <calculatedColumnFormula>tblSuplementacao[[#This Row],[vl_autorizado]]/12*tblSuplementacao[[#This Row],[mês]]</calculatedColumnFormula>
    </tableColumn>
    <tableColumn id="9" xr3:uid="{E20B8751-155B-4C40-989F-562A4A14A712}" name="ano" dataDxfId="191">
      <calculatedColumnFormula>YEAR(tblSuplementacao[[#This Row],[data_base]])</calculatedColumnFormula>
    </tableColumn>
    <tableColumn id="10" xr3:uid="{27A7F766-79BC-46E8-A0C1-8D6BA3E1C6DB}" name="mês" dataDxfId="190">
      <calculatedColumnFormula>MONTH(tblSuplementacao[[#This Row],[data_base]])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4C6B5D-85C4-479B-9945-649A0EF9D085}" name="tblReceitaDespesaCorrentes" displayName="tblReceitaDespesaCorrentes" ref="A1:G13" totalsRowShown="0">
  <autoFilter ref="A1:G13" xr:uid="{534C6B5D-85C4-479B-9945-649A0EF9D085}"/>
  <tableColumns count="7">
    <tableColumn id="1" xr3:uid="{1E1B850A-6EAF-4F3C-8213-9E9BD168BC17}" name="data_base" dataDxfId="189"/>
    <tableColumn id="2" xr3:uid="{523B399C-F616-497A-A350-EFF5E57C53AD}" name="indice" dataDxfId="188" dataCellStyle="Porcentagem">
      <calculatedColumnFormula>IFERROR(tblReceitaDespesaCorrentes[[#This Row],[despesa_bc]]/tblReceitaDespesaCorrentes[[#This Row],[receita_bc]],"")</calculatedColumnFormula>
    </tableColumn>
    <tableColumn id="3" xr3:uid="{AE13CDA6-A615-4636-B5D9-832042C7B53A}" name="maximo" dataCellStyle="Porcentagem"/>
    <tableColumn id="4" xr3:uid="{6179F060-F545-4F70-AB28-01A3AFA4E3C2}" name="receita_bc" dataCellStyle="Vírgula"/>
    <tableColumn id="5" xr3:uid="{0AF82643-51F7-4FBE-B7A6-8379DCF2F07C}" name="despesa_bc" dataCellStyle="Vírgula"/>
    <tableColumn id="6" xr3:uid="{275F384F-7C56-46FC-98FC-4CB8B1B5F9B6}" name="ano" dataDxfId="187">
      <calculatedColumnFormula>YEAR(tblReceitaDespesaCorrentes[[#This Row],[data_base]])</calculatedColumnFormula>
    </tableColumn>
    <tableColumn id="7" xr3:uid="{1DABAF88-8A89-4104-84C4-354301D72BD3}" name="mês" dataDxfId="186">
      <calculatedColumnFormula>MONTH(tblReceitaDespesaCorrentes[[#This Row],[data_base]])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5E5EB7-E2E2-461A-9287-71EFB6504C96}" name="tblDotacaoFolha" displayName="tblDotacaoFolha" ref="A1:E13" totalsRowShown="0">
  <autoFilter ref="A1:E13" xr:uid="{D45E5EB7-E2E2-461A-9287-71EFB6504C96}"/>
  <tableColumns count="5">
    <tableColumn id="1" xr3:uid="{2E2EBFE7-08E9-4BED-88EB-689C94858FCC}" name="data_base" dataDxfId="185"/>
    <tableColumn id="2" xr3:uid="{E8A4EB61-8195-490E-9FF9-7677E9F94A1A}" name="com_contratos" dataDxfId="184" dataCellStyle="Vírgula"/>
    <tableColumn id="3" xr3:uid="{8CA4F37F-EB90-440E-9EC4-43443603A470}" name="sem_contratos" dataDxfId="183" dataCellStyle="Vírgula"/>
    <tableColumn id="4" xr3:uid="{D2DE6B6B-99BE-43A8-A2C5-78A5C4F797C6}" name="ano" dataDxfId="182">
      <calculatedColumnFormula>YEAR(tblDotacaoFolha[[#This Row],[data_base]])</calculatedColumnFormula>
    </tableColumn>
    <tableColumn id="5" xr3:uid="{900C46B9-0211-4AE4-B555-839FBD71495A}" name="mês" dataDxfId="181">
      <calculatedColumnFormula>MONTH(tblDotacaoFolha[[#This Row],[data_base]])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E9BB04-7D0E-4A6B-80C8-30D63B4CA202}" name="tblDotacaoVale" displayName="tblDotacaoVale" ref="A1:D13" totalsRowShown="0">
  <autoFilter ref="A1:D13" xr:uid="{42E9BB04-7D0E-4A6B-80C8-30D63B4CA202}"/>
  <tableColumns count="4">
    <tableColumn id="1" xr3:uid="{C39D7ED4-D1A2-4587-BAB9-0EBCBC33E879}" name="data_base" dataDxfId="180"/>
    <tableColumn id="2" xr3:uid="{79779EB5-3A94-484F-B8EF-CCA2885C8E22}" name="valor" dataDxfId="179"/>
    <tableColumn id="3" xr3:uid="{F916C9E3-09B7-4DD0-81BA-B126A9E794F0}" name="ano" dataDxfId="178">
      <calculatedColumnFormula>YEAR(tblDotacaoVale[[#This Row],[data_base]])</calculatedColumnFormula>
    </tableColumn>
    <tableColumn id="4" xr3:uid="{B83DF611-2465-415C-BD96-9ABCB4E971B6}" name="mês" dataDxfId="177">
      <calculatedColumnFormula>MONTH(tblDotacaoVale[[#This Row],[data_base]])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62FC6A-8FEE-48D8-A6CE-D1DBC3F45D38}" name="tblCaixaProjetado" displayName="tblCaixaProjetado" ref="A1:E13" totalsRowShown="0">
  <autoFilter ref="A1:E13" xr:uid="{4662FC6A-8FEE-48D8-A6CE-D1DBC3F45D38}"/>
  <tableColumns count="5">
    <tableColumn id="1" xr3:uid="{FC6B94FA-B762-440C-A24F-63587C8B2FC9}" name="data_base" dataDxfId="176"/>
    <tableColumn id="2" xr3:uid="{207E3D45-BAB8-40DC-853B-5F7D8FAEE34D}" name="total_sem_rpps" dataDxfId="175"/>
    <tableColumn id="3" xr3:uid="{87699B69-773D-4DBB-88A6-BE49880EC9DD}" name="proprio" dataDxfId="174"/>
    <tableColumn id="4" xr3:uid="{9C4FC2CB-3D2E-4722-AFD3-24205946CBBF}" name="ano" dataDxfId="173">
      <calculatedColumnFormula>YEAR(tblCaixaProjetado[[#This Row],[data_base]])</calculatedColumnFormula>
    </tableColumn>
    <tableColumn id="5" xr3:uid="{73BA402F-409B-4D09-A9EB-0C974A7336CE}" name="mês" dataDxfId="172">
      <calculatedColumnFormula>MONTH(tblCaixaProjetado[[#This Row],[data_base]])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797A-B16A-4481-A983-15B0EDEB12E1}">
  <dimension ref="A1:G13"/>
  <sheetViews>
    <sheetView workbookViewId="0">
      <selection activeCell="A2" sqref="A2"/>
    </sheetView>
  </sheetViews>
  <sheetFormatPr defaultRowHeight="15" x14ac:dyDescent="0.25"/>
  <cols>
    <col min="1" max="1" width="12.140625" customWidth="1"/>
    <col min="3" max="3" width="10" customWidth="1"/>
    <col min="4" max="4" width="14.28515625" bestFit="1" customWidth="1"/>
    <col min="5" max="5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44592</v>
      </c>
      <c r="B2" s="3">
        <f>IFERROR(tblMDE[[#This Row],[despesa_bc]]/tblMDE[[#This Row],[receita_bc]],"")</f>
        <v>0.20418584567951711</v>
      </c>
      <c r="C2" s="2">
        <v>0.25</v>
      </c>
      <c r="D2" s="4">
        <v>2242831.37</v>
      </c>
      <c r="E2" s="4">
        <v>457954.42</v>
      </c>
      <c r="F2">
        <f>YEAR(tblMDE[[#This Row],[data_base]])</f>
        <v>2022</v>
      </c>
      <c r="G2">
        <f>MONTH(tblMDE[[#This Row],[data_base]])</f>
        <v>1</v>
      </c>
    </row>
    <row r="3" spans="1:7" x14ac:dyDescent="0.25">
      <c r="A3" s="1">
        <v>44620</v>
      </c>
      <c r="B3" s="3">
        <f>IFERROR(tblMDE[[#This Row],[despesa_bc]]/tblMDE[[#This Row],[receita_bc]],"")</f>
        <v>0.24460755069108883</v>
      </c>
      <c r="C3" s="2">
        <v>0.25</v>
      </c>
      <c r="D3" s="4">
        <v>4928860.8899999997</v>
      </c>
      <c r="E3" s="4">
        <v>1205636.5900000001</v>
      </c>
      <c r="F3">
        <f>YEAR(tblMDE[[#This Row],[data_base]])</f>
        <v>2022</v>
      </c>
      <c r="G3">
        <f>MONTH(tblMDE[[#This Row],[data_base]])</f>
        <v>2</v>
      </c>
    </row>
    <row r="4" spans="1:7" x14ac:dyDescent="0.25">
      <c r="A4" s="1">
        <v>44651</v>
      </c>
      <c r="B4" s="3">
        <f>IFERROR(tblMDE[[#This Row],[despesa_bc]]/tblMDE[[#This Row],[receita_bc]],"")</f>
        <v>0.25297526590332192</v>
      </c>
      <c r="C4" s="2">
        <v>0.25</v>
      </c>
      <c r="D4" s="4">
        <v>7164376.46</v>
      </c>
      <c r="E4" s="4">
        <v>1812410.04</v>
      </c>
      <c r="F4">
        <f>YEAR(tblMDE[[#This Row],[data_base]])</f>
        <v>2022</v>
      </c>
      <c r="G4">
        <f>MONTH(tblMDE[[#This Row],[data_base]])</f>
        <v>3</v>
      </c>
    </row>
    <row r="5" spans="1:7" x14ac:dyDescent="0.25">
      <c r="A5" s="1">
        <v>44681</v>
      </c>
      <c r="B5" s="3">
        <f>IFERROR(tblMDE[[#This Row],[despesa_bc]]/tblMDE[[#This Row],[receita_bc]],"")</f>
        <v>0.26304305043619647</v>
      </c>
      <c r="C5" s="2">
        <v>0.25</v>
      </c>
      <c r="D5" s="4">
        <v>9650489.2100000009</v>
      </c>
      <c r="E5" s="4">
        <v>2538494.12</v>
      </c>
      <c r="F5">
        <f>YEAR(tblMDE[[#This Row],[data_base]])</f>
        <v>2022</v>
      </c>
      <c r="G5">
        <f>MONTH(tblMDE[[#This Row],[data_base]])</f>
        <v>4</v>
      </c>
    </row>
    <row r="6" spans="1:7" x14ac:dyDescent="0.25">
      <c r="A6" s="1">
        <v>44712</v>
      </c>
      <c r="B6" s="3">
        <f>IFERROR(tblMDE[[#This Row],[despesa_bc]]/tblMDE[[#This Row],[receita_bc]],"")</f>
        <v>0.2582243234380901</v>
      </c>
      <c r="C6" s="2">
        <v>0.25</v>
      </c>
      <c r="D6" s="4">
        <v>12516854.52</v>
      </c>
      <c r="E6" s="4">
        <v>3232156.29</v>
      </c>
      <c r="F6">
        <f>YEAR(tblMDE[[#This Row],[data_base]])</f>
        <v>2022</v>
      </c>
      <c r="G6">
        <f>MONTH(tblMDE[[#This Row],[data_base]])</f>
        <v>5</v>
      </c>
    </row>
    <row r="7" spans="1:7" x14ac:dyDescent="0.25">
      <c r="A7" s="1">
        <v>44742</v>
      </c>
      <c r="B7" s="3">
        <f>IFERROR(tblMDE[[#This Row],[despesa_bc]]/tblMDE[[#This Row],[receita_bc]],"")</f>
        <v>0.2704337208595467</v>
      </c>
      <c r="C7" s="2">
        <v>0.25</v>
      </c>
      <c r="D7" s="4">
        <v>15038039.92</v>
      </c>
      <c r="E7" s="4">
        <v>4066793.09</v>
      </c>
      <c r="F7">
        <f>YEAR(tblMDE[[#This Row],[data_base]])</f>
        <v>2022</v>
      </c>
      <c r="G7">
        <f>MONTH(tblMDE[[#This Row],[data_base]])</f>
        <v>6</v>
      </c>
    </row>
    <row r="8" spans="1:7" x14ac:dyDescent="0.25">
      <c r="A8" s="1">
        <v>44773</v>
      </c>
      <c r="B8" s="3">
        <f>IFERROR(tblMDE[[#This Row],[despesa_bc]]/tblMDE[[#This Row],[receita_bc]],"")</f>
        <v>0.27086971066520982</v>
      </c>
      <c r="C8" s="2">
        <v>0.25</v>
      </c>
      <c r="D8" s="4">
        <v>17717455.260000002</v>
      </c>
      <c r="E8" s="4">
        <v>4799121.9800000004</v>
      </c>
      <c r="F8">
        <f>YEAR(tblMDE[[#This Row],[data_base]])</f>
        <v>2022</v>
      </c>
      <c r="G8">
        <f>MONTH(tblMDE[[#This Row],[data_base]])</f>
        <v>7</v>
      </c>
    </row>
    <row r="9" spans="1:7" x14ac:dyDescent="0.25">
      <c r="A9" s="1">
        <v>44804</v>
      </c>
      <c r="B9" s="3">
        <f>IFERROR(tblMDE[[#This Row],[despesa_bc]]/tblMDE[[#This Row],[receita_bc]],"")</f>
        <v>0.28598194809219918</v>
      </c>
      <c r="C9" s="2">
        <v>0.25</v>
      </c>
      <c r="D9" s="4">
        <v>20306909.609999999</v>
      </c>
      <c r="E9" s="4">
        <v>5807409.5700000003</v>
      </c>
      <c r="F9">
        <f>YEAR(tblMDE[[#This Row],[data_base]])</f>
        <v>2022</v>
      </c>
      <c r="G9">
        <f>MONTH(tblMDE[[#This Row],[data_base]])</f>
        <v>8</v>
      </c>
    </row>
    <row r="10" spans="1:7" x14ac:dyDescent="0.25">
      <c r="A10" s="1">
        <v>44834</v>
      </c>
      <c r="B10" s="3">
        <f>IFERROR(tblMDE[[#This Row],[despesa_bc]]/tblMDE[[#This Row],[receita_bc]],"")</f>
        <v>0.30371866385068519</v>
      </c>
      <c r="C10" s="2">
        <v>0.25</v>
      </c>
      <c r="D10" s="4">
        <v>22770755.68</v>
      </c>
      <c r="E10" s="4">
        <v>6915903.4900000002</v>
      </c>
      <c r="F10">
        <f>YEAR(tblMDE[[#This Row],[data_base]])</f>
        <v>2022</v>
      </c>
      <c r="G10">
        <f>MONTH(tblMDE[[#This Row],[data_base]])</f>
        <v>9</v>
      </c>
    </row>
    <row r="11" spans="1:7" x14ac:dyDescent="0.25">
      <c r="A11" s="1">
        <v>44865</v>
      </c>
      <c r="B11" s="3">
        <f>IFERROR(tblMDE[[#This Row],[despesa_bc]]/tblMDE[[#This Row],[receita_bc]],"")</f>
        <v>0.31129242410722074</v>
      </c>
      <c r="C11" s="2">
        <v>0.25</v>
      </c>
      <c r="D11" s="4">
        <v>25203191.829999998</v>
      </c>
      <c r="E11" s="4">
        <v>7845562.6799999997</v>
      </c>
      <c r="F11">
        <f>YEAR(tblMDE[[#This Row],[data_base]])</f>
        <v>2022</v>
      </c>
      <c r="G11">
        <f>MONTH(tblMDE[[#This Row],[data_base]])</f>
        <v>10</v>
      </c>
    </row>
    <row r="12" spans="1:7" x14ac:dyDescent="0.25">
      <c r="A12" s="1">
        <v>44895</v>
      </c>
      <c r="B12" s="3" t="str">
        <f>IFERROR(tblMDE[[#This Row],[despesa_bc]]/tblMDE[[#This Row],[receita_bc]],"")</f>
        <v/>
      </c>
      <c r="C12" s="2">
        <v>0.25</v>
      </c>
      <c r="D12" s="4"/>
      <c r="E12" s="4"/>
      <c r="F12">
        <f>YEAR(tblMDE[[#This Row],[data_base]])</f>
        <v>2022</v>
      </c>
      <c r="G12">
        <f>MONTH(tblMDE[[#This Row],[data_base]])</f>
        <v>11</v>
      </c>
    </row>
    <row r="13" spans="1:7" x14ac:dyDescent="0.25">
      <c r="A13" s="1">
        <v>44926</v>
      </c>
      <c r="B13" s="3" t="str">
        <f>IFERROR(tblMDE[[#This Row],[despesa_bc]]/tblMDE[[#This Row],[receita_bc]],"")</f>
        <v/>
      </c>
      <c r="C13" s="2">
        <v>0.25</v>
      </c>
      <c r="D13" s="4"/>
      <c r="E13" s="4"/>
      <c r="F13">
        <f>YEAR(tblMDE[[#This Row],[data_base]])</f>
        <v>2022</v>
      </c>
      <c r="G13">
        <f>MONTH(tblMDE[[#This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1931-1D25-46F0-B465-40496D87FCA3}">
  <dimension ref="A1:D13"/>
  <sheetViews>
    <sheetView workbookViewId="0">
      <selection activeCell="D3" sqref="D3"/>
    </sheetView>
  </sheetViews>
  <sheetFormatPr defaultRowHeight="15" x14ac:dyDescent="0.25"/>
  <cols>
    <col min="1" max="1" width="12.140625" customWidth="1"/>
    <col min="2" max="2" width="12.42578125" bestFit="1" customWidth="1"/>
  </cols>
  <sheetData>
    <row r="1" spans="1:4" x14ac:dyDescent="0.25">
      <c r="A1" t="s">
        <v>0</v>
      </c>
      <c r="B1" t="s">
        <v>23</v>
      </c>
      <c r="C1" t="s">
        <v>5</v>
      </c>
      <c r="D1" t="s">
        <v>6</v>
      </c>
    </row>
    <row r="2" spans="1:4" x14ac:dyDescent="0.25">
      <c r="A2" s="1">
        <v>44592</v>
      </c>
      <c r="B2" s="6">
        <v>3014671.9599999916</v>
      </c>
      <c r="C2">
        <f>YEAR(tblSuperavit[[#This Row],[data_base]])</f>
        <v>2022</v>
      </c>
      <c r="D2">
        <f>MONTH(tblSuperavit[[#This Row],[data_base]])</f>
        <v>1</v>
      </c>
    </row>
    <row r="3" spans="1:4" x14ac:dyDescent="0.25">
      <c r="A3" s="1">
        <v>44620</v>
      </c>
      <c r="B3" s="6">
        <v>2715659.6299999822</v>
      </c>
      <c r="C3">
        <f>YEAR(tblSuperavit[[#This Row],[data_base]])</f>
        <v>2022</v>
      </c>
      <c r="D3">
        <f>MONTH(tblSuperavit[[#This Row],[data_base]])</f>
        <v>2</v>
      </c>
    </row>
    <row r="4" spans="1:4" x14ac:dyDescent="0.25">
      <c r="A4" s="1">
        <v>44651</v>
      </c>
      <c r="B4" s="6">
        <v>1744397.1099999957</v>
      </c>
      <c r="C4">
        <f>YEAR(tblSuperavit[[#This Row],[data_base]])</f>
        <v>2022</v>
      </c>
      <c r="D4">
        <f>MONTH(tblSuperavit[[#This Row],[data_base]])</f>
        <v>3</v>
      </c>
    </row>
    <row r="5" spans="1:4" x14ac:dyDescent="0.25">
      <c r="A5" s="1">
        <v>44681</v>
      </c>
      <c r="B5" s="6">
        <v>1953994.1900000013</v>
      </c>
      <c r="C5">
        <f>YEAR(tblSuperavit[[#This Row],[data_base]])</f>
        <v>2022</v>
      </c>
      <c r="D5">
        <f>MONTH(tblSuperavit[[#This Row],[data_base]])</f>
        <v>4</v>
      </c>
    </row>
    <row r="6" spans="1:4" x14ac:dyDescent="0.25">
      <c r="A6" s="1">
        <v>44712</v>
      </c>
      <c r="B6" s="6">
        <v>2758334.2900000736</v>
      </c>
      <c r="C6">
        <f>YEAR(tblSuperavit[[#This Row],[data_base]])</f>
        <v>2022</v>
      </c>
      <c r="D6">
        <f>MONTH(tblSuperavit[[#This Row],[data_base]])</f>
        <v>5</v>
      </c>
    </row>
    <row r="7" spans="1:4" x14ac:dyDescent="0.25">
      <c r="A7" s="1">
        <v>44742</v>
      </c>
      <c r="B7" s="6">
        <v>3608438.1200000681</v>
      </c>
      <c r="C7">
        <f>YEAR(tblSuperavit[[#This Row],[data_base]])</f>
        <v>2022</v>
      </c>
      <c r="D7">
        <f>MONTH(tblSuperavit[[#This Row],[data_base]])</f>
        <v>6</v>
      </c>
    </row>
    <row r="8" spans="1:4" x14ac:dyDescent="0.25">
      <c r="A8" s="1">
        <v>44773</v>
      </c>
      <c r="B8" s="6">
        <v>4032139.2900000848</v>
      </c>
      <c r="C8">
        <f>YEAR(tblSuperavit[[#This Row],[data_base]])</f>
        <v>2022</v>
      </c>
      <c r="D8">
        <f>MONTH(tblSuperavit[[#This Row],[data_base]])</f>
        <v>7</v>
      </c>
    </row>
    <row r="9" spans="1:4" x14ac:dyDescent="0.25">
      <c r="A9" s="1">
        <v>44804</v>
      </c>
      <c r="B9" s="6">
        <v>1945265.4400002062</v>
      </c>
      <c r="C9">
        <f>YEAR(tblSuperavit[[#This Row],[data_base]])</f>
        <v>2022</v>
      </c>
      <c r="D9">
        <f>MONTH(tblSuperavit[[#This Row],[data_base]])</f>
        <v>8</v>
      </c>
    </row>
    <row r="10" spans="1:4" x14ac:dyDescent="0.25">
      <c r="A10" s="1">
        <v>44834</v>
      </c>
      <c r="B10" s="6">
        <v>1687927.6600002646</v>
      </c>
      <c r="C10">
        <f>YEAR(tblSuperavit[[#This Row],[data_base]])</f>
        <v>2022</v>
      </c>
      <c r="D10">
        <f>MONTH(tblSuperavit[[#This Row],[data_base]])</f>
        <v>9</v>
      </c>
    </row>
    <row r="11" spans="1:4" x14ac:dyDescent="0.25">
      <c r="A11" s="1">
        <v>44865</v>
      </c>
      <c r="B11" s="6">
        <v>1723057.6100001633</v>
      </c>
      <c r="C11">
        <f>YEAR(tblSuperavit[[#This Row],[data_base]])</f>
        <v>2022</v>
      </c>
      <c r="D11">
        <f>MONTH(tblSuperavit[[#This Row],[data_base]])</f>
        <v>10</v>
      </c>
    </row>
    <row r="12" spans="1:4" x14ac:dyDescent="0.25">
      <c r="A12" s="1">
        <v>44895</v>
      </c>
      <c r="B12" s="6"/>
      <c r="C12">
        <f>YEAR(tblSuperavit[[#This Row],[data_base]])</f>
        <v>2022</v>
      </c>
      <c r="D12">
        <f>MONTH(tblSuperavit[[#This Row],[data_base]])</f>
        <v>11</v>
      </c>
    </row>
    <row r="13" spans="1:4" x14ac:dyDescent="0.25">
      <c r="A13" s="1">
        <v>44926</v>
      </c>
      <c r="B13" s="6"/>
      <c r="C13">
        <f>YEAR(tblSuperavit[[#This Row],[data_base]])</f>
        <v>2022</v>
      </c>
      <c r="D13">
        <f>MONTH(tblSuperavit[[#This Row],[data_base]])</f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763A-7801-42BD-90F7-B0C1A9D8D770}">
  <dimension ref="A1:M13"/>
  <sheetViews>
    <sheetView workbookViewId="0">
      <selection activeCell="H2" sqref="H2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2287215.85</v>
      </c>
      <c r="C2" s="4">
        <v>2700638.48</v>
      </c>
      <c r="D2" s="4">
        <v>2468251.6800000002</v>
      </c>
      <c r="E2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2287215.85</v>
      </c>
      <c r="F2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2700638.48</v>
      </c>
      <c r="G2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2468251.6800000002</v>
      </c>
      <c r="H2" s="4">
        <f>IFERROR(IF(tblReceitaTotal[[#This Row],[arrec_acum_atual]]&gt;0,tblReceitaTotal[[#This Row],[arrec_acum_atual]]-tblReceitaTotal[[#This Row],[arrec_acum_ant]],""),"")</f>
        <v>413422.62999999989</v>
      </c>
      <c r="I2" s="4">
        <f>IFERROR(IF(tblReceitaTotal[[#This Row],[arrec_acum_atual]]&gt;0,tblReceitaTotal[[#This Row],[arrec_acum_atual]]-tblReceitaTotal[[#This Row],[prev_acum_atual]],""),"")</f>
        <v>232386.79999999981</v>
      </c>
      <c r="J2" s="3">
        <f>IFERROR(IF(tblReceitaTotal[[#This Row],[arrec_acum_atual]]&gt;0,(tblReceitaTotal[[#This Row],[arrec_acum_atual]]/tblReceitaTotal[[#This Row],[arrec_acum_ant]])-1,""),"")</f>
        <v>0.18075365733409021</v>
      </c>
      <c r="K2" s="3">
        <f>IFERROR(IF(tblReceitaTotal[[#This Row],[arrec_acum_atual]]&gt;0,(tblReceitaTotal[[#This Row],[arrec_acum_atual]]/tblReceitaTotal[[#This Row],[prev_acum_atual]])-1,""),"")</f>
        <v>9.4150366384030848E-2</v>
      </c>
      <c r="L2" s="7">
        <f>YEAR(tblReceitaTotal[[#This Row],[data_base]])</f>
        <v>2022</v>
      </c>
      <c r="M2">
        <f>MONTH(tblReceitaTotal[[#This Row],[data_base]])</f>
        <v>1</v>
      </c>
    </row>
    <row r="3" spans="1:13" x14ac:dyDescent="0.25">
      <c r="A3" s="1">
        <v>44620</v>
      </c>
      <c r="B3" s="4">
        <v>2315532.9500000002</v>
      </c>
      <c r="C3" s="4">
        <v>2924913.1400000011</v>
      </c>
      <c r="D3" s="4">
        <v>2441011.15</v>
      </c>
      <c r="E3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4602748.8000000007</v>
      </c>
      <c r="F3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5625551.620000001</v>
      </c>
      <c r="G3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4909262.83</v>
      </c>
      <c r="H3" s="4">
        <f>IFERROR(IF(tblReceitaTotal[[#This Row],[arrec_acum_atual]]&gt;0,tblReceitaTotal[[#This Row],[arrec_acum_atual]]-tblReceitaTotal[[#This Row],[arrec_acum_ant]],""),"")</f>
        <v>1022802.8200000003</v>
      </c>
      <c r="I3" s="4">
        <f>IFERROR(IF(tblReceitaTotal[[#This Row],[arrec_acum_atual]]&gt;0,tblReceitaTotal[[#This Row],[arrec_acum_atual]]-tblReceitaTotal[[#This Row],[prev_acum_atual]],""),"")</f>
        <v>716288.79000000097</v>
      </c>
      <c r="J3" s="3">
        <f>IFERROR(IF(tblReceitaTotal[[#This Row],[arrec_acum_atual]]&gt;0,(tblReceitaTotal[[#This Row],[arrec_acum_atual]]/tblReceitaTotal[[#This Row],[arrec_acum_ant]])-1,""),"")</f>
        <v>0.22221565078676475</v>
      </c>
      <c r="K3" s="3">
        <f>IFERROR(IF(tblReceitaTotal[[#This Row],[arrec_acum_atual]]&gt;0,(tblReceitaTotal[[#This Row],[arrec_acum_atual]]/tblReceitaTotal[[#This Row],[prev_acum_atual]])-1,""),"")</f>
        <v>0.14590556969629609</v>
      </c>
      <c r="L3" s="7">
        <f>YEAR(tblReceitaTotal[[#This Row],[data_base]])</f>
        <v>2022</v>
      </c>
      <c r="M3">
        <f>MONTH(tblReceitaTotal[[#This Row],[data_base]])</f>
        <v>2</v>
      </c>
    </row>
    <row r="4" spans="1:13" x14ac:dyDescent="0.25">
      <c r="A4" s="1">
        <v>44651</v>
      </c>
      <c r="B4" s="4">
        <v>2379398.7200000002</v>
      </c>
      <c r="C4" s="4">
        <v>2791585.9099999997</v>
      </c>
      <c r="D4" s="4">
        <v>2388222.31</v>
      </c>
      <c r="E4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6982147.5200000014</v>
      </c>
      <c r="F4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8417137.5300000012</v>
      </c>
      <c r="G4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7297485.1400000006</v>
      </c>
      <c r="H4" s="4">
        <f>IFERROR(IF(tblReceitaTotal[[#This Row],[arrec_acum_atual]]&gt;0,tblReceitaTotal[[#This Row],[arrec_acum_atual]]-tblReceitaTotal[[#This Row],[arrec_acum_ant]],""),"")</f>
        <v>1434990.0099999998</v>
      </c>
      <c r="I4" s="4">
        <f>IFERROR(IF(tblReceitaTotal[[#This Row],[arrec_acum_atual]]&gt;0,tblReceitaTotal[[#This Row],[arrec_acum_atual]]-tblReceitaTotal[[#This Row],[prev_acum_atual]],""),"")</f>
        <v>1119652.3900000006</v>
      </c>
      <c r="J4" s="3">
        <f>IFERROR(IF(tblReceitaTotal[[#This Row],[arrec_acum_atual]]&gt;0,(tblReceitaTotal[[#This Row],[arrec_acum_atual]]/tblReceitaTotal[[#This Row],[arrec_acum_ant]])-1,""),"")</f>
        <v>0.20552272862891319</v>
      </c>
      <c r="K4" s="3">
        <f>IFERROR(IF(tblReceitaTotal[[#This Row],[arrec_acum_atual]]&gt;0,(tblReceitaTotal[[#This Row],[arrec_acum_atual]]/tblReceitaTotal[[#This Row],[prev_acum_atual]])-1,""),"")</f>
        <v>0.15342989653556183</v>
      </c>
      <c r="L4" s="7">
        <f>YEAR(tblReceitaTotal[[#This Row],[data_base]])</f>
        <v>2022</v>
      </c>
      <c r="M4">
        <f>MONTH(tblReceitaTotal[[#This Row],[data_base]])</f>
        <v>3</v>
      </c>
    </row>
    <row r="5" spans="1:13" x14ac:dyDescent="0.25">
      <c r="A5" s="1">
        <v>44681</v>
      </c>
      <c r="B5" s="4">
        <v>2334663.1</v>
      </c>
      <c r="C5" s="4">
        <v>3035696.0000000009</v>
      </c>
      <c r="D5" s="4">
        <v>2470584.91</v>
      </c>
      <c r="E5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9316810.620000001</v>
      </c>
      <c r="F5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11452833.530000001</v>
      </c>
      <c r="G5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9768070.0500000007</v>
      </c>
      <c r="H5" s="4">
        <f>IFERROR(IF(tblReceitaTotal[[#This Row],[arrec_acum_atual]]&gt;0,tblReceitaTotal[[#This Row],[arrec_acum_atual]]-tblReceitaTotal[[#This Row],[arrec_acum_ant]],""),"")</f>
        <v>2136022.91</v>
      </c>
      <c r="I5" s="4">
        <f>IFERROR(IF(tblReceitaTotal[[#This Row],[arrec_acum_atual]]&gt;0,tblReceitaTotal[[#This Row],[arrec_acum_atual]]-tblReceitaTotal[[#This Row],[prev_acum_atual]],""),"")</f>
        <v>1684763.4800000004</v>
      </c>
      <c r="J5" s="3">
        <f>IFERROR(IF(tblReceitaTotal[[#This Row],[arrec_acum_atual]]&gt;0,(tblReceitaTotal[[#This Row],[arrec_acum_atual]]/tblReceitaTotal[[#This Row],[arrec_acum_ant]])-1,""),"")</f>
        <v>0.2292654640220646</v>
      </c>
      <c r="K5" s="3">
        <f>IFERROR(IF(tblReceitaTotal[[#This Row],[arrec_acum_atual]]&gt;0,(tblReceitaTotal[[#This Row],[arrec_acum_atual]]/tblReceitaTotal[[#This Row],[prev_acum_atual]])-1,""),"")</f>
        <v>0.17247659684832017</v>
      </c>
      <c r="L5" s="7">
        <f>YEAR(tblReceitaTotal[[#This Row],[data_base]])</f>
        <v>2022</v>
      </c>
      <c r="M5">
        <f>MONTH(tblReceitaTotal[[#This Row],[data_base]])</f>
        <v>4</v>
      </c>
    </row>
    <row r="6" spans="1:13" x14ac:dyDescent="0.25">
      <c r="A6" s="1">
        <v>44712</v>
      </c>
      <c r="B6" s="4">
        <v>2681734.94</v>
      </c>
      <c r="C6" s="4">
        <v>3597719.07</v>
      </c>
      <c r="D6" s="4">
        <v>2661530.59</v>
      </c>
      <c r="E6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11998545.560000001</v>
      </c>
      <c r="F6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15050552.600000001</v>
      </c>
      <c r="G6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12429600.640000001</v>
      </c>
      <c r="H6" s="4">
        <f>IFERROR(IF(tblReceitaTotal[[#This Row],[arrec_acum_atual]]&gt;0,tblReceitaTotal[[#This Row],[arrec_acum_atual]]-tblReceitaTotal[[#This Row],[arrec_acum_ant]],""),"")</f>
        <v>3052007.040000001</v>
      </c>
      <c r="I6" s="4">
        <f>IFERROR(IF(tblReceitaTotal[[#This Row],[arrec_acum_atual]]&gt;0,tblReceitaTotal[[#This Row],[arrec_acum_atual]]-tblReceitaTotal[[#This Row],[prev_acum_atual]],""),"")</f>
        <v>2620951.9600000009</v>
      </c>
      <c r="J6" s="3">
        <f>IFERROR(IF(tblReceitaTotal[[#This Row],[arrec_acum_atual]]&gt;0,(tblReceitaTotal[[#This Row],[arrec_acum_atual]]/tblReceitaTotal[[#This Row],[arrec_acum_ant]])-1,""),"")</f>
        <v>0.25436474985556501</v>
      </c>
      <c r="K6" s="3">
        <f>IFERROR(IF(tblReceitaTotal[[#This Row],[arrec_acum_atual]]&gt;0,(tblReceitaTotal[[#This Row],[arrec_acum_atual]]/tblReceitaTotal[[#This Row],[prev_acum_atual]])-1,""),"")</f>
        <v>0.21086373053414542</v>
      </c>
      <c r="L6" s="7">
        <f>YEAR(tblReceitaTotal[[#This Row],[data_base]])</f>
        <v>2022</v>
      </c>
      <c r="M6">
        <f>MONTH(tblReceitaTotal[[#This Row],[data_base]])</f>
        <v>5</v>
      </c>
    </row>
    <row r="7" spans="1:13" x14ac:dyDescent="0.25">
      <c r="A7" s="1">
        <v>44742</v>
      </c>
      <c r="B7" s="4">
        <v>2832647.5</v>
      </c>
      <c r="C7" s="4">
        <v>3293495.1800000016</v>
      </c>
      <c r="D7" s="4">
        <v>2829216.29</v>
      </c>
      <c r="E7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14831193.060000001</v>
      </c>
      <c r="F7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18344047.780000001</v>
      </c>
      <c r="G7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15258816.93</v>
      </c>
      <c r="H7" s="4">
        <f>IFERROR(IF(tblReceitaTotal[[#This Row],[arrec_acum_atual]]&gt;0,tblReceitaTotal[[#This Row],[arrec_acum_atual]]-tblReceitaTotal[[#This Row],[arrec_acum_ant]],""),"")</f>
        <v>3512854.7200000007</v>
      </c>
      <c r="I7" s="4">
        <f>IFERROR(IF(tblReceitaTotal[[#This Row],[arrec_acum_atual]]&gt;0,tblReceitaTotal[[#This Row],[arrec_acum_atual]]-tblReceitaTotal[[#This Row],[prev_acum_atual]],""),"")</f>
        <v>3085230.8500000015</v>
      </c>
      <c r="J7" s="3">
        <f>IFERROR(IF(tblReceitaTotal[[#This Row],[arrec_acum_atual]]&gt;0,(tblReceitaTotal[[#This Row],[arrec_acum_atual]]/tblReceitaTotal[[#This Row],[arrec_acum_ant]])-1,""),"")</f>
        <v>0.23685584199387399</v>
      </c>
      <c r="K7" s="3">
        <f>IFERROR(IF(tblReceitaTotal[[#This Row],[arrec_acum_atual]]&gt;0,(tblReceitaTotal[[#This Row],[arrec_acum_atual]]/tblReceitaTotal[[#This Row],[prev_acum_atual]])-1,""),"")</f>
        <v>0.20219331971499055</v>
      </c>
      <c r="L7" s="7">
        <f>YEAR(tblReceitaTotal[[#This Row],[data_base]])</f>
        <v>2022</v>
      </c>
      <c r="M7">
        <f>MONTH(tblReceitaTotal[[#This Row],[data_base]])</f>
        <v>6</v>
      </c>
    </row>
    <row r="8" spans="1:13" x14ac:dyDescent="0.25">
      <c r="A8" s="1">
        <v>44773</v>
      </c>
      <c r="B8" s="4">
        <v>3563635.26</v>
      </c>
      <c r="C8" s="4">
        <v>4446708.68</v>
      </c>
      <c r="D8" s="4">
        <v>2906407.64</v>
      </c>
      <c r="E8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18394828.32</v>
      </c>
      <c r="F8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22790756.460000001</v>
      </c>
      <c r="G8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18165224.57</v>
      </c>
      <c r="H8" s="4">
        <f>IFERROR(IF(tblReceitaTotal[[#This Row],[arrec_acum_atual]]&gt;0,tblReceitaTotal[[#This Row],[arrec_acum_atual]]-tblReceitaTotal[[#This Row],[arrec_acum_ant]],""),"")</f>
        <v>4395928.1400000006</v>
      </c>
      <c r="I8" s="4">
        <f>IFERROR(IF(tblReceitaTotal[[#This Row],[arrec_acum_atual]]&gt;0,tblReceitaTotal[[#This Row],[arrec_acum_atual]]-tblReceitaTotal[[#This Row],[prev_acum_atual]],""),"")</f>
        <v>4625531.8900000006</v>
      </c>
      <c r="J8" s="3">
        <f>IFERROR(IF(tblReceitaTotal[[#This Row],[arrec_acum_atual]]&gt;0,(tblReceitaTotal[[#This Row],[arrec_acum_atual]]/tblReceitaTotal[[#This Row],[arrec_acum_ant]])-1,""),"")</f>
        <v>0.23897630701018691</v>
      </c>
      <c r="K8" s="3">
        <f>IFERROR(IF(tblReceitaTotal[[#This Row],[arrec_acum_atual]]&gt;0,(tblReceitaTotal[[#This Row],[arrec_acum_atual]]/tblReceitaTotal[[#This Row],[prev_acum_atual]])-1,""),"")</f>
        <v>0.25463664774280304</v>
      </c>
      <c r="L8" s="7">
        <f>YEAR(tblReceitaTotal[[#This Row],[data_base]])</f>
        <v>2022</v>
      </c>
      <c r="M8">
        <f>MONTH(tblReceitaTotal[[#This Row],[data_base]])</f>
        <v>7</v>
      </c>
    </row>
    <row r="9" spans="1:13" x14ac:dyDescent="0.25">
      <c r="A9" s="1">
        <v>44804</v>
      </c>
      <c r="B9" s="4">
        <v>2555324.81</v>
      </c>
      <c r="C9" s="4">
        <v>2944617.65</v>
      </c>
      <c r="D9" s="4">
        <v>2365216.19</v>
      </c>
      <c r="E9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20950153.129999999</v>
      </c>
      <c r="F9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25735374.109999999</v>
      </c>
      <c r="G9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20530440.760000002</v>
      </c>
      <c r="H9" s="4">
        <f>IFERROR(IF(tblReceitaTotal[[#This Row],[arrec_acum_atual]]&gt;0,tblReceitaTotal[[#This Row],[arrec_acum_atual]]-tblReceitaTotal[[#This Row],[arrec_acum_ant]],""),"")</f>
        <v>4785220.9800000004</v>
      </c>
      <c r="I9" s="4">
        <f>IFERROR(IF(tblReceitaTotal[[#This Row],[arrec_acum_atual]]&gt;0,tblReceitaTotal[[#This Row],[arrec_acum_atual]]-tblReceitaTotal[[#This Row],[prev_acum_atual]],""),"")</f>
        <v>5204933.3499999978</v>
      </c>
      <c r="J9" s="3">
        <f>IFERROR(IF(tblReceitaTotal[[#This Row],[arrec_acum_atual]]&gt;0,(tblReceitaTotal[[#This Row],[arrec_acum_atual]]/tblReceitaTotal[[#This Row],[arrec_acum_ant]])-1,""),"")</f>
        <v>0.2284098331075064</v>
      </c>
      <c r="K9" s="3">
        <f>IFERROR(IF(tblReceitaTotal[[#This Row],[arrec_acum_atual]]&gt;0,(tblReceitaTotal[[#This Row],[arrec_acum_atual]]/tblReceitaTotal[[#This Row],[prev_acum_atual]])-1,""),"")</f>
        <v>0.25352272807220522</v>
      </c>
      <c r="L9" s="7">
        <f>YEAR(tblReceitaTotal[[#This Row],[data_base]])</f>
        <v>2022</v>
      </c>
      <c r="M9">
        <f>MONTH(tblReceitaTotal[[#This Row],[data_base]])</f>
        <v>8</v>
      </c>
    </row>
    <row r="10" spans="1:13" x14ac:dyDescent="0.25">
      <c r="A10" s="1">
        <v>44834</v>
      </c>
      <c r="B10" s="4">
        <v>2302703.52</v>
      </c>
      <c r="C10" s="4">
        <v>2855031.3300000005</v>
      </c>
      <c r="D10" s="4">
        <v>2363295.06</v>
      </c>
      <c r="E10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23252856.649999999</v>
      </c>
      <c r="F10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28590405.440000001</v>
      </c>
      <c r="G10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22893735.82</v>
      </c>
      <c r="H10" s="4">
        <f>IFERROR(IF(tblReceitaTotal[[#This Row],[arrec_acum_atual]]&gt;0,tblReceitaTotal[[#This Row],[arrec_acum_atual]]-tblReceitaTotal[[#This Row],[arrec_acum_ant]],""),"")</f>
        <v>5337548.7900000028</v>
      </c>
      <c r="I10" s="4">
        <f>IFERROR(IF(tblReceitaTotal[[#This Row],[arrec_acum_atual]]&gt;0,tblReceitaTotal[[#This Row],[arrec_acum_atual]]-tblReceitaTotal[[#This Row],[prev_acum_atual]],""),"")</f>
        <v>5696669.620000001</v>
      </c>
      <c r="J10" s="3">
        <f>IFERROR(IF(tblReceitaTotal[[#This Row],[arrec_acum_atual]]&gt;0,(tblReceitaTotal[[#This Row],[arrec_acum_atual]]/tblReceitaTotal[[#This Row],[arrec_acum_ant]])-1,""),"")</f>
        <v>0.2295437876876949</v>
      </c>
      <c r="K10" s="3">
        <f>IFERROR(IF(tblReceitaTotal[[#This Row],[arrec_acum_atual]]&gt;0,(tblReceitaTotal[[#This Row],[arrec_acum_atual]]/tblReceitaTotal[[#This Row],[prev_acum_atual]])-1,""),"")</f>
        <v>0.24883093195403183</v>
      </c>
      <c r="L10" s="7">
        <f>YEAR(tblReceitaTotal[[#This Row],[data_base]])</f>
        <v>2022</v>
      </c>
      <c r="M10">
        <f>MONTH(tblReceitaTotal[[#This Row],[data_base]])</f>
        <v>9</v>
      </c>
    </row>
    <row r="11" spans="1:13" x14ac:dyDescent="0.25">
      <c r="A11" s="1">
        <v>44865</v>
      </c>
      <c r="B11" s="4">
        <v>2600443.64</v>
      </c>
      <c r="C11" s="4">
        <v>3021180.1999999988</v>
      </c>
      <c r="D11" s="4">
        <v>2646674.7000000002</v>
      </c>
      <c r="E11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25853300.289999999</v>
      </c>
      <c r="F11" s="4">
        <f>IF(tblReceitaTotal[[#This Row],[arrec_mes_atual]]&gt;0,SUMIFS(tblReceitaTotal[arrec_mes_atual],tblReceitaTotal[ano],YEAR(tblReceitaTotal[[#This Row],[data_base]]),tblReceitaTotal[mês],"&lt;="&amp;MONTH(tblReceitaTotal[[#This Row],[data_base]])),"")</f>
        <v>31611585.640000001</v>
      </c>
      <c r="G11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25540410.52</v>
      </c>
      <c r="H11" s="4">
        <f>IFERROR(IF(tblReceitaTotal[[#This Row],[arrec_acum_atual]]&gt;0,tblReceitaTotal[[#This Row],[arrec_acum_atual]]-tblReceitaTotal[[#This Row],[arrec_acum_ant]],""),"")</f>
        <v>5758285.3500000015</v>
      </c>
      <c r="I11" s="4">
        <f>IFERROR(IF(tblReceitaTotal[[#This Row],[arrec_acum_atual]]&gt;0,tblReceitaTotal[[#This Row],[arrec_acum_atual]]-tblReceitaTotal[[#This Row],[prev_acum_atual]],""),"")</f>
        <v>6071175.120000001</v>
      </c>
      <c r="J11" s="3">
        <f>IFERROR(IF(tblReceitaTotal[[#This Row],[arrec_acum_atual]]&gt;0,(tblReceitaTotal[[#This Row],[arrec_acum_atual]]/tblReceitaTotal[[#This Row],[arrec_acum_ant]])-1,""),"")</f>
        <v>0.22272921775589682</v>
      </c>
      <c r="K11" s="3">
        <f>IFERROR(IF(tblReceitaTotal[[#This Row],[arrec_acum_atual]]&gt;0,(tblReceitaTotal[[#This Row],[arrec_acum_atual]]/tblReceitaTotal[[#This Row],[prev_acum_atual]])-1,""),"")</f>
        <v>0.23770859576614201</v>
      </c>
      <c r="L11" s="7">
        <f>YEAR(tblReceitaTotal[[#This Row],[data_base]])</f>
        <v>2022</v>
      </c>
      <c r="M11">
        <f>MONTH(tblReceitaTotal[[#This Row],[data_base]])</f>
        <v>10</v>
      </c>
    </row>
    <row r="12" spans="1:13" x14ac:dyDescent="0.25">
      <c r="A12" s="1">
        <v>44895</v>
      </c>
      <c r="B12" s="4">
        <v>2784284.23</v>
      </c>
      <c r="C12" s="4"/>
      <c r="D12" s="4">
        <v>2654000.94</v>
      </c>
      <c r="E12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28637584.52</v>
      </c>
      <c r="F12" s="4" t="str">
        <f>IF(tblReceitaTotal[[#This Row],[arrec_mes_atual]]&gt;0,SUMIFS(tblReceitaTotal[arrec_mes_atual],tblReceitaTotal[ano],YEAR(tblReceitaTotal[[#This Row],[data_base]]),tblReceitaTotal[mês],"&lt;="&amp;MONTH(tblReceitaTotal[[#This Row],[data_base]])),"")</f>
        <v/>
      </c>
      <c r="G12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28194411.460000001</v>
      </c>
      <c r="H12" s="4" t="str">
        <f>IFERROR(IF(tblReceitaTotal[[#This Row],[arrec_acum_atual]]&gt;0,tblReceitaTotal[[#This Row],[arrec_acum_atual]]-tblReceitaTotal[[#This Row],[arrec_acum_ant]],""),"")</f>
        <v/>
      </c>
      <c r="I12" s="4" t="str">
        <f>IFERROR(IF(tblReceitaTotal[[#This Row],[arrec_acum_atual]]&gt;0,tblReceitaTotal[[#This Row],[arrec_acum_atual]]-tblReceitaTotal[[#This Row],[prev_acum_atual]],""),"")</f>
        <v/>
      </c>
      <c r="J12" s="3" t="str">
        <f>IFERROR(IF(tblReceitaTotal[[#This Row],[arrec_acum_atual]]&gt;0,(tblReceitaTotal[[#This Row],[arrec_acum_atual]]/tblReceitaTotal[[#This Row],[arrec_acum_ant]])-1,""),"")</f>
        <v/>
      </c>
      <c r="K12" s="3" t="str">
        <f>IFERROR(IF(tblReceitaTotal[[#This Row],[arrec_acum_atual]]&gt;0,(tblReceitaTotal[[#This Row],[arrec_acum_atual]]/tblReceitaTotal[[#This Row],[prev_acum_atual]])-1,""),"")</f>
        <v/>
      </c>
      <c r="L12" s="7">
        <f>YEAR(tblReceitaTotal[[#This Row],[data_base]])</f>
        <v>2022</v>
      </c>
      <c r="M12">
        <f>MONTH(tblReceitaTotal[[#This Row],[data_base]])</f>
        <v>11</v>
      </c>
    </row>
    <row r="13" spans="1:13" x14ac:dyDescent="0.25">
      <c r="A13" s="1">
        <v>44926</v>
      </c>
      <c r="B13" s="4">
        <v>4351301.6100000003</v>
      </c>
      <c r="C13" s="4"/>
      <c r="D13" s="4">
        <v>3857476.63</v>
      </c>
      <c r="E13" s="4">
        <f>IF(tblReceitaTotal[[#This Row],[arrec_mes_ant]]&gt;0,SUMIFS(tblReceitaTotal[arrec_mes_ant],tblReceitaTotal[ano],YEAR(tblReceitaTotal[[#This Row],[data_base]]),tblReceitaTotal[mês],"&lt;="&amp;MONTH(tblReceitaTotal[[#This Row],[data_base]])),"")</f>
        <v>32988886.129999999</v>
      </c>
      <c r="F13" s="4" t="str">
        <f>IF(tblReceitaTotal[[#This Row],[arrec_mes_atual]]&gt;0,SUMIFS(tblReceitaTotal[arrec_mes_atual],tblReceitaTotal[ano],YEAR(tblReceitaTotal[[#This Row],[data_base]]),tblReceitaTotal[mês],"&lt;="&amp;MONTH(tblReceitaTotal[[#This Row],[data_base]])),"")</f>
        <v/>
      </c>
      <c r="G13" s="4">
        <f>IF(tblReceitaTotal[[#This Row],[prev_mes_atual]]&gt;0,SUMIFS(tblReceitaTotal[prev_mes_atual],tblReceitaTotal[ano],YEAR(tblReceitaTotal[[#This Row],[data_base]]),tblReceitaTotal[mês],"&lt;="&amp;MONTH(tblReceitaTotal[[#This Row],[data_base]])),"")</f>
        <v>32051888.09</v>
      </c>
      <c r="H13" s="4" t="str">
        <f>IFERROR(IF(tblReceitaTotal[[#This Row],[arrec_acum_atual]]&gt;0,tblReceitaTotal[[#This Row],[arrec_acum_atual]]-tblReceitaTotal[[#This Row],[arrec_acum_ant]],""),"")</f>
        <v/>
      </c>
      <c r="I13" s="4" t="str">
        <f>IFERROR(IF(tblReceitaTotal[[#This Row],[arrec_acum_atual]]&gt;0,tblReceitaTotal[[#This Row],[arrec_acum_atual]]-tblReceitaTotal[[#This Row],[prev_acum_atual]],""),"")</f>
        <v/>
      </c>
      <c r="J13" s="3" t="str">
        <f>IFERROR(IF(tblReceitaTotal[[#This Row],[arrec_acum_atual]]&gt;0,(tblReceitaTotal[[#This Row],[arrec_acum_atual]]/tblReceitaTotal[[#This Row],[arrec_acum_ant]])-1,""),"")</f>
        <v/>
      </c>
      <c r="K13" s="3" t="str">
        <f>IFERROR(IF(tblReceitaTotal[[#This Row],[arrec_acum_atual]]&gt;0,(tblReceitaTotal[[#This Row],[arrec_acum_atual]]/tblReceitaTotal[[#This Row],[prev_acum_atual]])-1,""),"")</f>
        <v/>
      </c>
      <c r="L13" s="7">
        <f>YEAR(tblReceitaTotal[[#This Row],[data_base]])</f>
        <v>2022</v>
      </c>
      <c r="M13">
        <f>MONTH(tblReceitaTotal[[#This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4D9A-47EB-4B95-ACCE-40AE3F0A9BB1}">
  <dimension ref="A1:M13"/>
  <sheetViews>
    <sheetView workbookViewId="0">
      <selection activeCell="C14" sqref="C14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2287215.85</v>
      </c>
      <c r="C2" s="4">
        <v>2700638.48</v>
      </c>
      <c r="D2" s="4">
        <v>2468251.6800000002</v>
      </c>
      <c r="E2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2287215.85</v>
      </c>
      <c r="F2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2700638.48</v>
      </c>
      <c r="G2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2468251.6800000002</v>
      </c>
      <c r="H2" s="4">
        <f>IFERROR(IF(tblReceitaCorrente[[#This Row],[arrec_acum_atual]]&gt;0,tblReceitaCorrente[[#This Row],[arrec_acum_atual]]-tblReceitaCorrente[[#This Row],[arrec_acum_ant]],""),"")</f>
        <v>413422.62999999989</v>
      </c>
      <c r="I2" s="4">
        <f>IFERROR(IF(tblReceitaCorrente[[#This Row],[arrec_acum_atual]]&gt;0,tblReceitaCorrente[[#This Row],[arrec_acum_atual]]-tblReceitaCorrente[[#This Row],[prev_acum_atual]],""),"")</f>
        <v>232386.79999999981</v>
      </c>
      <c r="J2" s="3">
        <f>IFERROR(IF(tblReceitaCorrente[[#This Row],[arrec_acum_atual]]&gt;0,(tblReceitaCorrente[[#This Row],[arrec_acum_atual]]/tblReceitaCorrente[[#This Row],[arrec_acum_ant]])-1,""),"")</f>
        <v>0.18075365733409021</v>
      </c>
      <c r="K2" s="3">
        <f>IFERROR(IF(tblReceitaCorrente[[#This Row],[arrec_acum_atual]]&gt;0,(tblReceitaCorrente[[#This Row],[arrec_acum_atual]]/tblReceitaCorrente[[#This Row],[prev_acum_atual]])-1,""),"")</f>
        <v>9.4150366384030848E-2</v>
      </c>
      <c r="L2" s="7">
        <f>YEAR(tblReceitaCorrente[[#This Row],[data_base]])</f>
        <v>2022</v>
      </c>
      <c r="M2">
        <f>MONTH(tblReceitaCorrente[[#This Row],[data_base]])</f>
        <v>1</v>
      </c>
    </row>
    <row r="3" spans="1:13" x14ac:dyDescent="0.25">
      <c r="A3" s="1">
        <v>44620</v>
      </c>
      <c r="B3" s="4">
        <v>2315532.9500000002</v>
      </c>
      <c r="C3" s="4">
        <v>2924913.1400000011</v>
      </c>
      <c r="D3" s="4">
        <v>2441011.15</v>
      </c>
      <c r="E3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4602748.8000000007</v>
      </c>
      <c r="F3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5625551.620000001</v>
      </c>
      <c r="G3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4909262.83</v>
      </c>
      <c r="H3" s="4">
        <f>IFERROR(IF(tblReceitaCorrente[[#This Row],[arrec_acum_atual]]&gt;0,tblReceitaCorrente[[#This Row],[arrec_acum_atual]]-tblReceitaCorrente[[#This Row],[arrec_acum_ant]],""),"")</f>
        <v>1022802.8200000003</v>
      </c>
      <c r="I3" s="4">
        <f>IFERROR(IF(tblReceitaCorrente[[#This Row],[arrec_acum_atual]]&gt;0,tblReceitaCorrente[[#This Row],[arrec_acum_atual]]-tblReceitaCorrente[[#This Row],[prev_acum_atual]],""),"")</f>
        <v>716288.79000000097</v>
      </c>
      <c r="J3" s="3">
        <f>IFERROR(IF(tblReceitaCorrente[[#This Row],[arrec_acum_atual]]&gt;0,(tblReceitaCorrente[[#This Row],[arrec_acum_atual]]/tblReceitaCorrente[[#This Row],[arrec_acum_ant]])-1,""),"")</f>
        <v>0.22221565078676475</v>
      </c>
      <c r="K3" s="3">
        <f>IFERROR(IF(tblReceitaCorrente[[#This Row],[arrec_acum_atual]]&gt;0,(tblReceitaCorrente[[#This Row],[arrec_acum_atual]]/tblReceitaCorrente[[#This Row],[prev_acum_atual]])-1,""),"")</f>
        <v>0.14590556969629609</v>
      </c>
      <c r="L3" s="7">
        <f>YEAR(tblReceitaCorrente[[#This Row],[data_base]])</f>
        <v>2022</v>
      </c>
      <c r="M3">
        <f>MONTH(tblReceitaCorrente[[#This Row],[data_base]])</f>
        <v>2</v>
      </c>
    </row>
    <row r="4" spans="1:13" x14ac:dyDescent="0.25">
      <c r="A4" s="1">
        <v>44651</v>
      </c>
      <c r="B4" s="4">
        <v>2379398.7199999997</v>
      </c>
      <c r="C4" s="4">
        <v>2671585.9099999997</v>
      </c>
      <c r="D4" s="4">
        <v>2388222.31</v>
      </c>
      <c r="E4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6982147.5200000005</v>
      </c>
      <c r="F4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8297137.5300000012</v>
      </c>
      <c r="G4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7297485.1400000006</v>
      </c>
      <c r="H4" s="4">
        <f>IFERROR(IF(tblReceitaCorrente[[#This Row],[arrec_acum_atual]]&gt;0,tblReceitaCorrente[[#This Row],[arrec_acum_atual]]-tblReceitaCorrente[[#This Row],[arrec_acum_ant]],""),"")</f>
        <v>1314990.0100000007</v>
      </c>
      <c r="I4" s="4">
        <f>IFERROR(IF(tblReceitaCorrente[[#This Row],[arrec_acum_atual]]&gt;0,tblReceitaCorrente[[#This Row],[arrec_acum_atual]]-tblReceitaCorrente[[#This Row],[prev_acum_atual]],""),"")</f>
        <v>999652.3900000006</v>
      </c>
      <c r="J4" s="3">
        <f>IFERROR(IF(tblReceitaCorrente[[#This Row],[arrec_acum_atual]]&gt;0,(tblReceitaCorrente[[#This Row],[arrec_acum_atual]]/tblReceitaCorrente[[#This Row],[arrec_acum_ant]])-1,""),"")</f>
        <v>0.18833603933936938</v>
      </c>
      <c r="K4" s="3">
        <f>IFERROR(IF(tblReceitaCorrente[[#This Row],[arrec_acum_atual]]&gt;0,(tblReceitaCorrente[[#This Row],[arrec_acum_atual]]/tblReceitaCorrente[[#This Row],[prev_acum_atual]])-1,""),"")</f>
        <v>0.13698587538336526</v>
      </c>
      <c r="L4" s="7">
        <f>YEAR(tblReceitaCorrente[[#This Row],[data_base]])</f>
        <v>2022</v>
      </c>
      <c r="M4">
        <f>MONTH(tblReceitaCorrente[[#This Row],[data_base]])</f>
        <v>3</v>
      </c>
    </row>
    <row r="5" spans="1:13" x14ac:dyDescent="0.25">
      <c r="A5" s="1">
        <v>44681</v>
      </c>
      <c r="B5" s="4">
        <v>2334663.1</v>
      </c>
      <c r="C5" s="4">
        <v>2966041.0000000009</v>
      </c>
      <c r="D5" s="4">
        <v>2470584.91</v>
      </c>
      <c r="E5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9316810.620000001</v>
      </c>
      <c r="F5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11263178.530000001</v>
      </c>
      <c r="G5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9768070.0500000007</v>
      </c>
      <c r="H5" s="4">
        <f>IFERROR(IF(tblReceitaCorrente[[#This Row],[arrec_acum_atual]]&gt;0,tblReceitaCorrente[[#This Row],[arrec_acum_atual]]-tblReceitaCorrente[[#This Row],[arrec_acum_ant]],""),"")</f>
        <v>1946367.9100000001</v>
      </c>
      <c r="I5" s="4">
        <f>IFERROR(IF(tblReceitaCorrente[[#This Row],[arrec_acum_atual]]&gt;0,tblReceitaCorrente[[#This Row],[arrec_acum_atual]]-tblReceitaCorrente[[#This Row],[prev_acum_atual]],""),"")</f>
        <v>1495108.4800000004</v>
      </c>
      <c r="J5" s="3">
        <f>IFERROR(IF(tblReceitaCorrente[[#This Row],[arrec_acum_atual]]&gt;0,(tblReceitaCorrente[[#This Row],[arrec_acum_atual]]/tblReceitaCorrente[[#This Row],[arrec_acum_ant]])-1,""),"")</f>
        <v>0.20890924903226171</v>
      </c>
      <c r="K5" s="3">
        <f>IFERROR(IF(tblReceitaCorrente[[#This Row],[arrec_acum_atual]]&gt;0,(tblReceitaCorrente[[#This Row],[arrec_acum_atual]]/tblReceitaCorrente[[#This Row],[prev_acum_atual]])-1,""),"")</f>
        <v>0.15306078604544826</v>
      </c>
      <c r="L5" s="7">
        <f>YEAR(tblReceitaCorrente[[#This Row],[data_base]])</f>
        <v>2022</v>
      </c>
      <c r="M5">
        <f>MONTH(tblReceitaCorrente[[#This Row],[data_base]])</f>
        <v>4</v>
      </c>
    </row>
    <row r="6" spans="1:13" x14ac:dyDescent="0.25">
      <c r="A6" s="1">
        <v>44712</v>
      </c>
      <c r="B6" s="4">
        <v>2681734.94</v>
      </c>
      <c r="C6" s="4">
        <v>3597719.07</v>
      </c>
      <c r="D6" s="4">
        <v>2661530.59</v>
      </c>
      <c r="E6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11998545.560000001</v>
      </c>
      <c r="F6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14860897.600000001</v>
      </c>
      <c r="G6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12429600.640000001</v>
      </c>
      <c r="H6" s="4">
        <f>IFERROR(IF(tblReceitaCorrente[[#This Row],[arrec_acum_atual]]&gt;0,tblReceitaCorrente[[#This Row],[arrec_acum_atual]]-tblReceitaCorrente[[#This Row],[arrec_acum_ant]],""),"")</f>
        <v>2862352.040000001</v>
      </c>
      <c r="I6" s="4">
        <f>IFERROR(IF(tblReceitaCorrente[[#This Row],[arrec_acum_atual]]&gt;0,tblReceitaCorrente[[#This Row],[arrec_acum_atual]]-tblReceitaCorrente[[#This Row],[prev_acum_atual]],""),"")</f>
        <v>2431296.9600000009</v>
      </c>
      <c r="J6" s="3">
        <f>IFERROR(IF(tblReceitaCorrente[[#This Row],[arrec_acum_atual]]&gt;0,(tblReceitaCorrente[[#This Row],[arrec_acum_atual]]/tblReceitaCorrente[[#This Row],[arrec_acum_ant]])-1,""),"")</f>
        <v>0.23855825072184844</v>
      </c>
      <c r="K6" s="3">
        <f>IFERROR(IF(tblReceitaCorrente[[#This Row],[arrec_acum_atual]]&gt;0,(tblReceitaCorrente[[#This Row],[arrec_acum_atual]]/tblReceitaCorrente[[#This Row],[prev_acum_atual]])-1,""),"")</f>
        <v>0.19560539637740137</v>
      </c>
      <c r="L6" s="7">
        <f>YEAR(tblReceitaCorrente[[#This Row],[data_base]])</f>
        <v>2022</v>
      </c>
      <c r="M6">
        <f>MONTH(tblReceitaCorrente[[#This Row],[data_base]])</f>
        <v>5</v>
      </c>
    </row>
    <row r="7" spans="1:13" x14ac:dyDescent="0.25">
      <c r="A7" s="1">
        <v>44742</v>
      </c>
      <c r="B7" s="4">
        <v>2832647.5</v>
      </c>
      <c r="C7" s="4">
        <v>2994929.1800000016</v>
      </c>
      <c r="D7" s="4">
        <v>2829216.29</v>
      </c>
      <c r="E7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14831193.060000001</v>
      </c>
      <c r="F7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17855826.780000001</v>
      </c>
      <c r="G7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15258816.93</v>
      </c>
      <c r="H7" s="4">
        <f>IFERROR(IF(tblReceitaCorrente[[#This Row],[arrec_acum_atual]]&gt;0,tblReceitaCorrente[[#This Row],[arrec_acum_atual]]-tblReceitaCorrente[[#This Row],[arrec_acum_ant]],""),"")</f>
        <v>3024633.7200000007</v>
      </c>
      <c r="I7" s="4">
        <f>IFERROR(IF(tblReceitaCorrente[[#This Row],[arrec_acum_atual]]&gt;0,tblReceitaCorrente[[#This Row],[arrec_acum_atual]]-tblReceitaCorrente[[#This Row],[prev_acum_atual]],""),"")</f>
        <v>2597009.8500000015</v>
      </c>
      <c r="J7" s="3">
        <f>IFERROR(IF(tblReceitaCorrente[[#This Row],[arrec_acum_atual]]&gt;0,(tblReceitaCorrente[[#This Row],[arrec_acum_atual]]/tblReceitaCorrente[[#This Row],[arrec_acum_ant]])-1,""),"")</f>
        <v>0.20393731696187634</v>
      </c>
      <c r="K7" s="3">
        <f>IFERROR(IF(tblReceitaCorrente[[#This Row],[arrec_acum_atual]]&gt;0,(tblReceitaCorrente[[#This Row],[arrec_acum_atual]]/tblReceitaCorrente[[#This Row],[prev_acum_atual]])-1,""),"")</f>
        <v>0.17019732669405596</v>
      </c>
      <c r="L7" s="7">
        <f>YEAR(tblReceitaCorrente[[#This Row],[data_base]])</f>
        <v>2022</v>
      </c>
      <c r="M7">
        <f>MONTH(tblReceitaCorrente[[#This Row],[data_base]])</f>
        <v>6</v>
      </c>
    </row>
    <row r="8" spans="1:13" x14ac:dyDescent="0.25">
      <c r="A8" s="1">
        <v>44773</v>
      </c>
      <c r="B8" s="4">
        <v>3324885.26</v>
      </c>
      <c r="C8" s="4">
        <v>3726093.1800000006</v>
      </c>
      <c r="D8" s="4">
        <v>2906407.64</v>
      </c>
      <c r="E8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18156078.32</v>
      </c>
      <c r="F8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21581919.960000001</v>
      </c>
      <c r="G8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18165224.57</v>
      </c>
      <c r="H8" s="4">
        <f>IFERROR(IF(tblReceitaCorrente[[#This Row],[arrec_acum_atual]]&gt;0,tblReceitaCorrente[[#This Row],[arrec_acum_atual]]-tblReceitaCorrente[[#This Row],[arrec_acum_ant]],""),"")</f>
        <v>3425841.6400000006</v>
      </c>
      <c r="I8" s="4">
        <f>IFERROR(IF(tblReceitaCorrente[[#This Row],[arrec_acum_atual]]&gt;0,tblReceitaCorrente[[#This Row],[arrec_acum_atual]]-tblReceitaCorrente[[#This Row],[prev_acum_atual]],""),"")</f>
        <v>3416695.3900000006</v>
      </c>
      <c r="J8" s="3">
        <f>IFERROR(IF(tblReceitaCorrente[[#This Row],[arrec_acum_atual]]&gt;0,(tblReceitaCorrente[[#This Row],[arrec_acum_atual]]/tblReceitaCorrente[[#This Row],[arrec_acum_ant]])-1,""),"")</f>
        <v>0.18868841495501987</v>
      </c>
      <c r="K8" s="3">
        <f>IFERROR(IF(tblReceitaCorrente[[#This Row],[arrec_acum_atual]]&gt;0,(tblReceitaCorrente[[#This Row],[arrec_acum_atual]]/tblReceitaCorrente[[#This Row],[prev_acum_atual]])-1,""),"")</f>
        <v>0.18808990644919943</v>
      </c>
      <c r="L8" s="7">
        <f>YEAR(tblReceitaCorrente[[#This Row],[data_base]])</f>
        <v>2022</v>
      </c>
      <c r="M8">
        <f>MONTH(tblReceitaCorrente[[#This Row],[data_base]])</f>
        <v>7</v>
      </c>
    </row>
    <row r="9" spans="1:13" x14ac:dyDescent="0.25">
      <c r="A9" s="1">
        <v>44804</v>
      </c>
      <c r="B9" s="4">
        <v>2555324.81</v>
      </c>
      <c r="C9" s="4">
        <v>2944617.65</v>
      </c>
      <c r="D9" s="4">
        <v>2365216.1900000004</v>
      </c>
      <c r="E9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20711403.129999999</v>
      </c>
      <c r="F9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24526537.609999999</v>
      </c>
      <c r="G9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20530440.760000002</v>
      </c>
      <c r="H9" s="4">
        <f>IFERROR(IF(tblReceitaCorrente[[#This Row],[arrec_acum_atual]]&gt;0,tblReceitaCorrente[[#This Row],[arrec_acum_atual]]-tblReceitaCorrente[[#This Row],[arrec_acum_ant]],""),"")</f>
        <v>3815134.4800000004</v>
      </c>
      <c r="I9" s="4">
        <f>IFERROR(IF(tblReceitaCorrente[[#This Row],[arrec_acum_atual]]&gt;0,tblReceitaCorrente[[#This Row],[arrec_acum_atual]]-tblReceitaCorrente[[#This Row],[prev_acum_atual]],""),"")</f>
        <v>3996096.8499999978</v>
      </c>
      <c r="J9" s="3">
        <f>IFERROR(IF(tblReceitaCorrente[[#This Row],[arrec_acum_atual]]&gt;0,(tblReceitaCorrente[[#This Row],[arrec_acum_atual]]/tblReceitaCorrente[[#This Row],[arrec_acum_ant]])-1,""),"")</f>
        <v>0.18420453969503714</v>
      </c>
      <c r="K9" s="3">
        <f>IFERROR(IF(tblReceitaCorrente[[#This Row],[arrec_acum_atual]]&gt;0,(tblReceitaCorrente[[#This Row],[arrec_acum_atual]]/tblReceitaCorrente[[#This Row],[prev_acum_atual]])-1,""),"")</f>
        <v>0.19464252602826226</v>
      </c>
      <c r="L9" s="7">
        <f>YEAR(tblReceitaCorrente[[#This Row],[data_base]])</f>
        <v>2022</v>
      </c>
      <c r="M9">
        <f>MONTH(tblReceitaCorrente[[#This Row],[data_base]])</f>
        <v>8</v>
      </c>
    </row>
    <row r="10" spans="1:13" x14ac:dyDescent="0.25">
      <c r="A10" s="1">
        <v>44834</v>
      </c>
      <c r="B10" s="4">
        <v>2302703.52</v>
      </c>
      <c r="C10" s="4">
        <v>2855031.3300000005</v>
      </c>
      <c r="D10" s="4">
        <v>2363295.0599999996</v>
      </c>
      <c r="E10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23014106.649999999</v>
      </c>
      <c r="F10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27381568.940000001</v>
      </c>
      <c r="G10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22893735.82</v>
      </c>
      <c r="H10" s="4">
        <f>IFERROR(IF(tblReceitaCorrente[[#This Row],[arrec_acum_atual]]&gt;0,tblReceitaCorrente[[#This Row],[arrec_acum_atual]]-tblReceitaCorrente[[#This Row],[arrec_acum_ant]],""),"")</f>
        <v>4367462.2900000028</v>
      </c>
      <c r="I10" s="4">
        <f>IFERROR(IF(tblReceitaCorrente[[#This Row],[arrec_acum_atual]]&gt;0,tblReceitaCorrente[[#This Row],[arrec_acum_atual]]-tblReceitaCorrente[[#This Row],[prev_acum_atual]],""),"")</f>
        <v>4487833.120000001</v>
      </c>
      <c r="J10" s="3">
        <f>IFERROR(IF(tblReceitaCorrente[[#This Row],[arrec_acum_atual]]&gt;0,(tblReceitaCorrente[[#This Row],[arrec_acum_atual]]/tblReceitaCorrente[[#This Row],[arrec_acum_ant]])-1,""),"")</f>
        <v>0.18977327064746197</v>
      </c>
      <c r="K10" s="3">
        <f>IFERROR(IF(tblReceitaCorrente[[#This Row],[arrec_acum_atual]]&gt;0,(tblReceitaCorrente[[#This Row],[arrec_acum_atual]]/tblReceitaCorrente[[#This Row],[prev_acum_atual]])-1,""),"")</f>
        <v>0.19602886812729903</v>
      </c>
      <c r="L10" s="7">
        <f>YEAR(tblReceitaCorrente[[#This Row],[data_base]])</f>
        <v>2022</v>
      </c>
      <c r="M10">
        <f>MONTH(tblReceitaCorrente[[#This Row],[data_base]])</f>
        <v>9</v>
      </c>
    </row>
    <row r="11" spans="1:13" x14ac:dyDescent="0.25">
      <c r="A11" s="1">
        <v>44865</v>
      </c>
      <c r="B11" s="4">
        <v>2600443.64</v>
      </c>
      <c r="C11" s="4">
        <v>3021180.1999999988</v>
      </c>
      <c r="D11" s="4">
        <v>2646674.7000000002</v>
      </c>
      <c r="E11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25614550.289999999</v>
      </c>
      <c r="F11" s="4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>30402749.140000001</v>
      </c>
      <c r="G11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25540410.52</v>
      </c>
      <c r="H11" s="4">
        <f>IFERROR(IF(tblReceitaCorrente[[#This Row],[arrec_acum_atual]]&gt;0,tblReceitaCorrente[[#This Row],[arrec_acum_atual]]-tblReceitaCorrente[[#This Row],[arrec_acum_ant]],""),"")</f>
        <v>4788198.8500000015</v>
      </c>
      <c r="I11" s="4">
        <f>IFERROR(IF(tblReceitaCorrente[[#This Row],[arrec_acum_atual]]&gt;0,tblReceitaCorrente[[#This Row],[arrec_acum_atual]]-tblReceitaCorrente[[#This Row],[prev_acum_atual]],""),"")</f>
        <v>4862338.620000001</v>
      </c>
      <c r="J11" s="3">
        <f>IFERROR(IF(tblReceitaCorrente[[#This Row],[arrec_acum_atual]]&gt;0,(tblReceitaCorrente[[#This Row],[arrec_acum_atual]]/tblReceitaCorrente[[#This Row],[arrec_acum_ant]])-1,""),"")</f>
        <v>0.1869327704679371</v>
      </c>
      <c r="K11" s="3">
        <f>IFERROR(IF(tblReceitaCorrente[[#This Row],[arrec_acum_atual]]&gt;0,(tblReceitaCorrente[[#This Row],[arrec_acum_atual]]/tblReceitaCorrente[[#This Row],[prev_acum_atual]])-1,""),"")</f>
        <v>0.19037824846990747</v>
      </c>
      <c r="L11" s="7">
        <f>YEAR(tblReceitaCorrente[[#This Row],[data_base]])</f>
        <v>2022</v>
      </c>
      <c r="M11">
        <f>MONTH(tblReceitaCorrente[[#This Row],[data_base]])</f>
        <v>10</v>
      </c>
    </row>
    <row r="12" spans="1:13" x14ac:dyDescent="0.25">
      <c r="A12" s="1">
        <v>44895</v>
      </c>
      <c r="B12" s="4">
        <v>2784284.23</v>
      </c>
      <c r="C12" s="4"/>
      <c r="D12" s="4">
        <v>2654000.94</v>
      </c>
      <c r="E12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28398834.52</v>
      </c>
      <c r="F12" s="4" t="str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/>
      </c>
      <c r="G12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28194411.460000001</v>
      </c>
      <c r="H12" s="4" t="str">
        <f>IFERROR(IF(tblReceitaCorrente[[#This Row],[arrec_acum_atual]]&gt;0,tblReceitaCorrente[[#This Row],[arrec_acum_atual]]-tblReceitaCorrente[[#This Row],[arrec_acum_ant]],""),"")</f>
        <v/>
      </c>
      <c r="I12" s="4" t="str">
        <f>IFERROR(IF(tblReceitaCorrente[[#This Row],[arrec_acum_atual]]&gt;0,tblReceitaCorrente[[#This Row],[arrec_acum_atual]]-tblReceitaCorrente[[#This Row],[prev_acum_atual]],""),"")</f>
        <v/>
      </c>
      <c r="J12" s="3" t="str">
        <f>IFERROR(IF(tblReceitaCorrente[[#This Row],[arrec_acum_atual]]&gt;0,(tblReceitaCorrente[[#This Row],[arrec_acum_atual]]/tblReceitaCorrente[[#This Row],[arrec_acum_ant]])-1,""),"")</f>
        <v/>
      </c>
      <c r="K12" s="3" t="str">
        <f>IFERROR(IF(tblReceitaCorrente[[#This Row],[arrec_acum_atual]]&gt;0,(tblReceitaCorrente[[#This Row],[arrec_acum_atual]]/tblReceitaCorrente[[#This Row],[prev_acum_atual]])-1,""),"")</f>
        <v/>
      </c>
      <c r="L12" s="7">
        <f>YEAR(tblReceitaCorrente[[#This Row],[data_base]])</f>
        <v>2022</v>
      </c>
      <c r="M12">
        <f>MONTH(tblReceitaCorrente[[#This Row],[data_base]])</f>
        <v>11</v>
      </c>
    </row>
    <row r="13" spans="1:13" x14ac:dyDescent="0.25">
      <c r="A13" s="1">
        <v>44926</v>
      </c>
      <c r="B13" s="4">
        <v>4351301.6100000003</v>
      </c>
      <c r="C13" s="4"/>
      <c r="D13" s="4">
        <v>3857476.63</v>
      </c>
      <c r="E13" s="4">
        <f>IF(tblReceitaCorrente[[#This Row],[arrec_mes_ant]]&gt;0,SUMIFS(tblReceitaCorrente[arrec_mes_ant],tblReceitaCorrente[ano],YEAR(tblReceitaCorrente[[#This Row],[data_base]]),tblReceitaCorrente[mês],"&lt;="&amp;MONTH(tblReceitaCorrente[[#This Row],[data_base]])),"")</f>
        <v>32750136.129999999</v>
      </c>
      <c r="F13" s="4" t="str">
        <f>IF(tblReceitaCorrente[[#This Row],[arrec_mes_atual]]&gt;0,SUMIFS(tblReceitaCorrente[arrec_mes_atual],tblReceitaCorrente[ano],YEAR(tblReceitaCorrente[[#This Row],[data_base]]),tblReceitaCorrente[mês],"&lt;="&amp;MONTH(tblReceitaCorrente[[#This Row],[data_base]])),"")</f>
        <v/>
      </c>
      <c r="G13" s="4">
        <f>IF(tblReceitaCorrente[[#This Row],[prev_mes_atual]]&gt;0,SUMIFS(tblReceitaCorrente[prev_mes_atual],tblReceitaCorrente[ano],YEAR(tblReceitaCorrente[[#This Row],[data_base]]),tblReceitaCorrente[mês],"&lt;="&amp;MONTH(tblReceitaCorrente[[#This Row],[data_base]])),"")</f>
        <v>32051888.09</v>
      </c>
      <c r="H13" s="4" t="str">
        <f>IFERROR(IF(tblReceitaCorrente[[#This Row],[arrec_acum_atual]]&gt;0,tblReceitaCorrente[[#This Row],[arrec_acum_atual]]-tblReceitaCorrente[[#This Row],[arrec_acum_ant]],""),"")</f>
        <v/>
      </c>
      <c r="I13" s="4" t="str">
        <f>IFERROR(IF(tblReceitaCorrente[[#This Row],[arrec_acum_atual]]&gt;0,tblReceitaCorrente[[#This Row],[arrec_acum_atual]]-tblReceitaCorrente[[#This Row],[prev_acum_atual]],""),"")</f>
        <v/>
      </c>
      <c r="J13" s="3" t="str">
        <f>IFERROR(IF(tblReceitaCorrente[[#This Row],[arrec_acum_atual]]&gt;0,(tblReceitaCorrente[[#This Row],[arrec_acum_atual]]/tblReceitaCorrente[[#This Row],[arrec_acum_ant]])-1,""),"")</f>
        <v/>
      </c>
      <c r="K13" s="3" t="str">
        <f>IFERROR(IF(tblReceitaCorrente[[#This Row],[arrec_acum_atual]]&gt;0,(tblReceitaCorrente[[#This Row],[arrec_acum_atual]]/tblReceitaCorrente[[#This Row],[prev_acum_atual]])-1,""),"")</f>
        <v/>
      </c>
      <c r="L13" s="7">
        <f>YEAR(tblReceitaCorrente[[#This Row],[data_base]])</f>
        <v>2022</v>
      </c>
      <c r="M13">
        <f>MONTH(tblReceitaCorrente[[#This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0DB7-7C75-4C6C-AD76-140A43B42CDD}">
  <dimension ref="A1:M13"/>
  <sheetViews>
    <sheetView workbookViewId="0">
      <selection activeCell="C11" sqref="C11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176544.35999999987</v>
      </c>
      <c r="C2" s="4">
        <v>246218.15</v>
      </c>
      <c r="D2" s="4">
        <v>248339.72999999998</v>
      </c>
      <c r="E2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176544.35999999987</v>
      </c>
      <c r="F2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246218.15</v>
      </c>
      <c r="G2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248339.72999999998</v>
      </c>
      <c r="H2" s="4">
        <f>IFERROR(IF(tblArrecadacaoPropria[[#This Row],[arrec_acum_atual]]&gt;0,tblArrecadacaoPropria[[#This Row],[arrec_acum_atual]]-tblArrecadacaoPropria[[#This Row],[arrec_acum_ant]],""),"")</f>
        <v>69673.790000000125</v>
      </c>
      <c r="I2" s="4">
        <f>IFERROR(IF(tblArrecadacaoPropria[[#This Row],[arrec_acum_atual]]&gt;0,tblArrecadacaoPropria[[#This Row],[arrec_acum_atual]]-tblArrecadacaoPropria[[#This Row],[prev_acum_atual]],""),"")</f>
        <v>-2121.5799999999872</v>
      </c>
      <c r="J2" s="3">
        <f>IFERROR(IF(tblArrecadacaoPropria[[#This Row],[arrec_acum_atual]]&gt;0,(tblArrecadacaoPropria[[#This Row],[arrec_acum_atual]]/tblArrecadacaoPropria[[#This Row],[arrec_acum_ant]])-1,""),"")</f>
        <v>0.39465316252527227</v>
      </c>
      <c r="K2" s="3">
        <f>IFERROR(IF(tblArrecadacaoPropria[[#This Row],[arrec_acum_atual]]&gt;0,(tblArrecadacaoPropria[[#This Row],[arrec_acum_atual]]/tblArrecadacaoPropria[[#This Row],[prev_acum_atual]])-1,""),"")</f>
        <v>-8.5430551124461296E-3</v>
      </c>
      <c r="L2" s="7">
        <f>YEAR(tblArrecadacaoPropria[[#This Row],[data_base]])</f>
        <v>2022</v>
      </c>
      <c r="M2">
        <f>MONTH(tblArrecadacaoPropria[[#This Row],[data_base]])</f>
        <v>1</v>
      </c>
    </row>
    <row r="3" spans="1:13" x14ac:dyDescent="0.25">
      <c r="A3" s="1">
        <v>44620</v>
      </c>
      <c r="B3" s="4">
        <v>179289.08000000007</v>
      </c>
      <c r="C3" s="4">
        <v>285037.08999999997</v>
      </c>
      <c r="D3" s="4">
        <v>196351.18000000017</v>
      </c>
      <c r="E3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355833.43999999994</v>
      </c>
      <c r="F3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531255.24</v>
      </c>
      <c r="G3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444690.91000000015</v>
      </c>
      <c r="H3" s="4">
        <f>IFERROR(IF(tblArrecadacaoPropria[[#This Row],[arrec_acum_atual]]&gt;0,tblArrecadacaoPropria[[#This Row],[arrec_acum_atual]]-tblArrecadacaoPropria[[#This Row],[arrec_acum_ant]],""),"")</f>
        <v>175421.80000000005</v>
      </c>
      <c r="I3" s="4">
        <f>IFERROR(IF(tblArrecadacaoPropria[[#This Row],[arrec_acum_atual]]&gt;0,tblArrecadacaoPropria[[#This Row],[arrec_acum_atual]]-tblArrecadacaoPropria[[#This Row],[prev_acum_atual]],""),"")</f>
        <v>86564.329999999842</v>
      </c>
      <c r="J3" s="3">
        <f>IFERROR(IF(tblArrecadacaoPropria[[#This Row],[arrec_acum_atual]]&gt;0,(tblArrecadacaoPropria[[#This Row],[arrec_acum_atual]]/tblArrecadacaoPropria[[#This Row],[arrec_acum_ant]])-1,""),"")</f>
        <v>0.49298851732428539</v>
      </c>
      <c r="K3" s="3">
        <f>IFERROR(IF(tblArrecadacaoPropria[[#This Row],[arrec_acum_atual]]&gt;0,(tblArrecadacaoPropria[[#This Row],[arrec_acum_atual]]/tblArrecadacaoPropria[[#This Row],[prev_acum_atual]])-1,""),"")</f>
        <v>0.19466179328918565</v>
      </c>
      <c r="L3" s="7">
        <f>YEAR(tblArrecadacaoPropria[[#This Row],[data_base]])</f>
        <v>2022</v>
      </c>
      <c r="M3">
        <f>MONTH(tblArrecadacaoPropria[[#This Row],[data_base]])</f>
        <v>2</v>
      </c>
    </row>
    <row r="4" spans="1:13" x14ac:dyDescent="0.25">
      <c r="A4" s="1">
        <v>44651</v>
      </c>
      <c r="B4" s="4">
        <v>197451.67000000004</v>
      </c>
      <c r="C4" s="4">
        <v>336406.85</v>
      </c>
      <c r="D4" s="4">
        <v>257252.31999999983</v>
      </c>
      <c r="E4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553285.11</v>
      </c>
      <c r="F4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867662.09</v>
      </c>
      <c r="G4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701943.23</v>
      </c>
      <c r="H4" s="4">
        <f>IFERROR(IF(tblArrecadacaoPropria[[#This Row],[arrec_acum_atual]]&gt;0,tblArrecadacaoPropria[[#This Row],[arrec_acum_atual]]-tblArrecadacaoPropria[[#This Row],[arrec_acum_ant]],""),"")</f>
        <v>314376.98</v>
      </c>
      <c r="I4" s="4">
        <f>IFERROR(IF(tblArrecadacaoPropria[[#This Row],[arrec_acum_atual]]&gt;0,tblArrecadacaoPropria[[#This Row],[arrec_acum_atual]]-tblArrecadacaoPropria[[#This Row],[prev_acum_atual]],""),"")</f>
        <v>165718.85999999999</v>
      </c>
      <c r="J4" s="3">
        <f>IFERROR(IF(tblArrecadacaoPropria[[#This Row],[arrec_acum_atual]]&gt;0,(tblArrecadacaoPropria[[#This Row],[arrec_acum_atual]]/tblArrecadacaoPropria[[#This Row],[arrec_acum_ant]])-1,""),"")</f>
        <v>0.56820068770692211</v>
      </c>
      <c r="K4" s="3">
        <f>IFERROR(IF(tblArrecadacaoPropria[[#This Row],[arrec_acum_atual]]&gt;0,(tblArrecadacaoPropria[[#This Row],[arrec_acum_atual]]/tblArrecadacaoPropria[[#This Row],[prev_acum_atual]])-1,""),"")</f>
        <v>0.23608584415010303</v>
      </c>
      <c r="L4" s="7">
        <f>YEAR(tblArrecadacaoPropria[[#This Row],[data_base]])</f>
        <v>2022</v>
      </c>
      <c r="M4">
        <f>MONTH(tblArrecadacaoPropria[[#This Row],[data_base]])</f>
        <v>3</v>
      </c>
    </row>
    <row r="5" spans="1:13" x14ac:dyDescent="0.25">
      <c r="A5" s="1">
        <v>44681</v>
      </c>
      <c r="B5" s="4">
        <v>268469.13999999996</v>
      </c>
      <c r="C5" s="4">
        <v>425728.28</v>
      </c>
      <c r="D5" s="4">
        <v>314503.81000000006</v>
      </c>
      <c r="E5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821754.25</v>
      </c>
      <c r="F5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1293390.3700000001</v>
      </c>
      <c r="G5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1016447.04</v>
      </c>
      <c r="H5" s="4">
        <f>IFERROR(IF(tblArrecadacaoPropria[[#This Row],[arrec_acum_atual]]&gt;0,tblArrecadacaoPropria[[#This Row],[arrec_acum_atual]]-tblArrecadacaoPropria[[#This Row],[arrec_acum_ant]],""),"")</f>
        <v>471636.12000000011</v>
      </c>
      <c r="I5" s="4">
        <f>IFERROR(IF(tblArrecadacaoPropria[[#This Row],[arrec_acum_atual]]&gt;0,tblArrecadacaoPropria[[#This Row],[arrec_acum_atual]]-tblArrecadacaoPropria[[#This Row],[prev_acum_atual]],""),"")</f>
        <v>276943.33000000007</v>
      </c>
      <c r="J5" s="3">
        <f>IFERROR(IF(tblArrecadacaoPropria[[#This Row],[arrec_acum_atual]]&gt;0,(tblArrecadacaoPropria[[#This Row],[arrec_acum_atual]]/tblArrecadacaoPropria[[#This Row],[arrec_acum_ant]])-1,""),"")</f>
        <v>0.57393815730189424</v>
      </c>
      <c r="K5" s="3">
        <f>IFERROR(IF(tblArrecadacaoPropria[[#This Row],[arrec_acum_atual]]&gt;0,(tblArrecadacaoPropria[[#This Row],[arrec_acum_atual]]/tblArrecadacaoPropria[[#This Row],[prev_acum_atual]])-1,""),"")</f>
        <v>0.2724621343774094</v>
      </c>
      <c r="L5" s="7">
        <f>YEAR(tblArrecadacaoPropria[[#This Row],[data_base]])</f>
        <v>2022</v>
      </c>
      <c r="M5">
        <f>MONTH(tblArrecadacaoPropria[[#This Row],[data_base]])</f>
        <v>4</v>
      </c>
    </row>
    <row r="6" spans="1:13" x14ac:dyDescent="0.25">
      <c r="A6" s="1">
        <v>44712</v>
      </c>
      <c r="B6" s="4">
        <v>430708.31000000006</v>
      </c>
      <c r="C6" s="4">
        <v>612673.29999999993</v>
      </c>
      <c r="D6" s="4">
        <v>453866.74999999977</v>
      </c>
      <c r="E6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1252462.56</v>
      </c>
      <c r="F6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1906063.67</v>
      </c>
      <c r="G6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1470313.7899999998</v>
      </c>
      <c r="H6" s="4">
        <f>IFERROR(IF(tblArrecadacaoPropria[[#This Row],[arrec_acum_atual]]&gt;0,tblArrecadacaoPropria[[#This Row],[arrec_acum_atual]]-tblArrecadacaoPropria[[#This Row],[arrec_acum_ant]],""),"")</f>
        <v>653601.10999999987</v>
      </c>
      <c r="I6" s="4">
        <f>IFERROR(IF(tblArrecadacaoPropria[[#This Row],[arrec_acum_atual]]&gt;0,tblArrecadacaoPropria[[#This Row],[arrec_acum_atual]]-tblArrecadacaoPropria[[#This Row],[prev_acum_atual]],""),"")</f>
        <v>435749.88000000012</v>
      </c>
      <c r="J6" s="3">
        <f>IFERROR(IF(tblArrecadacaoPropria[[#This Row],[arrec_acum_atual]]&gt;0,(tblArrecadacaoPropria[[#This Row],[arrec_acum_atual]]/tblArrecadacaoPropria[[#This Row],[arrec_acum_ant]])-1,""),"")</f>
        <v>0.52185281290963292</v>
      </c>
      <c r="K6" s="3">
        <f>IFERROR(IF(tblArrecadacaoPropria[[#This Row],[arrec_acum_atual]]&gt;0,(tblArrecadacaoPropria[[#This Row],[arrec_acum_atual]]/tblArrecadacaoPropria[[#This Row],[prev_acum_atual]])-1,""),"")</f>
        <v>0.29636522690846845</v>
      </c>
      <c r="L6" s="7">
        <f>YEAR(tblArrecadacaoPropria[[#This Row],[data_base]])</f>
        <v>2022</v>
      </c>
      <c r="M6">
        <f>MONTH(tblArrecadacaoPropria[[#This Row],[data_base]])</f>
        <v>5</v>
      </c>
    </row>
    <row r="7" spans="1:13" x14ac:dyDescent="0.25">
      <c r="A7" s="1">
        <v>44742</v>
      </c>
      <c r="B7" s="4">
        <v>669768.29000000027</v>
      </c>
      <c r="C7" s="4">
        <v>604707.86999999976</v>
      </c>
      <c r="D7" s="4">
        <v>839694.33000000031</v>
      </c>
      <c r="E7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1922230.8500000003</v>
      </c>
      <c r="F7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2510771.5399999996</v>
      </c>
      <c r="G7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2310008.12</v>
      </c>
      <c r="H7" s="4">
        <f>IFERROR(IF(tblArrecadacaoPropria[[#This Row],[arrec_acum_atual]]&gt;0,tblArrecadacaoPropria[[#This Row],[arrec_acum_atual]]-tblArrecadacaoPropria[[#This Row],[arrec_acum_ant]],""),"")</f>
        <v>588540.68999999925</v>
      </c>
      <c r="I7" s="4">
        <f>IFERROR(IF(tblArrecadacaoPropria[[#This Row],[arrec_acum_atual]]&gt;0,tblArrecadacaoPropria[[#This Row],[arrec_acum_atual]]-tblArrecadacaoPropria[[#This Row],[prev_acum_atual]],""),"")</f>
        <v>200763.41999999946</v>
      </c>
      <c r="J7" s="3">
        <f>IFERROR(IF(tblArrecadacaoPropria[[#This Row],[arrec_acum_atual]]&gt;0,(tblArrecadacaoPropria[[#This Row],[arrec_acum_atual]]/tblArrecadacaoPropria[[#This Row],[arrec_acum_ant]])-1,""),"")</f>
        <v>0.30617586332047431</v>
      </c>
      <c r="K7" s="3">
        <f>IFERROR(IF(tblArrecadacaoPropria[[#This Row],[arrec_acum_atual]]&gt;0,(tblArrecadacaoPropria[[#This Row],[arrec_acum_atual]]/tblArrecadacaoPropria[[#This Row],[prev_acum_atual]])-1,""),"")</f>
        <v>8.6910265925818297E-2</v>
      </c>
      <c r="L7" s="7">
        <f>YEAR(tblArrecadacaoPropria[[#This Row],[data_base]])</f>
        <v>2022</v>
      </c>
      <c r="M7">
        <f>MONTH(tblArrecadacaoPropria[[#This Row],[data_base]])</f>
        <v>6</v>
      </c>
    </row>
    <row r="8" spans="1:13" x14ac:dyDescent="0.25">
      <c r="A8" s="1">
        <v>44773</v>
      </c>
      <c r="B8" s="4">
        <v>305866.92</v>
      </c>
      <c r="C8" s="4">
        <v>441339.05</v>
      </c>
      <c r="D8" s="4">
        <v>338036.23</v>
      </c>
      <c r="E8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2228097.7700000005</v>
      </c>
      <c r="F8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2952110.5899999994</v>
      </c>
      <c r="G8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2648044.35</v>
      </c>
      <c r="H8" s="4">
        <f>IFERROR(IF(tblArrecadacaoPropria[[#This Row],[arrec_acum_atual]]&gt;0,tblArrecadacaoPropria[[#This Row],[arrec_acum_atual]]-tblArrecadacaoPropria[[#This Row],[arrec_acum_ant]],""),"")</f>
        <v>724012.8199999989</v>
      </c>
      <c r="I8" s="4">
        <f>IFERROR(IF(tblArrecadacaoPropria[[#This Row],[arrec_acum_atual]]&gt;0,tblArrecadacaoPropria[[#This Row],[arrec_acum_atual]]-tblArrecadacaoPropria[[#This Row],[prev_acum_atual]],""),"")</f>
        <v>304066.23999999929</v>
      </c>
      <c r="J8" s="3">
        <f>IFERROR(IF(tblArrecadacaoPropria[[#This Row],[arrec_acum_atual]]&gt;0,(tblArrecadacaoPropria[[#This Row],[arrec_acum_atual]]/tblArrecadacaoPropria[[#This Row],[arrec_acum_ant]])-1,""),"")</f>
        <v>0.32494661129704316</v>
      </c>
      <c r="K8" s="3">
        <f>IFERROR(IF(tblArrecadacaoPropria[[#This Row],[arrec_acum_atual]]&gt;0,(tblArrecadacaoPropria[[#This Row],[arrec_acum_atual]]/tblArrecadacaoPropria[[#This Row],[prev_acum_atual]])-1,""),"")</f>
        <v>0.1148267173093227</v>
      </c>
      <c r="L8" s="7">
        <f>YEAR(tblArrecadacaoPropria[[#This Row],[data_base]])</f>
        <v>2022</v>
      </c>
      <c r="M8">
        <f>MONTH(tblArrecadacaoPropria[[#This Row],[data_base]])</f>
        <v>7</v>
      </c>
    </row>
    <row r="9" spans="1:13" x14ac:dyDescent="0.25">
      <c r="A9" s="1">
        <v>44804</v>
      </c>
      <c r="B9" s="4">
        <v>337070.94999999995</v>
      </c>
      <c r="C9" s="4">
        <v>621780.32999999996</v>
      </c>
      <c r="D9" s="4">
        <v>281286.64999999991</v>
      </c>
      <c r="E9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2565168.7200000007</v>
      </c>
      <c r="F9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3573890.9199999995</v>
      </c>
      <c r="G9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2929331</v>
      </c>
      <c r="H9" s="4">
        <f>IFERROR(IF(tblArrecadacaoPropria[[#This Row],[arrec_acum_atual]]&gt;0,tblArrecadacaoPropria[[#This Row],[arrec_acum_atual]]-tblArrecadacaoPropria[[#This Row],[arrec_acum_ant]],""),"")</f>
        <v>1008722.1999999988</v>
      </c>
      <c r="I9" s="4">
        <f>IFERROR(IF(tblArrecadacaoPropria[[#This Row],[arrec_acum_atual]]&gt;0,tblArrecadacaoPropria[[#This Row],[arrec_acum_atual]]-tblArrecadacaoPropria[[#This Row],[prev_acum_atual]],""),"")</f>
        <v>644559.91999999946</v>
      </c>
      <c r="J9" s="3">
        <f>IFERROR(IF(tblArrecadacaoPropria[[#This Row],[arrec_acum_atual]]&gt;0,(tblArrecadacaoPropria[[#This Row],[arrec_acum_atual]]/tblArrecadacaoPropria[[#This Row],[arrec_acum_ant]])-1,""),"")</f>
        <v>0.39323814926294531</v>
      </c>
      <c r="K9" s="3">
        <f>IFERROR(IF(tblArrecadacaoPropria[[#This Row],[arrec_acum_atual]]&gt;0,(tblArrecadacaoPropria[[#This Row],[arrec_acum_atual]]/tblArrecadacaoPropria[[#This Row],[prev_acum_atual]])-1,""),"")</f>
        <v>0.22003656124896764</v>
      </c>
      <c r="L9" s="7">
        <f>YEAR(tblArrecadacaoPropria[[#This Row],[data_base]])</f>
        <v>2022</v>
      </c>
      <c r="M9">
        <f>MONTH(tblArrecadacaoPropria[[#This Row],[data_base]])</f>
        <v>8</v>
      </c>
    </row>
    <row r="10" spans="1:13" x14ac:dyDescent="0.25">
      <c r="A10" s="1">
        <v>44834</v>
      </c>
      <c r="B10" s="4">
        <v>439058.94999999995</v>
      </c>
      <c r="C10" s="4">
        <v>597422.33000000007</v>
      </c>
      <c r="D10" s="4">
        <v>380737.56000000006</v>
      </c>
      <c r="E10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3004227.6700000009</v>
      </c>
      <c r="F10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4171313.2499999995</v>
      </c>
      <c r="G10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3310068.56</v>
      </c>
      <c r="H10" s="4">
        <f>IFERROR(IF(tblArrecadacaoPropria[[#This Row],[arrec_acum_atual]]&gt;0,tblArrecadacaoPropria[[#This Row],[arrec_acum_atual]]-tblArrecadacaoPropria[[#This Row],[arrec_acum_ant]],""),"")</f>
        <v>1167085.5799999987</v>
      </c>
      <c r="I10" s="4">
        <f>IFERROR(IF(tblArrecadacaoPropria[[#This Row],[arrec_acum_atual]]&gt;0,tblArrecadacaoPropria[[#This Row],[arrec_acum_atual]]-tblArrecadacaoPropria[[#This Row],[prev_acum_atual]],""),"")</f>
        <v>861244.68999999948</v>
      </c>
      <c r="J10" s="3">
        <f>IFERROR(IF(tblArrecadacaoPropria[[#This Row],[arrec_acum_atual]]&gt;0,(tblArrecadacaoPropria[[#This Row],[arrec_acum_atual]]/tblArrecadacaoPropria[[#This Row],[arrec_acum_ant]])-1,""),"")</f>
        <v>0.38848107007815358</v>
      </c>
      <c r="K10" s="3">
        <f>IFERROR(IF(tblArrecadacaoPropria[[#This Row],[arrec_acum_atual]]&gt;0,(tblArrecadacaoPropria[[#This Row],[arrec_acum_atual]]/tblArrecadacaoPropria[[#This Row],[prev_acum_atual]])-1,""),"")</f>
        <v>0.26018938109245671</v>
      </c>
      <c r="L10" s="7">
        <f>YEAR(tblArrecadacaoPropria[[#This Row],[data_base]])</f>
        <v>2022</v>
      </c>
      <c r="M10">
        <f>MONTH(tblArrecadacaoPropria[[#This Row],[data_base]])</f>
        <v>9</v>
      </c>
    </row>
    <row r="11" spans="1:13" x14ac:dyDescent="0.25">
      <c r="A11" s="1">
        <v>44865</v>
      </c>
      <c r="B11" s="4">
        <v>295694.17000000016</v>
      </c>
      <c r="C11" s="4">
        <v>430962.91000000003</v>
      </c>
      <c r="D11" s="4">
        <v>303989.65000000014</v>
      </c>
      <c r="E11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3299921.8400000008</v>
      </c>
      <c r="F11" s="4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>4602276.1599999992</v>
      </c>
      <c r="G11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3614058.21</v>
      </c>
      <c r="H11" s="4">
        <f>IFERROR(IF(tblArrecadacaoPropria[[#This Row],[arrec_acum_atual]]&gt;0,tblArrecadacaoPropria[[#This Row],[arrec_acum_atual]]-tblArrecadacaoPropria[[#This Row],[arrec_acum_ant]],""),"")</f>
        <v>1302354.3199999984</v>
      </c>
      <c r="I11" s="4">
        <f>IFERROR(IF(tblArrecadacaoPropria[[#This Row],[arrec_acum_atual]]&gt;0,tblArrecadacaoPropria[[#This Row],[arrec_acum_atual]]-tblArrecadacaoPropria[[#This Row],[prev_acum_atual]],""),"")</f>
        <v>988217.94999999925</v>
      </c>
      <c r="J11" s="3">
        <f>IFERROR(IF(tblArrecadacaoPropria[[#This Row],[arrec_acum_atual]]&gt;0,(tblArrecadacaoPropria[[#This Row],[arrec_acum_atual]]/tblArrecadacaoPropria[[#This Row],[arrec_acum_ant]])-1,""),"")</f>
        <v>0.39466217175616447</v>
      </c>
      <c r="K11" s="3">
        <f>IFERROR(IF(tblArrecadacaoPropria[[#This Row],[arrec_acum_atual]]&gt;0,(tblArrecadacaoPropria[[#This Row],[arrec_acum_atual]]/tblArrecadacaoPropria[[#This Row],[prev_acum_atual]])-1,""),"")</f>
        <v>0.27343719790279719</v>
      </c>
      <c r="L11" s="7">
        <f>YEAR(tblArrecadacaoPropria[[#This Row],[data_base]])</f>
        <v>2022</v>
      </c>
      <c r="M11">
        <f>MONTH(tblArrecadacaoPropria[[#This Row],[data_base]])</f>
        <v>10</v>
      </c>
    </row>
    <row r="12" spans="1:13" x14ac:dyDescent="0.25">
      <c r="A12" s="1">
        <v>44895</v>
      </c>
      <c r="B12" s="4">
        <v>296402.97000000003</v>
      </c>
      <c r="C12" s="4"/>
      <c r="D12" s="4">
        <v>285346.51</v>
      </c>
      <c r="E12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3596324.810000001</v>
      </c>
      <c r="F12" s="4" t="str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/>
      </c>
      <c r="G12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3899404.7199999997</v>
      </c>
      <c r="H12" s="4" t="str">
        <f>IFERROR(IF(tblArrecadacaoPropria[[#This Row],[arrec_acum_atual]]&gt;0,tblArrecadacaoPropria[[#This Row],[arrec_acum_atual]]-tblArrecadacaoPropria[[#This Row],[arrec_acum_ant]],""),"")</f>
        <v/>
      </c>
      <c r="I12" s="4" t="str">
        <f>IFERROR(IF(tblArrecadacaoPropria[[#This Row],[arrec_acum_atual]]&gt;0,tblArrecadacaoPropria[[#This Row],[arrec_acum_atual]]-tblArrecadacaoPropria[[#This Row],[prev_acum_atual]],""),"")</f>
        <v/>
      </c>
      <c r="J12" s="3" t="str">
        <f>IFERROR(IF(tblArrecadacaoPropria[[#This Row],[arrec_acum_atual]]&gt;0,(tblArrecadacaoPropria[[#This Row],[arrec_acum_atual]]/tblArrecadacaoPropria[[#This Row],[arrec_acum_ant]])-1,""),"")</f>
        <v/>
      </c>
      <c r="K12" s="3" t="str">
        <f>IFERROR(IF(tblArrecadacaoPropria[[#This Row],[arrec_acum_atual]]&gt;0,(tblArrecadacaoPropria[[#This Row],[arrec_acum_atual]]/tblArrecadacaoPropria[[#This Row],[prev_acum_atual]])-1,""),"")</f>
        <v/>
      </c>
      <c r="L12" s="7">
        <f>YEAR(tblArrecadacaoPropria[[#This Row],[data_base]])</f>
        <v>2022</v>
      </c>
      <c r="M12">
        <f>MONTH(tblArrecadacaoPropria[[#This Row],[data_base]])</f>
        <v>11</v>
      </c>
    </row>
    <row r="13" spans="1:13" x14ac:dyDescent="0.25">
      <c r="A13" s="1">
        <v>44926</v>
      </c>
      <c r="B13" s="4">
        <v>368032.24</v>
      </c>
      <c r="C13" s="4"/>
      <c r="D13" s="4">
        <v>367168.2799999998</v>
      </c>
      <c r="E13" s="4">
        <f>IF(tblArrecadacaoPropria[[#This Row],[arrec_mes_ant]]&gt;0,SUMIFS(tblArrecadacaoPropria[arrec_mes_ant],tblArrecadacaoPropria[ano],YEAR(tblArrecadacaoPropria[[#This Row],[data_base]]),tblArrecadacaoPropria[mês],"&lt;="&amp;MONTH(tblArrecadacaoPropria[[#This Row],[data_base]])),"")</f>
        <v>3964357.0500000007</v>
      </c>
      <c r="F13" s="4" t="str">
        <f>IF(tblArrecadacaoPropria[[#This Row],[arrec_mes_atual]]&gt;0,SUMIFS(tblArrecadacaoPropria[arrec_mes_atual],tblArrecadacaoPropria[ano],YEAR(tblArrecadacaoPropria[[#This Row],[data_base]]),tblArrecadacaoPropria[mês],"&lt;="&amp;MONTH(tblArrecadacaoPropria[[#This Row],[data_base]])),"")</f>
        <v/>
      </c>
      <c r="G13" s="4">
        <f>IF(tblArrecadacaoPropria[[#This Row],[prev_mes_atual]]&gt;0,SUMIFS(tblArrecadacaoPropria[prev_mes_atual],tblArrecadacaoPropria[ano],YEAR(tblArrecadacaoPropria[[#This Row],[data_base]]),tblArrecadacaoPropria[mês],"&lt;="&amp;MONTH(tblArrecadacaoPropria[[#This Row],[data_base]])),"")</f>
        <v>4266573</v>
      </c>
      <c r="H13" s="4" t="str">
        <f>IFERROR(IF(tblArrecadacaoPropria[[#This Row],[arrec_acum_atual]]&gt;0,tblArrecadacaoPropria[[#This Row],[arrec_acum_atual]]-tblArrecadacaoPropria[[#This Row],[arrec_acum_ant]],""),"")</f>
        <v/>
      </c>
      <c r="I13" s="4" t="str">
        <f>IFERROR(IF(tblArrecadacaoPropria[[#This Row],[arrec_acum_atual]]&gt;0,tblArrecadacaoPropria[[#This Row],[arrec_acum_atual]]-tblArrecadacaoPropria[[#This Row],[prev_acum_atual]],""),"")</f>
        <v/>
      </c>
      <c r="J13" s="3" t="str">
        <f>IFERROR(IF(tblArrecadacaoPropria[[#This Row],[arrec_acum_atual]]&gt;0,(tblArrecadacaoPropria[[#This Row],[arrec_acum_atual]]/tblArrecadacaoPropria[[#This Row],[arrec_acum_ant]])-1,""),"")</f>
        <v/>
      </c>
      <c r="K13" s="3" t="str">
        <f>IFERROR(IF(tblArrecadacaoPropria[[#This Row],[arrec_acum_atual]]&gt;0,(tblArrecadacaoPropria[[#This Row],[arrec_acum_atual]]/tblArrecadacaoPropria[[#This Row],[prev_acum_atual]])-1,""),"")</f>
        <v/>
      </c>
      <c r="L13" s="7">
        <f>YEAR(tblArrecadacaoPropria[[#This Row],[data_base]])</f>
        <v>2022</v>
      </c>
      <c r="M13">
        <f>MONTH(tblArrecadacaoPropria[[#This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7A61-2A12-43F7-A9EF-55E59E9AB18B}">
  <dimension ref="A1:M13"/>
  <sheetViews>
    <sheetView workbookViewId="0">
      <selection activeCell="C11" sqref="C11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2110024.15</v>
      </c>
      <c r="C2" s="4">
        <v>2444286.52</v>
      </c>
      <c r="D2" s="4">
        <v>2218910.9299999997</v>
      </c>
      <c r="E2" s="4">
        <f>IF(tblTransfCorr[[#This Row],[arrec_mes_ant]]&gt;0,SUMIFS(tblTransfCorr[arrec_mes_ant],tblTransfCorr[ano],YEAR(tblTransfCorr[[#This Row],[data_base]]),tblTransfCorr[mês],"&lt;="&amp;MONTH(tblTransfCorr[[#This Row],[data_base]])),"")</f>
        <v>2110024.15</v>
      </c>
      <c r="F2" s="4">
        <f>IF(tblTransfCorr[[#This Row],[arrec_mes_atual]]&gt;0,SUMIFS(tblTransfCorr[arrec_mes_atual],tblTransfCorr[ano],YEAR(tblTransfCorr[[#This Row],[data_base]]),tblTransfCorr[mês],"&lt;="&amp;MONTH(tblTransfCorr[[#This Row],[data_base]])),"")</f>
        <v>2444286.52</v>
      </c>
      <c r="G2" s="4">
        <f>IF(tblTransfCorr[[#This Row],[prev_mes_atual]]&gt;0,SUMIFS(tblTransfCorr[prev_mes_atual],tblTransfCorr[ano],YEAR(tblTransfCorr[[#This Row],[data_base]]),tblTransfCorr[mês],"&lt;="&amp;MONTH(tblTransfCorr[[#This Row],[data_base]])),"")</f>
        <v>2218910.9299999997</v>
      </c>
      <c r="H2" s="4">
        <f>IFERROR(IF(tblTransfCorr[[#This Row],[arrec_acum_atual]]&gt;0,tblTransfCorr[[#This Row],[arrec_acum_atual]]-tblTransfCorr[[#This Row],[arrec_acum_ant]],""),"")</f>
        <v>334262.37000000011</v>
      </c>
      <c r="I2" s="4">
        <f>IFERROR(IF(tblTransfCorr[[#This Row],[arrec_acum_atual]]&gt;0,tblTransfCorr[[#This Row],[arrec_acum_atual]]-tblTransfCorr[[#This Row],[prev_acum_atual]],""),"")</f>
        <v>225375.59000000032</v>
      </c>
      <c r="J2" s="3">
        <f>IFERROR(IF(tblTransfCorr[[#This Row],[arrec_acum_atual]]&gt;0,(tblTransfCorr[[#This Row],[arrec_acum_atual]]/tblTransfCorr[[#This Row],[arrec_acum_ant]])-1,""),"")</f>
        <v>0.15841637167991651</v>
      </c>
      <c r="K2" s="3">
        <f>IFERROR(IF(tblTransfCorr[[#This Row],[arrec_acum_atual]]&gt;0,(tblTransfCorr[[#This Row],[arrec_acum_atual]]/tblTransfCorr[[#This Row],[prev_acum_atual]])-1,""),"")</f>
        <v>0.10157036361977823</v>
      </c>
      <c r="L2" s="7">
        <f>YEAR(tblTransfCorr[[#This Row],[data_base]])</f>
        <v>2022</v>
      </c>
      <c r="M2">
        <f>MONTH(tblTransfCorr[[#This Row],[data_base]])</f>
        <v>1</v>
      </c>
    </row>
    <row r="3" spans="1:13" x14ac:dyDescent="0.25">
      <c r="A3" s="1">
        <v>44620</v>
      </c>
      <c r="B3" s="4">
        <v>2135782.98</v>
      </c>
      <c r="C3" s="4">
        <v>2630353.1600000006</v>
      </c>
      <c r="D3" s="4">
        <v>2243338.7200000002</v>
      </c>
      <c r="E3" s="4">
        <f>IF(tblTransfCorr[[#This Row],[arrec_mes_ant]]&gt;0,SUMIFS(tblTransfCorr[arrec_mes_ant],tblTransfCorr[ano],YEAR(tblTransfCorr[[#This Row],[data_base]]),tblTransfCorr[mês],"&lt;="&amp;MONTH(tblTransfCorr[[#This Row],[data_base]])),"")</f>
        <v>4245807.13</v>
      </c>
      <c r="F3" s="4">
        <f>IF(tblTransfCorr[[#This Row],[arrec_mes_atual]]&gt;0,SUMIFS(tblTransfCorr[arrec_mes_atual],tblTransfCorr[ano],YEAR(tblTransfCorr[[#This Row],[data_base]]),tblTransfCorr[mês],"&lt;="&amp;MONTH(tblTransfCorr[[#This Row],[data_base]])),"")</f>
        <v>5074639.6800000006</v>
      </c>
      <c r="G3" s="4">
        <f>IF(tblTransfCorr[[#This Row],[prev_mes_atual]]&gt;0,SUMIFS(tblTransfCorr[prev_mes_atual],tblTransfCorr[ano],YEAR(tblTransfCorr[[#This Row],[data_base]]),tblTransfCorr[mês],"&lt;="&amp;MONTH(tblTransfCorr[[#This Row],[data_base]])),"")</f>
        <v>4462249.6500000004</v>
      </c>
      <c r="H3" s="4">
        <f>IFERROR(IF(tblTransfCorr[[#This Row],[arrec_acum_atual]]&gt;0,tblTransfCorr[[#This Row],[arrec_acum_atual]]-tblTransfCorr[[#This Row],[arrec_acum_ant]],""),"")</f>
        <v>828832.55000000075</v>
      </c>
      <c r="I3" s="4">
        <f>IFERROR(IF(tblTransfCorr[[#This Row],[arrec_acum_atual]]&gt;0,tblTransfCorr[[#This Row],[arrec_acum_atual]]-tblTransfCorr[[#This Row],[prev_acum_atual]],""),"")</f>
        <v>612390.03000000026</v>
      </c>
      <c r="J3" s="3">
        <f>IFERROR(IF(tblTransfCorr[[#This Row],[arrec_acum_atual]]&gt;0,(tblTransfCorr[[#This Row],[arrec_acum_atual]]/tblTransfCorr[[#This Row],[arrec_acum_ant]])-1,""),"")</f>
        <v>0.19521201143208811</v>
      </c>
      <c r="K3" s="3">
        <f>IFERROR(IF(tblTransfCorr[[#This Row],[arrec_acum_atual]]&gt;0,(tblTransfCorr[[#This Row],[arrec_acum_atual]]/tblTransfCorr[[#This Row],[prev_acum_atual]])-1,""),"")</f>
        <v>0.13723795798829852</v>
      </c>
      <c r="L3" s="7">
        <f>YEAR(tblTransfCorr[[#This Row],[data_base]])</f>
        <v>2022</v>
      </c>
      <c r="M3">
        <f>MONTH(tblTransfCorr[[#This Row],[data_base]])</f>
        <v>2</v>
      </c>
    </row>
    <row r="4" spans="1:13" x14ac:dyDescent="0.25">
      <c r="A4" s="1">
        <v>44651</v>
      </c>
      <c r="B4" s="4">
        <v>2179642.96</v>
      </c>
      <c r="C4" s="4">
        <v>2323776.8800000004</v>
      </c>
      <c r="D4" s="4">
        <v>2129434.1</v>
      </c>
      <c r="E4" s="4">
        <f>IF(tblTransfCorr[[#This Row],[arrec_mes_ant]]&gt;0,SUMIFS(tblTransfCorr[arrec_mes_ant],tblTransfCorr[ano],YEAR(tblTransfCorr[[#This Row],[data_base]]),tblTransfCorr[mês],"&lt;="&amp;MONTH(tblTransfCorr[[#This Row],[data_base]])),"")</f>
        <v>6425450.0899999999</v>
      </c>
      <c r="F4" s="4">
        <f>IF(tblTransfCorr[[#This Row],[arrec_mes_atual]]&gt;0,SUMIFS(tblTransfCorr[arrec_mes_atual],tblTransfCorr[ano],YEAR(tblTransfCorr[[#This Row],[data_base]]),tblTransfCorr[mês],"&lt;="&amp;MONTH(tblTransfCorr[[#This Row],[data_base]])),"")</f>
        <v>7398416.5600000005</v>
      </c>
      <c r="G4" s="4">
        <f>IF(tblTransfCorr[[#This Row],[prev_mes_atual]]&gt;0,SUMIFS(tblTransfCorr[prev_mes_atual],tblTransfCorr[ano],YEAR(tblTransfCorr[[#This Row],[data_base]]),tblTransfCorr[mês],"&lt;="&amp;MONTH(tblTransfCorr[[#This Row],[data_base]])),"")</f>
        <v>6591683.75</v>
      </c>
      <c r="H4" s="4">
        <f>IFERROR(IF(tblTransfCorr[[#This Row],[arrec_acum_atual]]&gt;0,tblTransfCorr[[#This Row],[arrec_acum_atual]]-tblTransfCorr[[#This Row],[arrec_acum_ant]],""),"")</f>
        <v>972966.47000000067</v>
      </c>
      <c r="I4" s="4">
        <f>IFERROR(IF(tblTransfCorr[[#This Row],[arrec_acum_atual]]&gt;0,tblTransfCorr[[#This Row],[arrec_acum_atual]]-tblTransfCorr[[#This Row],[prev_acum_atual]],""),"")</f>
        <v>806732.81000000052</v>
      </c>
      <c r="J4" s="3">
        <f>IFERROR(IF(tblTransfCorr[[#This Row],[arrec_acum_atual]]&gt;0,(tblTransfCorr[[#This Row],[arrec_acum_atual]]/tblTransfCorr[[#This Row],[arrec_acum_ant]])-1,""),"")</f>
        <v>0.15142386235545424</v>
      </c>
      <c r="K4" s="3">
        <f>IFERROR(IF(tblTransfCorr[[#This Row],[arrec_acum_atual]]&gt;0,(tblTransfCorr[[#This Row],[arrec_acum_atual]]/tblTransfCorr[[#This Row],[prev_acum_atual]])-1,""),"")</f>
        <v>0.12238645550918625</v>
      </c>
      <c r="L4" s="7">
        <f>YEAR(tblTransfCorr[[#This Row],[data_base]])</f>
        <v>2022</v>
      </c>
      <c r="M4">
        <f>MONTH(tblTransfCorr[[#This Row],[data_base]])</f>
        <v>3</v>
      </c>
    </row>
    <row r="5" spans="1:13" x14ac:dyDescent="0.25">
      <c r="A5" s="1">
        <v>44681</v>
      </c>
      <c r="B5" s="4">
        <v>2063603.46</v>
      </c>
      <c r="C5" s="4">
        <v>2537876.83</v>
      </c>
      <c r="D5" s="4">
        <v>2154176.23</v>
      </c>
      <c r="E5" s="4">
        <f>IF(tblTransfCorr[[#This Row],[arrec_mes_ant]]&gt;0,SUMIFS(tblTransfCorr[arrec_mes_ant],tblTransfCorr[ano],YEAR(tblTransfCorr[[#This Row],[data_base]]),tblTransfCorr[mês],"&lt;="&amp;MONTH(tblTransfCorr[[#This Row],[data_base]])),"")</f>
        <v>8489053.5500000007</v>
      </c>
      <c r="F5" s="4">
        <f>IF(tblTransfCorr[[#This Row],[arrec_mes_atual]]&gt;0,SUMIFS(tblTransfCorr[arrec_mes_atual],tblTransfCorr[ano],YEAR(tblTransfCorr[[#This Row],[data_base]]),tblTransfCorr[mês],"&lt;="&amp;MONTH(tblTransfCorr[[#This Row],[data_base]])),"")</f>
        <v>9936293.3900000006</v>
      </c>
      <c r="G5" s="4">
        <f>IF(tblTransfCorr[[#This Row],[prev_mes_atual]]&gt;0,SUMIFS(tblTransfCorr[prev_mes_atual],tblTransfCorr[ano],YEAR(tblTransfCorr[[#This Row],[data_base]]),tblTransfCorr[mês],"&lt;="&amp;MONTH(tblTransfCorr[[#This Row],[data_base]])),"")</f>
        <v>8745859.9800000004</v>
      </c>
      <c r="H5" s="4">
        <f>IFERROR(IF(tblTransfCorr[[#This Row],[arrec_acum_atual]]&gt;0,tblTransfCorr[[#This Row],[arrec_acum_atual]]-tblTransfCorr[[#This Row],[arrec_acum_ant]],""),"")</f>
        <v>1447239.8399999999</v>
      </c>
      <c r="I5" s="4">
        <f>IFERROR(IF(tblTransfCorr[[#This Row],[arrec_acum_atual]]&gt;0,tblTransfCorr[[#This Row],[arrec_acum_atual]]-tblTransfCorr[[#This Row],[prev_acum_atual]],""),"")</f>
        <v>1190433.4100000001</v>
      </c>
      <c r="J5" s="3">
        <f>IFERROR(IF(tblTransfCorr[[#This Row],[arrec_acum_atual]]&gt;0,(tblTransfCorr[[#This Row],[arrec_acum_atual]]/tblTransfCorr[[#This Row],[arrec_acum_ant]])-1,""),"")</f>
        <v>0.17048306168359595</v>
      </c>
      <c r="K5" s="3">
        <f>IFERROR(IF(tblTransfCorr[[#This Row],[arrec_acum_atual]]&gt;0,(tblTransfCorr[[#This Row],[arrec_acum_atual]]/tblTransfCorr[[#This Row],[prev_acum_atual]])-1,""),"")</f>
        <v>0.13611393421827911</v>
      </c>
      <c r="L5" s="7">
        <f>YEAR(tblTransfCorr[[#This Row],[data_base]])</f>
        <v>2022</v>
      </c>
      <c r="M5">
        <f>MONTH(tblTransfCorr[[#This Row],[data_base]])</f>
        <v>4</v>
      </c>
    </row>
    <row r="6" spans="1:13" x14ac:dyDescent="0.25">
      <c r="A6" s="1">
        <v>44712</v>
      </c>
      <c r="B6" s="4">
        <v>2247340.37</v>
      </c>
      <c r="C6" s="4">
        <v>2970390.97</v>
      </c>
      <c r="D6" s="4">
        <v>2204744.39</v>
      </c>
      <c r="E6" s="4">
        <f>IF(tblTransfCorr[[#This Row],[arrec_mes_ant]]&gt;0,SUMIFS(tblTransfCorr[arrec_mes_ant],tblTransfCorr[ano],YEAR(tblTransfCorr[[#This Row],[data_base]]),tblTransfCorr[mês],"&lt;="&amp;MONTH(tblTransfCorr[[#This Row],[data_base]])),"")</f>
        <v>10736393.920000002</v>
      </c>
      <c r="F6" s="4">
        <f>IF(tblTransfCorr[[#This Row],[arrec_mes_atual]]&gt;0,SUMIFS(tblTransfCorr[arrec_mes_atual],tblTransfCorr[ano],YEAR(tblTransfCorr[[#This Row],[data_base]]),tblTransfCorr[mês],"&lt;="&amp;MONTH(tblTransfCorr[[#This Row],[data_base]])),"")</f>
        <v>12906684.360000001</v>
      </c>
      <c r="G6" s="4">
        <f>IF(tblTransfCorr[[#This Row],[prev_mes_atual]]&gt;0,SUMIFS(tblTransfCorr[prev_mes_atual],tblTransfCorr[ano],YEAR(tblTransfCorr[[#This Row],[data_base]]),tblTransfCorr[mês],"&lt;="&amp;MONTH(tblTransfCorr[[#This Row],[data_base]])),"")</f>
        <v>10950604.370000001</v>
      </c>
      <c r="H6" s="4">
        <f>IFERROR(IF(tblTransfCorr[[#This Row],[arrec_acum_atual]]&gt;0,tblTransfCorr[[#This Row],[arrec_acum_atual]]-tblTransfCorr[[#This Row],[arrec_acum_ant]],""),"")</f>
        <v>2170290.4399999995</v>
      </c>
      <c r="I6" s="4">
        <f>IFERROR(IF(tblTransfCorr[[#This Row],[arrec_acum_atual]]&gt;0,tblTransfCorr[[#This Row],[arrec_acum_atual]]-tblTransfCorr[[#This Row],[prev_acum_atual]],""),"")</f>
        <v>1956079.9900000002</v>
      </c>
      <c r="J6" s="3">
        <f>IFERROR(IF(tblTransfCorr[[#This Row],[arrec_acum_atual]]&gt;0,(tblTransfCorr[[#This Row],[arrec_acum_atual]]/tblTransfCorr[[#This Row],[arrec_acum_ant]])-1,""),"")</f>
        <v>0.20214333193914702</v>
      </c>
      <c r="K6" s="3">
        <f>IFERROR(IF(tblTransfCorr[[#This Row],[arrec_acum_atual]]&gt;0,(tblTransfCorr[[#This Row],[arrec_acum_atual]]/tblTransfCorr[[#This Row],[prev_acum_atual]])-1,""),"")</f>
        <v>0.17862758290846736</v>
      </c>
      <c r="L6" s="7">
        <f>YEAR(tblTransfCorr[[#This Row],[data_base]])</f>
        <v>2022</v>
      </c>
      <c r="M6">
        <f>MONTH(tblTransfCorr[[#This Row],[data_base]])</f>
        <v>5</v>
      </c>
    </row>
    <row r="7" spans="1:13" x14ac:dyDescent="0.25">
      <c r="A7" s="1">
        <v>44742</v>
      </c>
      <c r="B7" s="4">
        <v>2158783.31</v>
      </c>
      <c r="C7" s="4">
        <v>2375326.1300000008</v>
      </c>
      <c r="D7" s="4">
        <v>1987047.2799999998</v>
      </c>
      <c r="E7" s="4">
        <f>IF(tblTransfCorr[[#This Row],[arrec_mes_ant]]&gt;0,SUMIFS(tblTransfCorr[arrec_mes_ant],tblTransfCorr[ano],YEAR(tblTransfCorr[[#This Row],[data_base]]),tblTransfCorr[mês],"&lt;="&amp;MONTH(tblTransfCorr[[#This Row],[data_base]])),"")</f>
        <v>12895177.230000002</v>
      </c>
      <c r="F7" s="4">
        <f>IF(tblTransfCorr[[#This Row],[arrec_mes_atual]]&gt;0,SUMIFS(tblTransfCorr[arrec_mes_atual],tblTransfCorr[ano],YEAR(tblTransfCorr[[#This Row],[data_base]]),tblTransfCorr[mês],"&lt;="&amp;MONTH(tblTransfCorr[[#This Row],[data_base]])),"")</f>
        <v>15282010.490000002</v>
      </c>
      <c r="G7" s="4">
        <f>IF(tblTransfCorr[[#This Row],[prev_mes_atual]]&gt;0,SUMIFS(tblTransfCorr[prev_mes_atual],tblTransfCorr[ano],YEAR(tblTransfCorr[[#This Row],[data_base]]),tblTransfCorr[mês],"&lt;="&amp;MONTH(tblTransfCorr[[#This Row],[data_base]])),"")</f>
        <v>12937651.65</v>
      </c>
      <c r="H7" s="4">
        <f>IFERROR(IF(tblTransfCorr[[#This Row],[arrec_acum_atual]]&gt;0,tblTransfCorr[[#This Row],[arrec_acum_atual]]-tblTransfCorr[[#This Row],[arrec_acum_ant]],""),"")</f>
        <v>2386833.2599999998</v>
      </c>
      <c r="I7" s="4">
        <f>IFERROR(IF(tblTransfCorr[[#This Row],[arrec_acum_atual]]&gt;0,tblTransfCorr[[#This Row],[arrec_acum_atual]]-tblTransfCorr[[#This Row],[prev_acum_atual]],""),"")</f>
        <v>2344358.8400000017</v>
      </c>
      <c r="J7" s="3">
        <f>IFERROR(IF(tblTransfCorr[[#This Row],[arrec_acum_atual]]&gt;0,(tblTransfCorr[[#This Row],[arrec_acum_atual]]/tblTransfCorr[[#This Row],[arrec_acum_ant]])-1,""),"")</f>
        <v>0.18509503339334876</v>
      </c>
      <c r="K7" s="3">
        <f>IFERROR(IF(tblTransfCorr[[#This Row],[arrec_acum_atual]]&gt;0,(tblTransfCorr[[#This Row],[arrec_acum_atual]]/tblTransfCorr[[#This Row],[prev_acum_atual]])-1,""),"")</f>
        <v>0.18120435635627907</v>
      </c>
      <c r="L7" s="7">
        <f>YEAR(tblTransfCorr[[#This Row],[data_base]])</f>
        <v>2022</v>
      </c>
      <c r="M7">
        <f>MONTH(tblTransfCorr[[#This Row],[data_base]])</f>
        <v>6</v>
      </c>
    </row>
    <row r="8" spans="1:13" x14ac:dyDescent="0.25">
      <c r="A8" s="1">
        <v>44773</v>
      </c>
      <c r="B8" s="4">
        <v>3013841.15</v>
      </c>
      <c r="C8" s="4">
        <v>3256718.4700000011</v>
      </c>
      <c r="D8" s="4">
        <v>2565763.69</v>
      </c>
      <c r="E8" s="4">
        <f>IF(tblTransfCorr[[#This Row],[arrec_mes_ant]]&gt;0,SUMIFS(tblTransfCorr[arrec_mes_ant],tblTransfCorr[ano],YEAR(tblTransfCorr[[#This Row],[data_base]]),tblTransfCorr[mês],"&lt;="&amp;MONTH(tblTransfCorr[[#This Row],[data_base]])),"")</f>
        <v>15909018.380000003</v>
      </c>
      <c r="F8" s="4">
        <f>IF(tblTransfCorr[[#This Row],[arrec_mes_atual]]&gt;0,SUMIFS(tblTransfCorr[arrec_mes_atual],tblTransfCorr[ano],YEAR(tblTransfCorr[[#This Row],[data_base]]),tblTransfCorr[mês],"&lt;="&amp;MONTH(tblTransfCorr[[#This Row],[data_base]])),"")</f>
        <v>18538728.960000005</v>
      </c>
      <c r="G8" s="4">
        <f>IF(tblTransfCorr[[#This Row],[prev_mes_atual]]&gt;0,SUMIFS(tblTransfCorr[prev_mes_atual],tblTransfCorr[ano],YEAR(tblTransfCorr[[#This Row],[data_base]]),tblTransfCorr[mês],"&lt;="&amp;MONTH(tblTransfCorr[[#This Row],[data_base]])),"")</f>
        <v>15503415.34</v>
      </c>
      <c r="H8" s="4">
        <f>IFERROR(IF(tblTransfCorr[[#This Row],[arrec_acum_atual]]&gt;0,tblTransfCorr[[#This Row],[arrec_acum_atual]]-tblTransfCorr[[#This Row],[arrec_acum_ant]],""),"")</f>
        <v>2629710.5800000019</v>
      </c>
      <c r="I8" s="4">
        <f>IFERROR(IF(tblTransfCorr[[#This Row],[arrec_acum_atual]]&gt;0,tblTransfCorr[[#This Row],[arrec_acum_atual]]-tblTransfCorr[[#This Row],[prev_acum_atual]],""),"")</f>
        <v>3035313.6200000048</v>
      </c>
      <c r="J8" s="3">
        <f>IFERROR(IF(tblTransfCorr[[#This Row],[arrec_acum_atual]]&gt;0,(tblTransfCorr[[#This Row],[arrec_acum_atual]]/tblTransfCorr[[#This Row],[arrec_acum_ant]])-1,""),"")</f>
        <v>0.1652968471836036</v>
      </c>
      <c r="K8" s="3">
        <f>IFERROR(IF(tblTransfCorr[[#This Row],[arrec_acum_atual]]&gt;0,(tblTransfCorr[[#This Row],[arrec_acum_atual]]/tblTransfCorr[[#This Row],[prev_acum_atual]])-1,""),"")</f>
        <v>0.19578354533072861</v>
      </c>
      <c r="L8" s="7">
        <f>YEAR(tblTransfCorr[[#This Row],[data_base]])</f>
        <v>2022</v>
      </c>
      <c r="M8">
        <f>MONTH(tblTransfCorr[[#This Row],[data_base]])</f>
        <v>7</v>
      </c>
    </row>
    <row r="9" spans="1:13" x14ac:dyDescent="0.25">
      <c r="A9" s="1">
        <v>44804</v>
      </c>
      <c r="B9" s="4">
        <v>2210101.2000000002</v>
      </c>
      <c r="C9" s="4">
        <v>2302172.1700000004</v>
      </c>
      <c r="D9" s="4">
        <v>2080949.47</v>
      </c>
      <c r="E9" s="4">
        <f>IF(tblTransfCorr[[#This Row],[arrec_mes_ant]]&gt;0,SUMIFS(tblTransfCorr[arrec_mes_ant],tblTransfCorr[ano],YEAR(tblTransfCorr[[#This Row],[data_base]]),tblTransfCorr[mês],"&lt;="&amp;MONTH(tblTransfCorr[[#This Row],[data_base]])),"")</f>
        <v>18119119.580000002</v>
      </c>
      <c r="F9" s="4">
        <f>IF(tblTransfCorr[[#This Row],[arrec_mes_atual]]&gt;0,SUMIFS(tblTransfCorr[arrec_mes_atual],tblTransfCorr[ano],YEAR(tblTransfCorr[[#This Row],[data_base]]),tblTransfCorr[mês],"&lt;="&amp;MONTH(tblTransfCorr[[#This Row],[data_base]])),"")</f>
        <v>20840901.130000006</v>
      </c>
      <c r="G9" s="4">
        <f>IF(tblTransfCorr[[#This Row],[prev_mes_atual]]&gt;0,SUMIFS(tblTransfCorr[prev_mes_atual],tblTransfCorr[ano],YEAR(tblTransfCorr[[#This Row],[data_base]]),tblTransfCorr[mês],"&lt;="&amp;MONTH(tblTransfCorr[[#This Row],[data_base]])),"")</f>
        <v>17584364.809999999</v>
      </c>
      <c r="H9" s="4">
        <f>IFERROR(IF(tblTransfCorr[[#This Row],[arrec_acum_atual]]&gt;0,tblTransfCorr[[#This Row],[arrec_acum_atual]]-tblTransfCorr[[#This Row],[arrec_acum_ant]],""),"")</f>
        <v>2721781.5500000045</v>
      </c>
      <c r="I9" s="4">
        <f>IFERROR(IF(tblTransfCorr[[#This Row],[arrec_acum_atual]]&gt;0,tblTransfCorr[[#This Row],[arrec_acum_atual]]-tblTransfCorr[[#This Row],[prev_acum_atual]],""),"")</f>
        <v>3256536.3200000077</v>
      </c>
      <c r="J9" s="3">
        <f>IFERROR(IF(tblTransfCorr[[#This Row],[arrec_acum_atual]]&gt;0,(tblTransfCorr[[#This Row],[arrec_acum_atual]]/tblTransfCorr[[#This Row],[arrec_acum_ant]])-1,""),"")</f>
        <v>0.15021599355215498</v>
      </c>
      <c r="K9" s="3">
        <f>IFERROR(IF(tblTransfCorr[[#This Row],[arrec_acum_atual]]&gt;0,(tblTransfCorr[[#This Row],[arrec_acum_atual]]/tblTransfCorr[[#This Row],[prev_acum_atual]])-1,""),"")</f>
        <v>0.18519499311957288</v>
      </c>
      <c r="L9" s="7">
        <f>YEAR(tblTransfCorr[[#This Row],[data_base]])</f>
        <v>2022</v>
      </c>
      <c r="M9">
        <f>MONTH(tblTransfCorr[[#This Row],[data_base]])</f>
        <v>8</v>
      </c>
    </row>
    <row r="10" spans="1:13" x14ac:dyDescent="0.25">
      <c r="A10" s="1">
        <v>44834</v>
      </c>
      <c r="B10" s="4">
        <v>1857373.63</v>
      </c>
      <c r="C10" s="4">
        <v>2237474.65</v>
      </c>
      <c r="D10" s="4">
        <v>1980042.9200000002</v>
      </c>
      <c r="E10" s="4">
        <f>IF(tblTransfCorr[[#This Row],[arrec_mes_ant]]&gt;0,SUMIFS(tblTransfCorr[arrec_mes_ant],tblTransfCorr[ano],YEAR(tblTransfCorr[[#This Row],[data_base]]),tblTransfCorr[mês],"&lt;="&amp;MONTH(tblTransfCorr[[#This Row],[data_base]])),"")</f>
        <v>19976493.210000001</v>
      </c>
      <c r="F10" s="4">
        <f>IF(tblTransfCorr[[#This Row],[arrec_mes_atual]]&gt;0,SUMIFS(tblTransfCorr[arrec_mes_atual],tblTransfCorr[ano],YEAR(tblTransfCorr[[#This Row],[data_base]]),tblTransfCorr[mês],"&lt;="&amp;MONTH(tblTransfCorr[[#This Row],[data_base]])),"")</f>
        <v>23078375.780000005</v>
      </c>
      <c r="G10" s="4">
        <f>IF(tblTransfCorr[[#This Row],[prev_mes_atual]]&gt;0,SUMIFS(tblTransfCorr[prev_mes_atual],tblTransfCorr[ano],YEAR(tblTransfCorr[[#This Row],[data_base]]),tblTransfCorr[mês],"&lt;="&amp;MONTH(tblTransfCorr[[#This Row],[data_base]])),"")</f>
        <v>19564407.73</v>
      </c>
      <c r="H10" s="4">
        <f>IFERROR(IF(tblTransfCorr[[#This Row],[arrec_acum_atual]]&gt;0,tblTransfCorr[[#This Row],[arrec_acum_atual]]-tblTransfCorr[[#This Row],[arrec_acum_ant]],""),"")</f>
        <v>3101882.570000004</v>
      </c>
      <c r="I10" s="4">
        <f>IFERROR(IF(tblTransfCorr[[#This Row],[arrec_acum_atual]]&gt;0,tblTransfCorr[[#This Row],[arrec_acum_atual]]-tblTransfCorr[[#This Row],[prev_acum_atual]],""),"")</f>
        <v>3513968.0500000045</v>
      </c>
      <c r="J10" s="3">
        <f>IFERROR(IF(tblTransfCorr[[#This Row],[arrec_acum_atual]]&gt;0,(tblTransfCorr[[#This Row],[arrec_acum_atual]]/tblTransfCorr[[#This Row],[arrec_acum_ant]])-1,""),"")</f>
        <v>0.15527663125814484</v>
      </c>
      <c r="K10" s="3">
        <f>IFERROR(IF(tblTransfCorr[[#This Row],[arrec_acum_atual]]&gt;0,(tblTransfCorr[[#This Row],[arrec_acum_atual]]/tblTransfCorr[[#This Row],[prev_acum_atual]])-1,""),"")</f>
        <v>0.17961024419930172</v>
      </c>
      <c r="L10" s="7">
        <f>YEAR(tblTransfCorr[[#This Row],[data_base]])</f>
        <v>2022</v>
      </c>
      <c r="M10">
        <f>MONTH(tblTransfCorr[[#This Row],[data_base]])</f>
        <v>9</v>
      </c>
    </row>
    <row r="11" spans="1:13" x14ac:dyDescent="0.25">
      <c r="A11" s="1">
        <v>44865</v>
      </c>
      <c r="B11" s="4">
        <v>2300465.46</v>
      </c>
      <c r="C11" s="4">
        <v>2570566.4299999992</v>
      </c>
      <c r="D11" s="4">
        <v>2340425.7000000002</v>
      </c>
      <c r="E11" s="4">
        <f>IF(tblTransfCorr[[#This Row],[arrec_mes_ant]]&gt;0,SUMIFS(tblTransfCorr[arrec_mes_ant],tblTransfCorr[ano],YEAR(tblTransfCorr[[#This Row],[data_base]]),tblTransfCorr[mês],"&lt;="&amp;MONTH(tblTransfCorr[[#This Row],[data_base]])),"")</f>
        <v>22276958.670000002</v>
      </c>
      <c r="F11" s="4">
        <f>IF(tblTransfCorr[[#This Row],[arrec_mes_atual]]&gt;0,SUMIFS(tblTransfCorr[arrec_mes_atual],tblTransfCorr[ano],YEAR(tblTransfCorr[[#This Row],[data_base]]),tblTransfCorr[mês],"&lt;="&amp;MONTH(tblTransfCorr[[#This Row],[data_base]])),"")</f>
        <v>25648942.210000005</v>
      </c>
      <c r="G11" s="4">
        <f>IF(tblTransfCorr[[#This Row],[prev_mes_atual]]&gt;0,SUMIFS(tblTransfCorr[prev_mes_atual],tblTransfCorr[ano],YEAR(tblTransfCorr[[#This Row],[data_base]]),tblTransfCorr[mês],"&lt;="&amp;MONTH(tblTransfCorr[[#This Row],[data_base]])),"")</f>
        <v>21904833.43</v>
      </c>
      <c r="H11" s="4">
        <f>IFERROR(IF(tblTransfCorr[[#This Row],[arrec_acum_atual]]&gt;0,tblTransfCorr[[#This Row],[arrec_acum_atual]]-tblTransfCorr[[#This Row],[arrec_acum_ant]],""),"")</f>
        <v>3371983.5400000028</v>
      </c>
      <c r="I11" s="4">
        <f>IFERROR(IF(tblTransfCorr[[#This Row],[arrec_acum_atual]]&gt;0,tblTransfCorr[[#This Row],[arrec_acum_atual]]-tblTransfCorr[[#This Row],[prev_acum_atual]],""),"")</f>
        <v>3744108.7800000049</v>
      </c>
      <c r="J11" s="3">
        <f>IFERROR(IF(tblTransfCorr[[#This Row],[arrec_acum_atual]]&gt;0,(tblTransfCorr[[#This Row],[arrec_acum_atual]]/tblTransfCorr[[#This Row],[arrec_acum_ant]])-1,""),"")</f>
        <v>0.15136642258716382</v>
      </c>
      <c r="K11" s="3">
        <f>IFERROR(IF(tblTransfCorr[[#This Row],[arrec_acum_atual]]&gt;0,(tblTransfCorr[[#This Row],[arrec_acum_atual]]/tblTransfCorr[[#This Row],[prev_acum_atual]])-1,""),"")</f>
        <v>0.17092614705173803</v>
      </c>
      <c r="L11" s="7">
        <f>YEAR(tblTransfCorr[[#This Row],[data_base]])</f>
        <v>2022</v>
      </c>
      <c r="M11">
        <f>MONTH(tblTransfCorr[[#This Row],[data_base]])</f>
        <v>10</v>
      </c>
    </row>
    <row r="12" spans="1:13" x14ac:dyDescent="0.25">
      <c r="A12" s="1">
        <v>44895</v>
      </c>
      <c r="B12" s="4">
        <v>2480912.41</v>
      </c>
      <c r="C12" s="4"/>
      <c r="D12" s="4">
        <v>2366016.94</v>
      </c>
      <c r="E12" s="4">
        <f>IF(tblTransfCorr[[#This Row],[arrec_mes_ant]]&gt;0,SUMIFS(tblTransfCorr[arrec_mes_ant],tblTransfCorr[ano],YEAR(tblTransfCorr[[#This Row],[data_base]]),tblTransfCorr[mês],"&lt;="&amp;MONTH(tblTransfCorr[[#This Row],[data_base]])),"")</f>
        <v>24757871.080000002</v>
      </c>
      <c r="F12" s="4" t="str">
        <f>IF(tblTransfCorr[[#This Row],[arrec_mes_atual]]&gt;0,SUMIFS(tblTransfCorr[arrec_mes_atual],tblTransfCorr[ano],YEAR(tblTransfCorr[[#This Row],[data_base]]),tblTransfCorr[mês],"&lt;="&amp;MONTH(tblTransfCorr[[#This Row],[data_base]])),"")</f>
        <v/>
      </c>
      <c r="G12" s="4">
        <f>IF(tblTransfCorr[[#This Row],[prev_mes_atual]]&gt;0,SUMIFS(tblTransfCorr[prev_mes_atual],tblTransfCorr[ano],YEAR(tblTransfCorr[[#This Row],[data_base]]),tblTransfCorr[mês],"&lt;="&amp;MONTH(tblTransfCorr[[#This Row],[data_base]])),"")</f>
        <v>24270850.370000001</v>
      </c>
      <c r="H12" s="4" t="str">
        <f>IFERROR(IF(tblTransfCorr[[#This Row],[arrec_acum_atual]]&gt;0,tblTransfCorr[[#This Row],[arrec_acum_atual]]-tblTransfCorr[[#This Row],[arrec_acum_ant]],""),"")</f>
        <v/>
      </c>
      <c r="I12" s="4" t="str">
        <f>IFERROR(IF(tblTransfCorr[[#This Row],[arrec_acum_atual]]&gt;0,tblTransfCorr[[#This Row],[arrec_acum_atual]]-tblTransfCorr[[#This Row],[prev_acum_atual]],""),"")</f>
        <v/>
      </c>
      <c r="J12" s="3" t="str">
        <f>IFERROR(IF(tblTransfCorr[[#This Row],[arrec_acum_atual]]&gt;0,(tblTransfCorr[[#This Row],[arrec_acum_atual]]/tblTransfCorr[[#This Row],[arrec_acum_ant]])-1,""),"")</f>
        <v/>
      </c>
      <c r="K12" s="3" t="str">
        <f>IFERROR(IF(tblTransfCorr[[#This Row],[arrec_acum_atual]]&gt;0,(tblTransfCorr[[#This Row],[arrec_acum_atual]]/tblTransfCorr[[#This Row],[prev_acum_atual]])-1,""),"")</f>
        <v/>
      </c>
      <c r="L12" s="7">
        <f>YEAR(tblTransfCorr[[#This Row],[data_base]])</f>
        <v>2022</v>
      </c>
      <c r="M12">
        <f>MONTH(tblTransfCorr[[#This Row],[data_base]])</f>
        <v>11</v>
      </c>
    </row>
    <row r="13" spans="1:13" x14ac:dyDescent="0.25">
      <c r="A13" s="1">
        <v>44926</v>
      </c>
      <c r="B13" s="4">
        <v>3975969.94</v>
      </c>
      <c r="C13" s="4"/>
      <c r="D13" s="4">
        <v>3488659.7199999997</v>
      </c>
      <c r="E13" s="4">
        <f>IF(tblTransfCorr[[#This Row],[arrec_mes_ant]]&gt;0,SUMIFS(tblTransfCorr[arrec_mes_ant],tblTransfCorr[ano],YEAR(tblTransfCorr[[#This Row],[data_base]]),tblTransfCorr[mês],"&lt;="&amp;MONTH(tblTransfCorr[[#This Row],[data_base]])),"")</f>
        <v>28733841.020000003</v>
      </c>
      <c r="F13" s="4" t="str">
        <f>IF(tblTransfCorr[[#This Row],[arrec_mes_atual]]&gt;0,SUMIFS(tblTransfCorr[arrec_mes_atual],tblTransfCorr[ano],YEAR(tblTransfCorr[[#This Row],[data_base]]),tblTransfCorr[mês],"&lt;="&amp;MONTH(tblTransfCorr[[#This Row],[data_base]])),"")</f>
        <v/>
      </c>
      <c r="G13" s="4">
        <f>IF(tblTransfCorr[[#This Row],[prev_mes_atual]]&gt;0,SUMIFS(tblTransfCorr[prev_mes_atual],tblTransfCorr[ano],YEAR(tblTransfCorr[[#This Row],[data_base]]),tblTransfCorr[mês],"&lt;="&amp;MONTH(tblTransfCorr[[#This Row],[data_base]])),"")</f>
        <v>27759510.09</v>
      </c>
      <c r="H13" s="4" t="str">
        <f>IFERROR(IF(tblTransfCorr[[#This Row],[arrec_acum_atual]]&gt;0,tblTransfCorr[[#This Row],[arrec_acum_atual]]-tblTransfCorr[[#This Row],[arrec_acum_ant]],""),"")</f>
        <v/>
      </c>
      <c r="I13" s="4" t="str">
        <f>IFERROR(IF(tblTransfCorr[[#This Row],[arrec_acum_atual]]&gt;0,tblTransfCorr[[#This Row],[arrec_acum_atual]]-tblTransfCorr[[#This Row],[prev_acum_atual]],""),"")</f>
        <v/>
      </c>
      <c r="J13" s="3" t="str">
        <f>IFERROR(IF(tblTransfCorr[[#This Row],[arrec_acum_atual]]&gt;0,(tblTransfCorr[[#This Row],[arrec_acum_atual]]/tblTransfCorr[[#This Row],[arrec_acum_ant]])-1,""),"")</f>
        <v/>
      </c>
      <c r="K13" s="3" t="str">
        <f>IFERROR(IF(tblTransfCorr[[#This Row],[arrec_acum_atual]]&gt;0,(tblTransfCorr[[#This Row],[arrec_acum_atual]]/tblTransfCorr[[#This Row],[prev_acum_atual]])-1,""),"")</f>
        <v/>
      </c>
      <c r="L13" s="7">
        <f>YEAR(tblTransfCorr[[#This Row],[data_base]])</f>
        <v>2022</v>
      </c>
      <c r="M13">
        <f>MONTH(tblTransfCorr[[#This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6074-BB5F-427D-8FE1-27579611898A}">
  <dimension ref="A1:M13"/>
  <sheetViews>
    <sheetView workbookViewId="0">
      <selection activeCell="C12" sqref="C12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677310.13</v>
      </c>
      <c r="C2" s="4">
        <v>829426.58</v>
      </c>
      <c r="D2" s="4">
        <v>777852.42</v>
      </c>
      <c r="E2" s="4">
        <f>IF(tblFPM[[#This Row],[arrec_mes_ant]]&gt;0,SUMIFS(tblFPM[arrec_mes_ant],tblFPM[ano],YEAR(tblFPM[[#This Row],[data_base]]),tblFPM[mês],"&lt;="&amp;MONTH(tblFPM[[#This Row],[data_base]])),"")</f>
        <v>677310.13</v>
      </c>
      <c r="F2" s="4">
        <f>IF(tblFPM[[#This Row],[arrec_mes_atual]]&gt;0,SUMIFS(tblFPM[arrec_mes_atual],tblFPM[ano],YEAR(tblFPM[[#This Row],[data_base]]),tblFPM[mês],"&lt;="&amp;MONTH(tblFPM[[#This Row],[data_base]])),"")</f>
        <v>829426.58</v>
      </c>
      <c r="G2" s="4">
        <f>IF(tblFPM[[#This Row],[prev_mes_atual]]&gt;0,SUMIFS(tblFPM[prev_mes_atual],tblFPM[ano],YEAR(tblFPM[[#This Row],[data_base]]),tblFPM[mês],"&lt;="&amp;MONTH(tblFPM[[#This Row],[data_base]])),"")</f>
        <v>777852.42</v>
      </c>
      <c r="H2" s="4">
        <f>IFERROR(IF(tblFPM[[#This Row],[arrec_acum_atual]]&gt;0,tblFPM[[#This Row],[arrec_acum_atual]]-tblFPM[[#This Row],[arrec_acum_ant]],""),"")</f>
        <v>152116.44999999995</v>
      </c>
      <c r="I2" s="4">
        <f>IFERROR(IF(tblFPM[[#This Row],[arrec_acum_atual]]&gt;0,tblFPM[[#This Row],[arrec_acum_atual]]-tblFPM[[#This Row],[prev_acum_atual]],""),"")</f>
        <v>51574.159999999916</v>
      </c>
      <c r="J2" s="3">
        <f>IFERROR(IF(tblFPM[[#This Row],[arrec_acum_atual]]&gt;0,(tblFPM[[#This Row],[arrec_acum_atual]]/tblFPM[[#This Row],[arrec_acum_ant]])-1,""),"")</f>
        <v>0.22458906675439794</v>
      </c>
      <c r="K2" s="3">
        <f>IFERROR(IF(tblFPM[[#This Row],[arrec_acum_atual]]&gt;0,(tblFPM[[#This Row],[arrec_acum_atual]]/tblFPM[[#This Row],[prev_acum_atual]])-1,""),"")</f>
        <v>6.6303271255490737E-2</v>
      </c>
      <c r="L2" s="7">
        <f>YEAR(tblFPM[[#This Row],[data_base]])</f>
        <v>2022</v>
      </c>
      <c r="M2">
        <f>MONTH(tblFPM[[#This Row],[data_base]])</f>
        <v>1</v>
      </c>
    </row>
    <row r="3" spans="1:13" x14ac:dyDescent="0.25">
      <c r="A3" s="1">
        <v>44620</v>
      </c>
      <c r="B3" s="4">
        <v>887781.84</v>
      </c>
      <c r="C3" s="4">
        <v>1157809.5500000003</v>
      </c>
      <c r="D3" s="4">
        <v>1000052.59</v>
      </c>
      <c r="E3" s="4">
        <f>IF(tblFPM[[#This Row],[arrec_mes_ant]]&gt;0,SUMIFS(tblFPM[arrec_mes_ant],tblFPM[ano],YEAR(tblFPM[[#This Row],[data_base]]),tblFPM[mês],"&lt;="&amp;MONTH(tblFPM[[#This Row],[data_base]])),"")</f>
        <v>1565091.97</v>
      </c>
      <c r="F3" s="4">
        <f>IF(tblFPM[[#This Row],[arrec_mes_atual]]&gt;0,SUMIFS(tblFPM[arrec_mes_atual],tblFPM[ano],YEAR(tblFPM[[#This Row],[data_base]]),tblFPM[mês],"&lt;="&amp;MONTH(tblFPM[[#This Row],[data_base]])),"")</f>
        <v>1987236.1300000004</v>
      </c>
      <c r="G3" s="4">
        <f>IF(tblFPM[[#This Row],[prev_mes_atual]]&gt;0,SUMIFS(tblFPM[prev_mes_atual],tblFPM[ano],YEAR(tblFPM[[#This Row],[data_base]]),tblFPM[mês],"&lt;="&amp;MONTH(tblFPM[[#This Row],[data_base]])),"")</f>
        <v>1777905.01</v>
      </c>
      <c r="H3" s="4">
        <f>IFERROR(IF(tblFPM[[#This Row],[arrec_acum_atual]]&gt;0,tblFPM[[#This Row],[arrec_acum_atual]]-tblFPM[[#This Row],[arrec_acum_ant]],""),"")</f>
        <v>422144.16000000038</v>
      </c>
      <c r="I3" s="4">
        <f>IFERROR(IF(tblFPM[[#This Row],[arrec_acum_atual]]&gt;0,tblFPM[[#This Row],[arrec_acum_atual]]-tblFPM[[#This Row],[prev_acum_atual]],""),"")</f>
        <v>209331.12000000034</v>
      </c>
      <c r="J3" s="3">
        <f>IFERROR(IF(tblFPM[[#This Row],[arrec_acum_atual]]&gt;0,(tblFPM[[#This Row],[arrec_acum_atual]]/tblFPM[[#This Row],[arrec_acum_ant]])-1,""),"")</f>
        <v>0.26972482645860119</v>
      </c>
      <c r="K3" s="3">
        <f>IFERROR(IF(tblFPM[[#This Row],[arrec_acum_atual]]&gt;0,(tblFPM[[#This Row],[arrec_acum_atual]]/tblFPM[[#This Row],[prev_acum_atual]])-1,""),"")</f>
        <v>0.11774032854544925</v>
      </c>
      <c r="L3" s="7">
        <f>YEAR(tblFPM[[#This Row],[data_base]])</f>
        <v>2022</v>
      </c>
      <c r="M3">
        <f>MONTH(tblFPM[[#This Row],[data_base]])</f>
        <v>2</v>
      </c>
    </row>
    <row r="4" spans="1:13" x14ac:dyDescent="0.25">
      <c r="A4" s="1">
        <v>44651</v>
      </c>
      <c r="B4" s="4">
        <v>595061.52</v>
      </c>
      <c r="C4" s="4">
        <v>701911.15</v>
      </c>
      <c r="D4" s="4">
        <v>659098.17999999993</v>
      </c>
      <c r="E4" s="4">
        <f>IF(tblFPM[[#This Row],[arrec_mes_ant]]&gt;0,SUMIFS(tblFPM[arrec_mes_ant],tblFPM[ano],YEAR(tblFPM[[#This Row],[data_base]]),tblFPM[mês],"&lt;="&amp;MONTH(tblFPM[[#This Row],[data_base]])),"")</f>
        <v>2160153.4900000002</v>
      </c>
      <c r="F4" s="4">
        <f>IF(tblFPM[[#This Row],[arrec_mes_atual]]&gt;0,SUMIFS(tblFPM[arrec_mes_atual],tblFPM[ano],YEAR(tblFPM[[#This Row],[data_base]]),tblFPM[mês],"&lt;="&amp;MONTH(tblFPM[[#This Row],[data_base]])),"")</f>
        <v>2689147.2800000003</v>
      </c>
      <c r="G4" s="4">
        <f>IF(tblFPM[[#This Row],[prev_mes_atual]]&gt;0,SUMIFS(tblFPM[prev_mes_atual],tblFPM[ano],YEAR(tblFPM[[#This Row],[data_base]]),tblFPM[mês],"&lt;="&amp;MONTH(tblFPM[[#This Row],[data_base]])),"")</f>
        <v>2437003.19</v>
      </c>
      <c r="H4" s="4">
        <f>IFERROR(IF(tblFPM[[#This Row],[arrec_acum_atual]]&gt;0,tblFPM[[#This Row],[arrec_acum_atual]]-tblFPM[[#This Row],[arrec_acum_ant]],""),"")</f>
        <v>528993.79</v>
      </c>
      <c r="I4" s="4">
        <f>IFERROR(IF(tblFPM[[#This Row],[arrec_acum_atual]]&gt;0,tblFPM[[#This Row],[arrec_acum_atual]]-tblFPM[[#This Row],[prev_acum_atual]],""),"")</f>
        <v>252144.09000000032</v>
      </c>
      <c r="J4" s="3">
        <f>IFERROR(IF(tblFPM[[#This Row],[arrec_acum_atual]]&gt;0,(tblFPM[[#This Row],[arrec_acum_atual]]/tblFPM[[#This Row],[arrec_acum_ant]])-1,""),"")</f>
        <v>0.24488713068255152</v>
      </c>
      <c r="K4" s="3">
        <f>IFERROR(IF(tblFPM[[#This Row],[arrec_acum_atual]]&gt;0,(tblFPM[[#This Row],[arrec_acum_atual]]/tblFPM[[#This Row],[prev_acum_atual]])-1,""),"")</f>
        <v>0.10346481737678825</v>
      </c>
      <c r="L4" s="7">
        <f>YEAR(tblFPM[[#This Row],[data_base]])</f>
        <v>2022</v>
      </c>
      <c r="M4">
        <f>MONTH(tblFPM[[#This Row],[data_base]])</f>
        <v>3</v>
      </c>
    </row>
    <row r="5" spans="1:13" x14ac:dyDescent="0.25">
      <c r="A5" s="1">
        <v>44681</v>
      </c>
      <c r="B5" s="4">
        <v>622091.73</v>
      </c>
      <c r="C5" s="4">
        <v>832013.24999999988</v>
      </c>
      <c r="D5" s="4">
        <v>688185.78</v>
      </c>
      <c r="E5" s="4">
        <f>IF(tblFPM[[#This Row],[arrec_mes_ant]]&gt;0,SUMIFS(tblFPM[arrec_mes_ant],tblFPM[ano],YEAR(tblFPM[[#This Row],[data_base]]),tblFPM[mês],"&lt;="&amp;MONTH(tblFPM[[#This Row],[data_base]])),"")</f>
        <v>2782245.22</v>
      </c>
      <c r="F5" s="4">
        <f>IF(tblFPM[[#This Row],[arrec_mes_atual]]&gt;0,SUMIFS(tblFPM[arrec_mes_atual],tblFPM[ano],YEAR(tblFPM[[#This Row],[data_base]]),tblFPM[mês],"&lt;="&amp;MONTH(tblFPM[[#This Row],[data_base]])),"")</f>
        <v>3521160.5300000003</v>
      </c>
      <c r="G5" s="4">
        <f>IF(tblFPM[[#This Row],[prev_mes_atual]]&gt;0,SUMIFS(tblFPM[prev_mes_atual],tblFPM[ano],YEAR(tblFPM[[#This Row],[data_base]]),tblFPM[mês],"&lt;="&amp;MONTH(tblFPM[[#This Row],[data_base]])),"")</f>
        <v>3125188.9699999997</v>
      </c>
      <c r="H5" s="4">
        <f>IFERROR(IF(tblFPM[[#This Row],[arrec_acum_atual]]&gt;0,tblFPM[[#This Row],[arrec_acum_atual]]-tblFPM[[#This Row],[arrec_acum_ant]],""),"")</f>
        <v>738915.31</v>
      </c>
      <c r="I5" s="4">
        <f>IFERROR(IF(tblFPM[[#This Row],[arrec_acum_atual]]&gt;0,tblFPM[[#This Row],[arrec_acum_atual]]-tblFPM[[#This Row],[prev_acum_atual]],""),"")</f>
        <v>395971.56000000052</v>
      </c>
      <c r="J5" s="3">
        <f>IFERROR(IF(tblFPM[[#This Row],[arrec_acum_atual]]&gt;0,(tblFPM[[#This Row],[arrec_acum_atual]]/tblFPM[[#This Row],[arrec_acum_ant]])-1,""),"")</f>
        <v>0.26558238098078224</v>
      </c>
      <c r="K5" s="3">
        <f>IFERROR(IF(tblFPM[[#This Row],[arrec_acum_atual]]&gt;0,(tblFPM[[#This Row],[arrec_acum_atual]]/tblFPM[[#This Row],[prev_acum_atual]])-1,""),"")</f>
        <v>0.12670323740455314</v>
      </c>
      <c r="L5" s="7">
        <f>YEAR(tblFPM[[#This Row],[data_base]])</f>
        <v>2022</v>
      </c>
      <c r="M5">
        <f>MONTH(tblFPM[[#This Row],[data_base]])</f>
        <v>4</v>
      </c>
    </row>
    <row r="6" spans="1:13" x14ac:dyDescent="0.25">
      <c r="A6" s="1">
        <v>44712</v>
      </c>
      <c r="B6" s="4">
        <v>747668.6</v>
      </c>
      <c r="C6" s="4">
        <v>925531.71000000008</v>
      </c>
      <c r="D6" s="4">
        <v>812863.57</v>
      </c>
      <c r="E6" s="4">
        <f>IF(tblFPM[[#This Row],[arrec_mes_ant]]&gt;0,SUMIFS(tblFPM[arrec_mes_ant],tblFPM[ano],YEAR(tblFPM[[#This Row],[data_base]]),tblFPM[mês],"&lt;="&amp;MONTH(tblFPM[[#This Row],[data_base]])),"")</f>
        <v>3529913.8200000003</v>
      </c>
      <c r="F6" s="4">
        <f>IF(tblFPM[[#This Row],[arrec_mes_atual]]&gt;0,SUMIFS(tblFPM[arrec_mes_atual],tblFPM[ano],YEAR(tblFPM[[#This Row],[data_base]]),tblFPM[mês],"&lt;="&amp;MONTH(tblFPM[[#This Row],[data_base]])),"")</f>
        <v>4446692.24</v>
      </c>
      <c r="G6" s="4">
        <f>IF(tblFPM[[#This Row],[prev_mes_atual]]&gt;0,SUMIFS(tblFPM[prev_mes_atual],tblFPM[ano],YEAR(tblFPM[[#This Row],[data_base]]),tblFPM[mês],"&lt;="&amp;MONTH(tblFPM[[#This Row],[data_base]])),"")</f>
        <v>3938052.5399999996</v>
      </c>
      <c r="H6" s="4">
        <f>IFERROR(IF(tblFPM[[#This Row],[arrec_acum_atual]]&gt;0,tblFPM[[#This Row],[arrec_acum_atual]]-tblFPM[[#This Row],[arrec_acum_ant]],""),"")</f>
        <v>916778.41999999993</v>
      </c>
      <c r="I6" s="4">
        <f>IFERROR(IF(tblFPM[[#This Row],[arrec_acum_atual]]&gt;0,tblFPM[[#This Row],[arrec_acum_atual]]-tblFPM[[#This Row],[prev_acum_atual]],""),"")</f>
        <v>508639.70000000065</v>
      </c>
      <c r="J6" s="3">
        <f>IFERROR(IF(tblFPM[[#This Row],[arrec_acum_atual]]&gt;0,(tblFPM[[#This Row],[arrec_acum_atual]]/tblFPM[[#This Row],[arrec_acum_ant]])-1,""),"")</f>
        <v>0.25971694119149902</v>
      </c>
      <c r="K6" s="3">
        <f>IFERROR(IF(tblFPM[[#This Row],[arrec_acum_atual]]&gt;0,(tblFPM[[#This Row],[arrec_acum_atual]]/tblFPM[[#This Row],[prev_acum_atual]])-1,""),"")</f>
        <v>0.12916021176294423</v>
      </c>
      <c r="L6" s="7">
        <f>YEAR(tblFPM[[#This Row],[data_base]])</f>
        <v>2022</v>
      </c>
      <c r="M6">
        <f>MONTH(tblFPM[[#This Row],[data_base]])</f>
        <v>5</v>
      </c>
    </row>
    <row r="7" spans="1:13" x14ac:dyDescent="0.25">
      <c r="A7" s="1">
        <v>44742</v>
      </c>
      <c r="B7" s="4">
        <v>646617.24</v>
      </c>
      <c r="C7" s="4">
        <v>866011.5199999999</v>
      </c>
      <c r="D7" s="4">
        <v>702450.47</v>
      </c>
      <c r="E7" s="4">
        <f>IF(tblFPM[[#This Row],[arrec_mes_ant]]&gt;0,SUMIFS(tblFPM[arrec_mes_ant],tblFPM[ano],YEAR(tblFPM[[#This Row],[data_base]]),tblFPM[mês],"&lt;="&amp;MONTH(tblFPM[[#This Row],[data_base]])),"")</f>
        <v>4176531.0600000005</v>
      </c>
      <c r="F7" s="4">
        <f>IF(tblFPM[[#This Row],[arrec_mes_atual]]&gt;0,SUMIFS(tblFPM[arrec_mes_atual],tblFPM[ano],YEAR(tblFPM[[#This Row],[data_base]]),tblFPM[mês],"&lt;="&amp;MONTH(tblFPM[[#This Row],[data_base]])),"")</f>
        <v>5312703.76</v>
      </c>
      <c r="G7" s="4">
        <f>IF(tblFPM[[#This Row],[prev_mes_atual]]&gt;0,SUMIFS(tblFPM[prev_mes_atual],tblFPM[ano],YEAR(tblFPM[[#This Row],[data_base]]),tblFPM[mês],"&lt;="&amp;MONTH(tblFPM[[#This Row],[data_base]])),"")</f>
        <v>4640503.01</v>
      </c>
      <c r="H7" s="4">
        <f>IFERROR(IF(tblFPM[[#This Row],[arrec_acum_atual]]&gt;0,tblFPM[[#This Row],[arrec_acum_atual]]-tblFPM[[#This Row],[arrec_acum_ant]],""),"")</f>
        <v>1136172.6999999993</v>
      </c>
      <c r="I7" s="4">
        <f>IFERROR(IF(tblFPM[[#This Row],[arrec_acum_atual]]&gt;0,tblFPM[[#This Row],[arrec_acum_atual]]-tblFPM[[#This Row],[prev_acum_atual]],""),"")</f>
        <v>672200.75</v>
      </c>
      <c r="J7" s="3">
        <f>IFERROR(IF(tblFPM[[#This Row],[arrec_acum_atual]]&gt;0,(tblFPM[[#This Row],[arrec_acum_atual]]/tblFPM[[#This Row],[arrec_acum_ant]])-1,""),"")</f>
        <v>0.2720374118323925</v>
      </c>
      <c r="K7" s="3">
        <f>IFERROR(IF(tblFPM[[#This Row],[arrec_acum_atual]]&gt;0,(tblFPM[[#This Row],[arrec_acum_atual]]/tblFPM[[#This Row],[prev_acum_atual]])-1,""),"")</f>
        <v>0.14485514793362886</v>
      </c>
      <c r="L7" s="7">
        <f>YEAR(tblFPM[[#This Row],[data_base]])</f>
        <v>2022</v>
      </c>
      <c r="M7">
        <f>MONTH(tblFPM[[#This Row],[data_base]])</f>
        <v>6</v>
      </c>
    </row>
    <row r="8" spans="1:13" x14ac:dyDescent="0.25">
      <c r="A8" s="1">
        <v>44773</v>
      </c>
      <c r="B8" s="4">
        <v>563868.47</v>
      </c>
      <c r="C8" s="4">
        <v>742716.20000000007</v>
      </c>
      <c r="D8" s="4">
        <v>580443.8600000001</v>
      </c>
      <c r="E8" s="4">
        <f>IF(tblFPM[[#This Row],[arrec_mes_ant]]&gt;0,SUMIFS(tblFPM[arrec_mes_ant],tblFPM[ano],YEAR(tblFPM[[#This Row],[data_base]]),tblFPM[mês],"&lt;="&amp;MONTH(tblFPM[[#This Row],[data_base]])),"")</f>
        <v>4740399.53</v>
      </c>
      <c r="F8" s="4">
        <f>IF(tblFPM[[#This Row],[arrec_mes_atual]]&gt;0,SUMIFS(tblFPM[arrec_mes_atual],tblFPM[ano],YEAR(tblFPM[[#This Row],[data_base]]),tblFPM[mês],"&lt;="&amp;MONTH(tblFPM[[#This Row],[data_base]])),"")</f>
        <v>6055419.96</v>
      </c>
      <c r="G8" s="4">
        <f>IF(tblFPM[[#This Row],[prev_mes_atual]]&gt;0,SUMIFS(tblFPM[prev_mes_atual],tblFPM[ano],YEAR(tblFPM[[#This Row],[data_base]]),tblFPM[mês],"&lt;="&amp;MONTH(tblFPM[[#This Row],[data_base]])),"")</f>
        <v>5220946.87</v>
      </c>
      <c r="H8" s="4">
        <f>IFERROR(IF(tblFPM[[#This Row],[arrec_acum_atual]]&gt;0,tblFPM[[#This Row],[arrec_acum_atual]]-tblFPM[[#This Row],[arrec_acum_ant]],""),"")</f>
        <v>1315020.4299999997</v>
      </c>
      <c r="I8" s="4">
        <f>IFERROR(IF(tblFPM[[#This Row],[arrec_acum_atual]]&gt;0,tblFPM[[#This Row],[arrec_acum_atual]]-tblFPM[[#This Row],[prev_acum_atual]],""),"")</f>
        <v>834473.08999999985</v>
      </c>
      <c r="J8" s="3">
        <f>IFERROR(IF(tblFPM[[#This Row],[arrec_acum_atual]]&gt;0,(tblFPM[[#This Row],[arrec_acum_atual]]/tblFPM[[#This Row],[arrec_acum_ant]])-1,""),"")</f>
        <v>0.27740708808989356</v>
      </c>
      <c r="K8" s="3">
        <f>IFERROR(IF(tblFPM[[#This Row],[arrec_acum_atual]]&gt;0,(tblFPM[[#This Row],[arrec_acum_atual]]/tblFPM[[#This Row],[prev_acum_atual]])-1,""),"")</f>
        <v>0.15983175289427898</v>
      </c>
      <c r="L8" s="7">
        <f>YEAR(tblFPM[[#This Row],[data_base]])</f>
        <v>2022</v>
      </c>
      <c r="M8">
        <f>MONTH(tblFPM[[#This Row],[data_base]])</f>
        <v>7</v>
      </c>
    </row>
    <row r="9" spans="1:13" x14ac:dyDescent="0.25">
      <c r="A9" s="1">
        <v>44804</v>
      </c>
      <c r="B9" s="4">
        <v>706407.02</v>
      </c>
      <c r="C9" s="4">
        <v>846869.29999999981</v>
      </c>
      <c r="D9" s="4">
        <v>690975.15999999992</v>
      </c>
      <c r="E9" s="4">
        <f>IF(tblFPM[[#This Row],[arrec_mes_ant]]&gt;0,SUMIFS(tblFPM[arrec_mes_ant],tblFPM[ano],YEAR(tblFPM[[#This Row],[data_base]]),tblFPM[mês],"&lt;="&amp;MONTH(tblFPM[[#This Row],[data_base]])),"")</f>
        <v>5446806.5500000007</v>
      </c>
      <c r="F9" s="4">
        <f>IF(tblFPM[[#This Row],[arrec_mes_atual]]&gt;0,SUMIFS(tblFPM[arrec_mes_atual],tblFPM[ano],YEAR(tblFPM[[#This Row],[data_base]]),tblFPM[mês],"&lt;="&amp;MONTH(tblFPM[[#This Row],[data_base]])),"")</f>
        <v>6902289.2599999998</v>
      </c>
      <c r="G9" s="4">
        <f>IF(tblFPM[[#This Row],[prev_mes_atual]]&gt;0,SUMIFS(tblFPM[prev_mes_atual],tblFPM[ano],YEAR(tblFPM[[#This Row],[data_base]]),tblFPM[mês],"&lt;="&amp;MONTH(tblFPM[[#This Row],[data_base]])),"")</f>
        <v>5911922.0300000003</v>
      </c>
      <c r="H9" s="4">
        <f>IFERROR(IF(tblFPM[[#This Row],[arrec_acum_atual]]&gt;0,tblFPM[[#This Row],[arrec_acum_atual]]-tblFPM[[#This Row],[arrec_acum_ant]],""),"")</f>
        <v>1455482.709999999</v>
      </c>
      <c r="I9" s="4">
        <f>IFERROR(IF(tblFPM[[#This Row],[arrec_acum_atual]]&gt;0,tblFPM[[#This Row],[arrec_acum_atual]]-tblFPM[[#This Row],[prev_acum_atual]],""),"")</f>
        <v>990367.22999999952</v>
      </c>
      <c r="J9" s="3">
        <f>IFERROR(IF(tblFPM[[#This Row],[arrec_acum_atual]]&gt;0,(tblFPM[[#This Row],[arrec_acum_atual]]/tblFPM[[#This Row],[arrec_acum_ant]])-1,""),"")</f>
        <v>0.2672176249769691</v>
      </c>
      <c r="K9" s="3">
        <f>IFERROR(IF(tblFPM[[#This Row],[arrec_acum_atual]]&gt;0,(tblFPM[[#This Row],[arrec_acum_atual]]/tblFPM[[#This Row],[prev_acum_atual]])-1,""),"")</f>
        <v>0.16752034701648455</v>
      </c>
      <c r="L9" s="7">
        <f>YEAR(tblFPM[[#This Row],[data_base]])</f>
        <v>2022</v>
      </c>
      <c r="M9">
        <f>MONTH(tblFPM[[#This Row],[data_base]])</f>
        <v>8</v>
      </c>
    </row>
    <row r="10" spans="1:13" x14ac:dyDescent="0.25">
      <c r="A10" s="1">
        <v>44834</v>
      </c>
      <c r="B10" s="4">
        <v>554767.87</v>
      </c>
      <c r="C10" s="4">
        <v>703546.62</v>
      </c>
      <c r="D10" s="4">
        <v>561726.91</v>
      </c>
      <c r="E10" s="4">
        <f>IF(tblFPM[[#This Row],[arrec_mes_ant]]&gt;0,SUMIFS(tblFPM[arrec_mes_ant],tblFPM[ano],YEAR(tblFPM[[#This Row],[data_base]]),tblFPM[mês],"&lt;="&amp;MONTH(tblFPM[[#This Row],[data_base]])),"")</f>
        <v>6001574.4200000009</v>
      </c>
      <c r="F10" s="4">
        <f>IF(tblFPM[[#This Row],[arrec_mes_atual]]&gt;0,SUMIFS(tblFPM[arrec_mes_atual],tblFPM[ano],YEAR(tblFPM[[#This Row],[data_base]]),tblFPM[mês],"&lt;="&amp;MONTH(tblFPM[[#This Row],[data_base]])),"")</f>
        <v>7605835.8799999999</v>
      </c>
      <c r="G10" s="4">
        <f>IF(tblFPM[[#This Row],[prev_mes_atual]]&gt;0,SUMIFS(tblFPM[prev_mes_atual],tblFPM[ano],YEAR(tblFPM[[#This Row],[data_base]]),tblFPM[mês],"&lt;="&amp;MONTH(tblFPM[[#This Row],[data_base]])),"")</f>
        <v>6473648.9400000004</v>
      </c>
      <c r="H10" s="4">
        <f>IFERROR(IF(tblFPM[[#This Row],[arrec_acum_atual]]&gt;0,tblFPM[[#This Row],[arrec_acum_atual]]-tblFPM[[#This Row],[arrec_acum_ant]],""),"")</f>
        <v>1604261.459999999</v>
      </c>
      <c r="I10" s="4">
        <f>IFERROR(IF(tblFPM[[#This Row],[arrec_acum_atual]]&gt;0,tblFPM[[#This Row],[arrec_acum_atual]]-tblFPM[[#This Row],[prev_acum_atual]],""),"")</f>
        <v>1132186.9399999995</v>
      </c>
      <c r="J10" s="3">
        <f>IFERROR(IF(tblFPM[[#This Row],[arrec_acum_atual]]&gt;0,(tblFPM[[#This Row],[arrec_acum_atual]]/tblFPM[[#This Row],[arrec_acum_ant]])-1,""),"")</f>
        <v>0.26730676781310314</v>
      </c>
      <c r="K10" s="3">
        <f>IFERROR(IF(tblFPM[[#This Row],[arrec_acum_atual]]&gt;0,(tblFPM[[#This Row],[arrec_acum_atual]]/tblFPM[[#This Row],[prev_acum_atual]])-1,""),"")</f>
        <v>0.17489161838917999</v>
      </c>
      <c r="L10" s="7">
        <f>YEAR(tblFPM[[#This Row],[data_base]])</f>
        <v>2022</v>
      </c>
      <c r="M10">
        <f>MONTH(tblFPM[[#This Row],[data_base]])</f>
        <v>9</v>
      </c>
    </row>
    <row r="11" spans="1:13" x14ac:dyDescent="0.25">
      <c r="A11" s="1">
        <v>44865</v>
      </c>
      <c r="B11" s="4">
        <v>618196.54</v>
      </c>
      <c r="C11" s="4">
        <v>742100.16</v>
      </c>
      <c r="D11" s="4">
        <v>628349.19999999995</v>
      </c>
      <c r="E11" s="4">
        <f>IF(tblFPM[[#This Row],[arrec_mes_ant]]&gt;0,SUMIFS(tblFPM[arrec_mes_ant],tblFPM[ano],YEAR(tblFPM[[#This Row],[data_base]]),tblFPM[mês],"&lt;="&amp;MONTH(tblFPM[[#This Row],[data_base]])),"")</f>
        <v>6619770.9600000009</v>
      </c>
      <c r="F11" s="4">
        <f>IF(tblFPM[[#This Row],[arrec_mes_atual]]&gt;0,SUMIFS(tblFPM[arrec_mes_atual],tblFPM[ano],YEAR(tblFPM[[#This Row],[data_base]]),tblFPM[mês],"&lt;="&amp;MONTH(tblFPM[[#This Row],[data_base]])),"")</f>
        <v>8347936.04</v>
      </c>
      <c r="G11" s="4">
        <f>IF(tblFPM[[#This Row],[prev_mes_atual]]&gt;0,SUMIFS(tblFPM[prev_mes_atual],tblFPM[ano],YEAR(tblFPM[[#This Row],[data_base]]),tblFPM[mês],"&lt;="&amp;MONTH(tblFPM[[#This Row],[data_base]])),"")</f>
        <v>7101998.1400000006</v>
      </c>
      <c r="H11" s="4">
        <f>IFERROR(IF(tblFPM[[#This Row],[arrec_acum_atual]]&gt;0,tblFPM[[#This Row],[arrec_acum_atual]]-tblFPM[[#This Row],[arrec_acum_ant]],""),"")</f>
        <v>1728165.0799999991</v>
      </c>
      <c r="I11" s="4">
        <f>IFERROR(IF(tblFPM[[#This Row],[arrec_acum_atual]]&gt;0,tblFPM[[#This Row],[arrec_acum_atual]]-tblFPM[[#This Row],[prev_acum_atual]],""),"")</f>
        <v>1245937.8999999994</v>
      </c>
      <c r="J11" s="3">
        <f>IFERROR(IF(tblFPM[[#This Row],[arrec_acum_atual]]&gt;0,(tblFPM[[#This Row],[arrec_acum_atual]]/tblFPM[[#This Row],[arrec_acum_ant]])-1,""),"")</f>
        <v>0.26106115913110073</v>
      </c>
      <c r="K11" s="3">
        <f>IFERROR(IF(tblFPM[[#This Row],[arrec_acum_atual]]&gt;0,(tblFPM[[#This Row],[arrec_acum_atual]]/tblFPM[[#This Row],[prev_acum_atual]])-1,""),"")</f>
        <v>0.17543483896209522</v>
      </c>
      <c r="L11" s="7">
        <f>YEAR(tblFPM[[#This Row],[data_base]])</f>
        <v>2022</v>
      </c>
      <c r="M11">
        <f>MONTH(tblFPM[[#This Row],[data_base]])</f>
        <v>10</v>
      </c>
    </row>
    <row r="12" spans="1:13" x14ac:dyDescent="0.25">
      <c r="A12" s="1">
        <v>44895</v>
      </c>
      <c r="B12" s="4">
        <v>802868.32</v>
      </c>
      <c r="C12" s="4"/>
      <c r="D12" s="4">
        <v>791324.14999999991</v>
      </c>
      <c r="E12" s="4">
        <f>IF(tblFPM[[#This Row],[arrec_mes_ant]]&gt;0,SUMIFS(tblFPM[arrec_mes_ant],tblFPM[ano],YEAR(tblFPM[[#This Row],[data_base]]),tblFPM[mês],"&lt;="&amp;MONTH(tblFPM[[#This Row],[data_base]])),"")</f>
        <v>7422639.2800000012</v>
      </c>
      <c r="F12" s="4" t="str">
        <f>IF(tblFPM[[#This Row],[arrec_mes_atual]]&gt;0,SUMIFS(tblFPM[arrec_mes_atual],tblFPM[ano],YEAR(tblFPM[[#This Row],[data_base]]),tblFPM[mês],"&lt;="&amp;MONTH(tblFPM[[#This Row],[data_base]])),"")</f>
        <v/>
      </c>
      <c r="G12" s="4">
        <f>IF(tblFPM[[#This Row],[prev_mes_atual]]&gt;0,SUMIFS(tblFPM[prev_mes_atual],tblFPM[ano],YEAR(tblFPM[[#This Row],[data_base]]),tblFPM[mês],"&lt;="&amp;MONTH(tblFPM[[#This Row],[data_base]])),"")</f>
        <v>7893322.290000001</v>
      </c>
      <c r="H12" s="4" t="str">
        <f>IFERROR(IF(tblFPM[[#This Row],[arrec_acum_atual]]&gt;0,tblFPM[[#This Row],[arrec_acum_atual]]-tblFPM[[#This Row],[arrec_acum_ant]],""),"")</f>
        <v/>
      </c>
      <c r="I12" s="4" t="str">
        <f>IFERROR(IF(tblFPM[[#This Row],[arrec_acum_atual]]&gt;0,tblFPM[[#This Row],[arrec_acum_atual]]-tblFPM[[#This Row],[prev_acum_atual]],""),"")</f>
        <v/>
      </c>
      <c r="J12" s="3" t="str">
        <f>IFERROR(IF(tblFPM[[#This Row],[arrec_acum_atual]]&gt;0,(tblFPM[[#This Row],[arrec_acum_atual]]/tblFPM[[#This Row],[arrec_acum_ant]])-1,""),"")</f>
        <v/>
      </c>
      <c r="K12" s="3" t="str">
        <f>IFERROR(IF(tblFPM[[#This Row],[arrec_acum_atual]]&gt;0,(tblFPM[[#This Row],[arrec_acum_atual]]/tblFPM[[#This Row],[prev_acum_atual]])-1,""),"")</f>
        <v/>
      </c>
      <c r="L12" s="7">
        <f>YEAR(tblFPM[[#This Row],[data_base]])</f>
        <v>2022</v>
      </c>
      <c r="M12">
        <f>MONTH(tblFPM[[#This Row],[data_base]])</f>
        <v>11</v>
      </c>
    </row>
    <row r="13" spans="1:13" x14ac:dyDescent="0.25">
      <c r="A13" s="1">
        <v>44926</v>
      </c>
      <c r="B13" s="4">
        <v>833355.94</v>
      </c>
      <c r="C13" s="4"/>
      <c r="D13" s="4">
        <v>906677.71</v>
      </c>
      <c r="E13" s="4">
        <f>IF(tblFPM[[#This Row],[arrec_mes_ant]]&gt;0,SUMIFS(tblFPM[arrec_mes_ant],tblFPM[ano],YEAR(tblFPM[[#This Row],[data_base]]),tblFPM[mês],"&lt;="&amp;MONTH(tblFPM[[#This Row],[data_base]])),"")</f>
        <v>8255995.2200000007</v>
      </c>
      <c r="F13" s="4" t="str">
        <f>IF(tblFPM[[#This Row],[arrec_mes_atual]]&gt;0,SUMIFS(tblFPM[arrec_mes_atual],tblFPM[ano],YEAR(tblFPM[[#This Row],[data_base]]),tblFPM[mês],"&lt;="&amp;MONTH(tblFPM[[#This Row],[data_base]])),"")</f>
        <v/>
      </c>
      <c r="G13" s="4">
        <f>IF(tblFPM[[#This Row],[prev_mes_atual]]&gt;0,SUMIFS(tblFPM[prev_mes_atual],tblFPM[ano],YEAR(tblFPM[[#This Row],[data_base]]),tblFPM[mês],"&lt;="&amp;MONTH(tblFPM[[#This Row],[data_base]])),"")</f>
        <v>8800000</v>
      </c>
      <c r="H13" s="4" t="str">
        <f>IFERROR(IF(tblFPM[[#This Row],[arrec_acum_atual]]&gt;0,tblFPM[[#This Row],[arrec_acum_atual]]-tblFPM[[#This Row],[arrec_acum_ant]],""),"")</f>
        <v/>
      </c>
      <c r="I13" s="4" t="str">
        <f>IFERROR(IF(tblFPM[[#This Row],[arrec_acum_atual]]&gt;0,tblFPM[[#This Row],[arrec_acum_atual]]-tblFPM[[#This Row],[prev_acum_atual]],""),"")</f>
        <v/>
      </c>
      <c r="J13" s="3" t="str">
        <f>IFERROR(IF(tblFPM[[#This Row],[arrec_acum_atual]]&gt;0,(tblFPM[[#This Row],[arrec_acum_atual]]/tblFPM[[#This Row],[arrec_acum_ant]])-1,""),"")</f>
        <v/>
      </c>
      <c r="K13" s="3" t="str">
        <f>IFERROR(IF(tblFPM[[#This Row],[arrec_acum_atual]]&gt;0,(tblFPM[[#This Row],[arrec_acum_atual]]/tblFPM[[#This Row],[prev_acum_atual]])-1,""),"")</f>
        <v/>
      </c>
      <c r="L13" s="7">
        <f>YEAR(tblFPM[[#This Row],[data_base]])</f>
        <v>2022</v>
      </c>
      <c r="M13">
        <f>MONTH(tblFPM[[#This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4744-21DC-4064-A68C-5ACAA4527184}">
  <dimension ref="A1:M13"/>
  <sheetViews>
    <sheetView workbookViewId="0">
      <selection activeCell="C11" sqref="C11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610567.06999999995</v>
      </c>
      <c r="C2" s="4">
        <v>639349.6399999999</v>
      </c>
      <c r="D2" s="4">
        <v>777842.13</v>
      </c>
      <c r="E2" s="4">
        <f>IF(tblICMS[[#This Row],[arrec_mes_ant]]&gt;0,SUMIFS(tblICMS[arrec_mes_ant],tblICMS[ano],YEAR(tblICMS[[#This Row],[data_base]]),tblICMS[mês],"&lt;="&amp;MONTH(tblICMS[[#This Row],[data_base]])),"")</f>
        <v>610567.06999999995</v>
      </c>
      <c r="F2" s="4">
        <f>IF(tblICMS[[#This Row],[arrec_mes_atual]]&gt;0,SUMIFS(tblICMS[arrec_mes_atual],tblICMS[ano],YEAR(tblICMS[[#This Row],[data_base]]),tblICMS[mês],"&lt;="&amp;MONTH(tblICMS[[#This Row],[data_base]])),"")</f>
        <v>639349.6399999999</v>
      </c>
      <c r="G2" s="4">
        <f>IF(tblICMS[[#This Row],[prev_mes_atual]]&gt;0,SUMIFS(tblICMS[prev_mes_atual],tblICMS[ano],YEAR(tblICMS[[#This Row],[data_base]]),tblICMS[mês],"&lt;="&amp;MONTH(tblICMS[[#This Row],[data_base]])),"")</f>
        <v>777842.13</v>
      </c>
      <c r="H2" s="4">
        <f>IFERROR(IF(tblICMS[[#This Row],[arrec_acum_atual]]&gt;0,tblICMS[[#This Row],[arrec_acum_atual]]-tblICMS[[#This Row],[arrec_acum_ant]],""),"")</f>
        <v>28782.569999999949</v>
      </c>
      <c r="I2" s="4">
        <f>IFERROR(IF(tblICMS[[#This Row],[arrec_acum_atual]]&gt;0,tblICMS[[#This Row],[arrec_acum_atual]]-tblICMS[[#This Row],[prev_acum_atual]],""),"")</f>
        <v>-138492.49000000011</v>
      </c>
      <c r="J2" s="3">
        <f>IFERROR(IF(tblICMS[[#This Row],[arrec_acum_atual]]&gt;0,(tblICMS[[#This Row],[arrec_acum_atual]]/tblICMS[[#This Row],[arrec_acum_ant]])-1,""),"")</f>
        <v>4.714071789033758E-2</v>
      </c>
      <c r="K2" s="3">
        <f>IFERROR(IF(tblICMS[[#This Row],[arrec_acum_atual]]&gt;0,(tblICMS[[#This Row],[arrec_acum_atual]]/tblICMS[[#This Row],[prev_acum_atual]])-1,""),"")</f>
        <v>-0.1780470414992823</v>
      </c>
      <c r="L2" s="7">
        <f>YEAR(tblICMS[[#This Row],[data_base]])</f>
        <v>2022</v>
      </c>
      <c r="M2">
        <f>MONTH(tblICMS[[#This Row],[data_base]])</f>
        <v>1</v>
      </c>
    </row>
    <row r="3" spans="1:13" x14ac:dyDescent="0.25">
      <c r="A3" s="1">
        <v>44620</v>
      </c>
      <c r="B3" s="4">
        <v>703485.55</v>
      </c>
      <c r="C3" s="4">
        <v>803367.91999999993</v>
      </c>
      <c r="D3" s="4">
        <v>746715.24</v>
      </c>
      <c r="E3" s="4">
        <f>IF(tblICMS[[#This Row],[arrec_mes_ant]]&gt;0,SUMIFS(tblICMS[arrec_mes_ant],tblICMS[ano],YEAR(tblICMS[[#This Row],[data_base]]),tblICMS[mês],"&lt;="&amp;MONTH(tblICMS[[#This Row],[data_base]])),"")</f>
        <v>1314052.6200000001</v>
      </c>
      <c r="F3" s="4">
        <f>IF(tblICMS[[#This Row],[arrec_mes_atual]]&gt;0,SUMIFS(tblICMS[arrec_mes_atual],tblICMS[ano],YEAR(tblICMS[[#This Row],[data_base]]),tblICMS[mês],"&lt;="&amp;MONTH(tblICMS[[#This Row],[data_base]])),"")</f>
        <v>1442717.5599999998</v>
      </c>
      <c r="G3" s="4">
        <f>IF(tblICMS[[#This Row],[prev_mes_atual]]&gt;0,SUMIFS(tblICMS[prev_mes_atual],tblICMS[ano],YEAR(tblICMS[[#This Row],[data_base]]),tblICMS[mês],"&lt;="&amp;MONTH(tblICMS[[#This Row],[data_base]])),"")</f>
        <v>1524557.37</v>
      </c>
      <c r="H3" s="4">
        <f>IFERROR(IF(tblICMS[[#This Row],[arrec_acum_atual]]&gt;0,tblICMS[[#This Row],[arrec_acum_atual]]-tblICMS[[#This Row],[arrec_acum_ant]],""),"")</f>
        <v>128664.93999999971</v>
      </c>
      <c r="I3" s="4">
        <f>IFERROR(IF(tblICMS[[#This Row],[arrec_acum_atual]]&gt;0,tblICMS[[#This Row],[arrec_acum_atual]]-tblICMS[[#This Row],[prev_acum_atual]],""),"")</f>
        <v>-81839.810000000289</v>
      </c>
      <c r="J3" s="3">
        <f>IFERROR(IF(tblICMS[[#This Row],[arrec_acum_atual]]&gt;0,(tblICMS[[#This Row],[arrec_acum_atual]]/tblICMS[[#This Row],[arrec_acum_ant]])-1,""),"")</f>
        <v>9.791460253699702E-2</v>
      </c>
      <c r="K3" s="3">
        <f>IFERROR(IF(tblICMS[[#This Row],[arrec_acum_atual]]&gt;0,(tblICMS[[#This Row],[arrec_acum_atual]]/tblICMS[[#This Row],[prev_acum_atual]])-1,""),"")</f>
        <v>-5.3681030055300782E-2</v>
      </c>
      <c r="L3" s="7">
        <f>YEAR(tblICMS[[#This Row],[data_base]])</f>
        <v>2022</v>
      </c>
      <c r="M3">
        <f>MONTH(tblICMS[[#This Row],[data_base]])</f>
        <v>2</v>
      </c>
    </row>
    <row r="4" spans="1:13" x14ac:dyDescent="0.25">
      <c r="A4" s="1">
        <v>44651</v>
      </c>
      <c r="B4" s="4">
        <v>859854.25</v>
      </c>
      <c r="C4" s="4">
        <v>862125.78</v>
      </c>
      <c r="D4" s="4">
        <v>896385.85000000009</v>
      </c>
      <c r="E4" s="4">
        <f>IF(tblICMS[[#This Row],[arrec_mes_ant]]&gt;0,SUMIFS(tblICMS[arrec_mes_ant],tblICMS[ano],YEAR(tblICMS[[#This Row],[data_base]]),tblICMS[mês],"&lt;="&amp;MONTH(tblICMS[[#This Row],[data_base]])),"")</f>
        <v>2173906.87</v>
      </c>
      <c r="F4" s="4">
        <f>IF(tblICMS[[#This Row],[arrec_mes_atual]]&gt;0,SUMIFS(tblICMS[arrec_mes_atual],tblICMS[ano],YEAR(tblICMS[[#This Row],[data_base]]),tblICMS[mês],"&lt;="&amp;MONTH(tblICMS[[#This Row],[data_base]])),"")</f>
        <v>2304843.34</v>
      </c>
      <c r="G4" s="4">
        <f>IF(tblICMS[[#This Row],[prev_mes_atual]]&gt;0,SUMIFS(tblICMS[prev_mes_atual],tblICMS[ano],YEAR(tblICMS[[#This Row],[data_base]]),tblICMS[mês],"&lt;="&amp;MONTH(tblICMS[[#This Row],[data_base]])),"")</f>
        <v>2420943.2200000002</v>
      </c>
      <c r="H4" s="4">
        <f>IFERROR(IF(tblICMS[[#This Row],[arrec_acum_atual]]&gt;0,tblICMS[[#This Row],[arrec_acum_atual]]-tblICMS[[#This Row],[arrec_acum_ant]],""),"")</f>
        <v>130936.46999999974</v>
      </c>
      <c r="I4" s="4">
        <f>IFERROR(IF(tblICMS[[#This Row],[arrec_acum_atual]]&gt;0,tblICMS[[#This Row],[arrec_acum_atual]]-tblICMS[[#This Row],[prev_acum_atual]],""),"")</f>
        <v>-116099.88000000035</v>
      </c>
      <c r="J4" s="3">
        <f>IFERROR(IF(tblICMS[[#This Row],[arrec_acum_atual]]&gt;0,(tblICMS[[#This Row],[arrec_acum_atual]]/tblICMS[[#This Row],[arrec_acum_ant]])-1,""),"")</f>
        <v>6.0230947243843813E-2</v>
      </c>
      <c r="K4" s="3">
        <f>IFERROR(IF(tblICMS[[#This Row],[arrec_acum_atual]]&gt;0,(tblICMS[[#This Row],[arrec_acum_atual]]/tblICMS[[#This Row],[prev_acum_atual]])-1,""),"")</f>
        <v>-4.7956465496948097E-2</v>
      </c>
      <c r="L4" s="7">
        <f>YEAR(tblICMS[[#This Row],[data_base]])</f>
        <v>2022</v>
      </c>
      <c r="M4">
        <f>MONTH(tblICMS[[#This Row],[data_base]])</f>
        <v>3</v>
      </c>
    </row>
    <row r="5" spans="1:13" x14ac:dyDescent="0.25">
      <c r="A5" s="1">
        <v>44681</v>
      </c>
      <c r="B5" s="4">
        <v>675522.2</v>
      </c>
      <c r="C5" s="4">
        <v>775307</v>
      </c>
      <c r="D5" s="4">
        <v>800728</v>
      </c>
      <c r="E5" s="4">
        <f>IF(tblICMS[[#This Row],[arrec_mes_ant]]&gt;0,SUMIFS(tblICMS[arrec_mes_ant],tblICMS[ano],YEAR(tblICMS[[#This Row],[data_base]]),tblICMS[mês],"&lt;="&amp;MONTH(tblICMS[[#This Row],[data_base]])),"")</f>
        <v>2849429.0700000003</v>
      </c>
      <c r="F5" s="4">
        <f>IF(tblICMS[[#This Row],[arrec_mes_atual]]&gt;0,SUMIFS(tblICMS[arrec_mes_atual],tblICMS[ano],YEAR(tblICMS[[#This Row],[data_base]]),tblICMS[mês],"&lt;="&amp;MONTH(tblICMS[[#This Row],[data_base]])),"")</f>
        <v>3080150.34</v>
      </c>
      <c r="G5" s="4">
        <f>IF(tblICMS[[#This Row],[prev_mes_atual]]&gt;0,SUMIFS(tblICMS[prev_mes_atual],tblICMS[ano],YEAR(tblICMS[[#This Row],[data_base]]),tblICMS[mês],"&lt;="&amp;MONTH(tblICMS[[#This Row],[data_base]])),"")</f>
        <v>3221671.22</v>
      </c>
      <c r="H5" s="4">
        <f>IFERROR(IF(tblICMS[[#This Row],[arrec_acum_atual]]&gt;0,tblICMS[[#This Row],[arrec_acum_atual]]-tblICMS[[#This Row],[arrec_acum_ant]],""),"")</f>
        <v>230721.26999999955</v>
      </c>
      <c r="I5" s="4">
        <f>IFERROR(IF(tblICMS[[#This Row],[arrec_acum_atual]]&gt;0,tblICMS[[#This Row],[arrec_acum_atual]]-tblICMS[[#This Row],[prev_acum_atual]],""),"")</f>
        <v>-141520.88000000035</v>
      </c>
      <c r="J5" s="3">
        <f>IFERROR(IF(tblICMS[[#This Row],[arrec_acum_atual]]&gt;0,(tblICMS[[#This Row],[arrec_acum_atual]]/tblICMS[[#This Row],[arrec_acum_ant]])-1,""),"")</f>
        <v>8.0971052211522343E-2</v>
      </c>
      <c r="K5" s="3">
        <f>IFERROR(IF(tblICMS[[#This Row],[arrec_acum_atual]]&gt;0,(tblICMS[[#This Row],[arrec_acum_atual]]/tblICMS[[#This Row],[prev_acum_atual]])-1,""),"")</f>
        <v>-4.3927784784941637E-2</v>
      </c>
      <c r="L5" s="7">
        <f>YEAR(tblICMS[[#This Row],[data_base]])</f>
        <v>2022</v>
      </c>
      <c r="M5">
        <f>MONTH(tblICMS[[#This Row],[data_base]])</f>
        <v>4</v>
      </c>
    </row>
    <row r="6" spans="1:13" x14ac:dyDescent="0.25">
      <c r="A6" s="1">
        <v>44712</v>
      </c>
      <c r="B6" s="4">
        <v>805239.62</v>
      </c>
      <c r="C6" s="4">
        <v>961623.75</v>
      </c>
      <c r="D6" s="4">
        <v>830976.42</v>
      </c>
      <c r="E6" s="4">
        <f>IF(tblICMS[[#This Row],[arrec_mes_ant]]&gt;0,SUMIFS(tblICMS[arrec_mes_ant],tblICMS[ano],YEAR(tblICMS[[#This Row],[data_base]]),tblICMS[mês],"&lt;="&amp;MONTH(tblICMS[[#This Row],[data_base]])),"")</f>
        <v>3654668.6900000004</v>
      </c>
      <c r="F6" s="4">
        <f>IF(tblICMS[[#This Row],[arrec_mes_atual]]&gt;0,SUMIFS(tblICMS[arrec_mes_atual],tblICMS[ano],YEAR(tblICMS[[#This Row],[data_base]]),tblICMS[mês],"&lt;="&amp;MONTH(tblICMS[[#This Row],[data_base]])),"")</f>
        <v>4041774.09</v>
      </c>
      <c r="G6" s="4">
        <f>IF(tblICMS[[#This Row],[prev_mes_atual]]&gt;0,SUMIFS(tblICMS[prev_mes_atual],tblICMS[ano],YEAR(tblICMS[[#This Row],[data_base]]),tblICMS[mês],"&lt;="&amp;MONTH(tblICMS[[#This Row],[data_base]])),"")</f>
        <v>4052647.64</v>
      </c>
      <c r="H6" s="4">
        <f>IFERROR(IF(tblICMS[[#This Row],[arrec_acum_atual]]&gt;0,tblICMS[[#This Row],[arrec_acum_atual]]-tblICMS[[#This Row],[arrec_acum_ant]],""),"")</f>
        <v>387105.39999999944</v>
      </c>
      <c r="I6" s="4">
        <f>IFERROR(IF(tblICMS[[#This Row],[arrec_acum_atual]]&gt;0,tblICMS[[#This Row],[arrec_acum_atual]]-tblICMS[[#This Row],[prev_acum_atual]],""),"")</f>
        <v>-10873.550000000279</v>
      </c>
      <c r="J6" s="3">
        <f>IFERROR(IF(tblICMS[[#This Row],[arrec_acum_atual]]&gt;0,(tblICMS[[#This Row],[arrec_acum_atual]]/tblICMS[[#This Row],[arrec_acum_ant]])-1,""),"")</f>
        <v>0.10592079141379007</v>
      </c>
      <c r="K6" s="3">
        <f>IFERROR(IF(tblICMS[[#This Row],[arrec_acum_atual]]&gt;0,(tblICMS[[#This Row],[arrec_acum_atual]]/tblICMS[[#This Row],[prev_acum_atual]])-1,""),"")</f>
        <v>-2.6830731329013924E-3</v>
      </c>
      <c r="L6" s="7">
        <f>YEAR(tblICMS[[#This Row],[data_base]])</f>
        <v>2022</v>
      </c>
      <c r="M6">
        <f>MONTH(tblICMS[[#This Row],[data_base]])</f>
        <v>5</v>
      </c>
    </row>
    <row r="7" spans="1:13" x14ac:dyDescent="0.25">
      <c r="A7" s="1">
        <v>44742</v>
      </c>
      <c r="B7" s="4">
        <v>797163.87</v>
      </c>
      <c r="C7" s="4">
        <v>764414.27</v>
      </c>
      <c r="D7" s="4">
        <v>790133.53</v>
      </c>
      <c r="E7" s="4">
        <f>IF(tblICMS[[#This Row],[arrec_mes_ant]]&gt;0,SUMIFS(tblICMS[arrec_mes_ant],tblICMS[ano],YEAR(tblICMS[[#This Row],[data_base]]),tblICMS[mês],"&lt;="&amp;MONTH(tblICMS[[#This Row],[data_base]])),"")</f>
        <v>4451832.5600000005</v>
      </c>
      <c r="F7" s="4">
        <f>IF(tblICMS[[#This Row],[arrec_mes_atual]]&gt;0,SUMIFS(tblICMS[arrec_mes_atual],tblICMS[ano],YEAR(tblICMS[[#This Row],[data_base]]),tblICMS[mês],"&lt;="&amp;MONTH(tblICMS[[#This Row],[data_base]])),"")</f>
        <v>4806188.3599999994</v>
      </c>
      <c r="G7" s="4">
        <f>IF(tblICMS[[#This Row],[prev_mes_atual]]&gt;0,SUMIFS(tblICMS[prev_mes_atual],tblICMS[ano],YEAR(tblICMS[[#This Row],[data_base]]),tblICMS[mês],"&lt;="&amp;MONTH(tblICMS[[#This Row],[data_base]])),"")</f>
        <v>4842781.17</v>
      </c>
      <c r="H7" s="4">
        <f>IFERROR(IF(tblICMS[[#This Row],[arrec_acum_atual]]&gt;0,tblICMS[[#This Row],[arrec_acum_atual]]-tblICMS[[#This Row],[arrec_acum_ant]],""),"")</f>
        <v>354355.79999999888</v>
      </c>
      <c r="I7" s="4">
        <f>IFERROR(IF(tblICMS[[#This Row],[arrec_acum_atual]]&gt;0,tblICMS[[#This Row],[arrec_acum_atual]]-tblICMS[[#This Row],[prev_acum_atual]],""),"")</f>
        <v>-36592.810000000522</v>
      </c>
      <c r="J7" s="3">
        <f>IFERROR(IF(tblICMS[[#This Row],[arrec_acum_atual]]&gt;0,(tblICMS[[#This Row],[arrec_acum_atual]]/tblICMS[[#This Row],[arrec_acum_ant]])-1,""),"")</f>
        <v>7.9597737611227348E-2</v>
      </c>
      <c r="K7" s="3">
        <f>IFERROR(IF(tblICMS[[#This Row],[arrec_acum_atual]]&gt;0,(tblICMS[[#This Row],[arrec_acum_atual]]/tblICMS[[#This Row],[prev_acum_atual]])-1,""),"")</f>
        <v>-7.5561560011601081E-3</v>
      </c>
      <c r="L7" s="7">
        <f>YEAR(tblICMS[[#This Row],[data_base]])</f>
        <v>2022</v>
      </c>
      <c r="M7">
        <f>MONTH(tblICMS[[#This Row],[data_base]])</f>
        <v>6</v>
      </c>
    </row>
    <row r="8" spans="1:13" x14ac:dyDescent="0.25">
      <c r="A8" s="1">
        <v>44773</v>
      </c>
      <c r="B8" s="4">
        <v>1284212.6100000001</v>
      </c>
      <c r="C8" s="4">
        <v>771203.6399999999</v>
      </c>
      <c r="D8" s="4">
        <v>1025032.8600000001</v>
      </c>
      <c r="E8" s="4">
        <f>IF(tblICMS[[#This Row],[arrec_mes_ant]]&gt;0,SUMIFS(tblICMS[arrec_mes_ant],tblICMS[ano],YEAR(tblICMS[[#This Row],[data_base]]),tblICMS[mês],"&lt;="&amp;MONTH(tblICMS[[#This Row],[data_base]])),"")</f>
        <v>5736045.1700000009</v>
      </c>
      <c r="F8" s="4">
        <f>IF(tblICMS[[#This Row],[arrec_mes_atual]]&gt;0,SUMIFS(tblICMS[arrec_mes_atual],tblICMS[ano],YEAR(tblICMS[[#This Row],[data_base]]),tblICMS[mês],"&lt;="&amp;MONTH(tblICMS[[#This Row],[data_base]])),"")</f>
        <v>5577391.9999999991</v>
      </c>
      <c r="G8" s="4">
        <f>IF(tblICMS[[#This Row],[prev_mes_atual]]&gt;0,SUMIFS(tblICMS[prev_mes_atual],tblICMS[ano],YEAR(tblICMS[[#This Row],[data_base]]),tblICMS[mês],"&lt;="&amp;MONTH(tblICMS[[#This Row],[data_base]])),"")</f>
        <v>5867814.0300000003</v>
      </c>
      <c r="H8" s="4">
        <f>IFERROR(IF(tblICMS[[#This Row],[arrec_acum_atual]]&gt;0,tblICMS[[#This Row],[arrec_acum_atual]]-tblICMS[[#This Row],[arrec_acum_ant]],""),"")</f>
        <v>-158653.17000000179</v>
      </c>
      <c r="I8" s="4">
        <f>IFERROR(IF(tblICMS[[#This Row],[arrec_acum_atual]]&gt;0,tblICMS[[#This Row],[arrec_acum_atual]]-tblICMS[[#This Row],[prev_acum_atual]],""),"")</f>
        <v>-290422.03000000119</v>
      </c>
      <c r="J8" s="3">
        <f>IFERROR(IF(tblICMS[[#This Row],[arrec_acum_atual]]&gt;0,(tblICMS[[#This Row],[arrec_acum_atual]]/tblICMS[[#This Row],[arrec_acum_ant]])-1,""),"")</f>
        <v>-2.7658981981134145E-2</v>
      </c>
      <c r="K8" s="3">
        <f>IFERROR(IF(tblICMS[[#This Row],[arrec_acum_atual]]&gt;0,(tblICMS[[#This Row],[arrec_acum_atual]]/tblICMS[[#This Row],[prev_acum_atual]])-1,""),"")</f>
        <v>-4.9494075394206249E-2</v>
      </c>
      <c r="L8" s="7">
        <f>YEAR(tblICMS[[#This Row],[data_base]])</f>
        <v>2022</v>
      </c>
      <c r="M8">
        <f>MONTH(tblICMS[[#This Row],[data_base]])</f>
        <v>7</v>
      </c>
    </row>
    <row r="9" spans="1:13" x14ac:dyDescent="0.25">
      <c r="A9" s="1">
        <v>44804</v>
      </c>
      <c r="B9" s="4">
        <v>930883</v>
      </c>
      <c r="C9" s="4">
        <v>800720.56</v>
      </c>
      <c r="D9" s="4">
        <v>862146.61</v>
      </c>
      <c r="E9" s="4">
        <f>IF(tblICMS[[#This Row],[arrec_mes_ant]]&gt;0,SUMIFS(tblICMS[arrec_mes_ant],tblICMS[ano],YEAR(tblICMS[[#This Row],[data_base]]),tblICMS[mês],"&lt;="&amp;MONTH(tblICMS[[#This Row],[data_base]])),"")</f>
        <v>6666928.1700000009</v>
      </c>
      <c r="F9" s="4">
        <f>IF(tblICMS[[#This Row],[arrec_mes_atual]]&gt;0,SUMIFS(tblICMS[arrec_mes_atual],tblICMS[ano],YEAR(tblICMS[[#This Row],[data_base]]),tblICMS[mês],"&lt;="&amp;MONTH(tblICMS[[#This Row],[data_base]])),"")</f>
        <v>6378112.5599999987</v>
      </c>
      <c r="G9" s="4">
        <f>IF(tblICMS[[#This Row],[prev_mes_atual]]&gt;0,SUMIFS(tblICMS[prev_mes_atual],tblICMS[ano],YEAR(tblICMS[[#This Row],[data_base]]),tblICMS[mês],"&lt;="&amp;MONTH(tblICMS[[#This Row],[data_base]])),"")</f>
        <v>6729960.6400000006</v>
      </c>
      <c r="H9" s="4">
        <f>IFERROR(IF(tblICMS[[#This Row],[arrec_acum_atual]]&gt;0,tblICMS[[#This Row],[arrec_acum_atual]]-tblICMS[[#This Row],[arrec_acum_ant]],""),"")</f>
        <v>-288815.6100000022</v>
      </c>
      <c r="I9" s="4">
        <f>IFERROR(IF(tblICMS[[#This Row],[arrec_acum_atual]]&gt;0,tblICMS[[#This Row],[arrec_acum_atual]]-tblICMS[[#This Row],[prev_acum_atual]],""),"")</f>
        <v>-351848.08000000194</v>
      </c>
      <c r="J9" s="3">
        <f>IFERROR(IF(tblICMS[[#This Row],[arrec_acum_atual]]&gt;0,(tblICMS[[#This Row],[arrec_acum_atual]]/tblICMS[[#This Row],[arrec_acum_ant]])-1,""),"")</f>
        <v>-4.3320642226148731E-2</v>
      </c>
      <c r="K9" s="3">
        <f>IFERROR(IF(tblICMS[[#This Row],[arrec_acum_atual]]&gt;0,(tblICMS[[#This Row],[arrec_acum_atual]]/tblICMS[[#This Row],[prev_acum_atual]])-1,""),"")</f>
        <v>-5.2280852566769509E-2</v>
      </c>
      <c r="L9" s="7">
        <f>YEAR(tblICMS[[#This Row],[data_base]])</f>
        <v>2022</v>
      </c>
      <c r="M9">
        <f>MONTH(tblICMS[[#This Row],[data_base]])</f>
        <v>8</v>
      </c>
    </row>
    <row r="10" spans="1:13" x14ac:dyDescent="0.25">
      <c r="A10" s="1">
        <v>44834</v>
      </c>
      <c r="B10" s="4">
        <v>745957.43</v>
      </c>
      <c r="C10" s="4">
        <v>750261.2899999998</v>
      </c>
      <c r="D10" s="4">
        <v>892086.70000000007</v>
      </c>
      <c r="E10" s="4">
        <f>IF(tblICMS[[#This Row],[arrec_mes_ant]]&gt;0,SUMIFS(tblICMS[arrec_mes_ant],tblICMS[ano],YEAR(tblICMS[[#This Row],[data_base]]),tblICMS[mês],"&lt;="&amp;MONTH(tblICMS[[#This Row],[data_base]])),"")</f>
        <v>7412885.6000000006</v>
      </c>
      <c r="F10" s="4">
        <f>IF(tblICMS[[#This Row],[arrec_mes_atual]]&gt;0,SUMIFS(tblICMS[arrec_mes_atual],tblICMS[ano],YEAR(tblICMS[[#This Row],[data_base]]),tblICMS[mês],"&lt;="&amp;MONTH(tblICMS[[#This Row],[data_base]])),"")</f>
        <v>7128373.8499999987</v>
      </c>
      <c r="G10" s="4">
        <f>IF(tblICMS[[#This Row],[prev_mes_atual]]&gt;0,SUMIFS(tblICMS[prev_mes_atual],tblICMS[ano],YEAR(tblICMS[[#This Row],[data_base]]),tblICMS[mês],"&lt;="&amp;MONTH(tblICMS[[#This Row],[data_base]])),"")</f>
        <v>7622047.3400000008</v>
      </c>
      <c r="H10" s="4">
        <f>IFERROR(IF(tblICMS[[#This Row],[arrec_acum_atual]]&gt;0,tblICMS[[#This Row],[arrec_acum_atual]]-tblICMS[[#This Row],[arrec_acum_ant]],""),"")</f>
        <v>-284511.75000000186</v>
      </c>
      <c r="I10" s="4">
        <f>IFERROR(IF(tblICMS[[#This Row],[arrec_acum_atual]]&gt;0,tblICMS[[#This Row],[arrec_acum_atual]]-tblICMS[[#This Row],[prev_acum_atual]],""),"")</f>
        <v>-493673.49000000209</v>
      </c>
      <c r="J10" s="3">
        <f>IFERROR(IF(tblICMS[[#This Row],[arrec_acum_atual]]&gt;0,(tblICMS[[#This Row],[arrec_acum_atual]]/tblICMS[[#This Row],[arrec_acum_ant]])-1,""),"")</f>
        <v>-3.838070157186857E-2</v>
      </c>
      <c r="K10" s="3">
        <f>IFERROR(IF(tblICMS[[#This Row],[arrec_acum_atual]]&gt;0,(tblICMS[[#This Row],[arrec_acum_atual]]/tblICMS[[#This Row],[prev_acum_atual]])-1,""),"")</f>
        <v>-6.47691450837935E-2</v>
      </c>
      <c r="L10" s="7">
        <f>YEAR(tblICMS[[#This Row],[data_base]])</f>
        <v>2022</v>
      </c>
      <c r="M10">
        <f>MONTH(tblICMS[[#This Row],[data_base]])</f>
        <v>9</v>
      </c>
    </row>
    <row r="11" spans="1:13" x14ac:dyDescent="0.25">
      <c r="A11" s="1">
        <v>44865</v>
      </c>
      <c r="B11" s="4">
        <v>859205.96</v>
      </c>
      <c r="C11" s="4">
        <v>730141.65999999992</v>
      </c>
      <c r="D11" s="4">
        <v>951291.32</v>
      </c>
      <c r="E11" s="4">
        <f>IF(tblICMS[[#This Row],[arrec_mes_ant]]&gt;0,SUMIFS(tblICMS[arrec_mes_ant],tblICMS[ano],YEAR(tblICMS[[#This Row],[data_base]]),tblICMS[mês],"&lt;="&amp;MONTH(tblICMS[[#This Row],[data_base]])),"")</f>
        <v>8272091.5600000005</v>
      </c>
      <c r="F11" s="4">
        <f>IF(tblICMS[[#This Row],[arrec_mes_atual]]&gt;0,SUMIFS(tblICMS[arrec_mes_atual],tblICMS[ano],YEAR(tblICMS[[#This Row],[data_base]]),tblICMS[mês],"&lt;="&amp;MONTH(tblICMS[[#This Row],[data_base]])),"")</f>
        <v>7858515.5099999988</v>
      </c>
      <c r="G11" s="4">
        <f>IF(tblICMS[[#This Row],[prev_mes_atual]]&gt;0,SUMIFS(tblICMS[prev_mes_atual],tblICMS[ano],YEAR(tblICMS[[#This Row],[data_base]]),tblICMS[mês],"&lt;="&amp;MONTH(tblICMS[[#This Row],[data_base]])),"")</f>
        <v>8573338.6600000001</v>
      </c>
      <c r="H11" s="4">
        <f>IFERROR(IF(tblICMS[[#This Row],[arrec_acum_atual]]&gt;0,tblICMS[[#This Row],[arrec_acum_atual]]-tblICMS[[#This Row],[arrec_acum_ant]],""),"")</f>
        <v>-413576.05000000168</v>
      </c>
      <c r="I11" s="4">
        <f>IFERROR(IF(tblICMS[[#This Row],[arrec_acum_atual]]&gt;0,tblICMS[[#This Row],[arrec_acum_atual]]-tblICMS[[#This Row],[prev_acum_atual]],""),"")</f>
        <v>-714823.1500000013</v>
      </c>
      <c r="J11" s="3">
        <f>IFERROR(IF(tblICMS[[#This Row],[arrec_acum_atual]]&gt;0,(tblICMS[[#This Row],[arrec_acum_atual]]/tblICMS[[#This Row],[arrec_acum_ant]])-1,""),"")</f>
        <v>-4.9996551295426128E-2</v>
      </c>
      <c r="K11" s="3">
        <f>IFERROR(IF(tblICMS[[#This Row],[arrec_acum_atual]]&gt;0,(tblICMS[[#This Row],[arrec_acum_atual]]/tblICMS[[#This Row],[prev_acum_atual]])-1,""),"")</f>
        <v>-8.3377454029093689E-2</v>
      </c>
      <c r="L11" s="7">
        <f>YEAR(tblICMS[[#This Row],[data_base]])</f>
        <v>2022</v>
      </c>
      <c r="M11">
        <f>MONTH(tblICMS[[#This Row],[data_base]])</f>
        <v>10</v>
      </c>
    </row>
    <row r="12" spans="1:13" x14ac:dyDescent="0.25">
      <c r="A12" s="1">
        <v>44895</v>
      </c>
      <c r="B12" s="4">
        <v>1018385.38</v>
      </c>
      <c r="C12" s="4"/>
      <c r="D12" s="4">
        <v>963252.21</v>
      </c>
      <c r="E12" s="4">
        <f>IF(tblICMS[[#This Row],[arrec_mes_ant]]&gt;0,SUMIFS(tblICMS[arrec_mes_ant],tblICMS[ano],YEAR(tblICMS[[#This Row],[data_base]]),tblICMS[mês],"&lt;="&amp;MONTH(tblICMS[[#This Row],[data_base]])),"")</f>
        <v>9290476.9400000013</v>
      </c>
      <c r="F12" s="4" t="str">
        <f>IF(tblICMS[[#This Row],[arrec_mes_atual]]&gt;0,SUMIFS(tblICMS[arrec_mes_atual],tblICMS[ano],YEAR(tblICMS[[#This Row],[data_base]]),tblICMS[mês],"&lt;="&amp;MONTH(tblICMS[[#This Row],[data_base]])),"")</f>
        <v/>
      </c>
      <c r="G12" s="4">
        <f>IF(tblICMS[[#This Row],[prev_mes_atual]]&gt;0,SUMIFS(tblICMS[prev_mes_atual],tblICMS[ano],YEAR(tblICMS[[#This Row],[data_base]]),tblICMS[mês],"&lt;="&amp;MONTH(tblICMS[[#This Row],[data_base]])),"")</f>
        <v>9536590.870000001</v>
      </c>
      <c r="H12" s="4" t="str">
        <f>IFERROR(IF(tblICMS[[#This Row],[arrec_acum_atual]]&gt;0,tblICMS[[#This Row],[arrec_acum_atual]]-tblICMS[[#This Row],[arrec_acum_ant]],""),"")</f>
        <v/>
      </c>
      <c r="I12" s="4" t="str">
        <f>IFERROR(IF(tblICMS[[#This Row],[arrec_acum_atual]]&gt;0,tblICMS[[#This Row],[arrec_acum_atual]]-tblICMS[[#This Row],[prev_acum_atual]],""),"")</f>
        <v/>
      </c>
      <c r="J12" s="3" t="str">
        <f>IFERROR(IF(tblICMS[[#This Row],[arrec_acum_atual]]&gt;0,(tblICMS[[#This Row],[arrec_acum_atual]]/tblICMS[[#This Row],[arrec_acum_ant]])-1,""),"")</f>
        <v/>
      </c>
      <c r="K12" s="3" t="str">
        <f>IFERROR(IF(tblICMS[[#This Row],[arrec_acum_atual]]&gt;0,(tblICMS[[#This Row],[arrec_acum_atual]]/tblICMS[[#This Row],[prev_acum_atual]])-1,""),"")</f>
        <v/>
      </c>
      <c r="L12" s="7">
        <f>YEAR(tblICMS[[#This Row],[data_base]])</f>
        <v>2022</v>
      </c>
      <c r="M12">
        <f>MONTH(tblICMS[[#This Row],[data_base]])</f>
        <v>11</v>
      </c>
    </row>
    <row r="13" spans="1:13" x14ac:dyDescent="0.25">
      <c r="A13" s="1">
        <v>44926</v>
      </c>
      <c r="B13" s="4">
        <v>1029134.71</v>
      </c>
      <c r="C13" s="4"/>
      <c r="D13" s="4">
        <v>1263409.1299999999</v>
      </c>
      <c r="E13" s="4">
        <f>IF(tblICMS[[#This Row],[arrec_mes_ant]]&gt;0,SUMIFS(tblICMS[arrec_mes_ant],tblICMS[ano],YEAR(tblICMS[[#This Row],[data_base]]),tblICMS[mês],"&lt;="&amp;MONTH(tblICMS[[#This Row],[data_base]])),"")</f>
        <v>10319611.650000002</v>
      </c>
      <c r="F13" s="4" t="str">
        <f>IF(tblICMS[[#This Row],[arrec_mes_atual]]&gt;0,SUMIFS(tblICMS[arrec_mes_atual],tblICMS[ano],YEAR(tblICMS[[#This Row],[data_base]]),tblICMS[mês],"&lt;="&amp;MONTH(tblICMS[[#This Row],[data_base]])),"")</f>
        <v/>
      </c>
      <c r="G13" s="4">
        <f>IF(tblICMS[[#This Row],[prev_mes_atual]]&gt;0,SUMIFS(tblICMS[prev_mes_atual],tblICMS[ano],YEAR(tblICMS[[#This Row],[data_base]]),tblICMS[mês],"&lt;="&amp;MONTH(tblICMS[[#This Row],[data_base]])),"")</f>
        <v>10800000</v>
      </c>
      <c r="H13" s="4" t="str">
        <f>IFERROR(IF(tblICMS[[#This Row],[arrec_acum_atual]]&gt;0,tblICMS[[#This Row],[arrec_acum_atual]]-tblICMS[[#This Row],[arrec_acum_ant]],""),"")</f>
        <v/>
      </c>
      <c r="I13" s="4" t="str">
        <f>IFERROR(IF(tblICMS[[#This Row],[arrec_acum_atual]]&gt;0,tblICMS[[#This Row],[arrec_acum_atual]]-tblICMS[[#This Row],[prev_acum_atual]],""),"")</f>
        <v/>
      </c>
      <c r="J13" s="3" t="str">
        <f>IFERROR(IF(tblICMS[[#This Row],[arrec_acum_atual]]&gt;0,(tblICMS[[#This Row],[arrec_acum_atual]]/tblICMS[[#This Row],[arrec_acum_ant]])-1,""),"")</f>
        <v/>
      </c>
      <c r="K13" s="3" t="str">
        <f>IFERROR(IF(tblICMS[[#This Row],[arrec_acum_atual]]&gt;0,(tblICMS[[#This Row],[arrec_acum_atual]]/tblICMS[[#This Row],[prev_acum_atual]])-1,""),"")</f>
        <v/>
      </c>
      <c r="L13" s="7">
        <f>YEAR(tblICMS[[#This Row],[data_base]])</f>
        <v>2022</v>
      </c>
      <c r="M13">
        <f>MONTH(tblICMS[[#This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E180-485E-4816-9D3B-3C8372597EA2}">
  <dimension ref="A1:M13"/>
  <sheetViews>
    <sheetView workbookViewId="0">
      <selection activeCell="B2" sqref="B2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402815.34</v>
      </c>
      <c r="C2" s="4">
        <v>443280.96</v>
      </c>
      <c r="D2" s="4">
        <v>412311.43</v>
      </c>
      <c r="E2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402815.34</v>
      </c>
      <c r="F2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443280.96</v>
      </c>
      <c r="G2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412311.43</v>
      </c>
      <c r="H2" s="4">
        <f>IFERROR(IF(tblTransfFUNDEB[[#This Row],[arrec_acum_atual]]&gt;0,tblTransfFUNDEB[[#This Row],[arrec_acum_atual]]-tblTransfFUNDEB[[#This Row],[arrec_acum_ant]],""),"")</f>
        <v>40465.619999999995</v>
      </c>
      <c r="I2" s="4">
        <f>IFERROR(IF(tblTransfFUNDEB[[#This Row],[arrec_acum_atual]]&gt;0,tblTransfFUNDEB[[#This Row],[arrec_acum_atual]]-tblTransfFUNDEB[[#This Row],[prev_acum_atual]],""),"")</f>
        <v>30969.530000000028</v>
      </c>
      <c r="J2" s="3">
        <f>IFERROR(IF(tblTransfFUNDEB[[#This Row],[arrec_acum_atual]]&gt;0,(tblTransfFUNDEB[[#This Row],[arrec_acum_atual]]/tblTransfFUNDEB[[#This Row],[arrec_acum_ant]])-1,""),"")</f>
        <v>0.10045699848471501</v>
      </c>
      <c r="K2" s="3">
        <f>IFERROR(IF(tblTransfFUNDEB[[#This Row],[arrec_acum_atual]]&gt;0,(tblTransfFUNDEB[[#This Row],[arrec_acum_atual]]/tblTransfFUNDEB[[#This Row],[prev_acum_atual]])-1,""),"")</f>
        <v>7.5111985132209513E-2</v>
      </c>
      <c r="L2" s="7">
        <f>YEAR(tblTransfFUNDEB[[#This Row],[data_base]])</f>
        <v>2022</v>
      </c>
      <c r="M2">
        <f>MONTH(tblTransfFUNDEB[[#This Row],[data_base]])</f>
        <v>1</v>
      </c>
    </row>
    <row r="3" spans="1:13" x14ac:dyDescent="0.25">
      <c r="A3" s="1">
        <v>44620</v>
      </c>
      <c r="B3" s="4">
        <v>301151.71000000002</v>
      </c>
      <c r="C3" s="4">
        <v>428555.58</v>
      </c>
      <c r="D3" s="4">
        <v>308966.53999999998</v>
      </c>
      <c r="E3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703967.05</v>
      </c>
      <c r="F3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871836.54</v>
      </c>
      <c r="G3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721277.97</v>
      </c>
      <c r="H3" s="4">
        <f>IFERROR(IF(tblTransfFUNDEB[[#This Row],[arrec_acum_atual]]&gt;0,tblTransfFUNDEB[[#This Row],[arrec_acum_atual]]-tblTransfFUNDEB[[#This Row],[arrec_acum_ant]],""),"")</f>
        <v>167869.49</v>
      </c>
      <c r="I3" s="4">
        <f>IFERROR(IF(tblTransfFUNDEB[[#This Row],[arrec_acum_atual]]&gt;0,tblTransfFUNDEB[[#This Row],[arrec_acum_atual]]-tblTransfFUNDEB[[#This Row],[prev_acum_atual]],""),"")</f>
        <v>150558.57000000007</v>
      </c>
      <c r="J3" s="3">
        <f>IFERROR(IF(tblTransfFUNDEB[[#This Row],[arrec_acum_atual]]&gt;0,(tblTransfFUNDEB[[#This Row],[arrec_acum_atual]]/tblTransfFUNDEB[[#This Row],[arrec_acum_ant]])-1,""),"")</f>
        <v>0.23846214109026831</v>
      </c>
      <c r="K3" s="3">
        <f>IFERROR(IF(tblTransfFUNDEB[[#This Row],[arrec_acum_atual]]&gt;0,(tblTransfFUNDEB[[#This Row],[arrec_acum_atual]]/tblTransfFUNDEB[[#This Row],[prev_acum_atual]])-1,""),"")</f>
        <v>0.20873862264225274</v>
      </c>
      <c r="L3" s="7">
        <f>YEAR(tblTransfFUNDEB[[#This Row],[data_base]])</f>
        <v>2022</v>
      </c>
      <c r="M3">
        <f>MONTH(tblTransfFUNDEB[[#This Row],[data_base]])</f>
        <v>2</v>
      </c>
    </row>
    <row r="4" spans="1:13" x14ac:dyDescent="0.25">
      <c r="A4" s="1">
        <v>44651</v>
      </c>
      <c r="B4" s="4">
        <v>370882.91</v>
      </c>
      <c r="C4" s="4">
        <v>414523.66</v>
      </c>
      <c r="D4" s="4">
        <v>356577.25</v>
      </c>
      <c r="E4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1074849.96</v>
      </c>
      <c r="F4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1286360.2</v>
      </c>
      <c r="G4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1077855.22</v>
      </c>
      <c r="H4" s="4">
        <f>IFERROR(IF(tblTransfFUNDEB[[#This Row],[arrec_acum_atual]]&gt;0,tblTransfFUNDEB[[#This Row],[arrec_acum_atual]]-tblTransfFUNDEB[[#This Row],[arrec_acum_ant]],""),"")</f>
        <v>211510.24</v>
      </c>
      <c r="I4" s="4">
        <f>IFERROR(IF(tblTransfFUNDEB[[#This Row],[arrec_acum_atual]]&gt;0,tblTransfFUNDEB[[#This Row],[arrec_acum_atual]]-tblTransfFUNDEB[[#This Row],[prev_acum_atual]],""),"")</f>
        <v>208504.97999999998</v>
      </c>
      <c r="J4" s="3">
        <f>IFERROR(IF(tblTransfFUNDEB[[#This Row],[arrec_acum_atual]]&gt;0,(tblTransfFUNDEB[[#This Row],[arrec_acum_atual]]/tblTransfFUNDEB[[#This Row],[arrec_acum_ant]])-1,""),"")</f>
        <v>0.19678117678861895</v>
      </c>
      <c r="K4" s="3">
        <f>IFERROR(IF(tblTransfFUNDEB[[#This Row],[arrec_acum_atual]]&gt;0,(tblTransfFUNDEB[[#This Row],[arrec_acum_atual]]/tblTransfFUNDEB[[#This Row],[prev_acum_atual]])-1,""),"")</f>
        <v>0.19344432919293175</v>
      </c>
      <c r="L4" s="7">
        <f>YEAR(tblTransfFUNDEB[[#This Row],[data_base]])</f>
        <v>2022</v>
      </c>
      <c r="M4">
        <f>MONTH(tblTransfFUNDEB[[#This Row],[data_base]])</f>
        <v>3</v>
      </c>
    </row>
    <row r="5" spans="1:13" x14ac:dyDescent="0.25">
      <c r="A5" s="1">
        <v>44681</v>
      </c>
      <c r="B5" s="4">
        <v>391804.61</v>
      </c>
      <c r="C5" s="4">
        <v>393528.31</v>
      </c>
      <c r="D5" s="4">
        <v>356668.15999999997</v>
      </c>
      <c r="E5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1466654.5699999998</v>
      </c>
      <c r="F5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1679888.51</v>
      </c>
      <c r="G5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1434523.38</v>
      </c>
      <c r="H5" s="4">
        <f>IFERROR(IF(tblTransfFUNDEB[[#This Row],[arrec_acum_atual]]&gt;0,tblTransfFUNDEB[[#This Row],[arrec_acum_atual]]-tblTransfFUNDEB[[#This Row],[arrec_acum_ant]],""),"")</f>
        <v>213233.94000000018</v>
      </c>
      <c r="I5" s="4">
        <f>IFERROR(IF(tblTransfFUNDEB[[#This Row],[arrec_acum_atual]]&gt;0,tblTransfFUNDEB[[#This Row],[arrec_acum_atual]]-tblTransfFUNDEB[[#This Row],[prev_acum_atual]],""),"")</f>
        <v>245365.13000000012</v>
      </c>
      <c r="J5" s="3">
        <f>IFERROR(IF(tblTransfFUNDEB[[#This Row],[arrec_acum_atual]]&gt;0,(tblTransfFUNDEB[[#This Row],[arrec_acum_atual]]/tblTransfFUNDEB[[#This Row],[arrec_acum_ant]])-1,""),"")</f>
        <v>0.14538797639310541</v>
      </c>
      <c r="K5" s="3">
        <f>IFERROR(IF(tblTransfFUNDEB[[#This Row],[arrec_acum_atual]]&gt;0,(tblTransfFUNDEB[[#This Row],[arrec_acum_atual]]/tblTransfFUNDEB[[#This Row],[prev_acum_atual]])-1,""),"")</f>
        <v>0.1710429634126982</v>
      </c>
      <c r="L5" s="7">
        <f>YEAR(tblTransfFUNDEB[[#This Row],[data_base]])</f>
        <v>2022</v>
      </c>
      <c r="M5">
        <f>MONTH(tblTransfFUNDEB[[#This Row],[data_base]])</f>
        <v>4</v>
      </c>
    </row>
    <row r="6" spans="1:13" x14ac:dyDescent="0.25">
      <c r="A6" s="1">
        <v>44712</v>
      </c>
      <c r="B6" s="4">
        <v>372446.84</v>
      </c>
      <c r="C6" s="4">
        <v>512084.08</v>
      </c>
      <c r="D6" s="4">
        <v>348348.66</v>
      </c>
      <c r="E6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1839101.41</v>
      </c>
      <c r="F6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2191972.59</v>
      </c>
      <c r="G6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1782872.0399999998</v>
      </c>
      <c r="H6" s="4">
        <f>IFERROR(IF(tblTransfFUNDEB[[#This Row],[arrec_acum_atual]]&gt;0,tblTransfFUNDEB[[#This Row],[arrec_acum_atual]]-tblTransfFUNDEB[[#This Row],[arrec_acum_ant]],""),"")</f>
        <v>352871.17999999993</v>
      </c>
      <c r="I6" s="4">
        <f>IFERROR(IF(tblTransfFUNDEB[[#This Row],[arrec_acum_atual]]&gt;0,tblTransfFUNDEB[[#This Row],[arrec_acum_atual]]-tblTransfFUNDEB[[#This Row],[prev_acum_atual]],""),"")</f>
        <v>409100.55000000005</v>
      </c>
      <c r="J6" s="3">
        <f>IFERROR(IF(tblTransfFUNDEB[[#This Row],[arrec_acum_atual]]&gt;0,(tblTransfFUNDEB[[#This Row],[arrec_acum_atual]]/tblTransfFUNDEB[[#This Row],[arrec_acum_ant]])-1,""),"")</f>
        <v>0.19187151838462246</v>
      </c>
      <c r="K6" s="3">
        <f>IFERROR(IF(tblTransfFUNDEB[[#This Row],[arrec_acum_atual]]&gt;0,(tblTransfFUNDEB[[#This Row],[arrec_acum_atual]]/tblTransfFUNDEB[[#This Row],[prev_acum_atual]])-1,""),"")</f>
        <v>0.22946153219162047</v>
      </c>
      <c r="L6" s="7">
        <f>YEAR(tblTransfFUNDEB[[#This Row],[data_base]])</f>
        <v>2022</v>
      </c>
      <c r="M6">
        <f>MONTH(tblTransfFUNDEB[[#This Row],[data_base]])</f>
        <v>5</v>
      </c>
    </row>
    <row r="7" spans="1:13" x14ac:dyDescent="0.25">
      <c r="A7" s="1">
        <v>44742</v>
      </c>
      <c r="B7" s="4">
        <v>336620.6</v>
      </c>
      <c r="C7" s="4">
        <v>383493.38</v>
      </c>
      <c r="D7" s="4">
        <v>300118.90000000002</v>
      </c>
      <c r="E7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2175722.0099999998</v>
      </c>
      <c r="F7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2575465.9699999997</v>
      </c>
      <c r="G7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2082990.94</v>
      </c>
      <c r="H7" s="4">
        <f>IFERROR(IF(tblTransfFUNDEB[[#This Row],[arrec_acum_atual]]&gt;0,tblTransfFUNDEB[[#This Row],[arrec_acum_atual]]-tblTransfFUNDEB[[#This Row],[arrec_acum_ant]],""),"")</f>
        <v>399743.95999999996</v>
      </c>
      <c r="I7" s="4">
        <f>IFERROR(IF(tblTransfFUNDEB[[#This Row],[arrec_acum_atual]]&gt;0,tblTransfFUNDEB[[#This Row],[arrec_acum_atual]]-tblTransfFUNDEB[[#This Row],[prev_acum_atual]],""),"")</f>
        <v>492475.0299999998</v>
      </c>
      <c r="J7" s="3">
        <f>IFERROR(IF(tblTransfFUNDEB[[#This Row],[arrec_acum_atual]]&gt;0,(tblTransfFUNDEB[[#This Row],[arrec_acum_atual]]/tblTransfFUNDEB[[#This Row],[arrec_acum_ant]])-1,""),"")</f>
        <v>0.18372933589985596</v>
      </c>
      <c r="K7" s="3">
        <f>IFERROR(IF(tblTransfFUNDEB[[#This Row],[arrec_acum_atual]]&gt;0,(tblTransfFUNDEB[[#This Row],[arrec_acum_atual]]/tblTransfFUNDEB[[#This Row],[prev_acum_atual]])-1,""),"")</f>
        <v>0.23642687087251546</v>
      </c>
      <c r="L7" s="7">
        <f>YEAR(tblTransfFUNDEB[[#This Row],[data_base]])</f>
        <v>2022</v>
      </c>
      <c r="M7">
        <f>MONTH(tblTransfFUNDEB[[#This Row],[data_base]])</f>
        <v>6</v>
      </c>
    </row>
    <row r="8" spans="1:13" x14ac:dyDescent="0.25">
      <c r="A8" s="1">
        <v>44773</v>
      </c>
      <c r="B8" s="4">
        <v>509805.94</v>
      </c>
      <c r="C8" s="4">
        <v>363481.03</v>
      </c>
      <c r="D8" s="4">
        <v>359472.75</v>
      </c>
      <c r="E8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2685527.9499999997</v>
      </c>
      <c r="F8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2938947</v>
      </c>
      <c r="G8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2442463.69</v>
      </c>
      <c r="H8" s="4">
        <f>IFERROR(IF(tblTransfFUNDEB[[#This Row],[arrec_acum_atual]]&gt;0,tblTransfFUNDEB[[#This Row],[arrec_acum_atual]]-tblTransfFUNDEB[[#This Row],[arrec_acum_ant]],""),"")</f>
        <v>253419.05000000028</v>
      </c>
      <c r="I8" s="4">
        <f>IFERROR(IF(tblTransfFUNDEB[[#This Row],[arrec_acum_atual]]&gt;0,tblTransfFUNDEB[[#This Row],[arrec_acum_atual]]-tblTransfFUNDEB[[#This Row],[prev_acum_atual]],""),"")</f>
        <v>496483.31000000006</v>
      </c>
      <c r="J8" s="3">
        <f>IFERROR(IF(tblTransfFUNDEB[[#This Row],[arrec_acum_atual]]&gt;0,(tblTransfFUNDEB[[#This Row],[arrec_acum_atual]]/tblTransfFUNDEB[[#This Row],[arrec_acum_ant]])-1,""),"")</f>
        <v>9.4364703968171426E-2</v>
      </c>
      <c r="K8" s="3">
        <f>IFERROR(IF(tblTransfFUNDEB[[#This Row],[arrec_acum_atual]]&gt;0,(tblTransfFUNDEB[[#This Row],[arrec_acum_atual]]/tblTransfFUNDEB[[#This Row],[prev_acum_atual]])-1,""),"")</f>
        <v>0.20327152130560444</v>
      </c>
      <c r="L8" s="7">
        <f>YEAR(tblTransfFUNDEB[[#This Row],[data_base]])</f>
        <v>2022</v>
      </c>
      <c r="M8">
        <f>MONTH(tblTransfFUNDEB[[#This Row],[data_base]])</f>
        <v>7</v>
      </c>
    </row>
    <row r="9" spans="1:13" x14ac:dyDescent="0.25">
      <c r="A9" s="1">
        <v>44804</v>
      </c>
      <c r="B9" s="4">
        <v>329837.08</v>
      </c>
      <c r="C9" s="4">
        <v>388131.4</v>
      </c>
      <c r="D9" s="4">
        <v>318881.49</v>
      </c>
      <c r="E9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3015365.03</v>
      </c>
      <c r="F9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3327078.3999999999</v>
      </c>
      <c r="G9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2761345.1799999997</v>
      </c>
      <c r="H9" s="4">
        <f>IFERROR(IF(tblTransfFUNDEB[[#This Row],[arrec_acum_atual]]&gt;0,tblTransfFUNDEB[[#This Row],[arrec_acum_atual]]-tblTransfFUNDEB[[#This Row],[arrec_acum_ant]],""),"")</f>
        <v>311713.37000000011</v>
      </c>
      <c r="I9" s="4">
        <f>IFERROR(IF(tblTransfFUNDEB[[#This Row],[arrec_acum_atual]]&gt;0,tblTransfFUNDEB[[#This Row],[arrec_acum_atual]]-tblTransfFUNDEB[[#This Row],[prev_acum_atual]],""),"")</f>
        <v>565733.2200000002</v>
      </c>
      <c r="J9" s="3">
        <f>IFERROR(IF(tblTransfFUNDEB[[#This Row],[arrec_acum_atual]]&gt;0,(tblTransfFUNDEB[[#This Row],[arrec_acum_atual]]/tblTransfFUNDEB[[#This Row],[arrec_acum_ant]])-1,""),"")</f>
        <v>0.10337500332422445</v>
      </c>
      <c r="K9" s="3">
        <f>IFERROR(IF(tblTransfFUNDEB[[#This Row],[arrec_acum_atual]]&gt;0,(tblTransfFUNDEB[[#This Row],[arrec_acum_atual]]/tblTransfFUNDEB[[#This Row],[prev_acum_atual]])-1,""),"")</f>
        <v>0.20487595107541035</v>
      </c>
      <c r="L9" s="7">
        <f>YEAR(tblTransfFUNDEB[[#This Row],[data_base]])</f>
        <v>2022</v>
      </c>
      <c r="M9">
        <f>MONTH(tblTransfFUNDEB[[#This Row],[data_base]])</f>
        <v>8</v>
      </c>
    </row>
    <row r="10" spans="1:13" x14ac:dyDescent="0.25">
      <c r="A10" s="1">
        <v>44834</v>
      </c>
      <c r="B10" s="4">
        <v>314016.90000000002</v>
      </c>
      <c r="C10" s="4">
        <v>348767.15</v>
      </c>
      <c r="D10" s="4">
        <v>309353.68</v>
      </c>
      <c r="E10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3329381.9299999997</v>
      </c>
      <c r="F10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3675845.55</v>
      </c>
      <c r="G10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3070698.86</v>
      </c>
      <c r="H10" s="4">
        <f>IFERROR(IF(tblTransfFUNDEB[[#This Row],[arrec_acum_atual]]&gt;0,tblTransfFUNDEB[[#This Row],[arrec_acum_atual]]-tblTransfFUNDEB[[#This Row],[arrec_acum_ant]],""),"")</f>
        <v>346463.62000000011</v>
      </c>
      <c r="I10" s="4">
        <f>IFERROR(IF(tblTransfFUNDEB[[#This Row],[arrec_acum_atual]]&gt;0,tblTransfFUNDEB[[#This Row],[arrec_acum_atual]]-tblTransfFUNDEB[[#This Row],[prev_acum_atual]],""),"")</f>
        <v>605146.68999999994</v>
      </c>
      <c r="J10" s="3">
        <f>IFERROR(IF(tblTransfFUNDEB[[#This Row],[arrec_acum_atual]]&gt;0,(tblTransfFUNDEB[[#This Row],[arrec_acum_atual]]/tblTransfFUNDEB[[#This Row],[arrec_acum_ant]])-1,""),"")</f>
        <v>0.10406244380619922</v>
      </c>
      <c r="K10" s="3">
        <f>IFERROR(IF(tblTransfFUNDEB[[#This Row],[arrec_acum_atual]]&gt;0,(tblTransfFUNDEB[[#This Row],[arrec_acum_atual]]/tblTransfFUNDEB[[#This Row],[prev_acum_atual]])-1,""),"")</f>
        <v>0.19707132401775151</v>
      </c>
      <c r="L10" s="7">
        <f>YEAR(tblTransfFUNDEB[[#This Row],[data_base]])</f>
        <v>2022</v>
      </c>
      <c r="M10">
        <f>MONTH(tblTransfFUNDEB[[#This Row],[data_base]])</f>
        <v>9</v>
      </c>
    </row>
    <row r="11" spans="1:13" x14ac:dyDescent="0.25">
      <c r="A11" s="1">
        <v>44865</v>
      </c>
      <c r="B11" s="4">
        <v>359365.16</v>
      </c>
      <c r="C11" s="4">
        <v>347704.34</v>
      </c>
      <c r="D11" s="4">
        <v>347941.85</v>
      </c>
      <c r="E11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3688747.09</v>
      </c>
      <c r="F11" s="4">
        <f>IF(tblTransfFUNDEB[[#This Row],[arrec_mes_atual]]&gt;0,SUMIFS(tblTransfFUNDEB[arrec_mes_atual],tblTransfFUNDEB[ano],YEAR(tblTransfFUNDEB[[#This Row],[data_base]]),tblTransfFUNDEB[mês],"&lt;="&amp;MONTH(tblTransfFUNDEB[[#This Row],[data_base]])),"")</f>
        <v>4023549.8899999997</v>
      </c>
      <c r="G11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3418640.71</v>
      </c>
      <c r="H11" s="4">
        <f>IFERROR(IF(tblTransfFUNDEB[[#This Row],[arrec_acum_atual]]&gt;0,tblTransfFUNDEB[[#This Row],[arrec_acum_atual]]-tblTransfFUNDEB[[#This Row],[arrec_acum_ant]],""),"")</f>
        <v>334802.79999999981</v>
      </c>
      <c r="I11" s="4">
        <f>IFERROR(IF(tblTransfFUNDEB[[#This Row],[arrec_acum_atual]]&gt;0,tblTransfFUNDEB[[#This Row],[arrec_acum_atual]]-tblTransfFUNDEB[[#This Row],[prev_acum_atual]],""),"")</f>
        <v>604909.1799999997</v>
      </c>
      <c r="J11" s="3">
        <f>IFERROR(IF(tblTransfFUNDEB[[#This Row],[arrec_acum_atual]]&gt;0,(tblTransfFUNDEB[[#This Row],[arrec_acum_atual]]/tblTransfFUNDEB[[#This Row],[arrec_acum_ant]])-1,""),"")</f>
        <v>9.0763284072153505E-2</v>
      </c>
      <c r="K11" s="3">
        <f>IFERROR(IF(tblTransfFUNDEB[[#This Row],[arrec_acum_atual]]&gt;0,(tblTransfFUNDEB[[#This Row],[arrec_acum_atual]]/tblTransfFUNDEB[[#This Row],[prev_acum_atual]])-1,""),"")</f>
        <v>0.17694435634331396</v>
      </c>
      <c r="L11" s="7">
        <f>YEAR(tblTransfFUNDEB[[#This Row],[data_base]])</f>
        <v>2022</v>
      </c>
      <c r="M11">
        <f>MONTH(tblTransfFUNDEB[[#This Row],[data_base]])</f>
        <v>10</v>
      </c>
    </row>
    <row r="12" spans="1:13" x14ac:dyDescent="0.25">
      <c r="A12" s="1">
        <v>44895</v>
      </c>
      <c r="B12" s="4">
        <v>428785.97</v>
      </c>
      <c r="C12" s="4"/>
      <c r="D12" s="4">
        <v>366813.89</v>
      </c>
      <c r="E12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4117533.0599999996</v>
      </c>
      <c r="F12" s="4" t="str">
        <f>IF(tblTransfFUNDEB[[#This Row],[arrec_mes_atual]]&gt;0,SUMIFS(tblTransfFUNDEB[arrec_mes_atual],tblTransfFUNDEB[ano],YEAR(tblTransfFUNDEB[[#This Row],[data_base]]),tblTransfFUNDEB[mês],"&lt;="&amp;MONTH(tblTransfFUNDEB[[#This Row],[data_base]])),"")</f>
        <v/>
      </c>
      <c r="G12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3785454.6</v>
      </c>
      <c r="H12" s="4" t="str">
        <f>IFERROR(IF(tblTransfFUNDEB[[#This Row],[arrec_acum_atual]]&gt;0,tblTransfFUNDEB[[#This Row],[arrec_acum_atual]]-tblTransfFUNDEB[[#This Row],[arrec_acum_ant]],""),"")</f>
        <v/>
      </c>
      <c r="I12" s="4" t="str">
        <f>IFERROR(IF(tblTransfFUNDEB[[#This Row],[arrec_acum_atual]]&gt;0,tblTransfFUNDEB[[#This Row],[arrec_acum_atual]]-tblTransfFUNDEB[[#This Row],[prev_acum_atual]],""),"")</f>
        <v/>
      </c>
      <c r="J12" s="3" t="str">
        <f>IFERROR(IF(tblTransfFUNDEB[[#This Row],[arrec_acum_atual]]&gt;0,(tblTransfFUNDEB[[#This Row],[arrec_acum_atual]]/tblTransfFUNDEB[[#This Row],[arrec_acum_ant]])-1,""),"")</f>
        <v/>
      </c>
      <c r="K12" s="3" t="str">
        <f>IFERROR(IF(tblTransfFUNDEB[[#This Row],[arrec_acum_atual]]&gt;0,(tblTransfFUNDEB[[#This Row],[arrec_acum_atual]]/tblTransfFUNDEB[[#This Row],[prev_acum_atual]])-1,""),"")</f>
        <v/>
      </c>
      <c r="L12" s="7">
        <f>YEAR(tblTransfFUNDEB[[#This Row],[data_base]])</f>
        <v>2022</v>
      </c>
      <c r="M12">
        <f>MONTH(tblTransfFUNDEB[[#This Row],[data_base]])</f>
        <v>11</v>
      </c>
    </row>
    <row r="13" spans="1:13" x14ac:dyDescent="0.25">
      <c r="A13" s="1">
        <v>44926</v>
      </c>
      <c r="B13" s="4">
        <v>426823.55</v>
      </c>
      <c r="C13" s="4"/>
      <c r="D13" s="4">
        <v>409768.83</v>
      </c>
      <c r="E13" s="4">
        <f>IF(tblTransfFUNDEB[[#This Row],[arrec_mes_ant]]&gt;0,SUMIFS(tblTransfFUNDEB[arrec_mes_ant],tblTransfFUNDEB[ano],YEAR(tblTransfFUNDEB[[#This Row],[data_base]]),tblTransfFUNDEB[mês],"&lt;="&amp;MONTH(tblTransfFUNDEB[[#This Row],[data_base]])),"")</f>
        <v>4544356.6099999994</v>
      </c>
      <c r="F13" s="4" t="str">
        <f>IF(tblTransfFUNDEB[[#This Row],[arrec_mes_atual]]&gt;0,SUMIFS(tblTransfFUNDEB[arrec_mes_atual],tblTransfFUNDEB[ano],YEAR(tblTransfFUNDEB[[#This Row],[data_base]]),tblTransfFUNDEB[mês],"&lt;="&amp;MONTH(tblTransfFUNDEB[[#This Row],[data_base]])),"")</f>
        <v/>
      </c>
      <c r="G13" s="4">
        <f>IF(tblTransfFUNDEB[[#This Row],[prev_mes_atual]]&gt;0,SUMIFS(tblTransfFUNDEB[prev_mes_atual],tblTransfFUNDEB[ano],YEAR(tblTransfFUNDEB[[#This Row],[data_base]]),tblTransfFUNDEB[mês],"&lt;="&amp;MONTH(tblTransfFUNDEB[[#This Row],[data_base]])),"")</f>
        <v>4195223.43</v>
      </c>
      <c r="H13" s="4" t="str">
        <f>IFERROR(IF(tblTransfFUNDEB[[#This Row],[arrec_acum_atual]]&gt;0,tblTransfFUNDEB[[#This Row],[arrec_acum_atual]]-tblTransfFUNDEB[[#This Row],[arrec_acum_ant]],""),"")</f>
        <v/>
      </c>
      <c r="I13" s="4" t="str">
        <f>IFERROR(IF(tblTransfFUNDEB[[#This Row],[arrec_acum_atual]]&gt;0,tblTransfFUNDEB[[#This Row],[arrec_acum_atual]]-tblTransfFUNDEB[[#This Row],[prev_acum_atual]],""),"")</f>
        <v/>
      </c>
      <c r="J13" s="3" t="str">
        <f>IFERROR(IF(tblTransfFUNDEB[[#This Row],[arrec_acum_atual]]&gt;0,(tblTransfFUNDEB[[#This Row],[arrec_acum_atual]]/tblTransfFUNDEB[[#This Row],[arrec_acum_ant]])-1,""),"")</f>
        <v/>
      </c>
      <c r="K13" s="3" t="str">
        <f>IFERROR(IF(tblTransfFUNDEB[[#This Row],[arrec_acum_atual]]&gt;0,(tblTransfFUNDEB[[#This Row],[arrec_acum_atual]]/tblTransfFUNDEB[[#This Row],[prev_acum_atual]])-1,""),"")</f>
        <v/>
      </c>
      <c r="L13" s="7">
        <f>YEAR(tblTransfFUNDEB[[#This Row],[data_base]])</f>
        <v>2022</v>
      </c>
      <c r="M13">
        <f>MONTH(tblTransfFUNDEB[[#This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169-9904-4B89-99B2-E20FFE0476A3}">
  <dimension ref="A1:M13"/>
  <sheetViews>
    <sheetView workbookViewId="0">
      <selection activeCell="C13" sqref="C12:C13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122827.67</v>
      </c>
      <c r="C2" s="4">
        <v>241772.18</v>
      </c>
      <c r="D2" s="4">
        <v>45874.729999999996</v>
      </c>
      <c r="E2" s="4">
        <f>IF(tblTransfSaude[[#This Row],[arrec_mes_ant]]&gt;0,SUMIFS(tblTransfSaude[arrec_mes_ant],tblTransfSaude[ano],YEAR(tblTransfSaude[[#This Row],[data_base]]),tblTransfSaude[mês],"&lt;="&amp;MONTH(tblTransfSaude[[#This Row],[data_base]])),"")</f>
        <v>122827.67</v>
      </c>
      <c r="F2" s="4">
        <f>IF(tblTransfSaude[[#This Row],[arrec_mes_atual]]&gt;0,SUMIFS(tblTransfSaude[arrec_mes_atual],tblTransfSaude[ano],YEAR(tblTransfSaude[[#This Row],[data_base]]),tblTransfSaude[mês],"&lt;="&amp;MONTH(tblTransfSaude[[#This Row],[data_base]])),"")</f>
        <v>241772.18</v>
      </c>
      <c r="G2" s="4">
        <f>IF(tblTransfSaude[[#This Row],[prev_mes_atual]]&gt;0,SUMIFS(tblTransfSaude[prev_mes_atual],tblTransfSaude[ano],YEAR(tblTransfSaude[[#This Row],[data_base]]),tblTransfSaude[mês],"&lt;="&amp;MONTH(tblTransfSaude[[#This Row],[data_base]])),"")</f>
        <v>45874.729999999996</v>
      </c>
      <c r="H2" s="4">
        <f>IFERROR(IF(tblTransfSaude[[#This Row],[arrec_acum_atual]]&gt;0,tblTransfSaude[[#This Row],[arrec_acum_atual]]-tblTransfSaude[[#This Row],[arrec_acum_ant]],""),"")</f>
        <v>118944.51</v>
      </c>
      <c r="I2" s="4">
        <f>IFERROR(IF(tblTransfSaude[[#This Row],[arrec_acum_atual]]&gt;0,tblTransfSaude[[#This Row],[arrec_acum_atual]]-tblTransfSaude[[#This Row],[prev_acum_atual]],""),"")</f>
        <v>195897.45</v>
      </c>
      <c r="J2" s="3">
        <f>IFERROR(IF(tblTransfSaude[[#This Row],[arrec_acum_atual]]&gt;0,(tblTransfSaude[[#This Row],[arrec_acum_atual]]/tblTransfSaude[[#This Row],[arrec_acum_ant]])-1,""),"")</f>
        <v>0.96838529950132579</v>
      </c>
      <c r="K2" s="3">
        <f>IFERROR(IF(tblTransfSaude[[#This Row],[arrec_acum_atual]]&gt;0,(tblTransfSaude[[#This Row],[arrec_acum_atual]]/tblTransfSaude[[#This Row],[prev_acum_atual]])-1,""),"")</f>
        <v>4.2702692746093547</v>
      </c>
      <c r="L2" s="7">
        <f>YEAR(tblTransfSaude[[#This Row],[data_base]])</f>
        <v>2022</v>
      </c>
      <c r="M2">
        <f>MONTH(tblTransfSaude[[#This Row],[data_base]])</f>
        <v>1</v>
      </c>
    </row>
    <row r="3" spans="1:13" x14ac:dyDescent="0.25">
      <c r="A3" s="1">
        <v>44620</v>
      </c>
      <c r="B3" s="4">
        <v>123824.95000000001</v>
      </c>
      <c r="C3" s="4">
        <v>126485.46000000002</v>
      </c>
      <c r="D3" s="4">
        <v>73342.95</v>
      </c>
      <c r="E3" s="4">
        <f>IF(tblTransfSaude[[#This Row],[arrec_mes_ant]]&gt;0,SUMIFS(tblTransfSaude[arrec_mes_ant],tblTransfSaude[ano],YEAR(tblTransfSaude[[#This Row],[data_base]]),tblTransfSaude[mês],"&lt;="&amp;MONTH(tblTransfSaude[[#This Row],[data_base]])),"")</f>
        <v>246652.62</v>
      </c>
      <c r="F3" s="4">
        <f>IF(tblTransfSaude[[#This Row],[arrec_mes_atual]]&gt;0,SUMIFS(tblTransfSaude[arrec_mes_atual],tblTransfSaude[ano],YEAR(tblTransfSaude[[#This Row],[data_base]]),tblTransfSaude[mês],"&lt;="&amp;MONTH(tblTransfSaude[[#This Row],[data_base]])),"")</f>
        <v>368257.64</v>
      </c>
      <c r="G3" s="4">
        <f>IF(tblTransfSaude[[#This Row],[prev_mes_atual]]&gt;0,SUMIFS(tblTransfSaude[prev_mes_atual],tblTransfSaude[ano],YEAR(tblTransfSaude[[#This Row],[data_base]]),tblTransfSaude[mês],"&lt;="&amp;MONTH(tblTransfSaude[[#This Row],[data_base]])),"")</f>
        <v>119217.68</v>
      </c>
      <c r="H3" s="4">
        <f>IFERROR(IF(tblTransfSaude[[#This Row],[arrec_acum_atual]]&gt;0,tblTransfSaude[[#This Row],[arrec_acum_atual]]-tblTransfSaude[[#This Row],[arrec_acum_ant]],""),"")</f>
        <v>121605.02000000002</v>
      </c>
      <c r="I3" s="4">
        <f>IFERROR(IF(tblTransfSaude[[#This Row],[arrec_acum_atual]]&gt;0,tblTransfSaude[[#This Row],[arrec_acum_atual]]-tblTransfSaude[[#This Row],[prev_acum_atual]],""),"")</f>
        <v>249039.96000000002</v>
      </c>
      <c r="J3" s="3">
        <f>IFERROR(IF(tblTransfSaude[[#This Row],[arrec_acum_atual]]&gt;0,(tblTransfSaude[[#This Row],[arrec_acum_atual]]/tblTransfSaude[[#This Row],[arrec_acum_ant]])-1,""),"")</f>
        <v>0.49302139989431293</v>
      </c>
      <c r="K3" s="3">
        <f>IFERROR(IF(tblTransfSaude[[#This Row],[arrec_acum_atual]]&gt;0,(tblTransfSaude[[#This Row],[arrec_acum_atual]]/tblTransfSaude[[#This Row],[prev_acum_atual]])-1,""),"")</f>
        <v>2.0889515716125331</v>
      </c>
      <c r="L3" s="7">
        <f>YEAR(tblTransfSaude[[#This Row],[data_base]])</f>
        <v>2022</v>
      </c>
      <c r="M3">
        <f>MONTH(tblTransfSaude[[#This Row],[data_base]])</f>
        <v>2</v>
      </c>
    </row>
    <row r="4" spans="1:13" x14ac:dyDescent="0.25">
      <c r="A4" s="1">
        <v>44651</v>
      </c>
      <c r="B4" s="4">
        <v>207974.04</v>
      </c>
      <c r="C4" s="4">
        <v>134903.70000000001</v>
      </c>
      <c r="D4" s="4">
        <v>65791.520000000004</v>
      </c>
      <c r="E4" s="4">
        <f>IF(tblTransfSaude[[#This Row],[arrec_mes_ant]]&gt;0,SUMIFS(tblTransfSaude[arrec_mes_ant],tblTransfSaude[ano],YEAR(tblTransfSaude[[#This Row],[data_base]]),tblTransfSaude[mês],"&lt;="&amp;MONTH(tblTransfSaude[[#This Row],[data_base]])),"")</f>
        <v>454626.66000000003</v>
      </c>
      <c r="F4" s="4">
        <f>IF(tblTransfSaude[[#This Row],[arrec_mes_atual]]&gt;0,SUMIFS(tblTransfSaude[arrec_mes_atual],tblTransfSaude[ano],YEAR(tblTransfSaude[[#This Row],[data_base]]),tblTransfSaude[mês],"&lt;="&amp;MONTH(tblTransfSaude[[#This Row],[data_base]])),"")</f>
        <v>503161.34</v>
      </c>
      <c r="G4" s="4">
        <f>IF(tblTransfSaude[[#This Row],[prev_mes_atual]]&gt;0,SUMIFS(tblTransfSaude[prev_mes_atual],tblTransfSaude[ano],YEAR(tblTransfSaude[[#This Row],[data_base]]),tblTransfSaude[mês],"&lt;="&amp;MONTH(tblTransfSaude[[#This Row],[data_base]])),"")</f>
        <v>185009.2</v>
      </c>
      <c r="H4" s="4">
        <f>IFERROR(IF(tblTransfSaude[[#This Row],[arrec_acum_atual]]&gt;0,tblTransfSaude[[#This Row],[arrec_acum_atual]]-tblTransfSaude[[#This Row],[arrec_acum_ant]],""),"")</f>
        <v>48534.679999999993</v>
      </c>
      <c r="I4" s="4">
        <f>IFERROR(IF(tblTransfSaude[[#This Row],[arrec_acum_atual]]&gt;0,tblTransfSaude[[#This Row],[arrec_acum_atual]]-tblTransfSaude[[#This Row],[prev_acum_atual]],""),"")</f>
        <v>318152.14</v>
      </c>
      <c r="J4" s="3">
        <f>IFERROR(IF(tblTransfSaude[[#This Row],[arrec_acum_atual]]&gt;0,(tblTransfSaude[[#This Row],[arrec_acum_atual]]/tblTransfSaude[[#This Row],[arrec_acum_ant]])-1,""),"")</f>
        <v>0.10675722360848794</v>
      </c>
      <c r="K4" s="3">
        <f>IFERROR(IF(tblTransfSaude[[#This Row],[arrec_acum_atual]]&gt;0,(tblTransfSaude[[#This Row],[arrec_acum_atual]]/tblTransfSaude[[#This Row],[prev_acum_atual]])-1,""),"")</f>
        <v>1.7196557792801657</v>
      </c>
      <c r="L4" s="7">
        <f>YEAR(tblTransfSaude[[#This Row],[data_base]])</f>
        <v>2022</v>
      </c>
      <c r="M4">
        <f>MONTH(tblTransfSaude[[#This Row],[data_base]])</f>
        <v>3</v>
      </c>
    </row>
    <row r="5" spans="1:13" x14ac:dyDescent="0.25">
      <c r="A5" s="1">
        <v>44681</v>
      </c>
      <c r="B5" s="4">
        <v>153912.21</v>
      </c>
      <c r="C5" s="4">
        <v>120373.74</v>
      </c>
      <c r="D5" s="4">
        <v>67484.97</v>
      </c>
      <c r="E5" s="4">
        <f>IF(tblTransfSaude[[#This Row],[arrec_mes_ant]]&gt;0,SUMIFS(tblTransfSaude[arrec_mes_ant],tblTransfSaude[ano],YEAR(tblTransfSaude[[#This Row],[data_base]]),tblTransfSaude[mês],"&lt;="&amp;MONTH(tblTransfSaude[[#This Row],[data_base]])),"")</f>
        <v>608538.87</v>
      </c>
      <c r="F5" s="4">
        <f>IF(tblTransfSaude[[#This Row],[arrec_mes_atual]]&gt;0,SUMIFS(tblTransfSaude[arrec_mes_atual],tblTransfSaude[ano],YEAR(tblTransfSaude[[#This Row],[data_base]]),tblTransfSaude[mês],"&lt;="&amp;MONTH(tblTransfSaude[[#This Row],[data_base]])),"")</f>
        <v>623535.08000000007</v>
      </c>
      <c r="G5" s="4">
        <f>IF(tblTransfSaude[[#This Row],[prev_mes_atual]]&gt;0,SUMIFS(tblTransfSaude[prev_mes_atual],tblTransfSaude[ano],YEAR(tblTransfSaude[[#This Row],[data_base]]),tblTransfSaude[mês],"&lt;="&amp;MONTH(tblTransfSaude[[#This Row],[data_base]])),"")</f>
        <v>252494.17</v>
      </c>
      <c r="H5" s="4">
        <f>IFERROR(IF(tblTransfSaude[[#This Row],[arrec_acum_atual]]&gt;0,tblTransfSaude[[#This Row],[arrec_acum_atual]]-tblTransfSaude[[#This Row],[arrec_acum_ant]],""),"")</f>
        <v>14996.210000000079</v>
      </c>
      <c r="I5" s="4">
        <f>IFERROR(IF(tblTransfSaude[[#This Row],[arrec_acum_atual]]&gt;0,tblTransfSaude[[#This Row],[arrec_acum_atual]]-tblTransfSaude[[#This Row],[prev_acum_atual]],""),"")</f>
        <v>371040.91000000003</v>
      </c>
      <c r="J5" s="3">
        <f>IFERROR(IF(tblTransfSaude[[#This Row],[arrec_acum_atual]]&gt;0,(tblTransfSaude[[#This Row],[arrec_acum_atual]]/tblTransfSaude[[#This Row],[arrec_acum_ant]])-1,""),"")</f>
        <v>2.4642978023737605E-2</v>
      </c>
      <c r="K5" s="3">
        <f>IFERROR(IF(tblTransfSaude[[#This Row],[arrec_acum_atual]]&gt;0,(tblTransfSaude[[#This Row],[arrec_acum_atual]]/tblTransfSaude[[#This Row],[prev_acum_atual]])-1,""),"")</f>
        <v>1.4695028800070911</v>
      </c>
      <c r="L5" s="7">
        <f>YEAR(tblTransfSaude[[#This Row],[data_base]])</f>
        <v>2022</v>
      </c>
      <c r="M5">
        <f>MONTH(tblTransfSaude[[#This Row],[data_base]])</f>
        <v>4</v>
      </c>
    </row>
    <row r="6" spans="1:13" x14ac:dyDescent="0.25">
      <c r="A6" s="1">
        <v>44712</v>
      </c>
      <c r="B6" s="4">
        <v>173960.2</v>
      </c>
      <c r="C6" s="4">
        <v>119219.12000000001</v>
      </c>
      <c r="D6" s="4">
        <v>68784.52</v>
      </c>
      <c r="E6" s="4">
        <f>IF(tblTransfSaude[[#This Row],[arrec_mes_ant]]&gt;0,SUMIFS(tblTransfSaude[arrec_mes_ant],tblTransfSaude[ano],YEAR(tblTransfSaude[[#This Row],[data_base]]),tblTransfSaude[mês],"&lt;="&amp;MONTH(tblTransfSaude[[#This Row],[data_base]])),"")</f>
        <v>782499.07000000007</v>
      </c>
      <c r="F6" s="4">
        <f>IF(tblTransfSaude[[#This Row],[arrec_mes_atual]]&gt;0,SUMIFS(tblTransfSaude[arrec_mes_atual],tblTransfSaude[ano],YEAR(tblTransfSaude[[#This Row],[data_base]]),tblTransfSaude[mês],"&lt;="&amp;MONTH(tblTransfSaude[[#This Row],[data_base]])),"")</f>
        <v>742754.20000000007</v>
      </c>
      <c r="G6" s="4">
        <f>IF(tblTransfSaude[[#This Row],[prev_mes_atual]]&gt;0,SUMIFS(tblTransfSaude[prev_mes_atual],tblTransfSaude[ano],YEAR(tblTransfSaude[[#This Row],[data_base]]),tblTransfSaude[mês],"&lt;="&amp;MONTH(tblTransfSaude[[#This Row],[data_base]])),"")</f>
        <v>321278.69</v>
      </c>
      <c r="H6" s="4">
        <f>IFERROR(IF(tblTransfSaude[[#This Row],[arrec_acum_atual]]&gt;0,tblTransfSaude[[#This Row],[arrec_acum_atual]]-tblTransfSaude[[#This Row],[arrec_acum_ant]],""),"")</f>
        <v>-39744.869999999995</v>
      </c>
      <c r="I6" s="4">
        <f>IFERROR(IF(tblTransfSaude[[#This Row],[arrec_acum_atual]]&gt;0,tblTransfSaude[[#This Row],[arrec_acum_atual]]-tblTransfSaude[[#This Row],[prev_acum_atual]],""),"")</f>
        <v>421475.51000000007</v>
      </c>
      <c r="J6" s="3">
        <f>IFERROR(IF(tblTransfSaude[[#This Row],[arrec_acum_atual]]&gt;0,(tblTransfSaude[[#This Row],[arrec_acum_atual]]/tblTransfSaude[[#This Row],[arrec_acum_ant]])-1,""),"")</f>
        <v>-5.0792226500665394E-2</v>
      </c>
      <c r="K6" s="3">
        <f>IFERROR(IF(tblTransfSaude[[#This Row],[arrec_acum_atual]]&gt;0,(tblTransfSaude[[#This Row],[arrec_acum_atual]]/tblTransfSaude[[#This Row],[prev_acum_atual]])-1,""),"")</f>
        <v>1.3118688637581286</v>
      </c>
      <c r="L6" s="7">
        <f>YEAR(tblTransfSaude[[#This Row],[data_base]])</f>
        <v>2022</v>
      </c>
      <c r="M6">
        <f>MONTH(tblTransfSaude[[#This Row],[data_base]])</f>
        <v>5</v>
      </c>
    </row>
    <row r="7" spans="1:13" x14ac:dyDescent="0.25">
      <c r="A7" s="1">
        <v>44742</v>
      </c>
      <c r="B7" s="4">
        <v>220504.95</v>
      </c>
      <c r="C7" s="4">
        <v>208825.87000000002</v>
      </c>
      <c r="D7" s="4">
        <v>68414.89</v>
      </c>
      <c r="E7" s="4">
        <f>IF(tblTransfSaude[[#This Row],[arrec_mes_ant]]&gt;0,SUMIFS(tblTransfSaude[arrec_mes_ant],tblTransfSaude[ano],YEAR(tblTransfSaude[[#This Row],[data_base]]),tblTransfSaude[mês],"&lt;="&amp;MONTH(tblTransfSaude[[#This Row],[data_base]])),"")</f>
        <v>1003004.02</v>
      </c>
      <c r="F7" s="4">
        <f>IF(tblTransfSaude[[#This Row],[arrec_mes_atual]]&gt;0,SUMIFS(tblTransfSaude[arrec_mes_atual],tblTransfSaude[ano],YEAR(tblTransfSaude[[#This Row],[data_base]]),tblTransfSaude[mês],"&lt;="&amp;MONTH(tblTransfSaude[[#This Row],[data_base]])),"")</f>
        <v>951580.07000000007</v>
      </c>
      <c r="G7" s="4">
        <f>IF(tblTransfSaude[[#This Row],[prev_mes_atual]]&gt;0,SUMIFS(tblTransfSaude[prev_mes_atual],tblTransfSaude[ano],YEAR(tblTransfSaude[[#This Row],[data_base]]),tblTransfSaude[mês],"&lt;="&amp;MONTH(tblTransfSaude[[#This Row],[data_base]])),"")</f>
        <v>389693.58</v>
      </c>
      <c r="H7" s="4">
        <f>IFERROR(IF(tblTransfSaude[[#This Row],[arrec_acum_atual]]&gt;0,tblTransfSaude[[#This Row],[arrec_acum_atual]]-tblTransfSaude[[#This Row],[arrec_acum_ant]],""),"")</f>
        <v>-51423.949999999953</v>
      </c>
      <c r="I7" s="4">
        <f>IFERROR(IF(tblTransfSaude[[#This Row],[arrec_acum_atual]]&gt;0,tblTransfSaude[[#This Row],[arrec_acum_atual]]-tblTransfSaude[[#This Row],[prev_acum_atual]],""),"")</f>
        <v>561886.49</v>
      </c>
      <c r="J7" s="3">
        <f>IFERROR(IF(tblTransfSaude[[#This Row],[arrec_acum_atual]]&gt;0,(tblTransfSaude[[#This Row],[arrec_acum_atual]]/tblTransfSaude[[#This Row],[arrec_acum_ant]])-1,""),"")</f>
        <v>-5.1269934092587177E-2</v>
      </c>
      <c r="K7" s="3">
        <f>IFERROR(IF(tblTransfSaude[[#This Row],[arrec_acum_atual]]&gt;0,(tblTransfSaude[[#This Row],[arrec_acum_atual]]/tblTransfSaude[[#This Row],[prev_acum_atual]])-1,""),"")</f>
        <v>1.4418674539108394</v>
      </c>
      <c r="L7" s="7">
        <f>YEAR(tblTransfSaude[[#This Row],[data_base]])</f>
        <v>2022</v>
      </c>
      <c r="M7">
        <f>MONTH(tblTransfSaude[[#This Row],[data_base]])</f>
        <v>6</v>
      </c>
    </row>
    <row r="8" spans="1:13" x14ac:dyDescent="0.25">
      <c r="A8" s="1">
        <v>44773</v>
      </c>
      <c r="B8" s="4">
        <v>134671.35</v>
      </c>
      <c r="C8" s="4">
        <v>317851.51</v>
      </c>
      <c r="D8" s="4">
        <v>71288.09</v>
      </c>
      <c r="E8" s="4">
        <f>IF(tblTransfSaude[[#This Row],[arrec_mes_ant]]&gt;0,SUMIFS(tblTransfSaude[arrec_mes_ant],tblTransfSaude[ano],YEAR(tblTransfSaude[[#This Row],[data_base]]),tblTransfSaude[mês],"&lt;="&amp;MONTH(tblTransfSaude[[#This Row],[data_base]])),"")</f>
        <v>1137675.3700000001</v>
      </c>
      <c r="F8" s="4">
        <f>IF(tblTransfSaude[[#This Row],[arrec_mes_atual]]&gt;0,SUMIFS(tblTransfSaude[arrec_mes_atual],tblTransfSaude[ano],YEAR(tblTransfSaude[[#This Row],[data_base]]),tblTransfSaude[mês],"&lt;="&amp;MONTH(tblTransfSaude[[#This Row],[data_base]])),"")</f>
        <v>1269431.58</v>
      </c>
      <c r="G8" s="4">
        <f>IF(tblTransfSaude[[#This Row],[prev_mes_atual]]&gt;0,SUMIFS(tblTransfSaude[prev_mes_atual],tblTransfSaude[ano],YEAR(tblTransfSaude[[#This Row],[data_base]]),tblTransfSaude[mês],"&lt;="&amp;MONTH(tblTransfSaude[[#This Row],[data_base]])),"")</f>
        <v>460981.67000000004</v>
      </c>
      <c r="H8" s="4">
        <f>IFERROR(IF(tblTransfSaude[[#This Row],[arrec_acum_atual]]&gt;0,tblTransfSaude[[#This Row],[arrec_acum_atual]]-tblTransfSaude[[#This Row],[arrec_acum_ant]],""),"")</f>
        <v>131756.20999999996</v>
      </c>
      <c r="I8" s="4">
        <f>IFERROR(IF(tblTransfSaude[[#This Row],[arrec_acum_atual]]&gt;0,tblTransfSaude[[#This Row],[arrec_acum_atual]]-tblTransfSaude[[#This Row],[prev_acum_atual]],""),"")</f>
        <v>808449.91</v>
      </c>
      <c r="J8" s="3">
        <f>IFERROR(IF(tblTransfSaude[[#This Row],[arrec_acum_atual]]&gt;0,(tblTransfSaude[[#This Row],[arrec_acum_atual]]/tblTransfSaude[[#This Row],[arrec_acum_ant]])-1,""),"")</f>
        <v>0.11581178029722139</v>
      </c>
      <c r="K8" s="3">
        <f>IFERROR(IF(tblTransfSaude[[#This Row],[arrec_acum_atual]]&gt;0,(tblTransfSaude[[#This Row],[arrec_acum_atual]]/tblTransfSaude[[#This Row],[prev_acum_atual]])-1,""),"")</f>
        <v>1.7537571721669538</v>
      </c>
      <c r="L8" s="7">
        <f>YEAR(tblTransfSaude[[#This Row],[data_base]])</f>
        <v>2022</v>
      </c>
      <c r="M8">
        <f>MONTH(tblTransfSaude[[#This Row],[data_base]])</f>
        <v>7</v>
      </c>
    </row>
    <row r="9" spans="1:13" x14ac:dyDescent="0.25">
      <c r="A9" s="1">
        <v>44804</v>
      </c>
      <c r="B9" s="4">
        <v>118010.95</v>
      </c>
      <c r="C9" s="4">
        <v>84674.45</v>
      </c>
      <c r="D9" s="4">
        <v>92011.319999999992</v>
      </c>
      <c r="E9" s="4">
        <f>IF(tblTransfSaude[[#This Row],[arrec_mes_ant]]&gt;0,SUMIFS(tblTransfSaude[arrec_mes_ant],tblTransfSaude[ano],YEAR(tblTransfSaude[[#This Row],[data_base]]),tblTransfSaude[mês],"&lt;="&amp;MONTH(tblTransfSaude[[#This Row],[data_base]])),"")</f>
        <v>1255686.32</v>
      </c>
      <c r="F9" s="4">
        <f>IF(tblTransfSaude[[#This Row],[arrec_mes_atual]]&gt;0,SUMIFS(tblTransfSaude[arrec_mes_atual],tblTransfSaude[ano],YEAR(tblTransfSaude[[#This Row],[data_base]]),tblTransfSaude[mês],"&lt;="&amp;MONTH(tblTransfSaude[[#This Row],[data_base]])),"")</f>
        <v>1354106.03</v>
      </c>
      <c r="G9" s="4">
        <f>IF(tblTransfSaude[[#This Row],[prev_mes_atual]]&gt;0,SUMIFS(tblTransfSaude[prev_mes_atual],tblTransfSaude[ano],YEAR(tblTransfSaude[[#This Row],[data_base]]),tblTransfSaude[mês],"&lt;="&amp;MONTH(tblTransfSaude[[#This Row],[data_base]])),"")</f>
        <v>552992.99</v>
      </c>
      <c r="H9" s="4">
        <f>IFERROR(IF(tblTransfSaude[[#This Row],[arrec_acum_atual]]&gt;0,tblTransfSaude[[#This Row],[arrec_acum_atual]]-tblTransfSaude[[#This Row],[arrec_acum_ant]],""),"")</f>
        <v>98419.709999999963</v>
      </c>
      <c r="I9" s="4">
        <f>IFERROR(IF(tblTransfSaude[[#This Row],[arrec_acum_atual]]&gt;0,tblTransfSaude[[#This Row],[arrec_acum_atual]]-tblTransfSaude[[#This Row],[prev_acum_atual]],""),"")</f>
        <v>801113.04</v>
      </c>
      <c r="J9" s="3">
        <f>IFERROR(IF(tblTransfSaude[[#This Row],[arrec_acum_atual]]&gt;0,(tblTransfSaude[[#This Row],[arrec_acum_atual]]/tblTransfSaude[[#This Row],[arrec_acum_ant]])-1,""),"")</f>
        <v>7.8379216554656628E-2</v>
      </c>
      <c r="K9" s="3">
        <f>IFERROR(IF(tblTransfSaude[[#This Row],[arrec_acum_atual]]&gt;0,(tblTransfSaude[[#This Row],[arrec_acum_atual]]/tblTransfSaude[[#This Row],[prev_acum_atual]])-1,""),"")</f>
        <v>1.448685705762744</v>
      </c>
      <c r="L9" s="7">
        <f>YEAR(tblTransfSaude[[#This Row],[data_base]])</f>
        <v>2022</v>
      </c>
      <c r="M9">
        <f>MONTH(tblTransfSaude[[#This Row],[data_base]])</f>
        <v>8</v>
      </c>
    </row>
    <row r="10" spans="1:13" x14ac:dyDescent="0.25">
      <c r="A10" s="1">
        <v>44834</v>
      </c>
      <c r="B10" s="4">
        <v>122719.91</v>
      </c>
      <c r="C10" s="4">
        <v>131014.65000000001</v>
      </c>
      <c r="D10" s="4">
        <v>66228.08</v>
      </c>
      <c r="E10" s="4">
        <f>IF(tblTransfSaude[[#This Row],[arrec_mes_ant]]&gt;0,SUMIFS(tblTransfSaude[arrec_mes_ant],tblTransfSaude[ano],YEAR(tblTransfSaude[[#This Row],[data_base]]),tblTransfSaude[mês],"&lt;="&amp;MONTH(tblTransfSaude[[#This Row],[data_base]])),"")</f>
        <v>1378406.23</v>
      </c>
      <c r="F10" s="4">
        <f>IF(tblTransfSaude[[#This Row],[arrec_mes_atual]]&gt;0,SUMIFS(tblTransfSaude[arrec_mes_atual],tblTransfSaude[ano],YEAR(tblTransfSaude[[#This Row],[data_base]]),tblTransfSaude[mês],"&lt;="&amp;MONTH(tblTransfSaude[[#This Row],[data_base]])),"")</f>
        <v>1485120.68</v>
      </c>
      <c r="G10" s="4">
        <f>IF(tblTransfSaude[[#This Row],[prev_mes_atual]]&gt;0,SUMIFS(tblTransfSaude[prev_mes_atual],tblTransfSaude[ano],YEAR(tblTransfSaude[[#This Row],[data_base]]),tblTransfSaude[mês],"&lt;="&amp;MONTH(tblTransfSaude[[#This Row],[data_base]])),"")</f>
        <v>619221.06999999995</v>
      </c>
      <c r="H10" s="4">
        <f>IFERROR(IF(tblTransfSaude[[#This Row],[arrec_acum_atual]]&gt;0,tblTransfSaude[[#This Row],[arrec_acum_atual]]-tblTransfSaude[[#This Row],[arrec_acum_ant]],""),"")</f>
        <v>106714.44999999995</v>
      </c>
      <c r="I10" s="4">
        <f>IFERROR(IF(tblTransfSaude[[#This Row],[arrec_acum_atual]]&gt;0,tblTransfSaude[[#This Row],[arrec_acum_atual]]-tblTransfSaude[[#This Row],[prev_acum_atual]],""),"")</f>
        <v>865899.61</v>
      </c>
      <c r="J10" s="3">
        <f>IFERROR(IF(tblTransfSaude[[#This Row],[arrec_acum_atual]]&gt;0,(tblTransfSaude[[#This Row],[arrec_acum_atual]]/tblTransfSaude[[#This Row],[arrec_acum_ant]])-1,""),"")</f>
        <v>7.7418722926114514E-2</v>
      </c>
      <c r="K10" s="3">
        <f>IFERROR(IF(tblTransfSaude[[#This Row],[arrec_acum_atual]]&gt;0,(tblTransfSaude[[#This Row],[arrec_acum_atual]]/tblTransfSaude[[#This Row],[prev_acum_atual]])-1,""),"")</f>
        <v>1.3983690994235709</v>
      </c>
      <c r="L10" s="7">
        <f>YEAR(tblTransfSaude[[#This Row],[data_base]])</f>
        <v>2022</v>
      </c>
      <c r="M10">
        <f>MONTH(tblTransfSaude[[#This Row],[data_base]])</f>
        <v>9</v>
      </c>
    </row>
    <row r="11" spans="1:13" x14ac:dyDescent="0.25">
      <c r="A11" s="1">
        <v>44865</v>
      </c>
      <c r="B11" s="4">
        <v>206809.49</v>
      </c>
      <c r="C11" s="4">
        <v>129975.96999999999</v>
      </c>
      <c r="D11" s="4">
        <v>103094.98</v>
      </c>
      <c r="E11" s="4">
        <f>IF(tblTransfSaude[[#This Row],[arrec_mes_ant]]&gt;0,SUMIFS(tblTransfSaude[arrec_mes_ant],tblTransfSaude[ano],YEAR(tblTransfSaude[[#This Row],[data_base]]),tblTransfSaude[mês],"&lt;="&amp;MONTH(tblTransfSaude[[#This Row],[data_base]])),"")</f>
        <v>1585215.72</v>
      </c>
      <c r="F11" s="4">
        <f>IF(tblTransfSaude[[#This Row],[arrec_mes_atual]]&gt;0,SUMIFS(tblTransfSaude[arrec_mes_atual],tblTransfSaude[ano],YEAR(tblTransfSaude[[#This Row],[data_base]]),tblTransfSaude[mês],"&lt;="&amp;MONTH(tblTransfSaude[[#This Row],[data_base]])),"")</f>
        <v>1615096.65</v>
      </c>
      <c r="G11" s="4">
        <f>IF(tblTransfSaude[[#This Row],[prev_mes_atual]]&gt;0,SUMIFS(tblTransfSaude[prev_mes_atual],tblTransfSaude[ano],YEAR(tblTransfSaude[[#This Row],[data_base]]),tblTransfSaude[mês],"&lt;="&amp;MONTH(tblTransfSaude[[#This Row],[data_base]])),"")</f>
        <v>722316.04999999993</v>
      </c>
      <c r="H11" s="4">
        <f>IFERROR(IF(tblTransfSaude[[#This Row],[arrec_acum_atual]]&gt;0,tblTransfSaude[[#This Row],[arrec_acum_atual]]-tblTransfSaude[[#This Row],[arrec_acum_ant]],""),"")</f>
        <v>29880.929999999935</v>
      </c>
      <c r="I11" s="4">
        <f>IFERROR(IF(tblTransfSaude[[#This Row],[arrec_acum_atual]]&gt;0,tblTransfSaude[[#This Row],[arrec_acum_atual]]-tblTransfSaude[[#This Row],[prev_acum_atual]],""),"")</f>
        <v>892780.6</v>
      </c>
      <c r="J11" s="3">
        <f>IFERROR(IF(tblTransfSaude[[#This Row],[arrec_acum_atual]]&gt;0,(tblTransfSaude[[#This Row],[arrec_acum_atual]]/tblTransfSaude[[#This Row],[arrec_acum_ant]])-1,""),"")</f>
        <v>1.8849756296890563E-2</v>
      </c>
      <c r="K11" s="3">
        <f>IFERROR(IF(tblTransfSaude[[#This Row],[arrec_acum_atual]]&gt;0,(tblTransfSaude[[#This Row],[arrec_acum_atual]]/tblTransfSaude[[#This Row],[prev_acum_atual]])-1,""),"")</f>
        <v>1.235997178797287</v>
      </c>
      <c r="L11" s="7">
        <f>YEAR(tblTransfSaude[[#This Row],[data_base]])</f>
        <v>2022</v>
      </c>
      <c r="M11">
        <f>MONTH(tblTransfSaude[[#This Row],[data_base]])</f>
        <v>10</v>
      </c>
    </row>
    <row r="12" spans="1:13" x14ac:dyDescent="0.25">
      <c r="A12" s="1">
        <v>44895</v>
      </c>
      <c r="B12" s="4">
        <v>122204.37000000001</v>
      </c>
      <c r="C12" s="4"/>
      <c r="D12" s="4">
        <v>115253.23999999999</v>
      </c>
      <c r="E12" s="4">
        <f>IF(tblTransfSaude[[#This Row],[arrec_mes_ant]]&gt;0,SUMIFS(tblTransfSaude[arrec_mes_ant],tblTransfSaude[ano],YEAR(tblTransfSaude[[#This Row],[data_base]]),tblTransfSaude[mês],"&lt;="&amp;MONTH(tblTransfSaude[[#This Row],[data_base]])),"")</f>
        <v>1707420.09</v>
      </c>
      <c r="F12" s="4" t="str">
        <f>IF(tblTransfSaude[[#This Row],[arrec_mes_atual]]&gt;0,SUMIFS(tblTransfSaude[arrec_mes_atual],tblTransfSaude[ano],YEAR(tblTransfSaude[[#This Row],[data_base]]),tblTransfSaude[mês],"&lt;="&amp;MONTH(tblTransfSaude[[#This Row],[data_base]])),"")</f>
        <v/>
      </c>
      <c r="G12" s="4">
        <f>IF(tblTransfSaude[[#This Row],[prev_mes_atual]]&gt;0,SUMIFS(tblTransfSaude[prev_mes_atual],tblTransfSaude[ano],YEAR(tblTransfSaude[[#This Row],[data_base]]),tblTransfSaude[mês],"&lt;="&amp;MONTH(tblTransfSaude[[#This Row],[data_base]])),"")</f>
        <v>837569.28999999992</v>
      </c>
      <c r="H12" s="4" t="str">
        <f>IFERROR(IF(tblTransfSaude[[#This Row],[arrec_acum_atual]]&gt;0,tblTransfSaude[[#This Row],[arrec_acum_atual]]-tblTransfSaude[[#This Row],[arrec_acum_ant]],""),"")</f>
        <v/>
      </c>
      <c r="I12" s="4" t="str">
        <f>IFERROR(IF(tblTransfSaude[[#This Row],[arrec_acum_atual]]&gt;0,tblTransfSaude[[#This Row],[arrec_acum_atual]]-tblTransfSaude[[#This Row],[prev_acum_atual]],""),"")</f>
        <v/>
      </c>
      <c r="J12" s="3" t="str">
        <f>IFERROR(IF(tblTransfSaude[[#This Row],[arrec_acum_atual]]&gt;0,(tblTransfSaude[[#This Row],[arrec_acum_atual]]/tblTransfSaude[[#This Row],[arrec_acum_ant]])-1,""),"")</f>
        <v/>
      </c>
      <c r="K12" s="3" t="str">
        <f>IFERROR(IF(tblTransfSaude[[#This Row],[arrec_acum_atual]]&gt;0,(tblTransfSaude[[#This Row],[arrec_acum_atual]]/tblTransfSaude[[#This Row],[prev_acum_atual]])-1,""),"")</f>
        <v/>
      </c>
      <c r="L12" s="7">
        <f>YEAR(tblTransfSaude[[#This Row],[data_base]])</f>
        <v>2022</v>
      </c>
      <c r="M12">
        <f>MONTH(tblTransfSaude[[#This Row],[data_base]])</f>
        <v>11</v>
      </c>
    </row>
    <row r="13" spans="1:13" x14ac:dyDescent="0.25">
      <c r="A13" s="1">
        <v>44926</v>
      </c>
      <c r="B13" s="4">
        <v>658679.93999999994</v>
      </c>
      <c r="C13" s="4"/>
      <c r="D13" s="4">
        <v>189296.89</v>
      </c>
      <c r="E13" s="4">
        <f>IF(tblTransfSaude[[#This Row],[arrec_mes_ant]]&gt;0,SUMIFS(tblTransfSaude[arrec_mes_ant],tblTransfSaude[ano],YEAR(tblTransfSaude[[#This Row],[data_base]]),tblTransfSaude[mês],"&lt;="&amp;MONTH(tblTransfSaude[[#This Row],[data_base]])),"")</f>
        <v>2366100.0300000003</v>
      </c>
      <c r="F13" s="4" t="str">
        <f>IF(tblTransfSaude[[#This Row],[arrec_mes_atual]]&gt;0,SUMIFS(tblTransfSaude[arrec_mes_atual],tblTransfSaude[ano],YEAR(tblTransfSaude[[#This Row],[data_base]]),tblTransfSaude[mês],"&lt;="&amp;MONTH(tblTransfSaude[[#This Row],[data_base]])),"")</f>
        <v/>
      </c>
      <c r="G13" s="4">
        <f>IF(tblTransfSaude[[#This Row],[prev_mes_atual]]&gt;0,SUMIFS(tblTransfSaude[prev_mes_atual],tblTransfSaude[ano],YEAR(tblTransfSaude[[#This Row],[data_base]]),tblTransfSaude[mês],"&lt;="&amp;MONTH(tblTransfSaude[[#This Row],[data_base]])),"")</f>
        <v>1026866.1799999999</v>
      </c>
      <c r="H13" s="4" t="str">
        <f>IFERROR(IF(tblTransfSaude[[#This Row],[arrec_acum_atual]]&gt;0,tblTransfSaude[[#This Row],[arrec_acum_atual]]-tblTransfSaude[[#This Row],[arrec_acum_ant]],""),"")</f>
        <v/>
      </c>
      <c r="I13" s="4" t="str">
        <f>IFERROR(IF(tblTransfSaude[[#This Row],[arrec_acum_atual]]&gt;0,tblTransfSaude[[#This Row],[arrec_acum_atual]]-tblTransfSaude[[#This Row],[prev_acum_atual]],""),"")</f>
        <v/>
      </c>
      <c r="J13" s="3" t="str">
        <f>IFERROR(IF(tblTransfSaude[[#This Row],[arrec_acum_atual]]&gt;0,(tblTransfSaude[[#This Row],[arrec_acum_atual]]/tblTransfSaude[[#This Row],[arrec_acum_ant]])-1,""),"")</f>
        <v/>
      </c>
      <c r="K13" s="3" t="str">
        <f>IFERROR(IF(tblTransfSaude[[#This Row],[arrec_acum_atual]]&gt;0,(tblTransfSaude[[#This Row],[arrec_acum_atual]]/tblTransfSaude[[#This Row],[prev_acum_atual]])-1,""),"")</f>
        <v/>
      </c>
      <c r="L13" s="7">
        <f>YEAR(tblTransfSaude[[#This Row],[data_base]])</f>
        <v>2022</v>
      </c>
      <c r="M13">
        <f>MONTH(tblTransfSaude[[#This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621D-5520-4A7B-913B-9CB31775E2DE}">
  <dimension ref="A1:M13"/>
  <sheetViews>
    <sheetView workbookViewId="0">
      <selection activeCell="C12" sqref="C12:C13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30285.34</v>
      </c>
      <c r="C2" s="4">
        <v>41146.49</v>
      </c>
      <c r="D2" s="4">
        <v>36346.46</v>
      </c>
      <c r="E2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30285.34</v>
      </c>
      <c r="F2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41146.49</v>
      </c>
      <c r="G2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36346.46</v>
      </c>
      <c r="H2" s="4">
        <f>IFERROR(IF(tblTransfEducacao[[#This Row],[arrec_acum_atual]]&gt;0,tblTransfEducacao[[#This Row],[arrec_acum_atual]]-tblTransfEducacao[[#This Row],[arrec_acum_ant]],""),"")</f>
        <v>10861.149999999998</v>
      </c>
      <c r="I2" s="4">
        <f>IFERROR(IF(tblTransfEducacao[[#This Row],[arrec_acum_atual]]&gt;0,tblTransfEducacao[[#This Row],[arrec_acum_atual]]-tblTransfEducacao[[#This Row],[prev_acum_atual]],""),"")</f>
        <v>4800.0299999999988</v>
      </c>
      <c r="J2" s="3">
        <f>IFERROR(IF(tblTransfEducacao[[#This Row],[arrec_acum_atual]]&gt;0,(tblTransfEducacao[[#This Row],[arrec_acum_atual]]/tblTransfEducacao[[#This Row],[arrec_acum_ant]])-1,""),"")</f>
        <v>0.35862730945071108</v>
      </c>
      <c r="K2" s="3">
        <f>IFERROR(IF(tblTransfEducacao[[#This Row],[arrec_acum_atual]]&gt;0,(tblTransfEducacao[[#This Row],[arrec_acum_atual]]/tblTransfEducacao[[#This Row],[prev_acum_atual]])-1,""),"")</f>
        <v>0.13206320505490776</v>
      </c>
      <c r="L2" s="7">
        <f>YEAR(tblTransfEducacao[[#This Row],[data_base]])</f>
        <v>2022</v>
      </c>
      <c r="M2">
        <f>MONTH(tblTransfEducacao[[#This Row],[data_base]])</f>
        <v>1</v>
      </c>
    </row>
    <row r="3" spans="1:13" x14ac:dyDescent="0.25">
      <c r="A3" s="1">
        <v>44620</v>
      </c>
      <c r="B3" s="4">
        <v>36777.39</v>
      </c>
      <c r="C3" s="4">
        <v>35741.64</v>
      </c>
      <c r="D3" s="4">
        <v>45272.84</v>
      </c>
      <c r="E3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67062.73</v>
      </c>
      <c r="F3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76888.13</v>
      </c>
      <c r="G3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81619.299999999988</v>
      </c>
      <c r="H3" s="4">
        <f>IFERROR(IF(tblTransfEducacao[[#This Row],[arrec_acum_atual]]&gt;0,tblTransfEducacao[[#This Row],[arrec_acum_atual]]-tblTransfEducacao[[#This Row],[arrec_acum_ant]],""),"")</f>
        <v>9825.4000000000087</v>
      </c>
      <c r="I3" s="4">
        <f>IFERROR(IF(tblTransfEducacao[[#This Row],[arrec_acum_atual]]&gt;0,tblTransfEducacao[[#This Row],[arrec_acum_atual]]-tblTransfEducacao[[#This Row],[prev_acum_atual]],""),"")</f>
        <v>-4731.1699999999837</v>
      </c>
      <c r="J3" s="3">
        <f>IFERROR(IF(tblTransfEducacao[[#This Row],[arrec_acum_atual]]&gt;0,(tblTransfEducacao[[#This Row],[arrec_acum_atual]]/tblTransfEducacao[[#This Row],[arrec_acum_ant]])-1,""),"")</f>
        <v>0.1465105879226809</v>
      </c>
      <c r="K3" s="3">
        <f>IFERROR(IF(tblTransfEducacao[[#This Row],[arrec_acum_atual]]&gt;0,(tblTransfEducacao[[#This Row],[arrec_acum_atual]]/tblTransfEducacao[[#This Row],[prev_acum_atual]])-1,""),"")</f>
        <v>-5.7966314339867986E-2</v>
      </c>
      <c r="L3" s="7">
        <f>YEAR(tblTransfEducacao[[#This Row],[data_base]])</f>
        <v>2022</v>
      </c>
      <c r="M3">
        <f>MONTH(tblTransfEducacao[[#This Row],[data_base]])</f>
        <v>2</v>
      </c>
    </row>
    <row r="4" spans="1:13" x14ac:dyDescent="0.25">
      <c r="A4" s="1">
        <v>44651</v>
      </c>
      <c r="B4" s="4">
        <v>36653.69</v>
      </c>
      <c r="C4" s="4">
        <v>74068.160000000003</v>
      </c>
      <c r="D4" s="4">
        <v>57217.25</v>
      </c>
      <c r="E4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103716.42</v>
      </c>
      <c r="F4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150956.29</v>
      </c>
      <c r="G4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138836.54999999999</v>
      </c>
      <c r="H4" s="4">
        <f>IFERROR(IF(tblTransfEducacao[[#This Row],[arrec_acum_atual]]&gt;0,tblTransfEducacao[[#This Row],[arrec_acum_atual]]-tblTransfEducacao[[#This Row],[arrec_acum_ant]],""),"")</f>
        <v>47239.87000000001</v>
      </c>
      <c r="I4" s="4">
        <f>IFERROR(IF(tblTransfEducacao[[#This Row],[arrec_acum_atual]]&gt;0,tblTransfEducacao[[#This Row],[arrec_acum_atual]]-tblTransfEducacao[[#This Row],[prev_acum_atual]],""),"")</f>
        <v>12119.74000000002</v>
      </c>
      <c r="J4" s="3">
        <f>IFERROR(IF(tblTransfEducacao[[#This Row],[arrec_acum_atual]]&gt;0,(tblTransfEducacao[[#This Row],[arrec_acum_atual]]/tblTransfEducacao[[#This Row],[arrec_acum_ant]])-1,""),"")</f>
        <v>0.45547146729514965</v>
      </c>
      <c r="K4" s="3">
        <f>IFERROR(IF(tblTransfEducacao[[#This Row],[arrec_acum_atual]]&gt;0,(tblTransfEducacao[[#This Row],[arrec_acum_atual]]/tblTransfEducacao[[#This Row],[prev_acum_atual]])-1,""),"")</f>
        <v>8.7295024256941245E-2</v>
      </c>
      <c r="L4" s="7">
        <f>YEAR(tblTransfEducacao[[#This Row],[data_base]])</f>
        <v>2022</v>
      </c>
      <c r="M4">
        <f>MONTH(tblTransfEducacao[[#This Row],[data_base]])</f>
        <v>3</v>
      </c>
    </row>
    <row r="5" spans="1:13" x14ac:dyDescent="0.25">
      <c r="A5" s="1">
        <v>44681</v>
      </c>
      <c r="B5" s="4">
        <v>31130.62</v>
      </c>
      <c r="C5" s="4">
        <v>70393.48000000001</v>
      </c>
      <c r="D5" s="4">
        <v>56187.65</v>
      </c>
      <c r="E5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134847.04000000001</v>
      </c>
      <c r="F5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221349.77000000002</v>
      </c>
      <c r="G5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195024.19999999998</v>
      </c>
      <c r="H5" s="4">
        <f>IFERROR(IF(tblTransfEducacao[[#This Row],[arrec_acum_atual]]&gt;0,tblTransfEducacao[[#This Row],[arrec_acum_atual]]-tblTransfEducacao[[#This Row],[arrec_acum_ant]],""),"")</f>
        <v>86502.73000000001</v>
      </c>
      <c r="I5" s="4">
        <f>IFERROR(IF(tblTransfEducacao[[#This Row],[arrec_acum_atual]]&gt;0,tblTransfEducacao[[#This Row],[arrec_acum_atual]]-tblTransfEducacao[[#This Row],[prev_acum_atual]],""),"")</f>
        <v>26325.570000000036</v>
      </c>
      <c r="J5" s="3">
        <f>IFERROR(IF(tblTransfEducacao[[#This Row],[arrec_acum_atual]]&gt;0,(tblTransfEducacao[[#This Row],[arrec_acum_atual]]/tblTransfEducacao[[#This Row],[arrec_acum_ant]])-1,""),"")</f>
        <v>0.64148779239054865</v>
      </c>
      <c r="K5" s="3">
        <f>IFERROR(IF(tblTransfEducacao[[#This Row],[arrec_acum_atual]]&gt;0,(tblTransfEducacao[[#This Row],[arrec_acum_atual]]/tblTransfEducacao[[#This Row],[prev_acum_atual]])-1,""),"")</f>
        <v>0.13498617094699039</v>
      </c>
      <c r="L5" s="7">
        <f>YEAR(tblTransfEducacao[[#This Row],[data_base]])</f>
        <v>2022</v>
      </c>
      <c r="M5">
        <f>MONTH(tblTransfEducacao[[#This Row],[data_base]])</f>
        <v>4</v>
      </c>
    </row>
    <row r="6" spans="1:13" x14ac:dyDescent="0.25">
      <c r="A6" s="1">
        <v>44712</v>
      </c>
      <c r="B6" s="4">
        <v>48888.56</v>
      </c>
      <c r="C6" s="4">
        <v>71244.639999999985</v>
      </c>
      <c r="D6" s="4">
        <v>43275.68</v>
      </c>
      <c r="E6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183735.6</v>
      </c>
      <c r="F6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292594.41000000003</v>
      </c>
      <c r="G6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238299.87999999998</v>
      </c>
      <c r="H6" s="4">
        <f>IFERROR(IF(tblTransfEducacao[[#This Row],[arrec_acum_atual]]&gt;0,tblTransfEducacao[[#This Row],[arrec_acum_atual]]-tblTransfEducacao[[#This Row],[arrec_acum_ant]],""),"")</f>
        <v>108858.81000000003</v>
      </c>
      <c r="I6" s="4">
        <f>IFERROR(IF(tblTransfEducacao[[#This Row],[arrec_acum_atual]]&gt;0,tblTransfEducacao[[#This Row],[arrec_acum_atual]]-tblTransfEducacao[[#This Row],[prev_acum_atual]],""),"")</f>
        <v>54294.530000000057</v>
      </c>
      <c r="J6" s="3">
        <f>IFERROR(IF(tblTransfEducacao[[#This Row],[arrec_acum_atual]]&gt;0,(tblTransfEducacao[[#This Row],[arrec_acum_atual]]/tblTransfEducacao[[#This Row],[arrec_acum_ant]])-1,""),"")</f>
        <v>0.59247532867881914</v>
      </c>
      <c r="K6" s="3">
        <f>IFERROR(IF(tblTransfEducacao[[#This Row],[arrec_acum_atual]]&gt;0,(tblTransfEducacao[[#This Row],[arrec_acum_atual]]/tblTransfEducacao[[#This Row],[prev_acum_atual]])-1,""),"")</f>
        <v>0.22784119740219788</v>
      </c>
      <c r="L6" s="7">
        <f>YEAR(tblTransfEducacao[[#This Row],[data_base]])</f>
        <v>2022</v>
      </c>
      <c r="M6">
        <f>MONTH(tblTransfEducacao[[#This Row],[data_base]])</f>
        <v>5</v>
      </c>
    </row>
    <row r="7" spans="1:13" x14ac:dyDescent="0.25">
      <c r="A7" s="1">
        <v>44742</v>
      </c>
      <c r="B7" s="4">
        <v>81688.14</v>
      </c>
      <c r="C7" s="4">
        <v>70517.59</v>
      </c>
      <c r="D7" s="4">
        <v>51185.599999999999</v>
      </c>
      <c r="E7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265423.74</v>
      </c>
      <c r="F7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363112</v>
      </c>
      <c r="G7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289485.48</v>
      </c>
      <c r="H7" s="4">
        <f>IFERROR(IF(tblTransfEducacao[[#This Row],[arrec_acum_atual]]&gt;0,tblTransfEducacao[[#This Row],[arrec_acum_atual]]-tblTransfEducacao[[#This Row],[arrec_acum_ant]],""),"")</f>
        <v>97688.260000000009</v>
      </c>
      <c r="I7" s="4">
        <f>IFERROR(IF(tblTransfEducacao[[#This Row],[arrec_acum_atual]]&gt;0,tblTransfEducacao[[#This Row],[arrec_acum_atual]]-tblTransfEducacao[[#This Row],[prev_acum_atual]],""),"")</f>
        <v>73626.520000000019</v>
      </c>
      <c r="J7" s="3">
        <f>IFERROR(IF(tblTransfEducacao[[#This Row],[arrec_acum_atual]]&gt;0,(tblTransfEducacao[[#This Row],[arrec_acum_atual]]/tblTransfEducacao[[#This Row],[arrec_acum_ant]])-1,""),"")</f>
        <v>0.36804643021004835</v>
      </c>
      <c r="K7" s="3">
        <f>IFERROR(IF(tblTransfEducacao[[#This Row],[arrec_acum_atual]]&gt;0,(tblTransfEducacao[[#This Row],[arrec_acum_atual]]/tblTransfEducacao[[#This Row],[prev_acum_atual]])-1,""),"")</f>
        <v>0.25433579604752543</v>
      </c>
      <c r="L7" s="7">
        <f>YEAR(tblTransfEducacao[[#This Row],[data_base]])</f>
        <v>2022</v>
      </c>
      <c r="M7">
        <f>MONTH(tblTransfEducacao[[#This Row],[data_base]])</f>
        <v>6</v>
      </c>
    </row>
    <row r="8" spans="1:13" x14ac:dyDescent="0.25">
      <c r="A8" s="1">
        <v>44773</v>
      </c>
      <c r="B8" s="4">
        <v>48268.57</v>
      </c>
      <c r="C8" s="4">
        <v>103879.59999999999</v>
      </c>
      <c r="D8" s="4">
        <v>52475.519999999997</v>
      </c>
      <c r="E8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313692.31</v>
      </c>
      <c r="F8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466991.6</v>
      </c>
      <c r="G8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341961</v>
      </c>
      <c r="H8" s="4">
        <f>IFERROR(IF(tblTransfEducacao[[#This Row],[arrec_acum_atual]]&gt;0,tblTransfEducacao[[#This Row],[arrec_acum_atual]]-tblTransfEducacao[[#This Row],[arrec_acum_ant]],""),"")</f>
        <v>153299.28999999998</v>
      </c>
      <c r="I8" s="4">
        <f>IFERROR(IF(tblTransfEducacao[[#This Row],[arrec_acum_atual]]&gt;0,tblTransfEducacao[[#This Row],[arrec_acum_atual]]-tblTransfEducacao[[#This Row],[prev_acum_atual]],""),"")</f>
        <v>125030.59999999998</v>
      </c>
      <c r="J8" s="3">
        <f>IFERROR(IF(tblTransfEducacao[[#This Row],[arrec_acum_atual]]&gt;0,(tblTransfEducacao[[#This Row],[arrec_acum_atual]]/tblTransfEducacao[[#This Row],[arrec_acum_ant]])-1,""),"")</f>
        <v>0.48869317198116846</v>
      </c>
      <c r="K8" s="3">
        <f>IFERROR(IF(tblTransfEducacao[[#This Row],[arrec_acum_atual]]&gt;0,(tblTransfEducacao[[#This Row],[arrec_acum_atual]]/tblTransfEducacao[[#This Row],[prev_acum_atual]])-1,""),"")</f>
        <v>0.36562824415649731</v>
      </c>
      <c r="L8" s="7">
        <f>YEAR(tblTransfEducacao[[#This Row],[data_base]])</f>
        <v>2022</v>
      </c>
      <c r="M8">
        <f>MONTH(tblTransfEducacao[[#This Row],[data_base]])</f>
        <v>7</v>
      </c>
    </row>
    <row r="9" spans="1:13" x14ac:dyDescent="0.25">
      <c r="A9" s="1">
        <v>44804</v>
      </c>
      <c r="B9" s="4">
        <v>68373.11</v>
      </c>
      <c r="C9" s="4">
        <v>71232.76999999999</v>
      </c>
      <c r="D9" s="4">
        <v>56035.020000000004</v>
      </c>
      <c r="E9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382065.42</v>
      </c>
      <c r="F9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538224.37</v>
      </c>
      <c r="G9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397996.02</v>
      </c>
      <c r="H9" s="4">
        <f>IFERROR(IF(tblTransfEducacao[[#This Row],[arrec_acum_atual]]&gt;0,tblTransfEducacao[[#This Row],[arrec_acum_atual]]-tblTransfEducacao[[#This Row],[arrec_acum_ant]],""),"")</f>
        <v>156158.95000000001</v>
      </c>
      <c r="I9" s="4">
        <f>IFERROR(IF(tblTransfEducacao[[#This Row],[arrec_acum_atual]]&gt;0,tblTransfEducacao[[#This Row],[arrec_acum_atual]]-tblTransfEducacao[[#This Row],[prev_acum_atual]],""),"")</f>
        <v>140228.34999999998</v>
      </c>
      <c r="J9" s="3">
        <f>IFERROR(IF(tblTransfEducacao[[#This Row],[arrec_acum_atual]]&gt;0,(tblTransfEducacao[[#This Row],[arrec_acum_atual]]/tblTransfEducacao[[#This Row],[arrec_acum_ant]])-1,""),"")</f>
        <v>0.40872306632722744</v>
      </c>
      <c r="K9" s="3">
        <f>IFERROR(IF(tblTransfEducacao[[#This Row],[arrec_acum_atual]]&gt;0,(tblTransfEducacao[[#This Row],[arrec_acum_atual]]/tblTransfEducacao[[#This Row],[prev_acum_atual]])-1,""),"")</f>
        <v>0.35233606104905268</v>
      </c>
      <c r="L9" s="7">
        <f>YEAR(tblTransfEducacao[[#This Row],[data_base]])</f>
        <v>2022</v>
      </c>
      <c r="M9">
        <f>MONTH(tblTransfEducacao[[#This Row],[data_base]])</f>
        <v>8</v>
      </c>
    </row>
    <row r="10" spans="1:13" x14ac:dyDescent="0.25">
      <c r="A10" s="1">
        <v>44834</v>
      </c>
      <c r="B10" s="4">
        <v>30508.41</v>
      </c>
      <c r="C10" s="4">
        <v>71575.850000000006</v>
      </c>
      <c r="D10" s="4">
        <v>47520.7</v>
      </c>
      <c r="E10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412573.82999999996</v>
      </c>
      <c r="F10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609800.22</v>
      </c>
      <c r="G10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445516.72000000003</v>
      </c>
      <c r="H10" s="4">
        <f>IFERROR(IF(tblTransfEducacao[[#This Row],[arrec_acum_atual]]&gt;0,tblTransfEducacao[[#This Row],[arrec_acum_atual]]-tblTransfEducacao[[#This Row],[arrec_acum_ant]],""),"")</f>
        <v>197226.39</v>
      </c>
      <c r="I10" s="4">
        <f>IFERROR(IF(tblTransfEducacao[[#This Row],[arrec_acum_atual]]&gt;0,tblTransfEducacao[[#This Row],[arrec_acum_atual]]-tblTransfEducacao[[#This Row],[prev_acum_atual]],""),"")</f>
        <v>164283.49999999994</v>
      </c>
      <c r="J10" s="3">
        <f>IFERROR(IF(tblTransfEducacao[[#This Row],[arrec_acum_atual]]&gt;0,(tblTransfEducacao[[#This Row],[arrec_acum_atual]]/tblTransfEducacao[[#This Row],[arrec_acum_ant]])-1,""),"")</f>
        <v>0.47803902152494748</v>
      </c>
      <c r="K10" s="3">
        <f>IFERROR(IF(tblTransfEducacao[[#This Row],[arrec_acum_atual]]&gt;0,(tblTransfEducacao[[#This Row],[arrec_acum_atual]]/tblTransfEducacao[[#This Row],[prev_acum_atual]])-1,""),"")</f>
        <v>0.36874822565581811</v>
      </c>
      <c r="L10" s="7">
        <f>YEAR(tblTransfEducacao[[#This Row],[data_base]])</f>
        <v>2022</v>
      </c>
      <c r="M10">
        <f>MONTH(tblTransfEducacao[[#This Row],[data_base]])</f>
        <v>9</v>
      </c>
    </row>
    <row r="11" spans="1:13" x14ac:dyDescent="0.25">
      <c r="A11" s="1">
        <v>44865</v>
      </c>
      <c r="B11" s="4">
        <v>50042.179999999993</v>
      </c>
      <c r="C11" s="4">
        <v>279177.09000000003</v>
      </c>
      <c r="D11" s="4">
        <v>53311.349999999991</v>
      </c>
      <c r="E11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462616.00999999995</v>
      </c>
      <c r="F11" s="4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>888977.31</v>
      </c>
      <c r="G11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498828.07</v>
      </c>
      <c r="H11" s="4">
        <f>IFERROR(IF(tblTransfEducacao[[#This Row],[arrec_acum_atual]]&gt;0,tblTransfEducacao[[#This Row],[arrec_acum_atual]]-tblTransfEducacao[[#This Row],[arrec_acum_ant]],""),"")</f>
        <v>426361.3000000001</v>
      </c>
      <c r="I11" s="4">
        <f>IFERROR(IF(tblTransfEducacao[[#This Row],[arrec_acum_atual]]&gt;0,tblTransfEducacao[[#This Row],[arrec_acum_atual]]-tblTransfEducacao[[#This Row],[prev_acum_atual]],""),"")</f>
        <v>390149.24000000005</v>
      </c>
      <c r="J11" s="3">
        <f>IFERROR(IF(tblTransfEducacao[[#This Row],[arrec_acum_atual]]&gt;0,(tblTransfEducacao[[#This Row],[arrec_acum_atual]]/tblTransfEducacao[[#This Row],[arrec_acum_ant]])-1,""),"")</f>
        <v>0.92163109530083087</v>
      </c>
      <c r="K11" s="3">
        <f>IFERROR(IF(tblTransfEducacao[[#This Row],[arrec_acum_atual]]&gt;0,(tblTransfEducacao[[#This Row],[arrec_acum_atual]]/tblTransfEducacao[[#This Row],[prev_acum_atual]])-1,""),"")</f>
        <v>0.7821316871763051</v>
      </c>
      <c r="L11" s="7">
        <f>YEAR(tblTransfEducacao[[#This Row],[data_base]])</f>
        <v>2022</v>
      </c>
      <c r="M11">
        <f>MONTH(tblTransfEducacao[[#This Row],[data_base]])</f>
        <v>10</v>
      </c>
    </row>
    <row r="12" spans="1:13" x14ac:dyDescent="0.25">
      <c r="A12" s="1">
        <v>44895</v>
      </c>
      <c r="B12" s="4">
        <v>50473.88</v>
      </c>
      <c r="C12" s="4"/>
      <c r="D12" s="4">
        <v>62993.930000000008</v>
      </c>
      <c r="E12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513089.88999999996</v>
      </c>
      <c r="F12" s="4" t="str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/>
      </c>
      <c r="G12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561822</v>
      </c>
      <c r="H12" s="4" t="str">
        <f>IFERROR(IF(tblTransfEducacao[[#This Row],[arrec_acum_atual]]&gt;0,tblTransfEducacao[[#This Row],[arrec_acum_atual]]-tblTransfEducacao[[#This Row],[arrec_acum_ant]],""),"")</f>
        <v/>
      </c>
      <c r="I12" s="4" t="str">
        <f>IFERROR(IF(tblTransfEducacao[[#This Row],[arrec_acum_atual]]&gt;0,tblTransfEducacao[[#This Row],[arrec_acum_atual]]-tblTransfEducacao[[#This Row],[prev_acum_atual]],""),"")</f>
        <v/>
      </c>
      <c r="J12" s="3" t="str">
        <f>IFERROR(IF(tblTransfEducacao[[#This Row],[arrec_acum_atual]]&gt;0,(tblTransfEducacao[[#This Row],[arrec_acum_atual]]/tblTransfEducacao[[#This Row],[arrec_acum_ant]])-1,""),"")</f>
        <v/>
      </c>
      <c r="K12" s="3" t="str">
        <f>IFERROR(IF(tblTransfEducacao[[#This Row],[arrec_acum_atual]]&gt;0,(tblTransfEducacao[[#This Row],[arrec_acum_atual]]/tblTransfEducacao[[#This Row],[prev_acum_atual]])-1,""),"")</f>
        <v/>
      </c>
      <c r="L12" s="7">
        <f>YEAR(tblTransfEducacao[[#This Row],[data_base]])</f>
        <v>2022</v>
      </c>
      <c r="M12">
        <f>MONTH(tblTransfEducacao[[#This Row],[data_base]])</f>
        <v>11</v>
      </c>
    </row>
    <row r="13" spans="1:13" x14ac:dyDescent="0.25">
      <c r="A13" s="1">
        <v>44926</v>
      </c>
      <c r="B13" s="4">
        <v>55257.08</v>
      </c>
      <c r="C13" s="4"/>
      <c r="D13" s="4">
        <v>53559.08</v>
      </c>
      <c r="E13" s="4">
        <f>IF(tblTransfEducacao[[#This Row],[arrec_mes_ant]]&gt;0,SUMIFS(tblTransfEducacao[arrec_mes_ant],tblTransfEducacao[ano],YEAR(tblTransfEducacao[[#This Row],[data_base]]),tblTransfEducacao[mês],"&lt;="&amp;MONTH(tblTransfEducacao[[#This Row],[data_base]])),"")</f>
        <v>568346.97</v>
      </c>
      <c r="F13" s="4" t="str">
        <f>IF(tblTransfEducacao[[#This Row],[arrec_mes_atual]]&gt;0,SUMIFS(tblTransfEducacao[arrec_mes_atual],tblTransfEducacao[ano],YEAR(tblTransfEducacao[[#This Row],[data_base]]),tblTransfEducacao[mês],"&lt;="&amp;MONTH(tblTransfEducacao[[#This Row],[data_base]])),"")</f>
        <v/>
      </c>
      <c r="G13" s="4">
        <f>IF(tblTransfEducacao[[#This Row],[prev_mes_atual]]&gt;0,SUMIFS(tblTransfEducacao[prev_mes_atual],tblTransfEducacao[ano],YEAR(tblTransfEducacao[[#This Row],[data_base]]),tblTransfEducacao[mês],"&lt;="&amp;MONTH(tblTransfEducacao[[#This Row],[data_base]])),"")</f>
        <v>615381.07999999996</v>
      </c>
      <c r="H13" s="4" t="str">
        <f>IFERROR(IF(tblTransfEducacao[[#This Row],[arrec_acum_atual]]&gt;0,tblTransfEducacao[[#This Row],[arrec_acum_atual]]-tblTransfEducacao[[#This Row],[arrec_acum_ant]],""),"")</f>
        <v/>
      </c>
      <c r="I13" s="4" t="str">
        <f>IFERROR(IF(tblTransfEducacao[[#This Row],[arrec_acum_atual]]&gt;0,tblTransfEducacao[[#This Row],[arrec_acum_atual]]-tblTransfEducacao[[#This Row],[prev_acum_atual]],""),"")</f>
        <v/>
      </c>
      <c r="J13" s="3" t="str">
        <f>IFERROR(IF(tblTransfEducacao[[#This Row],[arrec_acum_atual]]&gt;0,(tblTransfEducacao[[#This Row],[arrec_acum_atual]]/tblTransfEducacao[[#This Row],[arrec_acum_ant]])-1,""),"")</f>
        <v/>
      </c>
      <c r="K13" s="3" t="str">
        <f>IFERROR(IF(tblTransfEducacao[[#This Row],[arrec_acum_atual]]&gt;0,(tblTransfEducacao[[#This Row],[arrec_acum_atual]]/tblTransfEducacao[[#This Row],[prev_acum_atual]])-1,""),"")</f>
        <v/>
      </c>
      <c r="L13" s="7">
        <f>YEAR(tblTransfEducacao[[#This Row],[data_base]])</f>
        <v>2022</v>
      </c>
      <c r="M13">
        <f>MONTH(tblTransfEducacao[[#This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60FE-8AEE-4E85-8787-0AD7C93FCAC6}">
  <dimension ref="A1:G13"/>
  <sheetViews>
    <sheetView workbookViewId="0">
      <selection activeCell="D1" sqref="D1:G1"/>
    </sheetView>
  </sheetViews>
  <sheetFormatPr defaultRowHeight="15" x14ac:dyDescent="0.25"/>
  <cols>
    <col min="1" max="1" width="12.140625" customWidth="1"/>
    <col min="3" max="3" width="10" customWidth="1"/>
    <col min="4" max="5" width="1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44592</v>
      </c>
      <c r="B2" s="3">
        <f>IFERROR(tblFUNDEB[[#This Row],[despesa_bc]]/tblFUNDEB[[#This Row],[receita_bc]],"")</f>
        <v>1.0054206123035019</v>
      </c>
      <c r="C2" s="2">
        <v>0.7</v>
      </c>
      <c r="D2" s="4">
        <v>444595.53</v>
      </c>
      <c r="E2" s="4">
        <v>447005.51</v>
      </c>
      <c r="F2">
        <f>YEAR(tblFUNDEB[[#This Row],[data_base]])</f>
        <v>2022</v>
      </c>
      <c r="G2">
        <f>MONTH(tblFUNDEB[[#This Row],[data_base]])</f>
        <v>1</v>
      </c>
    </row>
    <row r="3" spans="1:7" x14ac:dyDescent="0.25">
      <c r="A3" s="1">
        <v>44620</v>
      </c>
      <c r="B3" s="3">
        <f>IFERROR(tblFUNDEB[[#This Row],[despesa_bc]]/tblFUNDEB[[#This Row],[receita_bc]],"")</f>
        <v>1.0044633555438693</v>
      </c>
      <c r="C3" s="2">
        <v>0.7</v>
      </c>
      <c r="D3" s="4">
        <v>874263.76</v>
      </c>
      <c r="E3" s="4">
        <v>878165.91</v>
      </c>
      <c r="F3">
        <f>YEAR(tblFUNDEB[[#This Row],[data_base]])</f>
        <v>2022</v>
      </c>
      <c r="G3">
        <f>MONTH(tblFUNDEB[[#This Row],[data_base]])</f>
        <v>2</v>
      </c>
    </row>
    <row r="4" spans="1:7" x14ac:dyDescent="0.25">
      <c r="A4" s="1">
        <v>44651</v>
      </c>
      <c r="B4" s="3">
        <f>IFERROR(tblFUNDEB[[#This Row],[despesa_bc]]/tblFUNDEB[[#This Row],[receita_bc]],"")</f>
        <v>1.0544877416254768</v>
      </c>
      <c r="C4" s="2">
        <v>0.7</v>
      </c>
      <c r="D4" s="4">
        <v>1290459.43</v>
      </c>
      <c r="E4" s="4">
        <v>1360773.65</v>
      </c>
      <c r="F4">
        <f>YEAR(tblFUNDEB[[#This Row],[data_base]])</f>
        <v>2022</v>
      </c>
      <c r="G4">
        <f>MONTH(tblFUNDEB[[#This Row],[data_base]])</f>
        <v>3</v>
      </c>
    </row>
    <row r="5" spans="1:7" x14ac:dyDescent="0.25">
      <c r="A5" s="1">
        <v>44681</v>
      </c>
      <c r="B5" s="3">
        <f>IFERROR(tblFUNDEB[[#This Row],[despesa_bc]]/tblFUNDEB[[#This Row],[receita_bc]],"")</f>
        <v>0.98522517766360329</v>
      </c>
      <c r="C5" s="2">
        <v>0.7</v>
      </c>
      <c r="D5" s="4">
        <v>1684907.57</v>
      </c>
      <c r="E5" s="4">
        <v>1660013.36</v>
      </c>
      <c r="F5">
        <f>YEAR(tblFUNDEB[[#This Row],[data_base]])</f>
        <v>2022</v>
      </c>
      <c r="G5">
        <f>MONTH(tblFUNDEB[[#This Row],[data_base]])</f>
        <v>4</v>
      </c>
    </row>
    <row r="6" spans="1:7" x14ac:dyDescent="0.25">
      <c r="A6" s="1">
        <v>44712</v>
      </c>
      <c r="B6" s="3">
        <f>IFERROR(tblFUNDEB[[#This Row],[despesa_bc]]/tblFUNDEB[[#This Row],[receita_bc]],"")</f>
        <v>0.94250962277331773</v>
      </c>
      <c r="C6" s="2">
        <v>0.7</v>
      </c>
      <c r="D6" s="4">
        <v>2199277.62</v>
      </c>
      <c r="E6" s="4">
        <v>2072840.32</v>
      </c>
      <c r="F6">
        <f>YEAR(tblFUNDEB[[#This Row],[data_base]])</f>
        <v>2022</v>
      </c>
      <c r="G6">
        <f>MONTH(tblFUNDEB[[#This Row],[data_base]])</f>
        <v>5</v>
      </c>
    </row>
    <row r="7" spans="1:7" x14ac:dyDescent="0.25">
      <c r="A7" s="1">
        <v>44742</v>
      </c>
      <c r="B7" s="3">
        <f>IFERROR(tblFUNDEB[[#This Row],[despesa_bc]]/tblFUNDEB[[#This Row],[receita_bc]],"")</f>
        <v>0.9695780168178173</v>
      </c>
      <c r="C7" s="2">
        <v>0.7</v>
      </c>
      <c r="D7" s="4">
        <v>2585075.06</v>
      </c>
      <c r="E7" s="4">
        <v>2506431.9500000002</v>
      </c>
      <c r="F7">
        <f>YEAR(tblFUNDEB[[#This Row],[data_base]])</f>
        <v>2022</v>
      </c>
      <c r="G7">
        <f>MONTH(tblFUNDEB[[#This Row],[data_base]])</f>
        <v>6</v>
      </c>
    </row>
    <row r="8" spans="1:7" x14ac:dyDescent="0.25">
      <c r="A8" s="1">
        <v>44773</v>
      </c>
      <c r="B8" s="3">
        <f>IFERROR(tblFUNDEB[[#This Row],[despesa_bc]]/tblFUNDEB[[#This Row],[receita_bc]],"")</f>
        <v>0.98560929045788481</v>
      </c>
      <c r="C8" s="2">
        <v>0.7</v>
      </c>
      <c r="D8" s="4">
        <v>2950428.53</v>
      </c>
      <c r="E8" s="4">
        <v>2907969.77</v>
      </c>
      <c r="F8">
        <f>YEAR(tblFUNDEB[[#This Row],[data_base]])</f>
        <v>2022</v>
      </c>
      <c r="G8">
        <f>MONTH(tblFUNDEB[[#This Row],[data_base]])</f>
        <v>7</v>
      </c>
    </row>
    <row r="9" spans="1:7" x14ac:dyDescent="0.25">
      <c r="A9" s="1">
        <v>44804</v>
      </c>
      <c r="B9" s="3">
        <f>IFERROR(tblFUNDEB[[#This Row],[despesa_bc]]/tblFUNDEB[[#This Row],[receita_bc]],"")</f>
        <v>1.0054401617238085</v>
      </c>
      <c r="C9" s="2">
        <v>0.7</v>
      </c>
      <c r="D9" s="4">
        <v>3340213.2</v>
      </c>
      <c r="E9" s="4">
        <v>3358384.5</v>
      </c>
      <c r="F9">
        <f>YEAR(tblFUNDEB[[#This Row],[data_base]])</f>
        <v>2022</v>
      </c>
      <c r="G9">
        <f>MONTH(tblFUNDEB[[#This Row],[data_base]])</f>
        <v>8</v>
      </c>
    </row>
    <row r="10" spans="1:7" x14ac:dyDescent="0.25">
      <c r="A10" s="1">
        <v>44834</v>
      </c>
      <c r="B10" s="3">
        <f>IFERROR(tblFUNDEB[[#This Row],[despesa_bc]]/tblFUNDEB[[#This Row],[receita_bc]],"")</f>
        <v>0.90819318158708795</v>
      </c>
      <c r="C10" s="2">
        <v>0.7</v>
      </c>
      <c r="D10" s="4">
        <v>3689469.43</v>
      </c>
      <c r="E10" s="4">
        <v>3350750.98</v>
      </c>
      <c r="F10">
        <f>YEAR(tblFUNDEB[[#This Row],[data_base]])</f>
        <v>2022</v>
      </c>
      <c r="G10">
        <f>MONTH(tblFUNDEB[[#This Row],[data_base]])</f>
        <v>9</v>
      </c>
    </row>
    <row r="11" spans="1:7" x14ac:dyDescent="0.25">
      <c r="A11" s="1">
        <v>44865</v>
      </c>
      <c r="B11" s="3">
        <f>IFERROR(tblFUNDEB[[#This Row],[despesa_bc]]/tblFUNDEB[[#This Row],[receita_bc]],"")</f>
        <v>0.85588708567842497</v>
      </c>
      <c r="C11" s="2">
        <v>0.7</v>
      </c>
      <c r="D11" s="4">
        <v>4037720.58</v>
      </c>
      <c r="E11" s="4">
        <v>3455832.9</v>
      </c>
      <c r="F11">
        <f>YEAR(tblFUNDEB[[#This Row],[data_base]])</f>
        <v>2022</v>
      </c>
      <c r="G11">
        <f>MONTH(tblFUNDEB[[#This Row],[data_base]])</f>
        <v>10</v>
      </c>
    </row>
    <row r="12" spans="1:7" x14ac:dyDescent="0.25">
      <c r="A12" s="1">
        <v>44895</v>
      </c>
      <c r="B12" s="3" t="str">
        <f>IFERROR(tblFUNDEB[[#This Row],[despesa_bc]]/tblFUNDEB[[#This Row],[receita_bc]],"")</f>
        <v/>
      </c>
      <c r="C12" s="2">
        <v>0.7</v>
      </c>
      <c r="D12" s="4"/>
      <c r="E12" s="4"/>
      <c r="F12">
        <f>YEAR(tblFUNDEB[[#This Row],[data_base]])</f>
        <v>2022</v>
      </c>
      <c r="G12">
        <f>MONTH(tblFUNDEB[[#This Row],[data_base]])</f>
        <v>11</v>
      </c>
    </row>
    <row r="13" spans="1:7" x14ac:dyDescent="0.25">
      <c r="A13" s="1">
        <v>44926</v>
      </c>
      <c r="B13" s="3" t="str">
        <f>IFERROR(tblFUNDEB[[#This Row],[despesa_bc]]/tblFUNDEB[[#This Row],[receita_bc]],"")</f>
        <v/>
      </c>
      <c r="C13" s="2">
        <v>0.7</v>
      </c>
      <c r="D13" s="4"/>
      <c r="E13" s="4"/>
      <c r="F13">
        <f>YEAR(tblFUNDEB[[#This Row],[data_base]])</f>
        <v>2022</v>
      </c>
      <c r="G13">
        <f>MONTH(tblFUNDEB[[#This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CB84-C669-4C40-BE68-C31E36A9E2A1}">
  <dimension ref="A1:M13"/>
  <sheetViews>
    <sheetView tabSelected="1" workbookViewId="0">
      <selection activeCell="F3" sqref="F3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7969.98</v>
      </c>
      <c r="C2" s="4">
        <v>7395.07</v>
      </c>
      <c r="D2" s="4">
        <v>1699.56</v>
      </c>
      <c r="E2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7969.98</v>
      </c>
      <c r="F2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7395.07</v>
      </c>
      <c r="G2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1699.56</v>
      </c>
      <c r="H2" s="4">
        <f>IFERROR(IF(tblTransfAssistSocial[[#This Row],[arrec_acum_atual]]&gt;0,tblTransfAssistSocial[[#This Row],[arrec_acum_atual]]-tblTransfAssistSocial[[#This Row],[arrec_acum_ant]],""),"")</f>
        <v>-574.90999999999985</v>
      </c>
      <c r="I2" s="4">
        <f>IFERROR(IF(tblTransfAssistSocial[[#This Row],[arrec_acum_atual]]&gt;0,tblTransfAssistSocial[[#This Row],[arrec_acum_atual]]-tblTransfAssistSocial[[#This Row],[prev_acum_atual]],""),"")</f>
        <v>5695.51</v>
      </c>
      <c r="J2" s="3">
        <f>IFERROR(IF(tblTransfAssistSocial[[#This Row],[arrec_acum_atual]]&gt;0,(tblTransfAssistSocial[[#This Row],[arrec_acum_atual]]/tblTransfAssistSocial[[#This Row],[arrec_acum_ant]])-1,""),"")</f>
        <v>-7.2134434465331188E-2</v>
      </c>
      <c r="K2" s="3">
        <f>IFERROR(IF(tblTransfAssistSocial[[#This Row],[arrec_acum_atual]]&gt;0,(tblTransfAssistSocial[[#This Row],[arrec_acum_atual]]/tblTransfAssistSocial[[#This Row],[prev_acum_atual]])-1,""),"")</f>
        <v>3.3511673609640145</v>
      </c>
      <c r="L2" s="7">
        <f>YEAR(tblTransfAssistSocial[[#This Row],[data_base]])</f>
        <v>2022</v>
      </c>
      <c r="M2">
        <f>MONTH(tblTransfAssistSocial[[#This Row],[data_base]])</f>
        <v>1</v>
      </c>
    </row>
    <row r="3" spans="1:13" x14ac:dyDescent="0.25">
      <c r="A3" s="1">
        <v>44620</v>
      </c>
      <c r="B3" s="4">
        <v>1430</v>
      </c>
      <c r="C3" s="4">
        <v>1E-3</v>
      </c>
      <c r="D3" s="4">
        <v>3957.73</v>
      </c>
      <c r="E3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9399.98</v>
      </c>
      <c r="F3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7395.0709999999999</v>
      </c>
      <c r="G3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5657.29</v>
      </c>
      <c r="H3" s="4">
        <f>IFERROR(IF(tblTransfAssistSocial[[#This Row],[arrec_acum_atual]]&gt;0,tblTransfAssistSocial[[#This Row],[arrec_acum_atual]]-tblTransfAssistSocial[[#This Row],[arrec_acum_ant]],""),"")</f>
        <v>-2004.9089999999997</v>
      </c>
      <c r="I3" s="4">
        <f>IFERROR(IF(tblTransfAssistSocial[[#This Row],[arrec_acum_atual]]&gt;0,tblTransfAssistSocial[[#This Row],[arrec_acum_atual]]-tblTransfAssistSocial[[#This Row],[prev_acum_atual]],""),"")</f>
        <v>1737.7809999999999</v>
      </c>
      <c r="J3" s="3">
        <f>IFERROR(IF(tblTransfAssistSocial[[#This Row],[arrec_acum_atual]]&gt;0,(tblTransfAssistSocial[[#This Row],[arrec_acum_atual]]/tblTransfAssistSocial[[#This Row],[arrec_acum_ant]])-1,""),"")</f>
        <v>-0.21328864529498992</v>
      </c>
      <c r="K3" s="3">
        <f>IFERROR(IF(tblTransfAssistSocial[[#This Row],[arrec_acum_atual]]&gt;0,(tblTransfAssistSocial[[#This Row],[arrec_acum_atual]]/tblTransfAssistSocial[[#This Row],[prev_acum_atual]])-1,""),"")</f>
        <v>0.30717552043469576</v>
      </c>
      <c r="L3" s="7">
        <f>YEAR(tblTransfAssistSocial[[#This Row],[data_base]])</f>
        <v>2022</v>
      </c>
      <c r="M3">
        <f>MONTH(tblTransfAssistSocial[[#This Row],[data_base]])</f>
        <v>2</v>
      </c>
    </row>
    <row r="4" spans="1:13" x14ac:dyDescent="0.25">
      <c r="A4" s="1">
        <v>44651</v>
      </c>
      <c r="B4" s="4">
        <v>11370.1</v>
      </c>
      <c r="C4" s="4">
        <v>35320.36</v>
      </c>
      <c r="D4" s="4">
        <v>9600.49</v>
      </c>
      <c r="E4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20770.080000000002</v>
      </c>
      <c r="F4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42715.430999999997</v>
      </c>
      <c r="G4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15257.779999999999</v>
      </c>
      <c r="H4" s="4">
        <f>IFERROR(IF(tblTransfAssistSocial[[#This Row],[arrec_acum_atual]]&gt;0,tblTransfAssistSocial[[#This Row],[arrec_acum_atual]]-tblTransfAssistSocial[[#This Row],[arrec_acum_ant]],""),"")</f>
        <v>21945.350999999995</v>
      </c>
      <c r="I4" s="4">
        <f>IFERROR(IF(tblTransfAssistSocial[[#This Row],[arrec_acum_atual]]&gt;0,tblTransfAssistSocial[[#This Row],[arrec_acum_atual]]-tblTransfAssistSocial[[#This Row],[prev_acum_atual]],""),"")</f>
        <v>27457.650999999998</v>
      </c>
      <c r="J4" s="3">
        <f>IFERROR(IF(tblTransfAssistSocial[[#This Row],[arrec_acum_atual]]&gt;0,(tblTransfAssistSocial[[#This Row],[arrec_acum_atual]]/tblTransfAssistSocial[[#This Row],[arrec_acum_ant]])-1,""),"")</f>
        <v>1.0565848085322731</v>
      </c>
      <c r="K4" s="3">
        <f>IFERROR(IF(tblTransfAssistSocial[[#This Row],[arrec_acum_atual]]&gt;0,(tblTransfAssistSocial[[#This Row],[arrec_acum_atual]]/tblTransfAssistSocial[[#This Row],[prev_acum_atual]])-1,""),"")</f>
        <v>1.7995836222569732</v>
      </c>
      <c r="L4" s="7">
        <f>YEAR(tblTransfAssistSocial[[#This Row],[data_base]])</f>
        <v>2022</v>
      </c>
      <c r="M4">
        <f>MONTH(tblTransfAssistSocial[[#This Row],[data_base]])</f>
        <v>3</v>
      </c>
    </row>
    <row r="5" spans="1:13" x14ac:dyDescent="0.25">
      <c r="A5" s="1">
        <v>44681</v>
      </c>
      <c r="B5" s="4">
        <v>1430</v>
      </c>
      <c r="C5" s="4">
        <v>7116.3099999999995</v>
      </c>
      <c r="D5" s="4">
        <v>4610.5199999999995</v>
      </c>
      <c r="E5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22200.080000000002</v>
      </c>
      <c r="F5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49831.740999999995</v>
      </c>
      <c r="G5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19868.3</v>
      </c>
      <c r="H5" s="4">
        <f>IFERROR(IF(tblTransfAssistSocial[[#This Row],[arrec_acum_atual]]&gt;0,tblTransfAssistSocial[[#This Row],[arrec_acum_atual]]-tblTransfAssistSocial[[#This Row],[arrec_acum_ant]],""),"")</f>
        <v>27631.660999999993</v>
      </c>
      <c r="I5" s="4">
        <f>IFERROR(IF(tblTransfAssistSocial[[#This Row],[arrec_acum_atual]]&gt;0,tblTransfAssistSocial[[#This Row],[arrec_acum_atual]]-tblTransfAssistSocial[[#This Row],[prev_acum_atual]],""),"")</f>
        <v>29963.440999999995</v>
      </c>
      <c r="J5" s="3">
        <f>IFERROR(IF(tblTransfAssistSocial[[#This Row],[arrec_acum_atual]]&gt;0,(tblTransfAssistSocial[[#This Row],[arrec_acum_atual]]/tblTransfAssistSocial[[#This Row],[arrec_acum_ant]])-1,""),"")</f>
        <v>1.2446649291353902</v>
      </c>
      <c r="K5" s="3">
        <f>IFERROR(IF(tblTransfAssistSocial[[#This Row],[arrec_acum_atual]]&gt;0,(tblTransfAssistSocial[[#This Row],[arrec_acum_atual]]/tblTransfAssistSocial[[#This Row],[prev_acum_atual]])-1,""),"")</f>
        <v>1.5081029076468542</v>
      </c>
      <c r="L5" s="7">
        <f>YEAR(tblTransfAssistSocial[[#This Row],[data_base]])</f>
        <v>2022</v>
      </c>
      <c r="M5">
        <f>MONTH(tblTransfAssistSocial[[#This Row],[data_base]])</f>
        <v>4</v>
      </c>
    </row>
    <row r="6" spans="1:13" x14ac:dyDescent="0.25">
      <c r="A6" s="1">
        <v>44712</v>
      </c>
      <c r="B6" s="4">
        <v>8292.39</v>
      </c>
      <c r="C6" s="4">
        <v>7058.41</v>
      </c>
      <c r="D6" s="4">
        <v>19925.62</v>
      </c>
      <c r="E6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30492.47</v>
      </c>
      <c r="F6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56890.150999999998</v>
      </c>
      <c r="G6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39793.919999999998</v>
      </c>
      <c r="H6" s="4">
        <f>IFERROR(IF(tblTransfAssistSocial[[#This Row],[arrec_acum_atual]]&gt;0,tblTransfAssistSocial[[#This Row],[arrec_acum_atual]]-tblTransfAssistSocial[[#This Row],[arrec_acum_ant]],""),"")</f>
        <v>26397.680999999997</v>
      </c>
      <c r="I6" s="4">
        <f>IFERROR(IF(tblTransfAssistSocial[[#This Row],[arrec_acum_atual]]&gt;0,tblTransfAssistSocial[[#This Row],[arrec_acum_atual]]-tblTransfAssistSocial[[#This Row],[prev_acum_atual]],""),"")</f>
        <v>17096.231</v>
      </c>
      <c r="J6" s="3">
        <f>IFERROR(IF(tblTransfAssistSocial[[#This Row],[arrec_acum_atual]]&gt;0,(tblTransfAssistSocial[[#This Row],[arrec_acum_atual]]/tblTransfAssistSocial[[#This Row],[arrec_acum_ant]])-1,""),"")</f>
        <v>0.865711469093845</v>
      </c>
      <c r="K6" s="3">
        <f>IFERROR(IF(tblTransfAssistSocial[[#This Row],[arrec_acum_atual]]&gt;0,(tblTransfAssistSocial[[#This Row],[arrec_acum_atual]]/tblTransfAssistSocial[[#This Row],[prev_acum_atual]])-1,""),"")</f>
        <v>0.42961917297918872</v>
      </c>
      <c r="L6" s="7">
        <f>YEAR(tblTransfAssistSocial[[#This Row],[data_base]])</f>
        <v>2022</v>
      </c>
      <c r="M6">
        <f>MONTH(tblTransfAssistSocial[[#This Row],[data_base]])</f>
        <v>5</v>
      </c>
    </row>
    <row r="7" spans="1:13" x14ac:dyDescent="0.25">
      <c r="A7" s="1">
        <v>44742</v>
      </c>
      <c r="B7" s="4">
        <v>11036.13</v>
      </c>
      <c r="C7" s="4">
        <v>6486.2</v>
      </c>
      <c r="D7" s="4">
        <v>25323.539999999997</v>
      </c>
      <c r="E7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41528.6</v>
      </c>
      <c r="F7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63376.350999999995</v>
      </c>
      <c r="G7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65117.459999999992</v>
      </c>
      <c r="H7" s="4">
        <f>IFERROR(IF(tblTransfAssistSocial[[#This Row],[arrec_acum_atual]]&gt;0,tblTransfAssistSocial[[#This Row],[arrec_acum_atual]]-tblTransfAssistSocial[[#This Row],[arrec_acum_ant]],""),"")</f>
        <v>21847.750999999997</v>
      </c>
      <c r="I7" s="4">
        <f>IFERROR(IF(tblTransfAssistSocial[[#This Row],[arrec_acum_atual]]&gt;0,tblTransfAssistSocial[[#This Row],[arrec_acum_atual]]-tblTransfAssistSocial[[#This Row],[prev_acum_atual]],""),"")</f>
        <v>-1741.1089999999967</v>
      </c>
      <c r="J7" s="3">
        <f>IFERROR(IF(tblTransfAssistSocial[[#This Row],[arrec_acum_atual]]&gt;0,(tblTransfAssistSocial[[#This Row],[arrec_acum_atual]]/tblTransfAssistSocial[[#This Row],[arrec_acum_ant]])-1,""),"")</f>
        <v>0.52608927341639244</v>
      </c>
      <c r="K7" s="3">
        <f>IFERROR(IF(tblTransfAssistSocial[[#This Row],[arrec_acum_atual]]&gt;0,(tblTransfAssistSocial[[#This Row],[arrec_acum_atual]]/tblTransfAssistSocial[[#This Row],[prev_acum_atual]])-1,""),"")</f>
        <v>-2.6737974730586811E-2</v>
      </c>
      <c r="L7" s="7">
        <f>YEAR(tblTransfAssistSocial[[#This Row],[data_base]])</f>
        <v>2022</v>
      </c>
      <c r="M7">
        <f>MONTH(tblTransfAssistSocial[[#This Row],[data_base]])</f>
        <v>6</v>
      </c>
    </row>
    <row r="8" spans="1:13" x14ac:dyDescent="0.25">
      <c r="A8" s="1">
        <v>44773</v>
      </c>
      <c r="B8" s="4">
        <v>8385.67</v>
      </c>
      <c r="C8" s="4">
        <v>25706.300000000003</v>
      </c>
      <c r="D8" s="4">
        <v>4488.75</v>
      </c>
      <c r="E8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49914.27</v>
      </c>
      <c r="F8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89082.650999999998</v>
      </c>
      <c r="G8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69606.209999999992</v>
      </c>
      <c r="H8" s="4">
        <f>IFERROR(IF(tblTransfAssistSocial[[#This Row],[arrec_acum_atual]]&gt;0,tblTransfAssistSocial[[#This Row],[arrec_acum_atual]]-tblTransfAssistSocial[[#This Row],[arrec_acum_ant]],""),"")</f>
        <v>39168.381000000001</v>
      </c>
      <c r="I8" s="4">
        <f>IFERROR(IF(tblTransfAssistSocial[[#This Row],[arrec_acum_atual]]&gt;0,tblTransfAssistSocial[[#This Row],[arrec_acum_atual]]-tblTransfAssistSocial[[#This Row],[prev_acum_atual]],""),"")</f>
        <v>19476.441000000006</v>
      </c>
      <c r="J8" s="3">
        <f>IFERROR(IF(tblTransfAssistSocial[[#This Row],[arrec_acum_atual]]&gt;0,(tblTransfAssistSocial[[#This Row],[arrec_acum_atual]]/tblTransfAssistSocial[[#This Row],[arrec_acum_ant]])-1,""),"")</f>
        <v>0.7847130890625067</v>
      </c>
      <c r="K8" s="3">
        <f>IFERROR(IF(tblTransfAssistSocial[[#This Row],[arrec_acum_atual]]&gt;0,(tblTransfAssistSocial[[#This Row],[arrec_acum_atual]]/tblTransfAssistSocial[[#This Row],[prev_acum_atual]])-1,""),"")</f>
        <v>0.27980895670084616</v>
      </c>
      <c r="L8" s="7">
        <f>YEAR(tblTransfAssistSocial[[#This Row],[data_base]])</f>
        <v>2022</v>
      </c>
      <c r="M8">
        <f>MONTH(tblTransfAssistSocial[[#This Row],[data_base]])</f>
        <v>7</v>
      </c>
    </row>
    <row r="9" spans="1:13" x14ac:dyDescent="0.25">
      <c r="A9" s="1">
        <v>44804</v>
      </c>
      <c r="B9" s="4">
        <v>6957.06</v>
      </c>
      <c r="C9" s="4">
        <v>5711.73</v>
      </c>
      <c r="D9" s="4">
        <v>15145.32</v>
      </c>
      <c r="E9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56871.329999999994</v>
      </c>
      <c r="F9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94794.380999999994</v>
      </c>
      <c r="G9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84751.53</v>
      </c>
      <c r="H9" s="4">
        <f>IFERROR(IF(tblTransfAssistSocial[[#This Row],[arrec_acum_atual]]&gt;0,tblTransfAssistSocial[[#This Row],[arrec_acum_atual]]-tblTransfAssistSocial[[#This Row],[arrec_acum_ant]],""),"")</f>
        <v>37923.050999999999</v>
      </c>
      <c r="I9" s="4">
        <f>IFERROR(IF(tblTransfAssistSocial[[#This Row],[arrec_acum_atual]]&gt;0,tblTransfAssistSocial[[#This Row],[arrec_acum_atual]]-tblTransfAssistSocial[[#This Row],[prev_acum_atual]],""),"")</f>
        <v>10042.850999999995</v>
      </c>
      <c r="J9" s="3">
        <f>IFERROR(IF(tblTransfAssistSocial[[#This Row],[arrec_acum_atual]]&gt;0,(tblTransfAssistSocial[[#This Row],[arrec_acum_atual]]/tblTransfAssistSocial[[#This Row],[arrec_acum_ant]])-1,""),"")</f>
        <v>0.66682194701618558</v>
      </c>
      <c r="K9" s="3">
        <f>IFERROR(IF(tblTransfAssistSocial[[#This Row],[arrec_acum_atual]]&gt;0,(tblTransfAssistSocial[[#This Row],[arrec_acum_atual]]/tblTransfAssistSocial[[#This Row],[prev_acum_atual]])-1,""),"")</f>
        <v>0.11849757756585633</v>
      </c>
      <c r="L9" s="7">
        <f>YEAR(tblTransfAssistSocial[[#This Row],[data_base]])</f>
        <v>2022</v>
      </c>
      <c r="M9">
        <f>MONTH(tblTransfAssistSocial[[#This Row],[data_base]])</f>
        <v>8</v>
      </c>
    </row>
    <row r="10" spans="1:13" x14ac:dyDescent="0.25">
      <c r="A10" s="1">
        <v>44834</v>
      </c>
      <c r="B10" s="4">
        <v>9956.26</v>
      </c>
      <c r="C10" s="4">
        <v>2800</v>
      </c>
      <c r="D10" s="4">
        <v>17263.39</v>
      </c>
      <c r="E10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66827.59</v>
      </c>
      <c r="F10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97594.380999999994</v>
      </c>
      <c r="G10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102014.92</v>
      </c>
      <c r="H10" s="4">
        <f>IFERROR(IF(tblTransfAssistSocial[[#This Row],[arrec_acum_atual]]&gt;0,tblTransfAssistSocial[[#This Row],[arrec_acum_atual]]-tblTransfAssistSocial[[#This Row],[arrec_acum_ant]],""),"")</f>
        <v>30766.790999999997</v>
      </c>
      <c r="I10" s="4">
        <f>IFERROR(IF(tblTransfAssistSocial[[#This Row],[arrec_acum_atual]]&gt;0,tblTransfAssistSocial[[#This Row],[arrec_acum_atual]]-tblTransfAssistSocial[[#This Row],[prev_acum_atual]],""),"")</f>
        <v>-4420.5390000000043</v>
      </c>
      <c r="J10" s="3">
        <f>IFERROR(IF(tblTransfAssistSocial[[#This Row],[arrec_acum_atual]]&gt;0,(tblTransfAssistSocial[[#This Row],[arrec_acum_atual]]/tblTransfAssistSocial[[#This Row],[arrec_acum_ant]])-1,""),"")</f>
        <v>0.46039055126782213</v>
      </c>
      <c r="K10" s="3">
        <f>IFERROR(IF(tblTransfAssistSocial[[#This Row],[arrec_acum_atual]]&gt;0,(tblTransfAssistSocial[[#This Row],[arrec_acum_atual]]/tblTransfAssistSocial[[#This Row],[prev_acum_atual]])-1,""),"")</f>
        <v>-4.3332279239154503E-2</v>
      </c>
      <c r="L10" s="7">
        <f>YEAR(tblTransfAssistSocial[[#This Row],[data_base]])</f>
        <v>2022</v>
      </c>
      <c r="M10">
        <f>MONTH(tblTransfAssistSocial[[#This Row],[data_base]])</f>
        <v>9</v>
      </c>
    </row>
    <row r="11" spans="1:13" x14ac:dyDescent="0.25">
      <c r="A11" s="1">
        <v>44865</v>
      </c>
      <c r="B11" s="4">
        <v>6598.88</v>
      </c>
      <c r="C11" s="4">
        <v>8488.9700000000012</v>
      </c>
      <c r="D11" s="4">
        <v>10658.29</v>
      </c>
      <c r="E11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73426.47</v>
      </c>
      <c r="F11" s="4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>106083.351</v>
      </c>
      <c r="G11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112673.20999999999</v>
      </c>
      <c r="H11" s="4">
        <f>IFERROR(IF(tblTransfAssistSocial[[#This Row],[arrec_acum_atual]]&gt;0,tblTransfAssistSocial[[#This Row],[arrec_acum_atual]]-tblTransfAssistSocial[[#This Row],[arrec_acum_ant]],""),"")</f>
        <v>32656.880999999994</v>
      </c>
      <c r="I11" s="4">
        <f>IFERROR(IF(tblTransfAssistSocial[[#This Row],[arrec_acum_atual]]&gt;0,tblTransfAssistSocial[[#This Row],[arrec_acum_atual]]-tblTransfAssistSocial[[#This Row],[prev_acum_atual]],""),"")</f>
        <v>-6589.8589999999967</v>
      </c>
      <c r="J11" s="3">
        <f>IFERROR(IF(tblTransfAssistSocial[[#This Row],[arrec_acum_atual]]&gt;0,(tblTransfAssistSocial[[#This Row],[arrec_acum_atual]]/tblTransfAssistSocial[[#This Row],[arrec_acum_ant]])-1,""),"")</f>
        <v>0.44475624389950918</v>
      </c>
      <c r="K11" s="3">
        <f>IFERROR(IF(tblTransfAssistSocial[[#This Row],[arrec_acum_atual]]&gt;0,(tblTransfAssistSocial[[#This Row],[arrec_acum_atual]]/tblTransfAssistSocial[[#This Row],[prev_acum_atual]])-1,""),"")</f>
        <v>-5.8486476066493487E-2</v>
      </c>
      <c r="L11" s="7">
        <f>YEAR(tblTransfAssistSocial[[#This Row],[data_base]])</f>
        <v>2022</v>
      </c>
      <c r="M11">
        <f>MONTH(tblTransfAssistSocial[[#This Row],[data_base]])</f>
        <v>10</v>
      </c>
    </row>
    <row r="12" spans="1:13" x14ac:dyDescent="0.25">
      <c r="A12" s="1">
        <v>44895</v>
      </c>
      <c r="B12" s="4">
        <v>9071.6</v>
      </c>
      <c r="C12" s="4"/>
      <c r="D12" s="4">
        <v>10601</v>
      </c>
      <c r="E12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82498.070000000007</v>
      </c>
      <c r="F12" s="4" t="str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/>
      </c>
      <c r="G12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123274.20999999999</v>
      </c>
      <c r="H12" s="4" t="str">
        <f>IFERROR(IF(tblTransfAssistSocial[[#This Row],[arrec_acum_atual]]&gt;0,tblTransfAssistSocial[[#This Row],[arrec_acum_atual]]-tblTransfAssistSocial[[#This Row],[arrec_acum_ant]],""),"")</f>
        <v/>
      </c>
      <c r="I12" s="4" t="str">
        <f>IFERROR(IF(tblTransfAssistSocial[[#This Row],[arrec_acum_atual]]&gt;0,tblTransfAssistSocial[[#This Row],[arrec_acum_atual]]-tblTransfAssistSocial[[#This Row],[prev_acum_atual]],""),"")</f>
        <v/>
      </c>
      <c r="J12" s="3" t="str">
        <f>IFERROR(IF(tblTransfAssistSocial[[#This Row],[arrec_acum_atual]]&gt;0,(tblTransfAssistSocial[[#This Row],[arrec_acum_atual]]/tblTransfAssistSocial[[#This Row],[arrec_acum_ant]])-1,""),"")</f>
        <v/>
      </c>
      <c r="K12" s="3" t="str">
        <f>IFERROR(IF(tblTransfAssistSocial[[#This Row],[arrec_acum_atual]]&gt;0,(tblTransfAssistSocial[[#This Row],[arrec_acum_atual]]/tblTransfAssistSocial[[#This Row],[prev_acum_atual]])-1,""),"")</f>
        <v/>
      </c>
      <c r="L12" s="7">
        <f>YEAR(tblTransfAssistSocial[[#This Row],[data_base]])</f>
        <v>2022</v>
      </c>
      <c r="M12">
        <f>MONTH(tblTransfAssistSocial[[#This Row],[data_base]])</f>
        <v>11</v>
      </c>
    </row>
    <row r="13" spans="1:13" x14ac:dyDescent="0.25">
      <c r="A13" s="1">
        <v>44926</v>
      </c>
      <c r="B13" s="4">
        <v>11079.66</v>
      </c>
      <c r="C13" s="4"/>
      <c r="D13" s="4">
        <v>61086.79</v>
      </c>
      <c r="E13" s="4">
        <f>IF(tblTransfAssistSocial[[#This Row],[arrec_mes_ant]]&gt;0,SUMIFS(tblTransfAssistSocial[arrec_mes_ant],tblTransfAssistSocial[ano],YEAR(tblTransfAssistSocial[[#This Row],[data_base]]),tblTransfAssistSocial[mês],"&lt;="&amp;MONTH(tblTransfAssistSocial[[#This Row],[data_base]])),"")</f>
        <v>93577.73000000001</v>
      </c>
      <c r="F13" s="4" t="str">
        <f>IF(tblTransfAssistSocial[[#This Row],[arrec_mes_atual]]&gt;0,SUMIFS(tblTransfAssistSocial[arrec_mes_atual],tblTransfAssistSocial[ano],YEAR(tblTransfAssistSocial[[#This Row],[data_base]]),tblTransfAssistSocial[mês],"&lt;="&amp;MONTH(tblTransfAssistSocial[[#This Row],[data_base]])),"")</f>
        <v/>
      </c>
      <c r="G13" s="4">
        <f>IF(tblTransfAssistSocial[[#This Row],[prev_mes_atual]]&gt;0,SUMIFS(tblTransfAssistSocial[prev_mes_atual],tblTransfAssistSocial[ano],YEAR(tblTransfAssistSocial[[#This Row],[data_base]]),tblTransfAssistSocial[mês],"&lt;="&amp;MONTH(tblTransfAssistSocial[[#This Row],[data_base]])),"")</f>
        <v>184361</v>
      </c>
      <c r="H13" s="4" t="str">
        <f>IFERROR(IF(tblTransfAssistSocial[[#This Row],[arrec_acum_atual]]&gt;0,tblTransfAssistSocial[[#This Row],[arrec_acum_atual]]-tblTransfAssistSocial[[#This Row],[arrec_acum_ant]],""),"")</f>
        <v/>
      </c>
      <c r="I13" s="4" t="str">
        <f>IFERROR(IF(tblTransfAssistSocial[[#This Row],[arrec_acum_atual]]&gt;0,tblTransfAssistSocial[[#This Row],[arrec_acum_atual]]-tblTransfAssistSocial[[#This Row],[prev_acum_atual]],""),"")</f>
        <v/>
      </c>
      <c r="J13" s="3" t="str">
        <f>IFERROR(IF(tblTransfAssistSocial[[#This Row],[arrec_acum_atual]]&gt;0,(tblTransfAssistSocial[[#This Row],[arrec_acum_atual]]/tblTransfAssistSocial[[#This Row],[arrec_acum_ant]])-1,""),"")</f>
        <v/>
      </c>
      <c r="K13" s="3" t="str">
        <f>IFERROR(IF(tblTransfAssistSocial[[#This Row],[arrec_acum_atual]]&gt;0,(tblTransfAssistSocial[[#This Row],[arrec_acum_atual]]/tblTransfAssistSocial[[#This Row],[prev_acum_atual]])-1,""),"")</f>
        <v/>
      </c>
      <c r="L13" s="7">
        <f>YEAR(tblTransfAssistSocial[[#This Row],[data_base]])</f>
        <v>2022</v>
      </c>
      <c r="M13">
        <f>MONTH(tblTransfAssistSocial[[#This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424B-9FB7-4521-8711-80DD8A7337F3}">
  <dimension ref="A1:M13"/>
  <sheetViews>
    <sheetView workbookViewId="0">
      <selection activeCell="C12" sqref="C12:C13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916885.79</v>
      </c>
      <c r="C2" s="4">
        <v>988361.22</v>
      </c>
      <c r="D2" s="4">
        <v>875175.39999999991</v>
      </c>
      <c r="E2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916885.79</v>
      </c>
      <c r="F2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988361.22</v>
      </c>
      <c r="G2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875175.39999999991</v>
      </c>
      <c r="H2" s="4">
        <f>IFERROR(IF(tblTransfFederal[[#This Row],[arrec_acum_atual]]&gt;0,tblTransfFederal[[#This Row],[arrec_acum_atual]]-tblTransfFederal[[#This Row],[arrec_acum_ant]],""),"")</f>
        <v>71475.429999999935</v>
      </c>
      <c r="I2" s="4">
        <f>IFERROR(IF(tblTransfFederal[[#This Row],[arrec_acum_atual]]&gt;0,tblTransfFederal[[#This Row],[arrec_acum_atual]]-tblTransfFederal[[#This Row],[prev_acum_atual]],""),"")</f>
        <v>113185.82000000007</v>
      </c>
      <c r="J2" s="3">
        <f>IFERROR(IF(tblTransfFederal[[#This Row],[arrec_acum_atual]]&gt;0,(tblTransfFederal[[#This Row],[arrec_acum_atual]]/tblTransfFederal[[#This Row],[arrec_acum_ant]])-1,""),"")</f>
        <v>7.7954561821707236E-2</v>
      </c>
      <c r="K2" s="3">
        <f>IFERROR(IF(tblTransfFederal[[#This Row],[arrec_acum_atual]]&gt;0,(tblTransfFederal[[#This Row],[arrec_acum_atual]]/tblTransfFederal[[#This Row],[prev_acum_atual]])-1,""),"")</f>
        <v>0.1293292978756031</v>
      </c>
      <c r="L2" s="7">
        <f>YEAR(tblTransfFederal[[#This Row],[data_base]])</f>
        <v>2022</v>
      </c>
      <c r="M2">
        <f>MONTH(tblTransfFederal[[#This Row],[data_base]])</f>
        <v>1</v>
      </c>
    </row>
    <row r="3" spans="1:13" x14ac:dyDescent="0.25">
      <c r="A3" s="1">
        <v>44620</v>
      </c>
      <c r="B3" s="4">
        <v>1043062.95</v>
      </c>
      <c r="C3" s="4">
        <v>1318836.4400000004</v>
      </c>
      <c r="D3" s="4">
        <v>1131010.6499999999</v>
      </c>
      <c r="E3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1959948.74</v>
      </c>
      <c r="F3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2307197.66</v>
      </c>
      <c r="G3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2006186.0499999998</v>
      </c>
      <c r="H3" s="4">
        <f>IFERROR(IF(tblTransfFederal[[#This Row],[arrec_acum_atual]]&gt;0,tblTransfFederal[[#This Row],[arrec_acum_atual]]-tblTransfFederal[[#This Row],[arrec_acum_ant]],""),"")</f>
        <v>347248.92000000016</v>
      </c>
      <c r="I3" s="4">
        <f>IFERROR(IF(tblTransfFederal[[#This Row],[arrec_acum_atual]]&gt;0,tblTransfFederal[[#This Row],[arrec_acum_atual]]-tblTransfFederal[[#This Row],[prev_acum_atual]],""),"")</f>
        <v>301011.61000000034</v>
      </c>
      <c r="J3" s="3">
        <f>IFERROR(IF(tblTransfFederal[[#This Row],[arrec_acum_atual]]&gt;0,(tblTransfFederal[[#This Row],[arrec_acum_atual]]/tblTransfFederal[[#This Row],[arrec_acum_ant]])-1,""),"")</f>
        <v>0.17717244992846104</v>
      </c>
      <c r="K3" s="3">
        <f>IFERROR(IF(tblTransfFederal[[#This Row],[arrec_acum_atual]]&gt;0,(tblTransfFederal[[#This Row],[arrec_acum_atual]]/tblTransfFederal[[#This Row],[prev_acum_atual]])-1,""),"")</f>
        <v>0.1500417222021857</v>
      </c>
      <c r="L3" s="7">
        <f>YEAR(tblTransfFederal[[#This Row],[data_base]])</f>
        <v>2022</v>
      </c>
      <c r="M3">
        <f>MONTH(tblTransfFederal[[#This Row],[data_base]])</f>
        <v>2</v>
      </c>
    </row>
    <row r="4" spans="1:13" x14ac:dyDescent="0.25">
      <c r="A4" s="1">
        <v>44651</v>
      </c>
      <c r="B4" s="4">
        <v>757282.78</v>
      </c>
      <c r="C4" s="4">
        <v>917333.48</v>
      </c>
      <c r="D4" s="4">
        <v>790402.26</v>
      </c>
      <c r="E4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2717231.52</v>
      </c>
      <c r="F4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3224531.14</v>
      </c>
      <c r="G4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2796588.3099999996</v>
      </c>
      <c r="H4" s="4">
        <f>IFERROR(IF(tblTransfFederal[[#This Row],[arrec_acum_atual]]&gt;0,tblTransfFederal[[#This Row],[arrec_acum_atual]]-tblTransfFederal[[#This Row],[arrec_acum_ant]],""),"")</f>
        <v>507299.62000000011</v>
      </c>
      <c r="I4" s="4">
        <f>IFERROR(IF(tblTransfFederal[[#This Row],[arrec_acum_atual]]&gt;0,tblTransfFederal[[#This Row],[arrec_acum_atual]]-tblTransfFederal[[#This Row],[prev_acum_atual]],""),"")</f>
        <v>427942.83000000054</v>
      </c>
      <c r="J4" s="3">
        <f>IFERROR(IF(tblTransfFederal[[#This Row],[arrec_acum_atual]]&gt;0,(tblTransfFederal[[#This Row],[arrec_acum_atual]]/tblTransfFederal[[#This Row],[arrec_acum_ant]])-1,""),"")</f>
        <v>0.18669723807708527</v>
      </c>
      <c r="K4" s="3">
        <f>IFERROR(IF(tblTransfFederal[[#This Row],[arrec_acum_atual]]&gt;0,(tblTransfFederal[[#This Row],[arrec_acum_atual]]/tblTransfFederal[[#This Row],[prev_acum_atual]])-1,""),"")</f>
        <v>0.15302317773043983</v>
      </c>
      <c r="L4" s="7">
        <f>YEAR(tblTransfFederal[[#This Row],[data_base]])</f>
        <v>2022</v>
      </c>
      <c r="M4">
        <f>MONTH(tblTransfFederal[[#This Row],[data_base]])</f>
        <v>3</v>
      </c>
    </row>
    <row r="5" spans="1:13" x14ac:dyDescent="0.25">
      <c r="A5" s="1">
        <v>44681</v>
      </c>
      <c r="B5" s="4">
        <v>768644.88</v>
      </c>
      <c r="C5" s="4">
        <v>997299.90999999992</v>
      </c>
      <c r="D5" s="4">
        <v>813333.93</v>
      </c>
      <c r="E5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3485876.4</v>
      </c>
      <c r="F5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4221831.05</v>
      </c>
      <c r="G5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3609922.2399999998</v>
      </c>
      <c r="H5" s="4">
        <f>IFERROR(IF(tblTransfFederal[[#This Row],[arrec_acum_atual]]&gt;0,tblTransfFederal[[#This Row],[arrec_acum_atual]]-tblTransfFederal[[#This Row],[arrec_acum_ant]],""),"")</f>
        <v>735954.64999999991</v>
      </c>
      <c r="I5" s="4">
        <f>IFERROR(IF(tblTransfFederal[[#This Row],[arrec_acum_atual]]&gt;0,tblTransfFederal[[#This Row],[arrec_acum_atual]]-tblTransfFederal[[#This Row],[prev_acum_atual]],""),"")</f>
        <v>611908.81000000006</v>
      </c>
      <c r="J5" s="3">
        <f>IFERROR(IF(tblTransfFederal[[#This Row],[arrec_acum_atual]]&gt;0,(tblTransfFederal[[#This Row],[arrec_acum_atual]]/tblTransfFederal[[#This Row],[arrec_acum_ant]])-1,""),"")</f>
        <v>0.21112471170808012</v>
      </c>
      <c r="K5" s="3">
        <f>IFERROR(IF(tblTransfFederal[[#This Row],[arrec_acum_atual]]&gt;0,(tblTransfFederal[[#This Row],[arrec_acum_atual]]/tblTransfFederal[[#This Row],[prev_acum_atual]])-1,""),"")</f>
        <v>0.16950747670398569</v>
      </c>
      <c r="L5" s="7">
        <f>YEAR(tblTransfFederal[[#This Row],[data_base]])</f>
        <v>2022</v>
      </c>
      <c r="M5">
        <f>MONTH(tblTransfFederal[[#This Row],[data_base]])</f>
        <v>4</v>
      </c>
    </row>
    <row r="6" spans="1:13" x14ac:dyDescent="0.25">
      <c r="A6" s="1">
        <v>44712</v>
      </c>
      <c r="B6" s="4">
        <v>958594.04</v>
      </c>
      <c r="C6" s="4">
        <v>1308224.1300000001</v>
      </c>
      <c r="D6" s="4">
        <v>951417.4</v>
      </c>
      <c r="E6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4444470.4399999995</v>
      </c>
      <c r="F6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5530055.1799999997</v>
      </c>
      <c r="G6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4561339.6399999997</v>
      </c>
      <c r="H6" s="4">
        <f>IFERROR(IF(tblTransfFederal[[#This Row],[arrec_acum_atual]]&gt;0,tblTransfFederal[[#This Row],[arrec_acum_atual]]-tblTransfFederal[[#This Row],[arrec_acum_ant]],""),"")</f>
        <v>1085584.7400000002</v>
      </c>
      <c r="I6" s="4">
        <f>IFERROR(IF(tblTransfFederal[[#This Row],[arrec_acum_atual]]&gt;0,tblTransfFederal[[#This Row],[arrec_acum_atual]]-tblTransfFederal[[#This Row],[prev_acum_atual]],""),"")</f>
        <v>968715.54</v>
      </c>
      <c r="J6" s="3">
        <f>IFERROR(IF(tblTransfFederal[[#This Row],[arrec_acum_atual]]&gt;0,(tblTransfFederal[[#This Row],[arrec_acum_atual]]/tblTransfFederal[[#This Row],[arrec_acum_ant]])-1,""),"")</f>
        <v>0.24425513785169883</v>
      </c>
      <c r="K6" s="3">
        <f>IFERROR(IF(tblTransfFederal[[#This Row],[arrec_acum_atual]]&gt;0,(tblTransfFederal[[#This Row],[arrec_acum_atual]]/tblTransfFederal[[#This Row],[prev_acum_atual]])-1,""),"")</f>
        <v>0.21237522667792397</v>
      </c>
      <c r="L6" s="7">
        <f>YEAR(tblTransfFederal[[#This Row],[data_base]])</f>
        <v>2022</v>
      </c>
      <c r="M6">
        <f>MONTH(tblTransfFederal[[#This Row],[data_base]])</f>
        <v>5</v>
      </c>
    </row>
    <row r="7" spans="1:13" x14ac:dyDescent="0.25">
      <c r="A7" s="1">
        <v>44742</v>
      </c>
      <c r="B7" s="4">
        <v>839670.16</v>
      </c>
      <c r="C7" s="4">
        <v>1122350.2300000004</v>
      </c>
      <c r="D7" s="4">
        <v>845597.09</v>
      </c>
      <c r="E7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5284140.5999999996</v>
      </c>
      <c r="F7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6652405.4100000001</v>
      </c>
      <c r="G7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5406936.7299999995</v>
      </c>
      <c r="H7" s="4">
        <f>IFERROR(IF(tblTransfFederal[[#This Row],[arrec_acum_atual]]&gt;0,tblTransfFederal[[#This Row],[arrec_acum_atual]]-tblTransfFederal[[#This Row],[arrec_acum_ant]],""),"")</f>
        <v>1368264.8100000005</v>
      </c>
      <c r="I7" s="4">
        <f>IFERROR(IF(tblTransfFederal[[#This Row],[arrec_acum_atual]]&gt;0,tblTransfFederal[[#This Row],[arrec_acum_atual]]-tblTransfFederal[[#This Row],[prev_acum_atual]],""),"")</f>
        <v>1245468.6800000006</v>
      </c>
      <c r="J7" s="3">
        <f>IFERROR(IF(tblTransfFederal[[#This Row],[arrec_acum_atual]]&gt;0,(tblTransfFederal[[#This Row],[arrec_acum_atual]]/tblTransfFederal[[#This Row],[arrec_acum_ant]])-1,""),"")</f>
        <v>0.25893800214172957</v>
      </c>
      <c r="K7" s="3">
        <f>IFERROR(IF(tblTransfFederal[[#This Row],[arrec_acum_atual]]&gt;0,(tblTransfFederal[[#This Row],[arrec_acum_atual]]/tblTransfFederal[[#This Row],[prev_acum_atual]])-1,""),"")</f>
        <v>0.23034644979098928</v>
      </c>
      <c r="L7" s="7">
        <f>YEAR(tblTransfFederal[[#This Row],[data_base]])</f>
        <v>2022</v>
      </c>
      <c r="M7">
        <f>MONTH(tblTransfFederal[[#This Row],[data_base]])</f>
        <v>6</v>
      </c>
    </row>
    <row r="8" spans="1:13" x14ac:dyDescent="0.25">
      <c r="A8" s="1">
        <v>44773</v>
      </c>
      <c r="B8" s="4">
        <v>1135635.3400000001</v>
      </c>
      <c r="C8" s="4">
        <v>1985371.2300000004</v>
      </c>
      <c r="D8" s="4">
        <v>1132140.4000000001</v>
      </c>
      <c r="E8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6419775.9399999995</v>
      </c>
      <c r="F8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8637776.6400000006</v>
      </c>
      <c r="G8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6539077.1299999999</v>
      </c>
      <c r="H8" s="4">
        <f>IFERROR(IF(tblTransfFederal[[#This Row],[arrec_acum_atual]]&gt;0,tblTransfFederal[[#This Row],[arrec_acum_atual]]-tblTransfFederal[[#This Row],[arrec_acum_ant]],""),"")</f>
        <v>2218000.7000000011</v>
      </c>
      <c r="I8" s="4">
        <f>IFERROR(IF(tblTransfFederal[[#This Row],[arrec_acum_atual]]&gt;0,tblTransfFederal[[#This Row],[arrec_acum_atual]]-tblTransfFederal[[#This Row],[prev_acum_atual]],""),"")</f>
        <v>2098699.5100000007</v>
      </c>
      <c r="J8" s="3">
        <f>IFERROR(IF(tblTransfFederal[[#This Row],[arrec_acum_atual]]&gt;0,(tblTransfFederal[[#This Row],[arrec_acum_atual]]/tblTransfFederal[[#This Row],[arrec_acum_ant]])-1,""),"")</f>
        <v>0.34549503296216311</v>
      </c>
      <c r="K8" s="3">
        <f>IFERROR(IF(tblTransfFederal[[#This Row],[arrec_acum_atual]]&gt;0,(tblTransfFederal[[#This Row],[arrec_acum_atual]]/tblTransfFederal[[#This Row],[prev_acum_atual]])-1,""),"")</f>
        <v>0.32094735515071071</v>
      </c>
      <c r="L8" s="7">
        <f>YEAR(tblTransfFederal[[#This Row],[data_base]])</f>
        <v>2022</v>
      </c>
      <c r="M8">
        <f>MONTH(tblTransfFederal[[#This Row],[data_base]])</f>
        <v>7</v>
      </c>
    </row>
    <row r="9" spans="1:13" x14ac:dyDescent="0.25">
      <c r="A9" s="1">
        <v>44804</v>
      </c>
      <c r="B9" s="4">
        <v>866782.22</v>
      </c>
      <c r="C9" s="4">
        <v>996238.40999999992</v>
      </c>
      <c r="D9" s="4">
        <v>853245.71</v>
      </c>
      <c r="E9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7286558.1599999992</v>
      </c>
      <c r="F9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9634015.0500000007</v>
      </c>
      <c r="G9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7392322.8399999999</v>
      </c>
      <c r="H9" s="4">
        <f>IFERROR(IF(tblTransfFederal[[#This Row],[arrec_acum_atual]]&gt;0,tblTransfFederal[[#This Row],[arrec_acum_atual]]-tblTransfFederal[[#This Row],[arrec_acum_ant]],""),"")</f>
        <v>2347456.8900000015</v>
      </c>
      <c r="I9" s="4">
        <f>IFERROR(IF(tblTransfFederal[[#This Row],[arrec_acum_atual]]&gt;0,tblTransfFederal[[#This Row],[arrec_acum_atual]]-tblTransfFederal[[#This Row],[prev_acum_atual]],""),"")</f>
        <v>2241692.2100000009</v>
      </c>
      <c r="J9" s="3">
        <f>IFERROR(IF(tblTransfFederal[[#This Row],[arrec_acum_atual]]&gt;0,(tblTransfFederal[[#This Row],[arrec_acum_atual]]/tblTransfFederal[[#This Row],[arrec_acum_ant]])-1,""),"")</f>
        <v>0.32216265052086013</v>
      </c>
      <c r="K9" s="3">
        <f>IFERROR(IF(tblTransfFederal[[#This Row],[arrec_acum_atual]]&gt;0,(tblTransfFederal[[#This Row],[arrec_acum_atual]]/tblTransfFederal[[#This Row],[prev_acum_atual]])-1,""),"")</f>
        <v>0.30324598350469234</v>
      </c>
      <c r="L9" s="7">
        <f>YEAR(tblTransfFederal[[#This Row],[data_base]])</f>
        <v>2022</v>
      </c>
      <c r="M9">
        <f>MONTH(tblTransfFederal[[#This Row],[data_base]])</f>
        <v>8</v>
      </c>
    </row>
    <row r="10" spans="1:13" x14ac:dyDescent="0.25">
      <c r="A10" s="1">
        <v>44834</v>
      </c>
      <c r="B10" s="4">
        <v>732438.56</v>
      </c>
      <c r="C10" s="4">
        <v>1056479.2600000002</v>
      </c>
      <c r="D10" s="4">
        <v>744495.19</v>
      </c>
      <c r="E10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8018996.7199999988</v>
      </c>
      <c r="F10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10690494.310000001</v>
      </c>
      <c r="G10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8136818.0299999993</v>
      </c>
      <c r="H10" s="4">
        <f>IFERROR(IF(tblTransfFederal[[#This Row],[arrec_acum_atual]]&gt;0,tblTransfFederal[[#This Row],[arrec_acum_atual]]-tblTransfFederal[[#This Row],[arrec_acum_ant]],""),"")</f>
        <v>2671497.5900000017</v>
      </c>
      <c r="I10" s="4">
        <f>IFERROR(IF(tblTransfFederal[[#This Row],[arrec_acum_atual]]&gt;0,tblTransfFederal[[#This Row],[arrec_acum_atual]]-tblTransfFederal[[#This Row],[prev_acum_atual]],""),"")</f>
        <v>2553676.2800000012</v>
      </c>
      <c r="J10" s="3">
        <f>IFERROR(IF(tblTransfFederal[[#This Row],[arrec_acum_atual]]&gt;0,(tblTransfFederal[[#This Row],[arrec_acum_atual]]/tblTransfFederal[[#This Row],[arrec_acum_ant]])-1,""),"")</f>
        <v>0.33314611332076982</v>
      </c>
      <c r="K10" s="3">
        <f>IFERROR(IF(tblTransfFederal[[#This Row],[arrec_acum_atual]]&gt;0,(tblTransfFederal[[#This Row],[arrec_acum_atual]]/tblTransfFederal[[#This Row],[prev_acum_atual]])-1,""),"")</f>
        <v>0.31384212730145089</v>
      </c>
      <c r="L10" s="7">
        <f>YEAR(tblTransfFederal[[#This Row],[data_base]])</f>
        <v>2022</v>
      </c>
      <c r="M10">
        <f>MONTH(tblTransfFederal[[#This Row],[data_base]])</f>
        <v>9</v>
      </c>
    </row>
    <row r="11" spans="1:13" x14ac:dyDescent="0.25">
      <c r="A11" s="1">
        <v>44865</v>
      </c>
      <c r="B11" s="4">
        <v>946340.7</v>
      </c>
      <c r="C11" s="4">
        <v>1410010.36</v>
      </c>
      <c r="D11" s="4">
        <v>979229.24</v>
      </c>
      <c r="E11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8965337.4199999981</v>
      </c>
      <c r="F11" s="4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>12100504.67</v>
      </c>
      <c r="G11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9116047.2699999996</v>
      </c>
      <c r="H11" s="4">
        <f>IFERROR(IF(tblTransfFederal[[#This Row],[arrec_acum_atual]]&gt;0,tblTransfFederal[[#This Row],[arrec_acum_atual]]-tblTransfFederal[[#This Row],[arrec_acum_ant]],""),"")</f>
        <v>3135167.2500000019</v>
      </c>
      <c r="I11" s="4">
        <f>IFERROR(IF(tblTransfFederal[[#This Row],[arrec_acum_atual]]&gt;0,tblTransfFederal[[#This Row],[arrec_acum_atual]]-tblTransfFederal[[#This Row],[prev_acum_atual]],""),"")</f>
        <v>2984457.4000000004</v>
      </c>
      <c r="J11" s="3">
        <f>IFERROR(IF(tblTransfFederal[[#This Row],[arrec_acum_atual]]&gt;0,(tblTransfFederal[[#This Row],[arrec_acum_atual]]/tblTransfFederal[[#This Row],[arrec_acum_ant]])-1,""),"")</f>
        <v>0.34969874563851078</v>
      </c>
      <c r="K11" s="3">
        <f>IFERROR(IF(tblTransfFederal[[#This Row],[arrec_acum_atual]]&gt;0,(tblTransfFederal[[#This Row],[arrec_acum_atual]]/tblTransfFederal[[#This Row],[prev_acum_atual]])-1,""),"")</f>
        <v>0.32738502901598054</v>
      </c>
      <c r="L11" s="7">
        <f>YEAR(tblTransfFederal[[#This Row],[data_base]])</f>
        <v>2022</v>
      </c>
      <c r="M11">
        <f>MONTH(tblTransfFederal[[#This Row],[data_base]])</f>
        <v>10</v>
      </c>
    </row>
    <row r="12" spans="1:13" x14ac:dyDescent="0.25">
      <c r="A12" s="1">
        <v>44895</v>
      </c>
      <c r="B12" s="4">
        <v>967396.58</v>
      </c>
      <c r="C12" s="4"/>
      <c r="D12" s="4">
        <v>947756.03000000014</v>
      </c>
      <c r="E12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9932733.9999999981</v>
      </c>
      <c r="F12" s="4" t="str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/>
      </c>
      <c r="G12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10063803.299999999</v>
      </c>
      <c r="H12" s="4" t="str">
        <f>IFERROR(IF(tblTransfFederal[[#This Row],[arrec_acum_atual]]&gt;0,tblTransfFederal[[#This Row],[arrec_acum_atual]]-tblTransfFederal[[#This Row],[arrec_acum_ant]],""),"")</f>
        <v/>
      </c>
      <c r="I12" s="4" t="str">
        <f>IFERROR(IF(tblTransfFederal[[#This Row],[arrec_acum_atual]]&gt;0,tblTransfFederal[[#This Row],[arrec_acum_atual]]-tblTransfFederal[[#This Row],[prev_acum_atual]],""),"")</f>
        <v/>
      </c>
      <c r="J12" s="3" t="str">
        <f>IFERROR(IF(tblTransfFederal[[#This Row],[arrec_acum_atual]]&gt;0,(tblTransfFederal[[#This Row],[arrec_acum_atual]]/tblTransfFederal[[#This Row],[arrec_acum_ant]])-1,""),"")</f>
        <v/>
      </c>
      <c r="K12" s="3" t="str">
        <f>IFERROR(IF(tblTransfFederal[[#This Row],[arrec_acum_atual]]&gt;0,(tblTransfFederal[[#This Row],[arrec_acum_atual]]/tblTransfFederal[[#This Row],[prev_acum_atual]])-1,""),"")</f>
        <v/>
      </c>
      <c r="L12" s="7">
        <f>YEAR(tblTransfFederal[[#This Row],[data_base]])</f>
        <v>2022</v>
      </c>
      <c r="M12">
        <f>MONTH(tblTransfFederal[[#This Row],[data_base]])</f>
        <v>11</v>
      </c>
    </row>
    <row r="13" spans="1:13" x14ac:dyDescent="0.25">
      <c r="A13" s="1">
        <v>44926</v>
      </c>
      <c r="B13" s="4">
        <v>1857087.29</v>
      </c>
      <c r="C13" s="4"/>
      <c r="D13" s="4">
        <v>1582928.78</v>
      </c>
      <c r="E13" s="4">
        <f>IF(tblTransfFederal[[#This Row],[arrec_mes_ant]]&gt;0,SUMIFS(tblTransfFederal[arrec_mes_ant],tblTransfFederal[ano],YEAR(tblTransfFederal[[#This Row],[data_base]]),tblTransfFederal[mês],"&lt;="&amp;MONTH(tblTransfFederal[[#This Row],[data_base]])),"")</f>
        <v>11789821.289999999</v>
      </c>
      <c r="F13" s="4" t="str">
        <f>IF(tblTransfFederal[[#This Row],[arrec_mes_atual]]&gt;0,SUMIFS(tblTransfFederal[arrec_mes_atual],tblTransfFederal[ano],YEAR(tblTransfFederal[[#This Row],[data_base]]),tblTransfFederal[mês],"&lt;="&amp;MONTH(tblTransfFederal[[#This Row],[data_base]])),"")</f>
        <v/>
      </c>
      <c r="G13" s="4">
        <f>IF(tblTransfFederal[[#This Row],[prev_mes_atual]]&gt;0,SUMIFS(tblTransfFederal[prev_mes_atual],tblTransfFederal[ano],YEAR(tblTransfFederal[[#This Row],[data_base]]),tblTransfFederal[mês],"&lt;="&amp;MONTH(tblTransfFederal[[#This Row],[data_base]])),"")</f>
        <v>11646732.079999998</v>
      </c>
      <c r="H13" s="4" t="str">
        <f>IFERROR(IF(tblTransfFederal[[#This Row],[arrec_acum_atual]]&gt;0,tblTransfFederal[[#This Row],[arrec_acum_atual]]-tblTransfFederal[[#This Row],[arrec_acum_ant]],""),"")</f>
        <v/>
      </c>
      <c r="I13" s="4" t="str">
        <f>IFERROR(IF(tblTransfFederal[[#This Row],[arrec_acum_atual]]&gt;0,tblTransfFederal[[#This Row],[arrec_acum_atual]]-tblTransfFederal[[#This Row],[prev_acum_atual]],""),"")</f>
        <v/>
      </c>
      <c r="J13" s="3" t="str">
        <f>IFERROR(IF(tblTransfFederal[[#This Row],[arrec_acum_atual]]&gt;0,(tblTransfFederal[[#This Row],[arrec_acum_atual]]/tblTransfFederal[[#This Row],[arrec_acum_ant]])-1,""),"")</f>
        <v/>
      </c>
      <c r="K13" s="3" t="str">
        <f>IFERROR(IF(tblTransfFederal[[#This Row],[arrec_acum_atual]]&gt;0,(tblTransfFederal[[#This Row],[arrec_acum_atual]]/tblTransfFederal[[#This Row],[prev_acum_atual]])-1,""),"")</f>
        <v/>
      </c>
      <c r="L13" s="7">
        <f>YEAR(tblTransfFederal[[#This Row],[data_base]])</f>
        <v>2022</v>
      </c>
      <c r="M13">
        <f>MONTH(tblTransfFederal[[#This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A84-2E14-4343-A1C4-69CCB303867C}">
  <dimension ref="A1:M13"/>
  <sheetViews>
    <sheetView workbookViewId="0">
      <selection activeCell="E2" sqref="E2"/>
    </sheetView>
  </sheetViews>
  <sheetFormatPr defaultRowHeight="15" x14ac:dyDescent="0.25"/>
  <cols>
    <col min="1" max="1" width="12.140625" customWidth="1"/>
    <col min="2" max="2" width="16.140625" customWidth="1"/>
    <col min="3" max="3" width="17.7109375" customWidth="1"/>
    <col min="4" max="4" width="17.28515625" customWidth="1"/>
    <col min="5" max="5" width="17.140625" customWidth="1"/>
    <col min="6" max="6" width="18.7109375" customWidth="1"/>
    <col min="7" max="7" width="18.28515625" customWidth="1"/>
    <col min="8" max="8" width="13.28515625" bestFit="1" customWidth="1"/>
    <col min="9" max="9" width="13.42578125" customWidth="1"/>
    <col min="10" max="10" width="9.7109375" customWidth="1"/>
    <col min="11" max="11" width="10.85546875" customWidth="1"/>
    <col min="12" max="12" width="9.570312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5</v>
      </c>
      <c r="M1" t="s">
        <v>6</v>
      </c>
    </row>
    <row r="2" spans="1:13" x14ac:dyDescent="0.25">
      <c r="A2" s="1">
        <v>44592</v>
      </c>
      <c r="B2" s="4">
        <v>790323.02</v>
      </c>
      <c r="C2" s="4">
        <v>1012644.3400000001</v>
      </c>
      <c r="D2" s="4">
        <v>931424.1</v>
      </c>
      <c r="E2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790323.02</v>
      </c>
      <c r="F2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1012644.3400000001</v>
      </c>
      <c r="G2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931424.1</v>
      </c>
      <c r="H2" s="4">
        <f>IFERROR(IF(tblTransfEstadual[[#This Row],[arrec_acum_atual]]&gt;0,tblTransfEstadual[[#This Row],[arrec_acum_atual]]-tblTransfEstadual[[#This Row],[arrec_acum_ant]],""),"")</f>
        <v>222321.32000000007</v>
      </c>
      <c r="I2" s="4">
        <f>IFERROR(IF(tblTransfEstadual[[#This Row],[arrec_acum_atual]]&gt;0,tblTransfEstadual[[#This Row],[arrec_acum_atual]]-tblTransfEstadual[[#This Row],[prev_acum_atual]],""),"")</f>
        <v>81220.240000000107</v>
      </c>
      <c r="J2" s="3">
        <f>IFERROR(IF(tblTransfEstadual[[#This Row],[arrec_acum_atual]]&gt;0,(tblTransfEstadual[[#This Row],[arrec_acum_atual]]/tblTransfEstadual[[#This Row],[arrec_acum_ant]])-1,""),"")</f>
        <v>0.28130437096467231</v>
      </c>
      <c r="K2" s="3">
        <f>IFERROR(IF(tblTransfEstadual[[#This Row],[arrec_acum_atual]]&gt;0,(tblTransfEstadual[[#This Row],[arrec_acum_atual]]/tblTransfEstadual[[#This Row],[prev_acum_atual]])-1,""),"")</f>
        <v>8.720006278557757E-2</v>
      </c>
      <c r="L2" s="7">
        <f>YEAR(tblTransfEstadual[[#This Row],[data_base]])</f>
        <v>2022</v>
      </c>
      <c r="M2">
        <f>MONTH(tblTransfEstadual[[#This Row],[data_base]])</f>
        <v>1</v>
      </c>
    </row>
    <row r="3" spans="1:13" x14ac:dyDescent="0.25">
      <c r="A3" s="1">
        <v>44620</v>
      </c>
      <c r="B3" s="4">
        <v>791568.32</v>
      </c>
      <c r="C3" s="4">
        <v>882961.14</v>
      </c>
      <c r="D3" s="4">
        <v>803361.53</v>
      </c>
      <c r="E3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1581891.3399999999</v>
      </c>
      <c r="F3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1895605.48</v>
      </c>
      <c r="G3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1734785.63</v>
      </c>
      <c r="H3" s="4">
        <f>IFERROR(IF(tblTransfEstadual[[#This Row],[arrec_acum_atual]]&gt;0,tblTransfEstadual[[#This Row],[arrec_acum_atual]]-tblTransfEstadual[[#This Row],[arrec_acum_ant]],""),"")</f>
        <v>313714.14000000013</v>
      </c>
      <c r="I3" s="4">
        <f>IFERROR(IF(tblTransfEstadual[[#This Row],[arrec_acum_atual]]&gt;0,tblTransfEstadual[[#This Row],[arrec_acum_atual]]-tblTransfEstadual[[#This Row],[prev_acum_atual]],""),"")</f>
        <v>160819.85000000009</v>
      </c>
      <c r="J3" s="3">
        <f>IFERROR(IF(tblTransfEstadual[[#This Row],[arrec_acum_atual]]&gt;0,(tblTransfEstadual[[#This Row],[arrec_acum_atual]]/tblTransfEstadual[[#This Row],[arrec_acum_ant]])-1,""),"")</f>
        <v>0.19831585903997695</v>
      </c>
      <c r="K3" s="3">
        <f>IFERROR(IF(tblTransfEstadual[[#This Row],[arrec_acum_atual]]&gt;0,(tblTransfEstadual[[#This Row],[arrec_acum_atual]]/tblTransfEstadual[[#This Row],[prev_acum_atual]])-1,""),"")</f>
        <v>9.2703010227263682E-2</v>
      </c>
      <c r="L3" s="7">
        <f>YEAR(tblTransfEstadual[[#This Row],[data_base]])</f>
        <v>2022</v>
      </c>
      <c r="M3">
        <f>MONTH(tblTransfEstadual[[#This Row],[data_base]])</f>
        <v>2</v>
      </c>
    </row>
    <row r="4" spans="1:13" x14ac:dyDescent="0.25">
      <c r="A4" s="1">
        <v>44651</v>
      </c>
      <c r="B4" s="4">
        <v>1051477.27</v>
      </c>
      <c r="C4" s="4">
        <v>991919.74000000022</v>
      </c>
      <c r="D4" s="4">
        <v>982454.59</v>
      </c>
      <c r="E4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2633368.61</v>
      </c>
      <c r="F4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2887525.22</v>
      </c>
      <c r="G4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2717240.2199999997</v>
      </c>
      <c r="H4" s="4">
        <f>IFERROR(IF(tblTransfEstadual[[#This Row],[arrec_acum_atual]]&gt;0,tblTransfEstadual[[#This Row],[arrec_acum_atual]]-tblTransfEstadual[[#This Row],[arrec_acum_ant]],""),"")</f>
        <v>254156.61000000034</v>
      </c>
      <c r="I4" s="4">
        <f>IFERROR(IF(tblTransfEstadual[[#This Row],[arrec_acum_atual]]&gt;0,tblTransfEstadual[[#This Row],[arrec_acum_atual]]-tblTransfEstadual[[#This Row],[prev_acum_atual]],""),"")</f>
        <v>170285.00000000047</v>
      </c>
      <c r="J4" s="3">
        <f>IFERROR(IF(tblTransfEstadual[[#This Row],[arrec_acum_atual]]&gt;0,(tblTransfEstadual[[#This Row],[arrec_acum_atual]]/tblTransfEstadual[[#This Row],[arrec_acum_ant]])-1,""),"")</f>
        <v>9.6513875435008112E-2</v>
      </c>
      <c r="K4" s="3">
        <f>IFERROR(IF(tblTransfEstadual[[#This Row],[arrec_acum_atual]]&gt;0,(tblTransfEstadual[[#This Row],[arrec_acum_atual]]/tblTransfEstadual[[#This Row],[prev_acum_atual]])-1,""),"")</f>
        <v>6.266836430089362E-2</v>
      </c>
      <c r="L4" s="7">
        <f>YEAR(tblTransfEstadual[[#This Row],[data_base]])</f>
        <v>2022</v>
      </c>
      <c r="M4">
        <f>MONTH(tblTransfEstadual[[#This Row],[data_base]])</f>
        <v>3</v>
      </c>
    </row>
    <row r="5" spans="1:13" x14ac:dyDescent="0.25">
      <c r="A5" s="1">
        <v>44681</v>
      </c>
      <c r="B5" s="4">
        <v>903153.97</v>
      </c>
      <c r="C5" s="4">
        <v>1147048.6100000003</v>
      </c>
      <c r="D5" s="4">
        <v>984174.14</v>
      </c>
      <c r="E5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3536522.58</v>
      </c>
      <c r="F5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4034573.8300000005</v>
      </c>
      <c r="G5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3701414.36</v>
      </c>
      <c r="H5" s="4">
        <f>IFERROR(IF(tblTransfEstadual[[#This Row],[arrec_acum_atual]]&gt;0,tblTransfEstadual[[#This Row],[arrec_acum_atual]]-tblTransfEstadual[[#This Row],[arrec_acum_ant]],""),"")</f>
        <v>498051.25000000047</v>
      </c>
      <c r="I5" s="4">
        <f>IFERROR(IF(tblTransfEstadual[[#This Row],[arrec_acum_atual]]&gt;0,tblTransfEstadual[[#This Row],[arrec_acum_atual]]-tblTransfEstadual[[#This Row],[prev_acum_atual]],""),"")</f>
        <v>333159.47000000067</v>
      </c>
      <c r="J5" s="3">
        <f>IFERROR(IF(tblTransfEstadual[[#This Row],[arrec_acum_atual]]&gt;0,(tblTransfEstadual[[#This Row],[arrec_acum_atual]]/tblTransfEstadual[[#This Row],[arrec_acum_ant]])-1,""),"")</f>
        <v>0.14083078468567289</v>
      </c>
      <c r="K5" s="3">
        <f>IFERROR(IF(tblTransfEstadual[[#This Row],[arrec_acum_atual]]&gt;0,(tblTransfEstadual[[#This Row],[arrec_acum_atual]]/tblTransfEstadual[[#This Row],[prev_acum_atual]])-1,""),"")</f>
        <v>9.0008693325542843E-2</v>
      </c>
      <c r="L5" s="7">
        <f>YEAR(tblTransfEstadual[[#This Row],[data_base]])</f>
        <v>2022</v>
      </c>
      <c r="M5">
        <f>MONTH(tblTransfEstadual[[#This Row],[data_base]])</f>
        <v>4</v>
      </c>
    </row>
    <row r="6" spans="1:13" x14ac:dyDescent="0.25">
      <c r="A6" s="1">
        <v>44712</v>
      </c>
      <c r="B6" s="4">
        <v>916299.49</v>
      </c>
      <c r="C6" s="4">
        <v>1150082.76</v>
      </c>
      <c r="D6" s="4">
        <v>904978.33</v>
      </c>
      <c r="E6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4452822.07</v>
      </c>
      <c r="F6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5184656.5900000008</v>
      </c>
      <c r="G6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4606392.6899999995</v>
      </c>
      <c r="H6" s="4">
        <f>IFERROR(IF(tblTransfEstadual[[#This Row],[arrec_acum_atual]]&gt;0,tblTransfEstadual[[#This Row],[arrec_acum_atual]]-tblTransfEstadual[[#This Row],[arrec_acum_ant]],""),"")</f>
        <v>731834.52000000048</v>
      </c>
      <c r="I6" s="4">
        <f>IFERROR(IF(tblTransfEstadual[[#This Row],[arrec_acum_atual]]&gt;0,tblTransfEstadual[[#This Row],[arrec_acum_atual]]-tblTransfEstadual[[#This Row],[prev_acum_atual]],""),"")</f>
        <v>578263.9000000013</v>
      </c>
      <c r="J6" s="3">
        <f>IFERROR(IF(tblTransfEstadual[[#This Row],[arrec_acum_atual]]&gt;0,(tblTransfEstadual[[#This Row],[arrec_acum_atual]]/tblTransfEstadual[[#This Row],[arrec_acum_ant]])-1,""),"")</f>
        <v>0.16435296728575555</v>
      </c>
      <c r="K6" s="3">
        <f>IFERROR(IF(tblTransfEstadual[[#This Row],[arrec_acum_atual]]&gt;0,(tblTransfEstadual[[#This Row],[arrec_acum_atual]]/tblTransfEstadual[[#This Row],[prev_acum_atual]])-1,""),"")</f>
        <v>0.12553508545968128</v>
      </c>
      <c r="L6" s="7">
        <f>YEAR(tblTransfEstadual[[#This Row],[data_base]])</f>
        <v>2022</v>
      </c>
      <c r="M6">
        <f>MONTH(tblTransfEstadual[[#This Row],[data_base]])</f>
        <v>5</v>
      </c>
    </row>
    <row r="7" spans="1:13" x14ac:dyDescent="0.25">
      <c r="A7" s="1">
        <v>44742</v>
      </c>
      <c r="B7" s="4">
        <v>982492.55</v>
      </c>
      <c r="C7" s="4">
        <v>869482.52</v>
      </c>
      <c r="D7" s="4">
        <v>841331.29</v>
      </c>
      <c r="E7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5435314.6200000001</v>
      </c>
      <c r="F7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6054139.1100000013</v>
      </c>
      <c r="G7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5447723.9799999995</v>
      </c>
      <c r="H7" s="4">
        <f>IFERROR(IF(tblTransfEstadual[[#This Row],[arrec_acum_atual]]&gt;0,tblTransfEstadual[[#This Row],[arrec_acum_atual]]-tblTransfEstadual[[#This Row],[arrec_acum_ant]],""),"")</f>
        <v>618824.49000000115</v>
      </c>
      <c r="I7" s="4">
        <f>IFERROR(IF(tblTransfEstadual[[#This Row],[arrec_acum_atual]]&gt;0,tblTransfEstadual[[#This Row],[arrec_acum_atual]]-tblTransfEstadual[[#This Row],[prev_acum_atual]],""),"")</f>
        <v>606415.13000000175</v>
      </c>
      <c r="J7" s="3">
        <f>IFERROR(IF(tblTransfEstadual[[#This Row],[arrec_acum_atual]]&gt;0,(tblTransfEstadual[[#This Row],[arrec_acum_atual]]/tblTransfEstadual[[#This Row],[arrec_acum_ant]])-1,""),"")</f>
        <v>0.11385256112368358</v>
      </c>
      <c r="K7" s="3">
        <f>IFERROR(IF(tblTransfEstadual[[#This Row],[arrec_acum_atual]]&gt;0,(tblTransfEstadual[[#This Row],[arrec_acum_atual]]/tblTransfEstadual[[#This Row],[prev_acum_atual]])-1,""),"")</f>
        <v>0.11131531851215448</v>
      </c>
      <c r="L7" s="7">
        <f>YEAR(tblTransfEstadual[[#This Row],[data_base]])</f>
        <v>2022</v>
      </c>
      <c r="M7">
        <f>MONTH(tblTransfEstadual[[#This Row],[data_base]])</f>
        <v>6</v>
      </c>
    </row>
    <row r="8" spans="1:13" x14ac:dyDescent="0.25">
      <c r="A8" s="1">
        <v>44773</v>
      </c>
      <c r="B8" s="4">
        <v>1368399.87</v>
      </c>
      <c r="C8" s="4">
        <v>907866.20999999985</v>
      </c>
      <c r="D8" s="4">
        <v>1074150.54</v>
      </c>
      <c r="E8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6803714.4900000002</v>
      </c>
      <c r="F8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6962005.3200000012</v>
      </c>
      <c r="G8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6521874.5199999996</v>
      </c>
      <c r="H8" s="4">
        <f>IFERROR(IF(tblTransfEstadual[[#This Row],[arrec_acum_atual]]&gt;0,tblTransfEstadual[[#This Row],[arrec_acum_atual]]-tblTransfEstadual[[#This Row],[arrec_acum_ant]],""),"")</f>
        <v>158290.83000000101</v>
      </c>
      <c r="I8" s="4">
        <f>IFERROR(IF(tblTransfEstadual[[#This Row],[arrec_acum_atual]]&gt;0,tblTransfEstadual[[#This Row],[arrec_acum_atual]]-tblTransfEstadual[[#This Row],[prev_acum_atual]],""),"")</f>
        <v>440130.80000000168</v>
      </c>
      <c r="J8" s="3">
        <f>IFERROR(IF(tblTransfEstadual[[#This Row],[arrec_acum_atual]]&gt;0,(tblTransfEstadual[[#This Row],[arrec_acum_atual]]/tblTransfEstadual[[#This Row],[arrec_acum_ant]])-1,""),"")</f>
        <v>2.3265354569574459E-2</v>
      </c>
      <c r="K8" s="3">
        <f>IFERROR(IF(tblTransfEstadual[[#This Row],[arrec_acum_atual]]&gt;0,(tblTransfEstadual[[#This Row],[arrec_acum_atual]]/tblTransfEstadual[[#This Row],[prev_acum_atual]])-1,""),"")</f>
        <v>6.7485321689384703E-2</v>
      </c>
      <c r="L8" s="7">
        <f>YEAR(tblTransfEstadual[[#This Row],[data_base]])</f>
        <v>2022</v>
      </c>
      <c r="M8">
        <f>MONTH(tblTransfEstadual[[#This Row],[data_base]])</f>
        <v>7</v>
      </c>
    </row>
    <row r="9" spans="1:13" x14ac:dyDescent="0.25">
      <c r="A9" s="1">
        <v>44804</v>
      </c>
      <c r="B9" s="4">
        <v>1013481.9</v>
      </c>
      <c r="C9" s="4">
        <v>888775.56</v>
      </c>
      <c r="D9" s="4">
        <v>908822.27</v>
      </c>
      <c r="E9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7817196.3900000006</v>
      </c>
      <c r="F9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7850780.8800000008</v>
      </c>
      <c r="G9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7430696.7899999991</v>
      </c>
      <c r="H9" s="4">
        <f>IFERROR(IF(tblTransfEstadual[[#This Row],[arrec_acum_atual]]&gt;0,tblTransfEstadual[[#This Row],[arrec_acum_atual]]-tblTransfEstadual[[#This Row],[arrec_acum_ant]],""),"")</f>
        <v>33584.490000000224</v>
      </c>
      <c r="I9" s="4">
        <f>IFERROR(IF(tblTransfEstadual[[#This Row],[arrec_acum_atual]]&gt;0,tblTransfEstadual[[#This Row],[arrec_acum_atual]]-tblTransfEstadual[[#This Row],[prev_acum_atual]],""),"")</f>
        <v>420084.09000000171</v>
      </c>
      <c r="J9" s="3">
        <f>IFERROR(IF(tblTransfEstadual[[#This Row],[arrec_acum_atual]]&gt;0,(tblTransfEstadual[[#This Row],[arrec_acum_atual]]/tblTransfEstadual[[#This Row],[arrec_acum_ant]])-1,""),"")</f>
        <v>4.2962320919763819E-3</v>
      </c>
      <c r="K9" s="3">
        <f>IFERROR(IF(tblTransfEstadual[[#This Row],[arrec_acum_atual]]&gt;0,(tblTransfEstadual[[#This Row],[arrec_acum_atual]]/tblTransfEstadual[[#This Row],[prev_acum_atual]])-1,""),"")</f>
        <v>5.6533606722499741E-2</v>
      </c>
      <c r="L9" s="7">
        <f>YEAR(tblTransfEstadual[[#This Row],[data_base]])</f>
        <v>2022</v>
      </c>
      <c r="M9">
        <f>MONTH(tblTransfEstadual[[#This Row],[data_base]])</f>
        <v>8</v>
      </c>
    </row>
    <row r="10" spans="1:13" x14ac:dyDescent="0.25">
      <c r="A10" s="1">
        <v>44834</v>
      </c>
      <c r="B10" s="4">
        <v>802789.39</v>
      </c>
      <c r="C10" s="4">
        <v>832228.24</v>
      </c>
      <c r="D10" s="4">
        <v>926194.04999999993</v>
      </c>
      <c r="E10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8619985.7800000012</v>
      </c>
      <c r="F10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8683009.120000001</v>
      </c>
      <c r="G10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8356890.8399999989</v>
      </c>
      <c r="H10" s="4">
        <f>IFERROR(IF(tblTransfEstadual[[#This Row],[arrec_acum_atual]]&gt;0,tblTransfEstadual[[#This Row],[arrec_acum_atual]]-tblTransfEstadual[[#This Row],[arrec_acum_ant]],""),"")</f>
        <v>63023.339999999851</v>
      </c>
      <c r="I10" s="4">
        <f>IFERROR(IF(tblTransfEstadual[[#This Row],[arrec_acum_atual]]&gt;0,tblTransfEstadual[[#This Row],[arrec_acum_atual]]-tblTransfEstadual[[#This Row],[prev_acum_atual]],""),"")</f>
        <v>326118.28000000212</v>
      </c>
      <c r="J10" s="3">
        <f>IFERROR(IF(tblTransfEstadual[[#This Row],[arrec_acum_atual]]&gt;0,(tblTransfEstadual[[#This Row],[arrec_acum_atual]]/tblTransfEstadual[[#This Row],[arrec_acum_ant]])-1,""),"")</f>
        <v>7.3113044044952336E-3</v>
      </c>
      <c r="K10" s="3">
        <f>IFERROR(IF(tblTransfEstadual[[#This Row],[arrec_acum_atual]]&gt;0,(tblTransfEstadual[[#This Row],[arrec_acum_atual]]/tblTransfEstadual[[#This Row],[prev_acum_atual]])-1,""),"")</f>
        <v>3.9023876970971871E-2</v>
      </c>
      <c r="L10" s="7">
        <f>YEAR(tblTransfEstadual[[#This Row],[data_base]])</f>
        <v>2022</v>
      </c>
      <c r="M10">
        <f>MONTH(tblTransfEstadual[[#This Row],[data_base]])</f>
        <v>9</v>
      </c>
    </row>
    <row r="11" spans="1:13" x14ac:dyDescent="0.25">
      <c r="A11" s="1">
        <v>44865</v>
      </c>
      <c r="B11" s="4">
        <v>994759.6</v>
      </c>
      <c r="C11" s="4">
        <v>812851.72999999986</v>
      </c>
      <c r="D11" s="4">
        <v>1013254.61</v>
      </c>
      <c r="E11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9614745.3800000008</v>
      </c>
      <c r="F11" s="4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>9495860.8500000015</v>
      </c>
      <c r="G11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9370145.4499999993</v>
      </c>
      <c r="H11" s="4">
        <f>IFERROR(IF(tblTransfEstadual[[#This Row],[arrec_acum_atual]]&gt;0,tblTransfEstadual[[#This Row],[arrec_acum_atual]]-tblTransfEstadual[[#This Row],[arrec_acum_ant]],""),"")</f>
        <v>-118884.52999999933</v>
      </c>
      <c r="I11" s="4">
        <f>IFERROR(IF(tblTransfEstadual[[#This Row],[arrec_acum_atual]]&gt;0,tblTransfEstadual[[#This Row],[arrec_acum_atual]]-tblTransfEstadual[[#This Row],[prev_acum_atual]],""),"")</f>
        <v>125715.40000000224</v>
      </c>
      <c r="J11" s="3">
        <f>IFERROR(IF(tblTransfEstadual[[#This Row],[arrec_acum_atual]]&gt;0,(tblTransfEstadual[[#This Row],[arrec_acum_atual]]/tblTransfEstadual[[#This Row],[arrec_acum_ant]])-1,""),"")</f>
        <v>-1.2364813138712516E-2</v>
      </c>
      <c r="K11" s="3">
        <f>IFERROR(IF(tblTransfEstadual[[#This Row],[arrec_acum_atual]]&gt;0,(tblTransfEstadual[[#This Row],[arrec_acum_atual]]/tblTransfEstadual[[#This Row],[prev_acum_atual]])-1,""),"")</f>
        <v>1.3416590027426123E-2</v>
      </c>
      <c r="L11" s="7">
        <f>YEAR(tblTransfEstadual[[#This Row],[data_base]])</f>
        <v>2022</v>
      </c>
      <c r="M11">
        <f>MONTH(tblTransfEstadual[[#This Row],[data_base]])</f>
        <v>10</v>
      </c>
    </row>
    <row r="12" spans="1:13" x14ac:dyDescent="0.25">
      <c r="A12" s="1">
        <v>44895</v>
      </c>
      <c r="B12" s="4">
        <v>1084729.8600000001</v>
      </c>
      <c r="C12" s="4"/>
      <c r="D12" s="4">
        <v>1051447.02</v>
      </c>
      <c r="E12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10699475.24</v>
      </c>
      <c r="F12" s="4" t="str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/>
      </c>
      <c r="G12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10421592.469999999</v>
      </c>
      <c r="H12" s="4" t="str">
        <f>IFERROR(IF(tblTransfEstadual[[#This Row],[arrec_acum_atual]]&gt;0,tblTransfEstadual[[#This Row],[arrec_acum_atual]]-tblTransfEstadual[[#This Row],[arrec_acum_ant]],""),"")</f>
        <v/>
      </c>
      <c r="I12" s="4" t="str">
        <f>IFERROR(IF(tblTransfEstadual[[#This Row],[arrec_acum_atual]]&gt;0,tblTransfEstadual[[#This Row],[arrec_acum_atual]]-tblTransfEstadual[[#This Row],[prev_acum_atual]],""),"")</f>
        <v/>
      </c>
      <c r="J12" s="3" t="str">
        <f>IFERROR(IF(tblTransfEstadual[[#This Row],[arrec_acum_atual]]&gt;0,(tblTransfEstadual[[#This Row],[arrec_acum_atual]]/tblTransfEstadual[[#This Row],[arrec_acum_ant]])-1,""),"")</f>
        <v/>
      </c>
      <c r="K12" s="3" t="str">
        <f>IFERROR(IF(tblTransfEstadual[[#This Row],[arrec_acum_atual]]&gt;0,(tblTransfEstadual[[#This Row],[arrec_acum_atual]]/tblTransfEstadual[[#This Row],[prev_acum_atual]])-1,""),"")</f>
        <v/>
      </c>
      <c r="L12" s="7">
        <f>YEAR(tblTransfEstadual[[#This Row],[data_base]])</f>
        <v>2022</v>
      </c>
      <c r="M12">
        <f>MONTH(tblTransfEstadual[[#This Row],[data_base]])</f>
        <v>11</v>
      </c>
    </row>
    <row r="13" spans="1:13" x14ac:dyDescent="0.25">
      <c r="A13" s="1">
        <v>44926</v>
      </c>
      <c r="B13" s="4">
        <v>1687933.66</v>
      </c>
      <c r="C13" s="4"/>
      <c r="D13" s="4">
        <v>1495962.11</v>
      </c>
      <c r="E13" s="4">
        <f>IF(tblTransfEstadual[[#This Row],[arrec_mes_ant]]&gt;0,SUMIFS(tblTransfEstadual[arrec_mes_ant],tblTransfEstadual[ano],YEAR(tblTransfEstadual[[#This Row],[data_base]]),tblTransfEstadual[mês],"&lt;="&amp;MONTH(tblTransfEstadual[[#This Row],[data_base]])),"")</f>
        <v>12387408.9</v>
      </c>
      <c r="F13" s="4" t="str">
        <f>IF(tblTransfEstadual[[#This Row],[arrec_mes_atual]]&gt;0,SUMIFS(tblTransfEstadual[arrec_mes_atual],tblTransfEstadual[ano],YEAR(tblTransfEstadual[[#This Row],[data_base]]),tblTransfEstadual[mês],"&lt;="&amp;MONTH(tblTransfEstadual[[#This Row],[data_base]])),"")</f>
        <v/>
      </c>
      <c r="G13" s="4">
        <f>IF(tblTransfEstadual[[#This Row],[prev_mes_atual]]&gt;0,SUMIFS(tblTransfEstadual[prev_mes_atual],tblTransfEstadual[ano],YEAR(tblTransfEstadual[[#This Row],[data_base]]),tblTransfEstadual[mês],"&lt;="&amp;MONTH(tblTransfEstadual[[#This Row],[data_base]])),"")</f>
        <v>11917554.579999998</v>
      </c>
      <c r="H13" s="4" t="str">
        <f>IFERROR(IF(tblTransfEstadual[[#This Row],[arrec_acum_atual]]&gt;0,tblTransfEstadual[[#This Row],[arrec_acum_atual]]-tblTransfEstadual[[#This Row],[arrec_acum_ant]],""),"")</f>
        <v/>
      </c>
      <c r="I13" s="4" t="str">
        <f>IFERROR(IF(tblTransfEstadual[[#This Row],[arrec_acum_atual]]&gt;0,tblTransfEstadual[[#This Row],[arrec_acum_atual]]-tblTransfEstadual[[#This Row],[prev_acum_atual]],""),"")</f>
        <v/>
      </c>
      <c r="J13" s="3" t="str">
        <f>IFERROR(IF(tblTransfEstadual[[#This Row],[arrec_acum_atual]]&gt;0,(tblTransfEstadual[[#This Row],[arrec_acum_atual]]/tblTransfEstadual[[#This Row],[arrec_acum_ant]])-1,""),"")</f>
        <v/>
      </c>
      <c r="K13" s="3" t="str">
        <f>IFERROR(IF(tblTransfEstadual[[#This Row],[arrec_acum_atual]]&gt;0,(tblTransfEstadual[[#This Row],[arrec_acum_atual]]/tblTransfEstadual[[#This Row],[prev_acum_atual]])-1,""),"")</f>
        <v/>
      </c>
      <c r="L13" s="7">
        <f>YEAR(tblTransfEstadual[[#This Row],[data_base]])</f>
        <v>2022</v>
      </c>
      <c r="M13">
        <f>MONTH(tblTransfEstadual[[#This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1E67-5582-4B30-9D96-A1509AF98EC0}">
  <dimension ref="A1:P13"/>
  <sheetViews>
    <sheetView workbookViewId="0">
      <selection activeCell="N2" sqref="N2"/>
    </sheetView>
  </sheetViews>
  <sheetFormatPr defaultRowHeight="15" x14ac:dyDescent="0.25"/>
  <cols>
    <col min="1" max="1" width="12.28515625" bestFit="1" customWidth="1"/>
    <col min="2" max="4" width="12.42578125" bestFit="1" customWidth="1"/>
    <col min="5" max="7" width="13.5703125" bestFit="1" customWidth="1"/>
    <col min="8" max="8" width="14.85546875" bestFit="1" customWidth="1"/>
    <col min="9" max="9" width="13.140625" bestFit="1" customWidth="1"/>
    <col min="10" max="10" width="17.28515625" bestFit="1" customWidth="1"/>
    <col min="11" max="11" width="15.5703125" bestFit="1" customWidth="1"/>
    <col min="12" max="12" width="13.5703125" bestFit="1" customWidth="1"/>
    <col min="13" max="13" width="17.7109375" bestFit="1" customWidth="1"/>
    <col min="14" max="14" width="16" bestFit="1" customWidth="1"/>
    <col min="15" max="15" width="6.5703125" bestFit="1" customWidth="1"/>
    <col min="16" max="16" width="7" bestFit="1" customWidth="1"/>
  </cols>
  <sheetData>
    <row r="1" spans="1:16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5</v>
      </c>
      <c r="P1" t="s">
        <v>6</v>
      </c>
    </row>
    <row r="2" spans="1:16" x14ac:dyDescent="0.25">
      <c r="A2" s="1">
        <v>44592</v>
      </c>
      <c r="B2" s="6">
        <v>5140471.8499999996</v>
      </c>
      <c r="C2" s="6">
        <v>1683791.7900000005</v>
      </c>
      <c r="D2" s="6">
        <v>2091873.6400000001</v>
      </c>
      <c r="E2" s="6">
        <f>IF(tblDespesaTotal[[#This Row],[emp_mes]]&gt;0,SUMIFS(tblDespesaTotal[emp_mes],tblDespesaTotal[ano],YEAR(tblDespesaTotal[[#This Row],[data_base]]),tblDespesaTotal[mês],"&lt;="&amp;MONTH(tblDespesaTotal[[#This Row],[data_base]])),"")</f>
        <v>5140471.8499999996</v>
      </c>
      <c r="F2" s="6">
        <f>IF(tblDespesaTotal[[#This Row],[liq_mes]]&gt;0,SUMIFS(tblDespesaTotal[liq_mes],tblDespesaTotal[ano],YEAR(tblDespesaTotal[[#This Row],[data_base]]),tblDespesaTotal[mês],"&lt;="&amp;MONTH(tblDespesaTotal[[#This Row],[data_base]])),"")</f>
        <v>1683791.7900000005</v>
      </c>
      <c r="G2" s="6">
        <f>IF(tblDespesaTotal[[#This Row],[prev_mes]]&gt;0,SUMIFS(tblDespesaTotal[prev_mes],tblDespesaTotal[ano],YEAR(tblDespesaTotal[[#This Row],[data_base]]),tblDespesaTotal[mês],"&lt;="&amp;MONTH(tblDespesaTotal[[#This Row],[data_base]])),"")</f>
        <v>2091873.6400000001</v>
      </c>
      <c r="H2" s="6">
        <f>IFERROR(IF(tblDespesaTotal[[#This Row],[emp_mes]]&gt;0,tblDespesaTotal[[#This Row],[emp_acum]]-tblDespesaTotal[[#This Row],[prev_acum]],""),"")</f>
        <v>3048598.2099999995</v>
      </c>
      <c r="I2" s="6">
        <f>IFERROR(IF(tblDespesaTotal[[#This Row],[liq_mes]]&gt;0,tblDespesaTotal[[#This Row],[liq_acum]]-tblDespesaTotal[[#This Row],[prev_acum]],""),"")</f>
        <v>-408081.84999999963</v>
      </c>
      <c r="J2" s="3">
        <f>IFERROR(IF(tblDespesaTotal[[#This Row],[emp_mes]]&gt;0,(tblDespesaTotal[[#This Row],[emp_acum]]/tblDespesaTotal[[#This Row],[prev_acum]])-1,""),"")</f>
        <v>1.457352945085153</v>
      </c>
      <c r="K2" s="3">
        <f>IFERROR(IF(tblDespesaTotal[[#This Row],[liq_mes]]&gt;0,(tblDespesaTotal[[#This Row],[liq_acum]]/tblDespesaTotal[[#This Row],[prev_acum]])-1,""),"")</f>
        <v>-0.19507958903292055</v>
      </c>
      <c r="L2" s="6">
        <f>INDEX(tblReceitaTotal[arrec_acum_atual],MATCH(tblDespesaTotal[[#This Row],[data_base]],tblReceitaTotal[data_base],0))</f>
        <v>2700638.48</v>
      </c>
      <c r="M2" s="3">
        <f>IFERROR(IF(tblDespesaTotal[[#This Row],[emp_acum]]&gt;0,tblDespesaTotal[[#This Row],[emp_acum]]/tblDespesaTotal[[#This Row],[arrec_acum]],""),"")</f>
        <v>1.9034283515059742</v>
      </c>
      <c r="N2" s="3">
        <f>IFERROR(IF(tblDespesaTotal[[#This Row],[liq_acum]]&gt;0,tblDespesaTotal[[#This Row],[liq_acum]]/tblDespesaTotal[[#This Row],[arrec_acum]],""),"")</f>
        <v>0.62347915223366013</v>
      </c>
      <c r="O2">
        <f>YEAR(tblDespesaTotal[[#This Row],[data_base]])</f>
        <v>2022</v>
      </c>
      <c r="P2">
        <f>MONTH(tblDespesaTotal[[#This Row],[data_base]])</f>
        <v>1</v>
      </c>
    </row>
    <row r="3" spans="1:16" x14ac:dyDescent="0.25">
      <c r="A3" s="1">
        <v>44620</v>
      </c>
      <c r="B3" s="6">
        <v>3224172.88</v>
      </c>
      <c r="C3" s="6">
        <v>2036357.9799999986</v>
      </c>
      <c r="D3" s="6">
        <v>2221486.5699999998</v>
      </c>
      <c r="E3" s="6">
        <f>IF(tblDespesaTotal[[#This Row],[emp_mes]]&gt;0,SUMIFS(tblDespesaTotal[emp_mes],tblDespesaTotal[ano],YEAR(tblDespesaTotal[[#This Row],[data_base]]),tblDespesaTotal[mês],"&lt;="&amp;MONTH(tblDespesaTotal[[#This Row],[data_base]])),"")</f>
        <v>8364644.7299999995</v>
      </c>
      <c r="F3" s="6">
        <f>IF(tblDespesaTotal[[#This Row],[liq_mes]]&gt;0,SUMIFS(tblDespesaTotal[liq_mes],tblDespesaTotal[ano],YEAR(tblDespesaTotal[[#This Row],[data_base]]),tblDespesaTotal[mês],"&lt;="&amp;MONTH(tblDespesaTotal[[#This Row],[data_base]])),"")</f>
        <v>3720149.7699999991</v>
      </c>
      <c r="G3" s="6">
        <f>IF(tblDespesaTotal[[#This Row],[prev_mes]]&gt;0,SUMIFS(tblDespesaTotal[prev_mes],tblDespesaTotal[ano],YEAR(tblDespesaTotal[[#This Row],[data_base]]),tblDespesaTotal[mês],"&lt;="&amp;MONTH(tblDespesaTotal[[#This Row],[data_base]])),"")</f>
        <v>4313360.21</v>
      </c>
      <c r="H3" s="6">
        <f>IFERROR(IF(tblDespesaTotal[[#This Row],[emp_mes]]&gt;0,tblDespesaTotal[[#This Row],[emp_acum]]-tblDespesaTotal[[#This Row],[prev_acum]],""),"")</f>
        <v>4051284.5199999996</v>
      </c>
      <c r="I3" s="6">
        <f>IFERROR(IF(tblDespesaTotal[[#This Row],[liq_mes]]&gt;0,tblDespesaTotal[[#This Row],[liq_acum]]-tblDespesaTotal[[#This Row],[prev_acum]],""),"")</f>
        <v>-593210.44000000088</v>
      </c>
      <c r="J3" s="3">
        <f>IFERROR(IF(tblDespesaTotal[[#This Row],[emp_mes]]&gt;0,(tblDespesaTotal[[#This Row],[emp_acum]]/tblDespesaTotal[[#This Row],[prev_acum]])-1,""),"")</f>
        <v>0.93924094505429667</v>
      </c>
      <c r="K3" s="3">
        <f>IFERROR(IF(tblDespesaTotal[[#This Row],[liq_mes]]&gt;0,(tblDespesaTotal[[#This Row],[liq_acum]]/tblDespesaTotal[[#This Row],[prev_acum]])-1,""),"")</f>
        <v>-0.13752861136538397</v>
      </c>
      <c r="L3" s="6">
        <f>INDEX(tblReceitaTotal[arrec_acum_atual],MATCH(tblDespesaTotal[[#This Row],[data_base]],tblReceitaTotal[data_base],0))</f>
        <v>5625551.620000001</v>
      </c>
      <c r="M3" s="3">
        <f>IFERROR(IF(tblDespesaTotal[[#This Row],[emp_acum]]&gt;0,tblDespesaTotal[[#This Row],[emp_acum]]/tblDespesaTotal[[#This Row],[arrec_acum]],""),"")</f>
        <v>1.4869021377853782</v>
      </c>
      <c r="N3" s="3">
        <f>IFERROR(IF(tblDespesaTotal[[#This Row],[liq_acum]]&gt;0,tblDespesaTotal[[#This Row],[liq_acum]]/tblDespesaTotal[[#This Row],[arrec_acum]],""),"")</f>
        <v>0.66129510869193631</v>
      </c>
      <c r="O3">
        <f>YEAR(tblDespesaTotal[[#This Row],[data_base]])</f>
        <v>2022</v>
      </c>
      <c r="P3">
        <f>MONTH(tblDespesaTotal[[#This Row],[data_base]])</f>
        <v>2</v>
      </c>
    </row>
    <row r="4" spans="1:16" x14ac:dyDescent="0.25">
      <c r="A4" s="1">
        <v>44651</v>
      </c>
      <c r="B4" s="6">
        <v>3639267.2599999956</v>
      </c>
      <c r="C4" s="6">
        <v>2339784.9399999981</v>
      </c>
      <c r="D4" s="6">
        <v>2365081.0299999993</v>
      </c>
      <c r="E4" s="6">
        <f>IF(tblDespesaTotal[[#This Row],[emp_mes]]&gt;0,SUMIFS(tblDespesaTotal[emp_mes],tblDespesaTotal[ano],YEAR(tblDespesaTotal[[#This Row],[data_base]]),tblDespesaTotal[mês],"&lt;="&amp;MONTH(tblDespesaTotal[[#This Row],[data_base]])),"")</f>
        <v>12003911.989999995</v>
      </c>
      <c r="F4" s="6">
        <f>IF(tblDespesaTotal[[#This Row],[liq_mes]]&gt;0,SUMIFS(tblDespesaTotal[liq_mes],tblDespesaTotal[ano],YEAR(tblDespesaTotal[[#This Row],[data_base]]),tblDespesaTotal[mês],"&lt;="&amp;MONTH(tblDespesaTotal[[#This Row],[data_base]])),"")</f>
        <v>6059934.7099999972</v>
      </c>
      <c r="G4" s="6">
        <f>IF(tblDespesaTotal[[#This Row],[prev_mes]]&gt;0,SUMIFS(tblDespesaTotal[prev_mes],tblDespesaTotal[ano],YEAR(tblDespesaTotal[[#This Row],[data_base]]),tblDespesaTotal[mês],"&lt;="&amp;MONTH(tblDespesaTotal[[#This Row],[data_base]])),"")</f>
        <v>6678441.2399999993</v>
      </c>
      <c r="H4" s="6">
        <f>IFERROR(IF(tblDespesaTotal[[#This Row],[emp_mes]]&gt;0,tblDespesaTotal[[#This Row],[emp_acum]]-tblDespesaTotal[[#This Row],[prev_acum]],""),"")</f>
        <v>5325470.7499999953</v>
      </c>
      <c r="I4" s="6">
        <f>IFERROR(IF(tblDespesaTotal[[#This Row],[liq_mes]]&gt;0,tblDespesaTotal[[#This Row],[liq_acum]]-tblDespesaTotal[[#This Row],[prev_acum]],""),"")</f>
        <v>-618506.53000000212</v>
      </c>
      <c r="J4" s="3">
        <f>IFERROR(IF(tblDespesaTotal[[#This Row],[emp_mes]]&gt;0,(tblDespesaTotal[[#This Row],[emp_acum]]/tblDespesaTotal[[#This Row],[prev_acum]])-1,""),"")</f>
        <v>0.79741223417576945</v>
      </c>
      <c r="K4" s="3">
        <f>IFERROR(IF(tblDespesaTotal[[#This Row],[liq_mes]]&gt;0,(tblDespesaTotal[[#This Row],[liq_acum]]/tblDespesaTotal[[#This Row],[prev_acum]])-1,""),"")</f>
        <v>-9.2612408760221698E-2</v>
      </c>
      <c r="L4" s="6">
        <f>INDEX(tblReceitaTotal[arrec_acum_atual],MATCH(tblDespesaTotal[[#This Row],[data_base]],tblReceitaTotal[data_base],0))</f>
        <v>8417137.5300000012</v>
      </c>
      <c r="M4" s="3">
        <f>IFERROR(IF(tblDespesaTotal[[#This Row],[emp_acum]]&gt;0,tblDespesaTotal[[#This Row],[emp_acum]]/tblDespesaTotal[[#This Row],[arrec_acum]],""),"")</f>
        <v>1.4261275816411654</v>
      </c>
      <c r="N4" s="3">
        <f>IFERROR(IF(tblDespesaTotal[[#This Row],[liq_acum]]&gt;0,tblDespesaTotal[[#This Row],[liq_acum]]/tblDespesaTotal[[#This Row],[arrec_acum]],""),"")</f>
        <v>0.71995196566545783</v>
      </c>
      <c r="O4">
        <f>YEAR(tblDespesaTotal[[#This Row],[data_base]])</f>
        <v>2022</v>
      </c>
      <c r="P4">
        <f>MONTH(tblDespesaTotal[[#This Row],[data_base]])</f>
        <v>3</v>
      </c>
    </row>
    <row r="5" spans="1:16" x14ac:dyDescent="0.25">
      <c r="A5" s="1">
        <v>44681</v>
      </c>
      <c r="B5" s="6">
        <v>2700538.9999999977</v>
      </c>
      <c r="C5" s="6">
        <v>2687032.0499999993</v>
      </c>
      <c r="D5" s="6">
        <v>2587414.2799999998</v>
      </c>
      <c r="E5" s="6">
        <f>IF(tblDespesaTotal[[#This Row],[emp_mes]]&gt;0,SUMIFS(tblDespesaTotal[emp_mes],tblDespesaTotal[ano],YEAR(tblDespesaTotal[[#This Row],[data_base]]),tblDespesaTotal[mês],"&lt;="&amp;MONTH(tblDespesaTotal[[#This Row],[data_base]])),"")</f>
        <v>14704450.989999993</v>
      </c>
      <c r="F5" s="6">
        <f>IF(tblDespesaTotal[[#This Row],[liq_mes]]&gt;0,SUMIFS(tblDespesaTotal[liq_mes],tblDespesaTotal[ano],YEAR(tblDespesaTotal[[#This Row],[data_base]]),tblDespesaTotal[mês],"&lt;="&amp;MONTH(tblDespesaTotal[[#This Row],[data_base]])),"")</f>
        <v>8746966.7599999961</v>
      </c>
      <c r="G5" s="6">
        <f>IF(tblDespesaTotal[[#This Row],[prev_mes]]&gt;0,SUMIFS(tblDespesaTotal[prev_mes],tblDespesaTotal[ano],YEAR(tblDespesaTotal[[#This Row],[data_base]]),tblDespesaTotal[mês],"&lt;="&amp;MONTH(tblDespesaTotal[[#This Row],[data_base]])),"")</f>
        <v>9265855.5199999996</v>
      </c>
      <c r="H5" s="6">
        <f>IFERROR(IF(tblDespesaTotal[[#This Row],[emp_mes]]&gt;0,tblDespesaTotal[[#This Row],[emp_acum]]-tblDespesaTotal[[#This Row],[prev_acum]],""),"")</f>
        <v>5438595.4699999932</v>
      </c>
      <c r="I5" s="6">
        <f>IFERROR(IF(tblDespesaTotal[[#This Row],[liq_mes]]&gt;0,tblDespesaTotal[[#This Row],[liq_acum]]-tblDespesaTotal[[#This Row],[prev_acum]],""),"")</f>
        <v>-518888.7600000035</v>
      </c>
      <c r="J5" s="3">
        <f>IFERROR(IF(tblDespesaTotal[[#This Row],[emp_mes]]&gt;0,(tblDespesaTotal[[#This Row],[emp_acum]]/tblDespesaTotal[[#This Row],[prev_acum]])-1,""),"")</f>
        <v>0.58695016971298442</v>
      </c>
      <c r="K5" s="3">
        <f>IFERROR(IF(tblDespesaTotal[[#This Row],[liq_mes]]&gt;0,(tblDespesaTotal[[#This Row],[liq_acum]]/tblDespesaTotal[[#This Row],[prev_acum]])-1,""),"")</f>
        <v>-5.600009182962129E-2</v>
      </c>
      <c r="L5" s="6">
        <f>INDEX(tblReceitaTotal[arrec_acum_atual],MATCH(tblDespesaTotal[[#This Row],[data_base]],tblReceitaTotal[data_base],0))</f>
        <v>11452833.530000001</v>
      </c>
      <c r="M5" s="3">
        <f>IFERROR(IF(tblDespesaTotal[[#This Row],[emp_acum]]&gt;0,tblDespesaTotal[[#This Row],[emp_acum]]/tblDespesaTotal[[#This Row],[arrec_acum]],""),"")</f>
        <v>1.2839137975316395</v>
      </c>
      <c r="N5" s="3">
        <f>IFERROR(IF(tblDespesaTotal[[#This Row],[liq_acum]]&gt;0,tblDespesaTotal[[#This Row],[liq_acum]]/tblDespesaTotal[[#This Row],[arrec_acum]],""),"")</f>
        <v>0.7637382257489248</v>
      </c>
      <c r="O5">
        <f>YEAR(tblDespesaTotal[[#This Row],[data_base]])</f>
        <v>2022</v>
      </c>
      <c r="P5">
        <f>MONTH(tblDespesaTotal[[#This Row],[data_base]])</f>
        <v>4</v>
      </c>
    </row>
    <row r="6" spans="1:16" x14ac:dyDescent="0.25">
      <c r="A6" s="1">
        <v>44712</v>
      </c>
      <c r="B6" s="6">
        <v>2666780.9000000008</v>
      </c>
      <c r="C6" s="6">
        <v>2911893.8700000006</v>
      </c>
      <c r="D6" s="6">
        <v>2617965.0199999996</v>
      </c>
      <c r="E6" s="6">
        <f>IF(tblDespesaTotal[[#This Row],[emp_mes]]&gt;0,SUMIFS(tblDespesaTotal[emp_mes],tblDespesaTotal[ano],YEAR(tblDespesaTotal[[#This Row],[data_base]]),tblDespesaTotal[mês],"&lt;="&amp;MONTH(tblDespesaTotal[[#This Row],[data_base]])),"")</f>
        <v>17371231.889999993</v>
      </c>
      <c r="F6" s="6">
        <f>IF(tblDespesaTotal[[#This Row],[liq_mes]]&gt;0,SUMIFS(tblDespesaTotal[liq_mes],tblDespesaTotal[ano],YEAR(tblDespesaTotal[[#This Row],[data_base]]),tblDespesaTotal[mês],"&lt;="&amp;MONTH(tblDespesaTotal[[#This Row],[data_base]])),"")</f>
        <v>11658860.629999997</v>
      </c>
      <c r="G6" s="6">
        <f>IF(tblDespesaTotal[[#This Row],[prev_mes]]&gt;0,SUMIFS(tblDespesaTotal[prev_mes],tblDespesaTotal[ano],YEAR(tblDespesaTotal[[#This Row],[data_base]]),tblDespesaTotal[mês],"&lt;="&amp;MONTH(tblDespesaTotal[[#This Row],[data_base]])),"")</f>
        <v>11883820.539999999</v>
      </c>
      <c r="H6" s="6">
        <f>IFERROR(IF(tblDespesaTotal[[#This Row],[emp_mes]]&gt;0,tblDespesaTotal[[#This Row],[emp_acum]]-tblDespesaTotal[[#This Row],[prev_acum]],""),"")</f>
        <v>5487411.349999994</v>
      </c>
      <c r="I6" s="6">
        <f>IFERROR(IF(tblDespesaTotal[[#This Row],[liq_mes]]&gt;0,tblDespesaTotal[[#This Row],[liq_acum]]-tblDespesaTotal[[#This Row],[prev_acum]],""),"")</f>
        <v>-224959.91000000201</v>
      </c>
      <c r="J6" s="3">
        <f>IFERROR(IF(tblDespesaTotal[[#This Row],[emp_mes]]&gt;0,(tblDespesaTotal[[#This Row],[emp_acum]]/tblDespesaTotal[[#This Row],[prev_acum]])-1,""),"")</f>
        <v>0.46175481458423251</v>
      </c>
      <c r="K6" s="3">
        <f>IFERROR(IF(tblDespesaTotal[[#This Row],[liq_mes]]&gt;0,(tblDespesaTotal[[#This Row],[liq_acum]]/tblDespesaTotal[[#This Row],[prev_acum]])-1,""),"")</f>
        <v>-1.8929931602619243E-2</v>
      </c>
      <c r="L6" s="6">
        <f>INDEX(tblReceitaTotal[arrec_acum_atual],MATCH(tblDespesaTotal[[#This Row],[data_base]],tblReceitaTotal[data_base],0))</f>
        <v>15050552.600000001</v>
      </c>
      <c r="M6" s="3">
        <f>IFERROR(IF(tblDespesaTotal[[#This Row],[emp_acum]]&gt;0,tblDespesaTotal[[#This Row],[emp_acum]]/tblDespesaTotal[[#This Row],[arrec_acum]],""),"")</f>
        <v>1.1541922978960912</v>
      </c>
      <c r="N6" s="3">
        <f>IFERROR(IF(tblDespesaTotal[[#This Row],[liq_acum]]&gt;0,tblDespesaTotal[[#This Row],[liq_acum]]/tblDespesaTotal[[#This Row],[arrec_acum]],""),"")</f>
        <v>0.77464668174376505</v>
      </c>
      <c r="O6">
        <f>YEAR(tblDespesaTotal[[#This Row],[data_base]])</f>
        <v>2022</v>
      </c>
      <c r="P6">
        <f>MONTH(tblDespesaTotal[[#This Row],[data_base]])</f>
        <v>5</v>
      </c>
    </row>
    <row r="7" spans="1:16" x14ac:dyDescent="0.25">
      <c r="A7" s="1">
        <v>44742</v>
      </c>
      <c r="B7" s="6">
        <v>2316389.6500000008</v>
      </c>
      <c r="C7" s="6">
        <v>2784787.9100000015</v>
      </c>
      <c r="D7" s="6">
        <v>2452672.8999999994</v>
      </c>
      <c r="E7" s="6">
        <f>IF(tblDespesaTotal[[#This Row],[emp_mes]]&gt;0,SUMIFS(tblDespesaTotal[emp_mes],tblDespesaTotal[ano],YEAR(tblDespesaTotal[[#This Row],[data_base]]),tblDespesaTotal[mês],"&lt;="&amp;MONTH(tblDespesaTotal[[#This Row],[data_base]])),"")</f>
        <v>19687621.539999995</v>
      </c>
      <c r="F7" s="6">
        <f>IF(tblDespesaTotal[[#This Row],[liq_mes]]&gt;0,SUMIFS(tblDespesaTotal[liq_mes],tblDespesaTotal[ano],YEAR(tblDespesaTotal[[#This Row],[data_base]]),tblDespesaTotal[mês],"&lt;="&amp;MONTH(tblDespesaTotal[[#This Row],[data_base]])),"")</f>
        <v>14443648.539999999</v>
      </c>
      <c r="G7" s="6">
        <f>IF(tblDespesaTotal[[#This Row],[prev_mes]]&gt;0,SUMIFS(tblDespesaTotal[prev_mes],tblDespesaTotal[ano],YEAR(tblDespesaTotal[[#This Row],[data_base]]),tblDespesaTotal[mês],"&lt;="&amp;MONTH(tblDespesaTotal[[#This Row],[data_base]])),"")</f>
        <v>14336493.439999998</v>
      </c>
      <c r="H7" s="6">
        <f>IFERROR(IF(tblDespesaTotal[[#This Row],[emp_mes]]&gt;0,tblDespesaTotal[[#This Row],[emp_acum]]-tblDespesaTotal[[#This Row],[prev_acum]],""),"")</f>
        <v>5351128.0999999978</v>
      </c>
      <c r="I7" s="6">
        <f>IFERROR(IF(tblDespesaTotal[[#This Row],[liq_mes]]&gt;0,tblDespesaTotal[[#This Row],[liq_acum]]-tblDespesaTotal[[#This Row],[prev_acum]],""),"")</f>
        <v>107155.10000000149</v>
      </c>
      <c r="J7" s="3">
        <f>IFERROR(IF(tblDespesaTotal[[#This Row],[emp_mes]]&gt;0,(tblDespesaTotal[[#This Row],[emp_acum]]/tblDespesaTotal[[#This Row],[prev_acum]])-1,""),"")</f>
        <v>0.37325222673139224</v>
      </c>
      <c r="K7" s="3">
        <f>IFERROR(IF(tblDespesaTotal[[#This Row],[liq_mes]]&gt;0,(tblDespesaTotal[[#This Row],[liq_acum]]/tblDespesaTotal[[#This Row],[prev_acum]])-1,""),"")</f>
        <v>7.4742893336128269E-3</v>
      </c>
      <c r="L7" s="6">
        <f>INDEX(tblReceitaTotal[arrec_acum_atual],MATCH(tblDespesaTotal[[#This Row],[data_base]],tblReceitaTotal[data_base],0))</f>
        <v>18344047.780000001</v>
      </c>
      <c r="M7" s="3">
        <f>IFERROR(IF(tblDespesaTotal[[#This Row],[emp_acum]]&gt;0,tblDespesaTotal[[#This Row],[emp_acum]]/tblDespesaTotal[[#This Row],[arrec_acum]],""),"")</f>
        <v>1.0732430364395831</v>
      </c>
      <c r="N7" s="3">
        <f>IFERROR(IF(tblDespesaTotal[[#This Row],[liq_acum]]&gt;0,tblDespesaTotal[[#This Row],[liq_acum]]/tblDespesaTotal[[#This Row],[arrec_acum]],""),"")</f>
        <v>0.78737521365090979</v>
      </c>
      <c r="O7">
        <f>YEAR(tblDespesaTotal[[#This Row],[data_base]])</f>
        <v>2022</v>
      </c>
      <c r="P7">
        <f>MONTH(tblDespesaTotal[[#This Row],[data_base]])</f>
        <v>6</v>
      </c>
    </row>
    <row r="8" spans="1:16" x14ac:dyDescent="0.25">
      <c r="A8" s="1">
        <v>44773</v>
      </c>
      <c r="B8" s="6">
        <v>3896244.4699999979</v>
      </c>
      <c r="C8" s="6">
        <v>3317791.1799999978</v>
      </c>
      <c r="D8" s="6">
        <v>2996649.08</v>
      </c>
      <c r="E8" s="6">
        <f>IF(tblDespesaTotal[[#This Row],[emp_mes]]&gt;0,SUMIFS(tblDespesaTotal[emp_mes],tblDespesaTotal[ano],YEAR(tblDespesaTotal[[#This Row],[data_base]]),tblDespesaTotal[mês],"&lt;="&amp;MONTH(tblDespesaTotal[[#This Row],[data_base]])),"")</f>
        <v>23583866.009999994</v>
      </c>
      <c r="F8" s="6">
        <f>IF(tblDespesaTotal[[#This Row],[liq_mes]]&gt;0,SUMIFS(tblDespesaTotal[liq_mes],tblDespesaTotal[ano],YEAR(tblDespesaTotal[[#This Row],[data_base]]),tblDespesaTotal[mês],"&lt;="&amp;MONTH(tblDespesaTotal[[#This Row],[data_base]])),"")</f>
        <v>17761439.719999999</v>
      </c>
      <c r="G8" s="6">
        <f>IF(tblDespesaTotal[[#This Row],[prev_mes]]&gt;0,SUMIFS(tblDespesaTotal[prev_mes],tblDespesaTotal[ano],YEAR(tblDespesaTotal[[#This Row],[data_base]]),tblDespesaTotal[mês],"&lt;="&amp;MONTH(tblDespesaTotal[[#This Row],[data_base]])),"")</f>
        <v>17333142.519999996</v>
      </c>
      <c r="H8" s="6">
        <f>IFERROR(IF(tblDespesaTotal[[#This Row],[emp_mes]]&gt;0,tblDespesaTotal[[#This Row],[emp_acum]]-tblDespesaTotal[[#This Row],[prev_acum]],""),"")</f>
        <v>6250723.4899999984</v>
      </c>
      <c r="I8" s="6">
        <f>IFERROR(IF(tblDespesaTotal[[#This Row],[liq_mes]]&gt;0,tblDespesaTotal[[#This Row],[liq_acum]]-tblDespesaTotal[[#This Row],[prev_acum]],""),"")</f>
        <v>428297.20000000298</v>
      </c>
      <c r="J8" s="3">
        <f>IFERROR(IF(tblDespesaTotal[[#This Row],[emp_mes]]&gt;0,(tblDespesaTotal[[#This Row],[emp_acum]]/tblDespesaTotal[[#This Row],[prev_acum]])-1,""),"")</f>
        <v>0.3606226327849984</v>
      </c>
      <c r="K8" s="3">
        <f>IFERROR(IF(tblDespesaTotal[[#This Row],[liq_mes]]&gt;0,(tblDespesaTotal[[#This Row],[liq_acum]]/tblDespesaTotal[[#This Row],[prev_acum]])-1,""),"")</f>
        <v>2.4709725862220866E-2</v>
      </c>
      <c r="L8" s="6">
        <f>INDEX(tblReceitaTotal[arrec_acum_atual],MATCH(tblDespesaTotal[[#This Row],[data_base]],tblReceitaTotal[data_base],0))</f>
        <v>22790756.460000001</v>
      </c>
      <c r="M8" s="3">
        <f>IFERROR(IF(tblDespesaTotal[[#This Row],[emp_acum]]&gt;0,tblDespesaTotal[[#This Row],[emp_acum]]/tblDespesaTotal[[#This Row],[arrec_acum]],""),"")</f>
        <v>1.0347996149839072</v>
      </c>
      <c r="N8" s="3">
        <f>IFERROR(IF(tblDespesaTotal[[#This Row],[liq_acum]]&gt;0,tblDespesaTotal[[#This Row],[liq_acum]]/tblDespesaTotal[[#This Row],[arrec_acum]],""),"")</f>
        <v>0.77932646734096156</v>
      </c>
      <c r="O8">
        <f>YEAR(tblDespesaTotal[[#This Row],[data_base]])</f>
        <v>2022</v>
      </c>
      <c r="P8">
        <f>MONTH(tblDespesaTotal[[#This Row],[data_base]])</f>
        <v>7</v>
      </c>
    </row>
    <row r="9" spans="1:16" x14ac:dyDescent="0.25">
      <c r="A9" s="1">
        <v>44804</v>
      </c>
      <c r="B9" s="6">
        <v>4904121.0700000012</v>
      </c>
      <c r="C9" s="6">
        <v>3860058.5800000005</v>
      </c>
      <c r="D9" s="6">
        <v>2723567.89</v>
      </c>
      <c r="E9" s="6">
        <f>IF(tblDespesaTotal[[#This Row],[emp_mes]]&gt;0,SUMIFS(tblDespesaTotal[emp_mes],tblDespesaTotal[ano],YEAR(tblDespesaTotal[[#This Row],[data_base]]),tblDespesaTotal[mês],"&lt;="&amp;MONTH(tblDespesaTotal[[#This Row],[data_base]])),"")</f>
        <v>28487987.079999994</v>
      </c>
      <c r="F9" s="6">
        <f>IF(tblDespesaTotal[[#This Row],[liq_mes]]&gt;0,SUMIFS(tblDespesaTotal[liq_mes],tblDespesaTotal[ano],YEAR(tblDespesaTotal[[#This Row],[data_base]]),tblDespesaTotal[mês],"&lt;="&amp;MONTH(tblDespesaTotal[[#This Row],[data_base]])),"")</f>
        <v>21621498.300000001</v>
      </c>
      <c r="G9" s="6">
        <f>IF(tblDespesaTotal[[#This Row],[prev_mes]]&gt;0,SUMIFS(tblDespesaTotal[prev_mes],tblDespesaTotal[ano],YEAR(tblDespesaTotal[[#This Row],[data_base]]),tblDespesaTotal[mês],"&lt;="&amp;MONTH(tblDespesaTotal[[#This Row],[data_base]])),"")</f>
        <v>20056710.409999996</v>
      </c>
      <c r="H9" s="6">
        <f>IFERROR(IF(tblDespesaTotal[[#This Row],[emp_mes]]&gt;0,tblDespesaTotal[[#This Row],[emp_acum]]-tblDespesaTotal[[#This Row],[prev_acum]],""),"")</f>
        <v>8431276.6699999981</v>
      </c>
      <c r="I9" s="6">
        <f>IFERROR(IF(tblDespesaTotal[[#This Row],[liq_mes]]&gt;0,tblDespesaTotal[[#This Row],[liq_acum]]-tblDespesaTotal[[#This Row],[prev_acum]],""),"")</f>
        <v>1564787.8900000043</v>
      </c>
      <c r="J9" s="3">
        <f>IFERROR(IF(tblDespesaTotal[[#This Row],[emp_mes]]&gt;0,(tblDespesaTotal[[#This Row],[emp_acum]]/tblDespesaTotal[[#This Row],[prev_acum]])-1,""),"")</f>
        <v>0.42037186047200836</v>
      </c>
      <c r="K9" s="3">
        <f>IFERROR(IF(tblDespesaTotal[[#This Row],[liq_mes]]&gt;0,(tblDespesaTotal[[#This Row],[liq_acum]]/tblDespesaTotal[[#This Row],[prev_acum]])-1,""),"")</f>
        <v>7.8018172372864347E-2</v>
      </c>
      <c r="L9" s="6">
        <f>INDEX(tblReceitaTotal[arrec_acum_atual],MATCH(tblDespesaTotal[[#This Row],[data_base]],tblReceitaTotal[data_base],0))</f>
        <v>25735374.109999999</v>
      </c>
      <c r="M9" s="3">
        <f>IFERROR(IF(tblDespesaTotal[[#This Row],[emp_acum]]&gt;0,tblDespesaTotal[[#This Row],[emp_acum]]/tblDespesaTotal[[#This Row],[arrec_acum]],""),"")</f>
        <v>1.1069583429498471</v>
      </c>
      <c r="N9" s="3">
        <f>IFERROR(IF(tblDespesaTotal[[#This Row],[liq_acum]]&gt;0,tblDespesaTotal[[#This Row],[liq_acum]]/tblDespesaTotal[[#This Row],[arrec_acum]],""),"")</f>
        <v>0.84014703682114067</v>
      </c>
      <c r="O9">
        <f>YEAR(tblDespesaTotal[[#This Row],[data_base]])</f>
        <v>2022</v>
      </c>
      <c r="P9">
        <f>MONTH(tblDespesaTotal[[#This Row],[data_base]])</f>
        <v>8</v>
      </c>
    </row>
    <row r="10" spans="1:16" x14ac:dyDescent="0.25">
      <c r="A10" s="1">
        <v>44834</v>
      </c>
      <c r="B10" s="6">
        <v>2984580.4299999969</v>
      </c>
      <c r="C10" s="6">
        <v>3451390.7099999967</v>
      </c>
      <c r="D10" s="6">
        <v>2818030.7799999993</v>
      </c>
      <c r="E10" s="6">
        <f>IF(tblDespesaTotal[[#This Row],[emp_mes]]&gt;0,SUMIFS(tblDespesaTotal[emp_mes],tblDespesaTotal[ano],YEAR(tblDespesaTotal[[#This Row],[data_base]]),tblDespesaTotal[mês],"&lt;="&amp;MONTH(tblDespesaTotal[[#This Row],[data_base]])),"")</f>
        <v>31472567.50999999</v>
      </c>
      <c r="F10" s="6">
        <f>IF(tblDespesaTotal[[#This Row],[liq_mes]]&gt;0,SUMIFS(tblDespesaTotal[liq_mes],tblDespesaTotal[ano],YEAR(tblDespesaTotal[[#This Row],[data_base]]),tblDespesaTotal[mês],"&lt;="&amp;MONTH(tblDespesaTotal[[#This Row],[data_base]])),"")</f>
        <v>25072889.009999998</v>
      </c>
      <c r="G10" s="6">
        <f>IF(tblDespesaTotal[[#This Row],[prev_mes]]&gt;0,SUMIFS(tblDespesaTotal[prev_mes],tblDespesaTotal[ano],YEAR(tblDespesaTotal[[#This Row],[data_base]]),tblDespesaTotal[mês],"&lt;="&amp;MONTH(tblDespesaTotal[[#This Row],[data_base]])),"")</f>
        <v>22874741.189999998</v>
      </c>
      <c r="H10" s="6">
        <f>IFERROR(IF(tblDespesaTotal[[#This Row],[emp_mes]]&gt;0,tblDespesaTotal[[#This Row],[emp_acum]]-tblDespesaTotal[[#This Row],[prev_acum]],""),"")</f>
        <v>8597826.3199999928</v>
      </c>
      <c r="I10" s="6">
        <f>IFERROR(IF(tblDespesaTotal[[#This Row],[liq_mes]]&gt;0,tblDespesaTotal[[#This Row],[liq_acum]]-tblDespesaTotal[[#This Row],[prev_acum]],""),"")</f>
        <v>2198147.8200000003</v>
      </c>
      <c r="J10" s="3">
        <f>IFERROR(IF(tblDespesaTotal[[#This Row],[emp_mes]]&gt;0,(tblDespesaTotal[[#This Row],[emp_acum]]/tblDespesaTotal[[#This Row],[prev_acum]])-1,""),"")</f>
        <v>0.37586551247008848</v>
      </c>
      <c r="K10" s="3">
        <f>IFERROR(IF(tblDespesaTotal[[#This Row],[liq_mes]]&gt;0,(tblDespesaTotal[[#This Row],[liq_acum]]/tblDespesaTotal[[#This Row],[prev_acum]])-1,""),"")</f>
        <v>9.6094980998558732E-2</v>
      </c>
      <c r="L10" s="6">
        <f>INDEX(tblReceitaTotal[arrec_acum_atual],MATCH(tblDespesaTotal[[#This Row],[data_base]],tblReceitaTotal[data_base],0))</f>
        <v>28590405.440000001</v>
      </c>
      <c r="M10" s="3">
        <f>IFERROR(IF(tblDespesaTotal[[#This Row],[emp_acum]]&gt;0,tblDespesaTotal[[#This Row],[emp_acum]]/tblDespesaTotal[[#This Row],[arrec_acum]],""),"")</f>
        <v>1.1008087162684177</v>
      </c>
      <c r="N10" s="3">
        <f>IFERROR(IF(tblDespesaTotal[[#This Row],[liq_acum]]&gt;0,tblDespesaTotal[[#This Row],[liq_acum]]/tblDespesaTotal[[#This Row],[arrec_acum]],""),"")</f>
        <v>0.87696864119741547</v>
      </c>
      <c r="O10">
        <f>YEAR(tblDespesaTotal[[#This Row],[data_base]])</f>
        <v>2022</v>
      </c>
      <c r="P10">
        <f>MONTH(tblDespesaTotal[[#This Row],[data_base]])</f>
        <v>9</v>
      </c>
    </row>
    <row r="11" spans="1:16" x14ac:dyDescent="0.25">
      <c r="A11" s="1">
        <v>44865</v>
      </c>
      <c r="B11" s="6">
        <v>2958814.3800000018</v>
      </c>
      <c r="C11" s="6">
        <v>3167445.6099999966</v>
      </c>
      <c r="D11" s="6">
        <v>2748629.59</v>
      </c>
      <c r="E11" s="6">
        <f>IF(tblDespesaTotal[[#This Row],[emp_mes]]&gt;0,SUMIFS(tblDespesaTotal[emp_mes],tblDespesaTotal[ano],YEAR(tblDespesaTotal[[#This Row],[data_base]]),tblDespesaTotal[mês],"&lt;="&amp;MONTH(tblDespesaTotal[[#This Row],[data_base]])),"")</f>
        <v>34431381.889999993</v>
      </c>
      <c r="F11" s="6">
        <f>IF(tblDespesaTotal[[#This Row],[liq_mes]]&gt;0,SUMIFS(tblDespesaTotal[liq_mes],tblDespesaTotal[ano],YEAR(tblDespesaTotal[[#This Row],[data_base]]),tblDespesaTotal[mês],"&lt;="&amp;MONTH(tblDespesaTotal[[#This Row],[data_base]])),"")</f>
        <v>28240334.619999994</v>
      </c>
      <c r="G11" s="6">
        <f>IF(tblDespesaTotal[[#This Row],[prev_mes]]&gt;0,SUMIFS(tblDespesaTotal[prev_mes],tblDespesaTotal[ano],YEAR(tblDespesaTotal[[#This Row],[data_base]]),tblDespesaTotal[mês],"&lt;="&amp;MONTH(tblDespesaTotal[[#This Row],[data_base]])),"")</f>
        <v>25623370.779999997</v>
      </c>
      <c r="H11" s="6">
        <f>IFERROR(IF(tblDespesaTotal[[#This Row],[emp_mes]]&gt;0,tblDespesaTotal[[#This Row],[emp_acum]]-tblDespesaTotal[[#This Row],[prev_acum]],""),"")</f>
        <v>8808011.1099999957</v>
      </c>
      <c r="I11" s="6">
        <f>IFERROR(IF(tblDespesaTotal[[#This Row],[liq_mes]]&gt;0,tblDespesaTotal[[#This Row],[liq_acum]]-tblDespesaTotal[[#This Row],[prev_acum]],""),"")</f>
        <v>2616963.8399999961</v>
      </c>
      <c r="J11" s="3">
        <f>IFERROR(IF(tblDespesaTotal[[#This Row],[emp_mes]]&gt;0,(tblDespesaTotal[[#This Row],[emp_acum]]/tblDespesaTotal[[#This Row],[prev_acum]])-1,""),"")</f>
        <v>0.34374911816344556</v>
      </c>
      <c r="K11" s="3">
        <f>IFERROR(IF(tblDespesaTotal[[#This Row],[liq_mes]]&gt;0,(tblDespesaTotal[[#This Row],[liq_acum]]/tblDespesaTotal[[#This Row],[prev_acum]])-1,""),"")</f>
        <v>0.10213191162353374</v>
      </c>
      <c r="L11" s="6">
        <f>INDEX(tblReceitaTotal[arrec_acum_atual],MATCH(tblDespesaTotal[[#This Row],[data_base]],tblReceitaTotal[data_base],0))</f>
        <v>31611585.640000001</v>
      </c>
      <c r="M11" s="3">
        <f>IFERROR(IF(tblDespesaTotal[[#This Row],[emp_acum]]&gt;0,tblDespesaTotal[[#This Row],[emp_acum]]/tblDespesaTotal[[#This Row],[arrec_acum]],""),"")</f>
        <v>1.089201354279171</v>
      </c>
      <c r="N11" s="3">
        <f>IFERROR(IF(tblDespesaTotal[[#This Row],[liq_acum]]&gt;0,tblDespesaTotal[[#This Row],[liq_acum]]/tblDespesaTotal[[#This Row],[arrec_acum]],""),"")</f>
        <v>0.89335394122925094</v>
      </c>
      <c r="O11">
        <f>YEAR(tblDespesaTotal[[#This Row],[data_base]])</f>
        <v>2022</v>
      </c>
      <c r="P11">
        <f>MONTH(tblDespesaTotal[[#This Row],[data_base]])</f>
        <v>10</v>
      </c>
    </row>
    <row r="12" spans="1:16" x14ac:dyDescent="0.25">
      <c r="A12" s="1">
        <v>44895</v>
      </c>
      <c r="B12" s="6"/>
      <c r="C12" s="6"/>
      <c r="D12" s="6">
        <v>3368821.9199999995</v>
      </c>
      <c r="E12" s="6" t="str">
        <f>IF(tblDespesaTotal[[#This Row],[emp_mes]]&gt;0,SUMIFS(tblDespesaTotal[emp_mes],tblDespesaTotal[ano],YEAR(tblDespesaTotal[[#This Row],[data_base]]),tblDespesaTotal[mês],"&lt;="&amp;MONTH(tblDespesaTotal[[#This Row],[data_base]])),"")</f>
        <v/>
      </c>
      <c r="F12" s="6" t="str">
        <f>IF(tblDespesaTotal[[#This Row],[liq_mes]]&gt;0,SUMIFS(tblDespesaTotal[liq_mes],tblDespesaTotal[ano],YEAR(tblDespesaTotal[[#This Row],[data_base]]),tblDespesaTotal[mês],"&lt;="&amp;MONTH(tblDespesaTotal[[#This Row],[data_base]])),"")</f>
        <v/>
      </c>
      <c r="G12" s="6">
        <f>IF(tblDespesaTotal[[#This Row],[prev_mes]]&gt;0,SUMIFS(tblDespesaTotal[prev_mes],tblDespesaTotal[ano],YEAR(tblDespesaTotal[[#This Row],[data_base]]),tblDespesaTotal[mês],"&lt;="&amp;MONTH(tblDespesaTotal[[#This Row],[data_base]])),"")</f>
        <v>28992192.699999996</v>
      </c>
      <c r="H12" s="6" t="str">
        <f>IFERROR(IF(tblDespesaTotal[[#This Row],[emp_mes]]&gt;0,tblDespesaTotal[[#This Row],[emp_acum]]-tblDespesaTotal[[#This Row],[prev_acum]],""),"")</f>
        <v/>
      </c>
      <c r="I12" s="6" t="str">
        <f>IFERROR(IF(tblDespesaTotal[[#This Row],[liq_mes]]&gt;0,tblDespesaTotal[[#This Row],[liq_acum]]-tblDespesaTotal[[#This Row],[prev_acum]],""),"")</f>
        <v/>
      </c>
      <c r="J12" s="3" t="str">
        <f>IFERROR(IF(tblDespesaTotal[[#This Row],[emp_mes]]&gt;0,(tblDespesaTotal[[#This Row],[emp_acum]]/tblDespesaTotal[[#This Row],[prev_acum]])-1,""),"")</f>
        <v/>
      </c>
      <c r="K12" s="3" t="str">
        <f>IFERROR(IF(tblDespesaTotal[[#This Row],[liq_mes]]&gt;0,(tblDespesaTotal[[#This Row],[liq_acum]]/tblDespesaTotal[[#This Row],[prev_acum]])-1,""),"")</f>
        <v/>
      </c>
      <c r="L12" s="6" t="str">
        <f>INDEX(tblReceitaTotal[arrec_acum_atual],MATCH(tblDespesaTotal[[#This Row],[data_base]],tblReceitaTotal[data_base],0))</f>
        <v/>
      </c>
      <c r="M12" s="3" t="str">
        <f>IFERROR(IF(tblDespesaTotal[[#This Row],[emp_acum]]&gt;0,tblDespesaTotal[[#This Row],[emp_acum]]/tblDespesaTotal[[#This Row],[arrec_acum]],""),"")</f>
        <v/>
      </c>
      <c r="N12" s="3" t="str">
        <f>IFERROR(IF(tblDespesaTotal[[#This Row],[liq_acum]]&gt;0,tblDespesaTotal[[#This Row],[liq_acum]]/tblDespesaTotal[[#This Row],[arrec_acum]],""),"")</f>
        <v/>
      </c>
      <c r="O12">
        <f>YEAR(tblDespesaTotal[[#This Row],[data_base]])</f>
        <v>2022</v>
      </c>
      <c r="P12">
        <f>MONTH(tblDespesaTotal[[#This Row],[data_base]])</f>
        <v>11</v>
      </c>
    </row>
    <row r="13" spans="1:16" x14ac:dyDescent="0.25">
      <c r="A13" s="1">
        <v>44926</v>
      </c>
      <c r="B13" s="6"/>
      <c r="C13" s="6"/>
      <c r="D13" s="6">
        <v>5127411.4800000004</v>
      </c>
      <c r="E13" s="6" t="str">
        <f>IF(tblDespesaTotal[[#This Row],[emp_mes]]&gt;0,SUMIFS(tblDespesaTotal[emp_mes],tblDespesaTotal[ano],YEAR(tblDespesaTotal[[#This Row],[data_base]]),tblDespesaTotal[mês],"&lt;="&amp;MONTH(tblDespesaTotal[[#This Row],[data_base]])),"")</f>
        <v/>
      </c>
      <c r="F13" s="6" t="str">
        <f>IF(tblDespesaTotal[[#This Row],[liq_mes]]&gt;0,SUMIFS(tblDespesaTotal[liq_mes],tblDespesaTotal[ano],YEAR(tblDespesaTotal[[#This Row],[data_base]]),tblDespesaTotal[mês],"&lt;="&amp;MONTH(tblDespesaTotal[[#This Row],[data_base]])),"")</f>
        <v/>
      </c>
      <c r="G13" s="6">
        <f>IF(tblDespesaTotal[[#This Row],[prev_mes]]&gt;0,SUMIFS(tblDespesaTotal[prev_mes],tblDespesaTotal[ano],YEAR(tblDespesaTotal[[#This Row],[data_base]]),tblDespesaTotal[mês],"&lt;="&amp;MONTH(tblDespesaTotal[[#This Row],[data_base]])),"")</f>
        <v>34119604.179999992</v>
      </c>
      <c r="H13" s="6" t="str">
        <f>IFERROR(IF(tblDespesaTotal[[#This Row],[emp_mes]]&gt;0,tblDespesaTotal[[#This Row],[emp_acum]]-tblDespesaTotal[[#This Row],[prev_acum]],""),"")</f>
        <v/>
      </c>
      <c r="I13" s="6" t="str">
        <f>IFERROR(IF(tblDespesaTotal[[#This Row],[liq_mes]]&gt;0,tblDespesaTotal[[#This Row],[liq_acum]]-tblDespesaTotal[[#This Row],[prev_acum]],""),"")</f>
        <v/>
      </c>
      <c r="J13" s="3" t="str">
        <f>IFERROR(IF(tblDespesaTotal[[#This Row],[emp_mes]]&gt;0,(tblDespesaTotal[[#This Row],[emp_acum]]/tblDespesaTotal[[#This Row],[prev_acum]])-1,""),"")</f>
        <v/>
      </c>
      <c r="K13" s="3" t="str">
        <f>IFERROR(IF(tblDespesaTotal[[#This Row],[liq_mes]]&gt;0,(tblDespesaTotal[[#This Row],[liq_acum]]/tblDespesaTotal[[#This Row],[prev_acum]])-1,""),"")</f>
        <v/>
      </c>
      <c r="L13" s="6" t="str">
        <f>INDEX(tblReceitaTotal[arrec_acum_atual],MATCH(tblDespesaTotal[[#This Row],[data_base]],tblReceitaTotal[data_base],0))</f>
        <v/>
      </c>
      <c r="M13" s="3" t="str">
        <f>IFERROR(IF(tblDespesaTotal[[#This Row],[emp_acum]]&gt;0,tblDespesaTotal[[#This Row],[emp_acum]]/tblDespesaTotal[[#This Row],[arrec_acum]],""),"")</f>
        <v/>
      </c>
      <c r="N13" s="3" t="str">
        <f>IFERROR(IF(tblDespesaTotal[[#This Row],[liq_acum]]&gt;0,tblDespesaTotal[[#This Row],[liq_acum]]/tblDespesaTotal[[#This Row],[arrec_acum]],""),"")</f>
        <v/>
      </c>
      <c r="O13">
        <f>YEAR(tblDespesaTotal[[#This Row],[data_base]])</f>
        <v>2022</v>
      </c>
      <c r="P13">
        <f>MONTH(tblDespesaTotal[[#This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C666-8E98-4E9A-9B1F-1C64DB012879}">
  <dimension ref="A1:P13"/>
  <sheetViews>
    <sheetView workbookViewId="0">
      <selection activeCell="L3" sqref="L3"/>
    </sheetView>
  </sheetViews>
  <sheetFormatPr defaultRowHeight="15" x14ac:dyDescent="0.25"/>
  <cols>
    <col min="1" max="1" width="12.28515625" bestFit="1" customWidth="1"/>
    <col min="2" max="4" width="12.42578125" bestFit="1" customWidth="1"/>
    <col min="5" max="7" width="13.5703125" bestFit="1" customWidth="1"/>
    <col min="8" max="8" width="14.85546875" bestFit="1" customWidth="1"/>
    <col min="9" max="9" width="13.140625" bestFit="1" customWidth="1"/>
    <col min="10" max="10" width="17.28515625" bestFit="1" customWidth="1"/>
    <col min="11" max="11" width="15.5703125" bestFit="1" customWidth="1"/>
    <col min="12" max="12" width="13.5703125" bestFit="1" customWidth="1"/>
    <col min="13" max="13" width="17.7109375" bestFit="1" customWidth="1"/>
    <col min="14" max="14" width="16" bestFit="1" customWidth="1"/>
    <col min="15" max="15" width="6.5703125" bestFit="1" customWidth="1"/>
    <col min="16" max="16" width="7" bestFit="1" customWidth="1"/>
  </cols>
  <sheetData>
    <row r="1" spans="1:16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5</v>
      </c>
      <c r="P1" t="s">
        <v>6</v>
      </c>
    </row>
    <row r="2" spans="1:16" x14ac:dyDescent="0.25">
      <c r="A2" s="1">
        <v>44592</v>
      </c>
      <c r="B2" s="6">
        <v>4980615.7699999949</v>
      </c>
      <c r="C2" s="6">
        <v>1527382.1100000008</v>
      </c>
      <c r="D2" s="6">
        <v>1738406.3699999999</v>
      </c>
      <c r="E2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4980615.7699999949</v>
      </c>
      <c r="F2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1527382.1100000008</v>
      </c>
      <c r="G2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1738406.3699999999</v>
      </c>
      <c r="H2" s="6">
        <f>IFERROR(IF(tblDespesaCorrente[[#This Row],[emp_mes]]&gt;0,tblDespesaCorrente[[#This Row],[emp_acum]]-tblDespesaCorrente[[#This Row],[prev_acum]],""),"")</f>
        <v>3242209.3999999948</v>
      </c>
      <c r="I2" s="6">
        <f>IFERROR(IF(tblDespesaCorrente[[#This Row],[liq_mes]]&gt;0,tblDespesaCorrente[[#This Row],[liq_acum]]-tblDespesaCorrente[[#This Row],[prev_acum]],""),"")</f>
        <v>-211024.25999999908</v>
      </c>
      <c r="J2" s="3">
        <f>IFERROR(IF(tblDespesaCorrente[[#This Row],[emp_mes]]&gt;0,(tblDespesaCorrente[[#This Row],[emp_acum]]/tblDespesaCorrente[[#This Row],[prev_acum]])-1,""),"")</f>
        <v>1.8650468934947559</v>
      </c>
      <c r="K2" s="3">
        <f>IFERROR(IF(tblDespesaCorrente[[#This Row],[liq_mes]]&gt;0,(tblDespesaCorrente[[#This Row],[liq_acum]]/tblDespesaCorrente[[#This Row],[prev_acum]])-1,""),"")</f>
        <v>-0.12138948846580622</v>
      </c>
      <c r="L2" s="6">
        <f>INDEX(tblReceitaCorrente[arrec_acum_atual],MATCH(tblDespesaCorrente[[#This Row],[data_base]],tblReceitaCorrente[data_base],0))</f>
        <v>2700638.48</v>
      </c>
      <c r="M2" s="3">
        <f>IFERROR(IF(tblDespesaCorrente[[#This Row],[emp_acum]]&gt;0,tblDespesaCorrente[[#This Row],[emp_acum]]/tblDespesaCorrente[[#This Row],[arrec_acum]],""),"")</f>
        <v>1.844236393313923</v>
      </c>
      <c r="N2" s="3">
        <f>IFERROR(IF(tblDespesaCorrente[[#This Row],[liq_acum]]&gt;0,tblDespesaCorrente[[#This Row],[liq_acum]]/tblDespesaCorrente[[#This Row],[arrec_acum]],""),"")</f>
        <v>0.56556333671139902</v>
      </c>
      <c r="O2">
        <f>YEAR(tblDespesaCorrente[[#This Row],[data_base]])</f>
        <v>2022</v>
      </c>
      <c r="P2">
        <f>MONTH(tblDespesaCorrente[[#This Row],[data_base]])</f>
        <v>1</v>
      </c>
    </row>
    <row r="3" spans="1:16" x14ac:dyDescent="0.25">
      <c r="A3" s="1">
        <v>44620</v>
      </c>
      <c r="B3" s="6">
        <v>3062452.1</v>
      </c>
      <c r="C3" s="6">
        <v>2019557.9799999984</v>
      </c>
      <c r="D3" s="6">
        <v>2030984.79</v>
      </c>
      <c r="E3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8043067.8699999955</v>
      </c>
      <c r="F3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3546940.0899999989</v>
      </c>
      <c r="G3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3769391.16</v>
      </c>
      <c r="H3" s="6">
        <f>IFERROR(IF(tblDespesaCorrente[[#This Row],[emp_mes]]&gt;0,tblDespesaCorrente[[#This Row],[emp_acum]]-tblDespesaCorrente[[#This Row],[prev_acum]],""),"")</f>
        <v>4273676.7099999953</v>
      </c>
      <c r="I3" s="6">
        <f>IFERROR(IF(tblDespesaCorrente[[#This Row],[liq_mes]]&gt;0,tblDespesaCorrente[[#This Row],[liq_acum]]-tblDespesaCorrente[[#This Row],[prev_acum]],""),"")</f>
        <v>-222451.07000000123</v>
      </c>
      <c r="J3" s="3">
        <f>IFERROR(IF(tblDespesaCorrente[[#This Row],[emp_mes]]&gt;0,(tblDespesaCorrente[[#This Row],[emp_acum]]/tblDespesaCorrente[[#This Row],[prev_acum]])-1,""),"")</f>
        <v>1.1337843509984769</v>
      </c>
      <c r="K3" s="3">
        <f>IFERROR(IF(tblDespesaCorrente[[#This Row],[liq_mes]]&gt;0,(tblDespesaCorrente[[#This Row],[liq_acum]]/tblDespesaCorrente[[#This Row],[prev_acum]])-1,""),"")</f>
        <v>-5.9015119566418583E-2</v>
      </c>
      <c r="L3" s="6">
        <f>INDEX(tblReceitaCorrente[arrec_acum_atual],MATCH(tblDespesaCorrente[[#This Row],[data_base]],tblReceitaCorrente[data_base],0))</f>
        <v>5625551.620000001</v>
      </c>
      <c r="M3" s="3">
        <f>IFERROR(IF(tblDespesaCorrente[[#This Row],[emp_acum]]&gt;0,tblDespesaCorrente[[#This Row],[emp_acum]]/tblDespesaCorrente[[#This Row],[arrec_acum]],""),"")</f>
        <v>1.4297385240240661</v>
      </c>
      <c r="N3" s="3">
        <f>IFERROR(IF(tblDespesaCorrente[[#This Row],[liq_acum]]&gt;0,tblDespesaCorrente[[#This Row],[liq_acum]]/tblDespesaCorrente[[#This Row],[arrec_acum]],""),"")</f>
        <v>0.63050529611885386</v>
      </c>
      <c r="O3">
        <f>YEAR(tblDespesaCorrente[[#This Row],[data_base]])</f>
        <v>2022</v>
      </c>
      <c r="P3">
        <f>MONTH(tblDespesaCorrente[[#This Row],[data_base]])</f>
        <v>2</v>
      </c>
    </row>
    <row r="4" spans="1:16" x14ac:dyDescent="0.25">
      <c r="A4" s="1">
        <v>44651</v>
      </c>
      <c r="B4" s="6">
        <v>2609044.1499999943</v>
      </c>
      <c r="C4" s="6">
        <v>2328887.9299999983</v>
      </c>
      <c r="D4" s="6">
        <v>2215603.3299999996</v>
      </c>
      <c r="E4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10652112.01999999</v>
      </c>
      <c r="F4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5875828.0199999977</v>
      </c>
      <c r="G4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5984994.4900000002</v>
      </c>
      <c r="H4" s="6">
        <f>IFERROR(IF(tblDespesaCorrente[[#This Row],[emp_mes]]&gt;0,tblDespesaCorrente[[#This Row],[emp_acum]]-tblDespesaCorrente[[#This Row],[prev_acum]],""),"")</f>
        <v>4667117.52999999</v>
      </c>
      <c r="I4" s="6">
        <f>IFERROR(IF(tblDespesaCorrente[[#This Row],[liq_mes]]&gt;0,tblDespesaCorrente[[#This Row],[liq_acum]]-tblDespesaCorrente[[#This Row],[prev_acum]],""),"")</f>
        <v>-109166.47000000253</v>
      </c>
      <c r="J4" s="3">
        <f>IFERROR(IF(tblDespesaCorrente[[#This Row],[emp_mes]]&gt;0,(tblDespesaCorrente[[#This Row],[emp_acum]]/tblDespesaCorrente[[#This Row],[prev_acum]])-1,""),"")</f>
        <v>0.77980314565001208</v>
      </c>
      <c r="K4" s="3">
        <f>IFERROR(IF(tblDespesaCorrente[[#This Row],[liq_mes]]&gt;0,(tblDespesaCorrente[[#This Row],[liq_acum]]/tblDespesaCorrente[[#This Row],[prev_acum]])-1,""),"")</f>
        <v>-1.8240028488314075E-2</v>
      </c>
      <c r="L4" s="6">
        <f>INDEX(tblReceitaCorrente[arrec_acum_atual],MATCH(tblDespesaCorrente[[#This Row],[data_base]],tblReceitaCorrente[data_base],0))</f>
        <v>8297137.5300000012</v>
      </c>
      <c r="M4" s="3">
        <f>IFERROR(IF(tblDespesaCorrente[[#This Row],[emp_acum]]&gt;0,tblDespesaCorrente[[#This Row],[emp_acum]]/tblDespesaCorrente[[#This Row],[arrec_acum]],""),"")</f>
        <v>1.2838297523073585</v>
      </c>
      <c r="N4" s="3">
        <f>IFERROR(IF(tblDespesaCorrente[[#This Row],[liq_acum]]&gt;0,tblDespesaCorrente[[#This Row],[liq_acum]]/tblDespesaCorrente[[#This Row],[arrec_acum]],""),"")</f>
        <v>0.70817531935016587</v>
      </c>
      <c r="O4">
        <f>YEAR(tblDespesaCorrente[[#This Row],[data_base]])</f>
        <v>2022</v>
      </c>
      <c r="P4">
        <f>MONTH(tblDespesaCorrente[[#This Row],[data_base]])</f>
        <v>3</v>
      </c>
    </row>
    <row r="5" spans="1:16" x14ac:dyDescent="0.25">
      <c r="A5" s="1">
        <v>44681</v>
      </c>
      <c r="B5" s="6">
        <v>2023893.9999999988</v>
      </c>
      <c r="C5" s="6">
        <v>2589575.8499999973</v>
      </c>
      <c r="D5" s="6">
        <v>2304354.59</v>
      </c>
      <c r="E5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12676006.019999988</v>
      </c>
      <c r="F5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8465403.8699999955</v>
      </c>
      <c r="G5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8289349.0800000001</v>
      </c>
      <c r="H5" s="6">
        <f>IFERROR(IF(tblDespesaCorrente[[#This Row],[emp_mes]]&gt;0,tblDespesaCorrente[[#This Row],[emp_acum]]-tblDespesaCorrente[[#This Row],[prev_acum]],""),"")</f>
        <v>4386656.9399999883</v>
      </c>
      <c r="I5" s="6">
        <f>IFERROR(IF(tblDespesaCorrente[[#This Row],[liq_mes]]&gt;0,tblDespesaCorrente[[#This Row],[liq_acum]]-tblDespesaCorrente[[#This Row],[prev_acum]],""),"")</f>
        <v>176054.78999999538</v>
      </c>
      <c r="J5" s="3">
        <f>IFERROR(IF(tblDespesaCorrente[[#This Row],[emp_mes]]&gt;0,(tblDespesaCorrente[[#This Row],[emp_acum]]/tblDespesaCorrente[[#This Row],[prev_acum]])-1,""),"")</f>
        <v>0.52919196642156474</v>
      </c>
      <c r="K5" s="3">
        <f>IFERROR(IF(tblDespesaCorrente[[#This Row],[liq_mes]]&gt;0,(tblDespesaCorrente[[#This Row],[liq_acum]]/tblDespesaCorrente[[#This Row],[prev_acum]])-1,""),"")</f>
        <v>2.1238674870716734E-2</v>
      </c>
      <c r="L5" s="6">
        <f>INDEX(tblReceitaCorrente[arrec_acum_atual],MATCH(tblDespesaCorrente[[#This Row],[data_base]],tblReceitaCorrente[data_base],0))</f>
        <v>11263178.530000001</v>
      </c>
      <c r="M5" s="3">
        <f>IFERROR(IF(tblDespesaCorrente[[#This Row],[emp_acum]]&gt;0,tblDespesaCorrente[[#This Row],[emp_acum]]/tblDespesaCorrente[[#This Row],[arrec_acum]],""),"")</f>
        <v>1.1254377249048175</v>
      </c>
      <c r="N5" s="3">
        <f>IFERROR(IF(tblDespesaCorrente[[#This Row],[liq_acum]]&gt;0,tblDespesaCorrente[[#This Row],[liq_acum]]/tblDespesaCorrente[[#This Row],[arrec_acum]],""),"")</f>
        <v>0.75159990116928344</v>
      </c>
      <c r="O5">
        <f>YEAR(tblDespesaCorrente[[#This Row],[data_base]])</f>
        <v>2022</v>
      </c>
      <c r="P5">
        <f>MONTH(tblDespesaCorrente[[#This Row],[data_base]])</f>
        <v>4</v>
      </c>
    </row>
    <row r="6" spans="1:16" x14ac:dyDescent="0.25">
      <c r="A6" s="1">
        <v>44712</v>
      </c>
      <c r="B6" s="6">
        <v>2611455.7000000011</v>
      </c>
      <c r="C6" s="6">
        <v>2827019.9100000011</v>
      </c>
      <c r="D6" s="6">
        <v>2413667.8699999996</v>
      </c>
      <c r="E6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15287461.719999989</v>
      </c>
      <c r="F6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11292423.779999997</v>
      </c>
      <c r="G6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10703016.949999999</v>
      </c>
      <c r="H6" s="6">
        <f>IFERROR(IF(tblDespesaCorrente[[#This Row],[emp_mes]]&gt;0,tblDespesaCorrente[[#This Row],[emp_acum]]-tblDespesaCorrente[[#This Row],[prev_acum]],""),"")</f>
        <v>4584444.7699999902</v>
      </c>
      <c r="I6" s="6">
        <f>IFERROR(IF(tblDespesaCorrente[[#This Row],[liq_mes]]&gt;0,tblDespesaCorrente[[#This Row],[liq_acum]]-tblDespesaCorrente[[#This Row],[prev_acum]],""),"")</f>
        <v>589406.82999999821</v>
      </c>
      <c r="J6" s="3">
        <f>IFERROR(IF(tblDespesaCorrente[[#This Row],[emp_mes]]&gt;0,(tblDespesaCorrente[[#This Row],[emp_acum]]/tblDespesaCorrente[[#This Row],[prev_acum]])-1,""),"")</f>
        <v>0.4283320106299553</v>
      </c>
      <c r="K6" s="3">
        <f>IFERROR(IF(tblDespesaCorrente[[#This Row],[liq_mes]]&gt;0,(tblDespesaCorrente[[#This Row],[liq_acum]]/tblDespesaCorrente[[#This Row],[prev_acum]])-1,""),"")</f>
        <v>5.5069223262324885E-2</v>
      </c>
      <c r="L6" s="6">
        <f>INDEX(tblReceitaCorrente[arrec_acum_atual],MATCH(tblDespesaCorrente[[#This Row],[data_base]],tblReceitaCorrente[data_base],0))</f>
        <v>14860897.600000001</v>
      </c>
      <c r="M6" s="3">
        <f>IFERROR(IF(tblDespesaCorrente[[#This Row],[emp_acum]]&gt;0,tblDespesaCorrente[[#This Row],[emp_acum]]/tblDespesaCorrente[[#This Row],[arrec_acum]],""),"")</f>
        <v>1.0287037924277191</v>
      </c>
      <c r="N6" s="3">
        <f>IFERROR(IF(tblDespesaCorrente[[#This Row],[liq_acum]]&gt;0,tblDespesaCorrente[[#This Row],[liq_acum]]/tblDespesaCorrente[[#This Row],[arrec_acum]],""),"")</f>
        <v>0.75987494725755977</v>
      </c>
      <c r="O6">
        <f>YEAR(tblDespesaCorrente[[#This Row],[data_base]])</f>
        <v>2022</v>
      </c>
      <c r="P6">
        <f>MONTH(tblDespesaCorrente[[#This Row],[data_base]])</f>
        <v>5</v>
      </c>
    </row>
    <row r="7" spans="1:16" x14ac:dyDescent="0.25">
      <c r="A7" s="1">
        <v>44742</v>
      </c>
      <c r="B7" s="6">
        <v>2284347.0500000012</v>
      </c>
      <c r="C7" s="6">
        <v>2719694.9900000016</v>
      </c>
      <c r="D7" s="6">
        <v>2297886.2799999993</v>
      </c>
      <c r="E7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17571808.769999992</v>
      </c>
      <c r="F7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14012118.77</v>
      </c>
      <c r="G7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13000903.229999999</v>
      </c>
      <c r="H7" s="6">
        <f>IFERROR(IF(tblDespesaCorrente[[#This Row],[emp_mes]]&gt;0,tblDespesaCorrente[[#This Row],[emp_acum]]-tblDespesaCorrente[[#This Row],[prev_acum]],""),"")</f>
        <v>4570905.5399999935</v>
      </c>
      <c r="I7" s="6">
        <f>IFERROR(IF(tblDespesaCorrente[[#This Row],[liq_mes]]&gt;0,tblDespesaCorrente[[#This Row],[liq_acum]]-tblDespesaCorrente[[#This Row],[prev_acum]],""),"")</f>
        <v>1011215.540000001</v>
      </c>
      <c r="J7" s="3">
        <f>IFERROR(IF(tblDespesaCorrente[[#This Row],[emp_mes]]&gt;0,(tblDespesaCorrente[[#This Row],[emp_acum]]/tblDespesaCorrente[[#This Row],[prev_acum]])-1,""),"")</f>
        <v>0.35158369069715745</v>
      </c>
      <c r="K7" s="3">
        <f>IFERROR(IF(tblDespesaCorrente[[#This Row],[liq_mes]]&gt;0,(tblDespesaCorrente[[#This Row],[liq_acum]]/tblDespesaCorrente[[#This Row],[prev_acum]])-1,""),"")</f>
        <v>7.7780406646408062E-2</v>
      </c>
      <c r="L7" s="6">
        <f>INDEX(tblReceitaCorrente[arrec_acum_atual],MATCH(tblDespesaCorrente[[#This Row],[data_base]],tblReceitaCorrente[data_base],0))</f>
        <v>17855826.780000001</v>
      </c>
      <c r="M7" s="3">
        <f>IFERROR(IF(tblDespesaCorrente[[#This Row],[emp_acum]]&gt;0,tblDespesaCorrente[[#This Row],[emp_acum]]/tblDespesaCorrente[[#This Row],[arrec_acum]],""),"")</f>
        <v>0.98409381914938088</v>
      </c>
      <c r="N7" s="3">
        <f>IFERROR(IF(tblDespesaCorrente[[#This Row],[liq_acum]]&gt;0,tblDespesaCorrente[[#This Row],[liq_acum]]/tblDespesaCorrente[[#This Row],[arrec_acum]],""),"")</f>
        <v>0.78473648645016703</v>
      </c>
      <c r="O7">
        <f>YEAR(tblDespesaCorrente[[#This Row],[data_base]])</f>
        <v>2022</v>
      </c>
      <c r="P7">
        <f>MONTH(tblDespesaCorrente[[#This Row],[data_base]])</f>
        <v>6</v>
      </c>
    </row>
    <row r="8" spans="1:16" x14ac:dyDescent="0.25">
      <c r="A8" s="1">
        <v>44773</v>
      </c>
      <c r="B8" s="6">
        <v>3349463.4199999985</v>
      </c>
      <c r="C8" s="6">
        <v>2623034.1799999992</v>
      </c>
      <c r="D8" s="6">
        <v>2491890.9400000004</v>
      </c>
      <c r="E8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20921272.18999999</v>
      </c>
      <c r="F8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16635152.949999999</v>
      </c>
      <c r="G8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15492794.169999998</v>
      </c>
      <c r="H8" s="6">
        <f>IFERROR(IF(tblDespesaCorrente[[#This Row],[emp_mes]]&gt;0,tblDespesaCorrente[[#This Row],[emp_acum]]-tblDespesaCorrente[[#This Row],[prev_acum]],""),"")</f>
        <v>5428478.0199999921</v>
      </c>
      <c r="I8" s="6">
        <f>IFERROR(IF(tblDespesaCorrente[[#This Row],[liq_mes]]&gt;0,tblDespesaCorrente[[#This Row],[liq_acum]]-tblDespesaCorrente[[#This Row],[prev_acum]],""),"")</f>
        <v>1142358.7800000012</v>
      </c>
      <c r="J8" s="3">
        <f>IFERROR(IF(tblDespesaCorrente[[#This Row],[emp_mes]]&gt;0,(tblDespesaCorrente[[#This Row],[emp_acum]]/tblDespesaCorrente[[#This Row],[prev_acum]])-1,""),"")</f>
        <v>0.35038728072122782</v>
      </c>
      <c r="K8" s="3">
        <f>IFERROR(IF(tblDespesaCorrente[[#This Row],[liq_mes]]&gt;0,(tblDespesaCorrente[[#This Row],[liq_acum]]/tblDespesaCorrente[[#This Row],[prev_acum]])-1,""),"")</f>
        <v>7.3734845210300826E-2</v>
      </c>
      <c r="L8" s="6">
        <f>INDEX(tblReceitaCorrente[arrec_acum_atual],MATCH(tblDespesaCorrente[[#This Row],[data_base]],tblReceitaCorrente[data_base],0))</f>
        <v>21581919.960000001</v>
      </c>
      <c r="M8" s="3">
        <f>IFERROR(IF(tblDespesaCorrente[[#This Row],[emp_acum]]&gt;0,tblDespesaCorrente[[#This Row],[emp_acum]]/tblDespesaCorrente[[#This Row],[arrec_acum]],""),"")</f>
        <v>0.96938883235483875</v>
      </c>
      <c r="N8" s="3">
        <f>IFERROR(IF(tblDespesaCorrente[[#This Row],[liq_acum]]&gt;0,tblDespesaCorrente[[#This Row],[liq_acum]]/tblDespesaCorrente[[#This Row],[arrec_acum]],""),"")</f>
        <v>0.77079115207690718</v>
      </c>
      <c r="O8">
        <f>YEAR(tblDespesaCorrente[[#This Row],[data_base]])</f>
        <v>2022</v>
      </c>
      <c r="P8">
        <f>MONTH(tblDespesaCorrente[[#This Row],[data_base]])</f>
        <v>7</v>
      </c>
    </row>
    <row r="9" spans="1:16" x14ac:dyDescent="0.25">
      <c r="A9" s="1">
        <v>44804</v>
      </c>
      <c r="B9" s="6">
        <v>3106710.2899999977</v>
      </c>
      <c r="C9" s="6">
        <v>3402938.8600000022</v>
      </c>
      <c r="D9" s="6">
        <v>2391910.85</v>
      </c>
      <c r="E9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24027982.479999989</v>
      </c>
      <c r="F9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20038091.810000002</v>
      </c>
      <c r="G9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17884705.02</v>
      </c>
      <c r="H9" s="6">
        <f>IFERROR(IF(tblDespesaCorrente[[#This Row],[emp_mes]]&gt;0,tblDespesaCorrente[[#This Row],[emp_acum]]-tblDespesaCorrente[[#This Row],[prev_acum]],""),"")</f>
        <v>6143277.4599999897</v>
      </c>
      <c r="I9" s="6">
        <f>IFERROR(IF(tblDespesaCorrente[[#This Row],[liq_mes]]&gt;0,tblDespesaCorrente[[#This Row],[liq_acum]]-tblDespesaCorrente[[#This Row],[prev_acum]],""),"")</f>
        <v>2153386.7900000028</v>
      </c>
      <c r="J9" s="3">
        <f>IFERROR(IF(tblDespesaCorrente[[#This Row],[emp_mes]]&gt;0,(tblDespesaCorrente[[#This Row],[emp_acum]]/tblDespesaCorrente[[#This Row],[prev_acum]])-1,""),"")</f>
        <v>0.34349336224053584</v>
      </c>
      <c r="K9" s="3">
        <f>IFERROR(IF(tblDespesaCorrente[[#This Row],[liq_mes]]&gt;0,(tblDespesaCorrente[[#This Row],[liq_acum]]/tblDespesaCorrente[[#This Row],[prev_acum]])-1,""),"")</f>
        <v>0.12040381921826082</v>
      </c>
      <c r="L9" s="6">
        <f>INDEX(tblReceitaCorrente[arrec_acum_atual],MATCH(tblDespesaCorrente[[#This Row],[data_base]],tblReceitaCorrente[data_base],0))</f>
        <v>24526537.609999999</v>
      </c>
      <c r="M9" s="3">
        <f>IFERROR(IF(tblDespesaCorrente[[#This Row],[emp_acum]]&gt;0,tblDespesaCorrente[[#This Row],[emp_acum]]/tblDespesaCorrente[[#This Row],[arrec_acum]],""),"")</f>
        <v>0.9796728287568508</v>
      </c>
      <c r="N9" s="3">
        <f>IFERROR(IF(tblDespesaCorrente[[#This Row],[liq_acum]]&gt;0,tblDespesaCorrente[[#This Row],[liq_acum]]/tblDespesaCorrente[[#This Row],[arrec_acum]],""),"")</f>
        <v>0.81699635426037631</v>
      </c>
      <c r="O9">
        <f>YEAR(tblDespesaCorrente[[#This Row],[data_base]])</f>
        <v>2022</v>
      </c>
      <c r="P9">
        <f>MONTH(tblDespesaCorrente[[#This Row],[data_base]])</f>
        <v>8</v>
      </c>
    </row>
    <row r="10" spans="1:16" x14ac:dyDescent="0.25">
      <c r="A10" s="1">
        <v>44834</v>
      </c>
      <c r="B10" s="6">
        <v>2830550.8899999983</v>
      </c>
      <c r="C10" s="6">
        <v>2850218.6299999957</v>
      </c>
      <c r="D10" s="6">
        <v>2552608.5199999996</v>
      </c>
      <c r="E10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26858533.369999986</v>
      </c>
      <c r="F10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22888310.439999998</v>
      </c>
      <c r="G10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20437313.539999999</v>
      </c>
      <c r="H10" s="6">
        <f>IFERROR(IF(tblDespesaCorrente[[#This Row],[emp_mes]]&gt;0,tblDespesaCorrente[[#This Row],[emp_acum]]-tblDespesaCorrente[[#This Row],[prev_acum]],""),"")</f>
        <v>6421219.829999987</v>
      </c>
      <c r="I10" s="6">
        <f>IFERROR(IF(tblDespesaCorrente[[#This Row],[liq_mes]]&gt;0,tblDespesaCorrente[[#This Row],[liq_acum]]-tblDespesaCorrente[[#This Row],[prev_acum]],""),"")</f>
        <v>2450996.8999999985</v>
      </c>
      <c r="J10" s="3">
        <f>IFERROR(IF(tblDespesaCorrente[[#This Row],[emp_mes]]&gt;0,(tblDespesaCorrente[[#This Row],[emp_acum]]/tblDespesaCorrente[[#This Row],[prev_acum]])-1,""),"")</f>
        <v>0.31419099273651341</v>
      </c>
      <c r="K10" s="3">
        <f>IFERROR(IF(tblDespesaCorrente[[#This Row],[liq_mes]]&gt;0,(tblDespesaCorrente[[#This Row],[liq_acum]]/tblDespesaCorrente[[#This Row],[prev_acum]])-1,""),"")</f>
        <v>0.1199275479726285</v>
      </c>
      <c r="L10" s="6">
        <f>INDEX(tblReceitaCorrente[arrec_acum_atual],MATCH(tblDespesaCorrente[[#This Row],[data_base]],tblReceitaCorrente[data_base],0))</f>
        <v>27381568.940000001</v>
      </c>
      <c r="M10" s="3">
        <f>IFERROR(IF(tblDespesaCorrente[[#This Row],[emp_acum]]&gt;0,tblDespesaCorrente[[#This Row],[emp_acum]]/tblDespesaCorrente[[#This Row],[arrec_acum]],""),"")</f>
        <v>0.98089826148581483</v>
      </c>
      <c r="N10" s="3">
        <f>IFERROR(IF(tblDespesaCorrente[[#This Row],[liq_acum]]&gt;0,tblDespesaCorrente[[#This Row],[liq_acum]]/tblDespesaCorrente[[#This Row],[arrec_acum]],""),"")</f>
        <v>0.83590208034295332</v>
      </c>
      <c r="O10">
        <f>YEAR(tblDespesaCorrente[[#This Row],[data_base]])</f>
        <v>2022</v>
      </c>
      <c r="P10">
        <f>MONTH(tblDespesaCorrente[[#This Row],[data_base]])</f>
        <v>9</v>
      </c>
    </row>
    <row r="11" spans="1:16" x14ac:dyDescent="0.25">
      <c r="A11" s="1">
        <v>44865</v>
      </c>
      <c r="B11" s="6">
        <v>2604030.9099999988</v>
      </c>
      <c r="C11" s="6">
        <v>2850898.209999999</v>
      </c>
      <c r="D11" s="6">
        <v>2483377.4</v>
      </c>
      <c r="E11" s="6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>29462564.279999986</v>
      </c>
      <c r="F11" s="6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>25739208.649999999</v>
      </c>
      <c r="G11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22920690.939999998</v>
      </c>
      <c r="H11" s="6">
        <f>IFERROR(IF(tblDespesaCorrente[[#This Row],[emp_mes]]&gt;0,tblDespesaCorrente[[#This Row],[emp_acum]]-tblDespesaCorrente[[#This Row],[prev_acum]],""),"")</f>
        <v>6541873.3399999887</v>
      </c>
      <c r="I11" s="6">
        <f>IFERROR(IF(tblDespesaCorrente[[#This Row],[liq_mes]]&gt;0,tblDespesaCorrente[[#This Row],[liq_acum]]-tblDespesaCorrente[[#This Row],[prev_acum]],""),"")</f>
        <v>2818517.7100000009</v>
      </c>
      <c r="J11" s="3">
        <f>IFERROR(IF(tblDespesaCorrente[[#This Row],[emp_mes]]&gt;0,(tblDespesaCorrente[[#This Row],[emp_acum]]/tblDespesaCorrente[[#This Row],[prev_acum]])-1,""),"")</f>
        <v>0.28541344399803625</v>
      </c>
      <c r="K11" s="3">
        <f>IFERROR(IF(tblDespesaCorrente[[#This Row],[liq_mes]]&gt;0,(tblDespesaCorrente[[#This Row],[liq_acum]]/tblDespesaCorrente[[#This Row],[prev_acum]])-1,""),"")</f>
        <v>0.12296826990853371</v>
      </c>
      <c r="L11" s="6">
        <f>INDEX(tblReceitaCorrente[arrec_acum_atual],MATCH(tblDespesaCorrente[[#This Row],[data_base]],tblReceitaCorrente[data_base],0))</f>
        <v>30402749.140000001</v>
      </c>
      <c r="M11" s="3">
        <f>IFERROR(IF(tblDespesaCorrente[[#This Row],[emp_acum]]&gt;0,tblDespesaCorrente[[#This Row],[emp_acum]]/tblDespesaCorrente[[#This Row],[arrec_acum]],""),"")</f>
        <v>0.96907566300433534</v>
      </c>
      <c r="N11" s="3">
        <f>IFERROR(IF(tblDespesaCorrente[[#This Row],[liq_acum]]&gt;0,tblDespesaCorrente[[#This Row],[liq_acum]]/tblDespesaCorrente[[#This Row],[arrec_acum]],""),"")</f>
        <v>0.8466079344165518</v>
      </c>
      <c r="O11">
        <f>YEAR(tblDespesaCorrente[[#This Row],[data_base]])</f>
        <v>2022</v>
      </c>
      <c r="P11">
        <f>MONTH(tblDespesaCorrente[[#This Row],[data_base]])</f>
        <v>10</v>
      </c>
    </row>
    <row r="12" spans="1:16" x14ac:dyDescent="0.25">
      <c r="A12" s="1">
        <v>44895</v>
      </c>
      <c r="B12" s="6"/>
      <c r="C12" s="6"/>
      <c r="D12" s="6">
        <v>2672120.0799999996</v>
      </c>
      <c r="E12" s="6" t="str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/>
      </c>
      <c r="F12" s="6" t="str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/>
      </c>
      <c r="G12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25592811.019999996</v>
      </c>
      <c r="H12" s="6" t="str">
        <f>IFERROR(IF(tblDespesaCorrente[[#This Row],[emp_mes]]&gt;0,tblDespesaCorrente[[#This Row],[emp_acum]]-tblDespesaCorrente[[#This Row],[prev_acum]],""),"")</f>
        <v/>
      </c>
      <c r="I12" s="6" t="str">
        <f>IFERROR(IF(tblDespesaCorrente[[#This Row],[liq_mes]]&gt;0,tblDespesaCorrente[[#This Row],[liq_acum]]-tblDespesaCorrente[[#This Row],[prev_acum]],""),"")</f>
        <v/>
      </c>
      <c r="J12" s="3" t="str">
        <f>IFERROR(IF(tblDespesaCorrente[[#This Row],[emp_mes]]&gt;0,(tblDespesaCorrente[[#This Row],[emp_acum]]/tblDespesaCorrente[[#This Row],[prev_acum]])-1,""),"")</f>
        <v/>
      </c>
      <c r="K12" s="3" t="str">
        <f>IFERROR(IF(tblDespesaCorrente[[#This Row],[liq_mes]]&gt;0,(tblDespesaCorrente[[#This Row],[liq_acum]]/tblDespesaCorrente[[#This Row],[prev_acum]])-1,""),"")</f>
        <v/>
      </c>
      <c r="L12" s="6" t="str">
        <f>INDEX(tblReceitaCorrente[arrec_acum_atual],MATCH(tblDespesaCorrente[[#This Row],[data_base]],tblReceitaCorrente[data_base],0))</f>
        <v/>
      </c>
      <c r="M12" s="3" t="str">
        <f>IFERROR(IF(tblDespesaCorrente[[#This Row],[emp_acum]]&gt;0,tblDespesaCorrente[[#This Row],[emp_acum]]/tblDespesaCorrente[[#This Row],[arrec_acum]],""),"")</f>
        <v/>
      </c>
      <c r="N12" s="3" t="str">
        <f>IFERROR(IF(tblDespesaCorrente[[#This Row],[liq_acum]]&gt;0,tblDespesaCorrente[[#This Row],[liq_acum]]/tblDespesaCorrente[[#This Row],[arrec_acum]],""),"")</f>
        <v/>
      </c>
      <c r="O12">
        <f>YEAR(tblDespesaCorrente[[#This Row],[data_base]])</f>
        <v>2022</v>
      </c>
      <c r="P12">
        <f>MONTH(tblDespesaCorrente[[#This Row],[data_base]])</f>
        <v>11</v>
      </c>
    </row>
    <row r="13" spans="1:16" x14ac:dyDescent="0.25">
      <c r="A13" s="1">
        <v>44926</v>
      </c>
      <c r="B13" s="6"/>
      <c r="C13" s="6"/>
      <c r="D13" s="6">
        <v>4509264.1599999992</v>
      </c>
      <c r="E13" s="6" t="str">
        <f>IF(tblDespesaCorrente[[#This Row],[emp_mes]]&gt;0,SUMIFS(tblDespesaCorrente[emp_mes],tblDespesaCorrente[ano],YEAR(tblDespesaCorrente[[#This Row],[data_base]]),tblDespesaCorrente[mês],"&lt;="&amp;MONTH(tblDespesaCorrente[[#This Row],[data_base]])),"")</f>
        <v/>
      </c>
      <c r="F13" s="6" t="str">
        <f>IF(tblDespesaCorrente[[#This Row],[liq_mes]]&gt;0,SUMIFS(tblDespesaCorrente[liq_mes],tblDespesaCorrente[ano],YEAR(tblDespesaCorrente[[#This Row],[data_base]]),tblDespesaCorrente[mês],"&lt;="&amp;MONTH(tblDespesaCorrente[[#This Row],[data_base]])),"")</f>
        <v/>
      </c>
      <c r="G13" s="6">
        <f>IF(tblDespesaCorrente[[#This Row],[prev_mes]]&gt;0,SUMIFS(tblDespesaCorrente[prev_mes],tblDespesaCorrente[ano],YEAR(tblDespesaCorrente[[#This Row],[data_base]]),tblDespesaCorrente[mês],"&lt;="&amp;MONTH(tblDespesaCorrente[[#This Row],[data_base]])),"")</f>
        <v>30102075.179999996</v>
      </c>
      <c r="H13" s="6" t="str">
        <f>IFERROR(IF(tblDespesaCorrente[[#This Row],[emp_mes]]&gt;0,tblDespesaCorrente[[#This Row],[emp_acum]]-tblDespesaCorrente[[#This Row],[prev_acum]],""),"")</f>
        <v/>
      </c>
      <c r="I13" s="6" t="str">
        <f>IFERROR(IF(tblDespesaCorrente[[#This Row],[liq_mes]]&gt;0,tblDespesaCorrente[[#This Row],[liq_acum]]-tblDespesaCorrente[[#This Row],[prev_acum]],""),"")</f>
        <v/>
      </c>
      <c r="J13" s="3" t="str">
        <f>IFERROR(IF(tblDespesaCorrente[[#This Row],[emp_mes]]&gt;0,(tblDespesaCorrente[[#This Row],[emp_acum]]/tblDespesaCorrente[[#This Row],[prev_acum]])-1,""),"")</f>
        <v/>
      </c>
      <c r="K13" s="3" t="str">
        <f>IFERROR(IF(tblDespesaCorrente[[#This Row],[liq_mes]]&gt;0,(tblDespesaCorrente[[#This Row],[liq_acum]]/tblDespesaCorrente[[#This Row],[prev_acum]])-1,""),"")</f>
        <v/>
      </c>
      <c r="L13" s="6" t="str">
        <f>INDEX(tblReceitaCorrente[arrec_acum_atual],MATCH(tblDespesaCorrente[[#This Row],[data_base]],tblReceitaCorrente[data_base],0))</f>
        <v/>
      </c>
      <c r="M13" s="3" t="str">
        <f>IFERROR(IF(tblDespesaCorrente[[#This Row],[emp_acum]]&gt;0,tblDespesaCorrente[[#This Row],[emp_acum]]/tblDespesaCorrente[[#This Row],[arrec_acum]],""),"")</f>
        <v/>
      </c>
      <c r="N13" s="3" t="str">
        <f>IFERROR(IF(tblDespesaCorrente[[#This Row],[liq_acum]]&gt;0,tblDespesaCorrente[[#This Row],[liq_acum]]/tblDespesaCorrente[[#This Row],[arrec_acum]],""),"")</f>
        <v/>
      </c>
      <c r="O13">
        <f>YEAR(tblDespesaCorrente[[#This Row],[data_base]])</f>
        <v>2022</v>
      </c>
      <c r="P13">
        <f>MONTH(tblDespesaCorrente[[#This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02C8-85C5-4F2D-AA80-AA73179AEFA5}">
  <dimension ref="A1:P13"/>
  <sheetViews>
    <sheetView workbookViewId="0">
      <selection activeCell="F19" sqref="F19"/>
    </sheetView>
  </sheetViews>
  <sheetFormatPr defaultRowHeight="15" x14ac:dyDescent="0.25"/>
  <cols>
    <col min="1" max="1" width="12.28515625" bestFit="1" customWidth="1"/>
    <col min="2" max="4" width="12.42578125" bestFit="1" customWidth="1"/>
    <col min="5" max="7" width="13.5703125" bestFit="1" customWidth="1"/>
    <col min="8" max="8" width="14.85546875" bestFit="1" customWidth="1"/>
    <col min="9" max="9" width="13.140625" bestFit="1" customWidth="1"/>
    <col min="10" max="10" width="17.28515625" bestFit="1" customWidth="1"/>
    <col min="11" max="11" width="15.5703125" bestFit="1" customWidth="1"/>
    <col min="12" max="12" width="13.5703125" bestFit="1" customWidth="1"/>
    <col min="13" max="13" width="17.7109375" bestFit="1" customWidth="1"/>
    <col min="14" max="14" width="16" bestFit="1" customWidth="1"/>
    <col min="15" max="15" width="6.5703125" bestFit="1" customWidth="1"/>
    <col min="16" max="16" width="7" bestFit="1" customWidth="1"/>
  </cols>
  <sheetData>
    <row r="1" spans="1:16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5</v>
      </c>
      <c r="P1" t="s">
        <v>6</v>
      </c>
    </row>
    <row r="2" spans="1:16" x14ac:dyDescent="0.25">
      <c r="A2" s="1">
        <v>44592</v>
      </c>
      <c r="B2" s="6">
        <v>1309483.4000000008</v>
      </c>
      <c r="C2" s="6">
        <v>1281983.4000000006</v>
      </c>
      <c r="D2" s="6">
        <v>1355223.0599999998</v>
      </c>
      <c r="E2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1309483.4000000008</v>
      </c>
      <c r="F2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1281983.4000000006</v>
      </c>
      <c r="G2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1355223.0599999998</v>
      </c>
      <c r="H2" s="6">
        <f>IFERROR(IF(tblDespesaPessoal[[#This Row],[emp_mes]]&gt;0,tblDespesaPessoal[[#This Row],[emp_acum]]-tblDespesaPessoal[[#This Row],[prev_acum]],""),"")</f>
        <v>-45739.659999998985</v>
      </c>
      <c r="I2" s="6">
        <f>IFERROR(IF(tblDespesaPessoal[[#This Row],[liq_mes]]&gt;0,tblDespesaPessoal[[#This Row],[liq_acum]]-tblDespesaPessoal[[#This Row],[prev_acum]],""),"")</f>
        <v>-73239.659999999218</v>
      </c>
      <c r="J2" s="3">
        <f>IFERROR(IF(tblDespesaPessoal[[#This Row],[emp_mes]]&gt;0,(tblDespesaPessoal[[#This Row],[emp_acum]]/tblDespesaPessoal[[#This Row],[prev_acum]])-1,""),"")</f>
        <v>-3.3750650612452637E-2</v>
      </c>
      <c r="K2" s="3">
        <f>IFERROR(IF(tblDespesaPessoal[[#This Row],[liq_mes]]&gt;0,(tblDespesaPessoal[[#This Row],[liq_acum]]/tblDespesaPessoal[[#This Row],[prev_acum]])-1,""),"")</f>
        <v>-5.4042513119573976E-2</v>
      </c>
      <c r="L2" s="6">
        <f>INDEX(tblReceitaCorrente[arrec_acum_atual],MATCH(tblDespesaPessoal[[#This Row],[data_base]],tblReceitaCorrente[data_base],0))</f>
        <v>2700638.48</v>
      </c>
      <c r="M2" s="3">
        <f>IFERROR(IF(tblDespesaPessoal[[#This Row],[emp_acum]]&gt;0,tblDespesaPessoal[[#This Row],[emp_acum]]/tblDespesaPessoal[[#This Row],[arrec_acum]],""),"")</f>
        <v>0.48487919049424227</v>
      </c>
      <c r="N2" s="3">
        <f>IFERROR(IF(tblDespesaPessoal[[#This Row],[liq_acum]]&gt;0,tblDespesaPessoal[[#This Row],[liq_acum]]/tblDespesaPessoal[[#This Row],[arrec_acum]],""),"")</f>
        <v>0.47469641327187212</v>
      </c>
      <c r="O2">
        <f>YEAR(tblDespesaPessoal[[#This Row],[data_base]])</f>
        <v>2022</v>
      </c>
      <c r="P2">
        <f>MONTH(tblDespesaPessoal[[#This Row],[data_base]])</f>
        <v>1</v>
      </c>
    </row>
    <row r="3" spans="1:16" x14ac:dyDescent="0.25">
      <c r="A3" s="1">
        <v>44620</v>
      </c>
      <c r="B3" s="6">
        <v>1232690.9700000002</v>
      </c>
      <c r="C3" s="6">
        <v>1235190.97</v>
      </c>
      <c r="D3" s="6">
        <v>1198338.81</v>
      </c>
      <c r="E3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2542174.370000001</v>
      </c>
      <c r="F3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2517174.3700000006</v>
      </c>
      <c r="G3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2553561.87</v>
      </c>
      <c r="H3" s="6">
        <f>IFERROR(IF(tblDespesaPessoal[[#This Row],[emp_mes]]&gt;0,tblDespesaPessoal[[#This Row],[emp_acum]]-tblDespesaPessoal[[#This Row],[prev_acum]],""),"")</f>
        <v>-11387.499999999069</v>
      </c>
      <c r="I3" s="6">
        <f>IFERROR(IF(tblDespesaPessoal[[#This Row],[liq_mes]]&gt;0,tblDespesaPessoal[[#This Row],[liq_acum]]-tblDespesaPessoal[[#This Row],[prev_acum]],""),"")</f>
        <v>-36387.499999999534</v>
      </c>
      <c r="J3" s="3">
        <f>IFERROR(IF(tblDespesaPessoal[[#This Row],[emp_mes]]&gt;0,(tblDespesaPessoal[[#This Row],[emp_acum]]/tblDespesaPessoal[[#This Row],[prev_acum]])-1,""),"")</f>
        <v>-4.4594572521554632E-3</v>
      </c>
      <c r="K3" s="3">
        <f>IFERROR(IF(tblDespesaPessoal[[#This Row],[liq_mes]]&gt;0,(tblDespesaPessoal[[#This Row],[liq_acum]]/tblDespesaPessoal[[#This Row],[prev_acum]])-1,""),"")</f>
        <v>-1.4249703689380167E-2</v>
      </c>
      <c r="L3" s="6">
        <f>INDEX(tblReceitaCorrente[arrec_acum_atual],MATCH(tblDespesaPessoal[[#This Row],[data_base]],tblReceitaCorrente[data_base],0))</f>
        <v>5625551.620000001</v>
      </c>
      <c r="M3" s="3">
        <f>IFERROR(IF(tblDespesaPessoal[[#This Row],[emp_acum]]&gt;0,tblDespesaPessoal[[#This Row],[emp_acum]]/tblDespesaPessoal[[#This Row],[arrec_acum]],""),"")</f>
        <v>0.4518977945135273</v>
      </c>
      <c r="N3" s="3">
        <f>IFERROR(IF(tblDespesaPessoal[[#This Row],[liq_acum]]&gt;0,tblDespesaPessoal[[#This Row],[liq_acum]]/tblDespesaPessoal[[#This Row],[arrec_acum]],""),"")</f>
        <v>0.44745378587424645</v>
      </c>
      <c r="O3">
        <f>YEAR(tblDespesaPessoal[[#This Row],[data_base]])</f>
        <v>2022</v>
      </c>
      <c r="P3">
        <f>MONTH(tblDespesaPessoal[[#This Row],[data_base]])</f>
        <v>2</v>
      </c>
    </row>
    <row r="4" spans="1:16" x14ac:dyDescent="0.25">
      <c r="A4" s="1">
        <v>44651</v>
      </c>
      <c r="B4" s="6">
        <v>1234921.8700000001</v>
      </c>
      <c r="C4" s="6">
        <v>1234921.8699999999</v>
      </c>
      <c r="D4" s="6">
        <v>1209917.48</v>
      </c>
      <c r="E4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3777096.2400000012</v>
      </c>
      <c r="F4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3752096.24</v>
      </c>
      <c r="G4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3763479.35</v>
      </c>
      <c r="H4" s="6">
        <f>IFERROR(IF(tblDespesaPessoal[[#This Row],[emp_mes]]&gt;0,tblDespesaPessoal[[#This Row],[emp_acum]]-tblDespesaPessoal[[#This Row],[prev_acum]],""),"")</f>
        <v>13616.890000001062</v>
      </c>
      <c r="I4" s="6">
        <f>IFERROR(IF(tblDespesaPessoal[[#This Row],[liq_mes]]&gt;0,tblDespesaPessoal[[#This Row],[liq_acum]]-tblDespesaPessoal[[#This Row],[prev_acum]],""),"")</f>
        <v>-11383.10999999987</v>
      </c>
      <c r="J4" s="3">
        <f>IFERROR(IF(tblDespesaPessoal[[#This Row],[emp_mes]]&gt;0,(tblDespesaPessoal[[#This Row],[emp_acum]]/tblDespesaPessoal[[#This Row],[prev_acum]])-1,""),"")</f>
        <v>3.6181651959910077E-3</v>
      </c>
      <c r="K4" s="3">
        <f>IFERROR(IF(tblDespesaPessoal[[#This Row],[liq_mes]]&gt;0,(tblDespesaPessoal[[#This Row],[liq_acum]]/tblDespesaPessoal[[#This Row],[prev_acum]])-1,""),"")</f>
        <v>-3.024624009163146E-3</v>
      </c>
      <c r="L4" s="6">
        <f>INDEX(tblReceitaCorrente[arrec_acum_atual],MATCH(tblDespesaPessoal[[#This Row],[data_base]],tblReceitaCorrente[data_base],0))</f>
        <v>8297137.5300000012</v>
      </c>
      <c r="M4" s="3">
        <f>IFERROR(IF(tblDespesaPessoal[[#This Row],[emp_acum]]&gt;0,tblDespesaPessoal[[#This Row],[emp_acum]]/tblDespesaPessoal[[#This Row],[arrec_acum]],""),"")</f>
        <v>0.4552288335999175</v>
      </c>
      <c r="N4" s="3">
        <f>IFERROR(IF(tblDespesaPessoal[[#This Row],[liq_acum]]&gt;0,tblDespesaPessoal[[#This Row],[liq_acum]]/tblDespesaPessoal[[#This Row],[arrec_acum]],""),"")</f>
        <v>0.45221574626592936</v>
      </c>
      <c r="O4">
        <f>YEAR(tblDespesaPessoal[[#This Row],[data_base]])</f>
        <v>2022</v>
      </c>
      <c r="P4">
        <f>MONTH(tblDespesaPessoal[[#This Row],[data_base]])</f>
        <v>3</v>
      </c>
    </row>
    <row r="5" spans="1:16" x14ac:dyDescent="0.25">
      <c r="A5" s="1">
        <v>44681</v>
      </c>
      <c r="B5" s="6">
        <v>1252516.9300000002</v>
      </c>
      <c r="C5" s="6">
        <v>1255016.93</v>
      </c>
      <c r="D5" s="6">
        <v>1222657.71</v>
      </c>
      <c r="E5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5029613.1700000018</v>
      </c>
      <c r="F5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5007113.17</v>
      </c>
      <c r="G5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4986137.0600000005</v>
      </c>
      <c r="H5" s="6">
        <f>IFERROR(IF(tblDespesaPessoal[[#This Row],[emp_mes]]&gt;0,tblDespesaPessoal[[#This Row],[emp_acum]]-tblDespesaPessoal[[#This Row],[prev_acum]],""),"")</f>
        <v>43476.110000001267</v>
      </c>
      <c r="I5" s="6">
        <f>IFERROR(IF(tblDespesaPessoal[[#This Row],[liq_mes]]&gt;0,tblDespesaPessoal[[#This Row],[liq_acum]]-tblDespesaPessoal[[#This Row],[prev_acum]],""),"")</f>
        <v>20976.109999999404</v>
      </c>
      <c r="J5" s="3">
        <f>IFERROR(IF(tblDespesaPessoal[[#This Row],[emp_mes]]&gt;0,(tblDespesaPessoal[[#This Row],[emp_acum]]/tblDespesaPessoal[[#This Row],[prev_acum]])-1,""),"")</f>
        <v>8.7193972963113264E-3</v>
      </c>
      <c r="K5" s="3">
        <f>IFERROR(IF(tblDespesaPessoal[[#This Row],[liq_mes]]&gt;0,(tblDespesaPessoal[[#This Row],[liq_acum]]/tblDespesaPessoal[[#This Row],[prev_acum]])-1,""),"")</f>
        <v>4.2068859615342902E-3</v>
      </c>
      <c r="L5" s="6">
        <f>INDEX(tblReceitaCorrente[arrec_acum_atual],MATCH(tblDespesaPessoal[[#This Row],[data_base]],tblReceitaCorrente[data_base],0))</f>
        <v>11263178.530000001</v>
      </c>
      <c r="M5" s="3">
        <f>IFERROR(IF(tblDespesaPessoal[[#This Row],[emp_acum]]&gt;0,tblDespesaPessoal[[#This Row],[emp_acum]]/tblDespesaPessoal[[#This Row],[arrec_acum]],""),"")</f>
        <v>0.4465536221949597</v>
      </c>
      <c r="N5" s="3">
        <f>IFERROR(IF(tblDespesaPessoal[[#This Row],[liq_acum]]&gt;0,tblDespesaPessoal[[#This Row],[liq_acum]]/tblDespesaPessoal[[#This Row],[arrec_acum]],""),"")</f>
        <v>0.44455596230347594</v>
      </c>
      <c r="O5">
        <f>YEAR(tblDespesaPessoal[[#This Row],[data_base]])</f>
        <v>2022</v>
      </c>
      <c r="P5">
        <f>MONTH(tblDespesaPessoal[[#This Row],[data_base]])</f>
        <v>4</v>
      </c>
    </row>
    <row r="6" spans="1:16" x14ac:dyDescent="0.25">
      <c r="A6" s="1">
        <v>44712</v>
      </c>
      <c r="B6" s="6">
        <v>1637121.1299999992</v>
      </c>
      <c r="C6" s="6">
        <v>1639621.1299999997</v>
      </c>
      <c r="D6" s="6">
        <v>1264253.1299999999</v>
      </c>
      <c r="E6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6666734.3000000007</v>
      </c>
      <c r="F6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6646734.2999999998</v>
      </c>
      <c r="G6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6250390.1900000004</v>
      </c>
      <c r="H6" s="6">
        <f>IFERROR(IF(tblDespesaPessoal[[#This Row],[emp_mes]]&gt;0,tblDespesaPessoal[[#This Row],[emp_acum]]-tblDespesaPessoal[[#This Row],[prev_acum]],""),"")</f>
        <v>416344.11000000034</v>
      </c>
      <c r="I6" s="6">
        <f>IFERROR(IF(tblDespesaPessoal[[#This Row],[liq_mes]]&gt;0,tblDespesaPessoal[[#This Row],[liq_acum]]-tblDespesaPessoal[[#This Row],[prev_acum]],""),"")</f>
        <v>396344.1099999994</v>
      </c>
      <c r="J6" s="3">
        <f>IFERROR(IF(tblDespesaPessoal[[#This Row],[emp_mes]]&gt;0,(tblDespesaPessoal[[#This Row],[emp_acum]]/tblDespesaPessoal[[#This Row],[prev_acum]])-1,""),"")</f>
        <v>6.6610899054927675E-2</v>
      </c>
      <c r="K6" s="3">
        <f>IFERROR(IF(tblDespesaPessoal[[#This Row],[liq_mes]]&gt;0,(tblDespesaPessoal[[#This Row],[liq_acum]]/tblDespesaPessoal[[#This Row],[prev_acum]])-1,""),"")</f>
        <v>6.3411098819736056E-2</v>
      </c>
      <c r="L6" s="6">
        <f>INDEX(tblReceitaCorrente[arrec_acum_atual],MATCH(tblDespesaPessoal[[#This Row],[data_base]],tblReceitaCorrente[data_base],0))</f>
        <v>14860897.600000001</v>
      </c>
      <c r="M6" s="3">
        <f>IFERROR(IF(tblDespesaPessoal[[#This Row],[emp_acum]]&gt;0,tblDespesaPessoal[[#This Row],[emp_acum]]/tblDespesaPessoal[[#This Row],[arrec_acum]],""),"")</f>
        <v>0.44860912708260636</v>
      </c>
      <c r="N6" s="3">
        <f>IFERROR(IF(tblDespesaPessoal[[#This Row],[liq_acum]]&gt;0,tblDespesaPessoal[[#This Row],[liq_acum]]/tblDespesaPessoal[[#This Row],[arrec_acum]],""),"")</f>
        <v>0.44726331335463876</v>
      </c>
      <c r="O6">
        <f>YEAR(tblDespesaPessoal[[#This Row],[data_base]])</f>
        <v>2022</v>
      </c>
      <c r="P6">
        <f>MONTH(tblDespesaPessoal[[#This Row],[data_base]])</f>
        <v>5</v>
      </c>
    </row>
    <row r="7" spans="1:16" x14ac:dyDescent="0.25">
      <c r="A7" s="1">
        <v>44742</v>
      </c>
      <c r="B7" s="6">
        <v>1449478.4300000004</v>
      </c>
      <c r="C7" s="6">
        <v>1451978.4300000004</v>
      </c>
      <c r="D7" s="6">
        <v>1213651.8999999999</v>
      </c>
      <c r="E7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8116212.7300000014</v>
      </c>
      <c r="F7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8098712.7300000004</v>
      </c>
      <c r="G7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7464042.0899999999</v>
      </c>
      <c r="H7" s="6">
        <f>IFERROR(IF(tblDespesaPessoal[[#This Row],[emp_mes]]&gt;0,tblDespesaPessoal[[#This Row],[emp_acum]]-tblDespesaPessoal[[#This Row],[prev_acum]],""),"")</f>
        <v>652170.64000000153</v>
      </c>
      <c r="I7" s="6">
        <f>IFERROR(IF(tblDespesaPessoal[[#This Row],[liq_mes]]&gt;0,tblDespesaPessoal[[#This Row],[liq_acum]]-tblDespesaPessoal[[#This Row],[prev_acum]],""),"")</f>
        <v>634670.6400000006</v>
      </c>
      <c r="J7" s="3">
        <f>IFERROR(IF(tblDespesaPessoal[[#This Row],[emp_mes]]&gt;0,(tblDespesaPessoal[[#This Row],[emp_acum]]/tblDespesaPessoal[[#This Row],[prev_acum]])-1,""),"")</f>
        <v>8.7374994960673025E-2</v>
      </c>
      <c r="K7" s="3">
        <f>IFERROR(IF(tblDespesaPessoal[[#This Row],[liq_mes]]&gt;0,(tblDespesaPessoal[[#This Row],[liq_acum]]/tblDespesaPessoal[[#This Row],[prev_acum]])-1,""),"")</f>
        <v>8.5030420829258935E-2</v>
      </c>
      <c r="L7" s="6">
        <f>INDEX(tblReceitaCorrente[arrec_acum_atual],MATCH(tblDespesaPessoal[[#This Row],[data_base]],tblReceitaCorrente[data_base],0))</f>
        <v>17855826.780000001</v>
      </c>
      <c r="M7" s="3">
        <f>IFERROR(IF(tblDespesaPessoal[[#This Row],[emp_acum]]&gt;0,tblDespesaPessoal[[#This Row],[emp_acum]]/tblDespesaPessoal[[#This Row],[arrec_acum]],""),"")</f>
        <v>0.45454141272757131</v>
      </c>
      <c r="N7" s="3">
        <f>IFERROR(IF(tblDespesaPessoal[[#This Row],[liq_acum]]&gt;0,tblDespesaPessoal[[#This Row],[liq_acum]]/tblDespesaPessoal[[#This Row],[arrec_acum]],""),"")</f>
        <v>0.45356134049593416</v>
      </c>
      <c r="O7">
        <f>YEAR(tblDespesaPessoal[[#This Row],[data_base]])</f>
        <v>2022</v>
      </c>
      <c r="P7">
        <f>MONTH(tblDespesaPessoal[[#This Row],[data_base]])</f>
        <v>6</v>
      </c>
    </row>
    <row r="8" spans="1:16" x14ac:dyDescent="0.25">
      <c r="A8" s="1">
        <v>44773</v>
      </c>
      <c r="B8" s="6">
        <v>1375411.2000000014</v>
      </c>
      <c r="C8" s="6">
        <v>1380411.2000000011</v>
      </c>
      <c r="D8" s="6">
        <v>1297905.2900000003</v>
      </c>
      <c r="E8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9491623.9300000034</v>
      </c>
      <c r="F8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9479123.9300000016</v>
      </c>
      <c r="G8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8761947.3800000008</v>
      </c>
      <c r="H8" s="6">
        <f>IFERROR(IF(tblDespesaPessoal[[#This Row],[emp_mes]]&gt;0,tblDespesaPessoal[[#This Row],[emp_acum]]-tblDespesaPessoal[[#This Row],[prev_acum]],""),"")</f>
        <v>729676.55000000261</v>
      </c>
      <c r="I8" s="6">
        <f>IFERROR(IF(tblDespesaPessoal[[#This Row],[liq_mes]]&gt;0,tblDespesaPessoal[[#This Row],[liq_acum]]-tblDespesaPessoal[[#This Row],[prev_acum]],""),"")</f>
        <v>717176.55000000075</v>
      </c>
      <c r="J8" s="3">
        <f>IFERROR(IF(tblDespesaPessoal[[#This Row],[emp_mes]]&gt;0,(tblDespesaPessoal[[#This Row],[emp_acum]]/tblDespesaPessoal[[#This Row],[prev_acum]])-1,""),"")</f>
        <v>8.3277896836673637E-2</v>
      </c>
      <c r="K8" s="3">
        <f>IFERROR(IF(tblDespesaPessoal[[#This Row],[liq_mes]]&gt;0,(tblDespesaPessoal[[#This Row],[liq_acum]]/tblDespesaPessoal[[#This Row],[prev_acum]])-1,""),"")</f>
        <v>8.1851273341018382E-2</v>
      </c>
      <c r="L8" s="6">
        <f>INDEX(tblReceitaCorrente[arrec_acum_atual],MATCH(tblDespesaPessoal[[#This Row],[data_base]],tblReceitaCorrente[data_base],0))</f>
        <v>21581919.960000001</v>
      </c>
      <c r="M8" s="3">
        <f>IFERROR(IF(tblDespesaPessoal[[#This Row],[emp_acum]]&gt;0,tblDespesaPessoal[[#This Row],[emp_acum]]/tblDespesaPessoal[[#This Row],[arrec_acum]],""),"")</f>
        <v>0.43979515944789943</v>
      </c>
      <c r="N8" s="3">
        <f>IFERROR(IF(tblDespesaPessoal[[#This Row],[liq_acum]]&gt;0,tblDespesaPessoal[[#This Row],[liq_acum]]/tblDespesaPessoal[[#This Row],[arrec_acum]],""),"")</f>
        <v>0.43921597094089126</v>
      </c>
      <c r="O8">
        <f>YEAR(tblDespesaPessoal[[#This Row],[data_base]])</f>
        <v>2022</v>
      </c>
      <c r="P8">
        <f>MONTH(tblDespesaPessoal[[#This Row],[data_base]])</f>
        <v>7</v>
      </c>
    </row>
    <row r="9" spans="1:16" x14ac:dyDescent="0.25">
      <c r="A9" s="1">
        <v>44804</v>
      </c>
      <c r="B9" s="6">
        <v>1428454.1800000009</v>
      </c>
      <c r="C9" s="6">
        <v>1428454.1800000006</v>
      </c>
      <c r="D9" s="6">
        <v>1229021.1299999999</v>
      </c>
      <c r="E9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10920078.110000005</v>
      </c>
      <c r="F9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10907578.110000003</v>
      </c>
      <c r="G9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9990968.5100000016</v>
      </c>
      <c r="H9" s="6">
        <f>IFERROR(IF(tblDespesaPessoal[[#This Row],[emp_mes]]&gt;0,tblDespesaPessoal[[#This Row],[emp_acum]]-tblDespesaPessoal[[#This Row],[prev_acum]],""),"")</f>
        <v>929109.60000000335</v>
      </c>
      <c r="I9" s="6">
        <f>IFERROR(IF(tblDespesaPessoal[[#This Row],[liq_mes]]&gt;0,tblDespesaPessoal[[#This Row],[liq_acum]]-tblDespesaPessoal[[#This Row],[prev_acum]],""),"")</f>
        <v>916609.60000000149</v>
      </c>
      <c r="J9" s="3">
        <f>IFERROR(IF(tblDespesaPessoal[[#This Row],[emp_mes]]&gt;0,(tblDespesaPessoal[[#This Row],[emp_acum]]/tblDespesaPessoal[[#This Row],[prev_acum]])-1,""),"")</f>
        <v>9.2994948294557567E-2</v>
      </c>
      <c r="K9" s="3">
        <f>IFERROR(IF(tblDespesaPessoal[[#This Row],[liq_mes]]&gt;0,(tblDespesaPessoal[[#This Row],[liq_acum]]/tblDespesaPessoal[[#This Row],[prev_acum]])-1,""),"")</f>
        <v>9.1743818337788108E-2</v>
      </c>
      <c r="L9" s="6">
        <f>INDEX(tblReceitaCorrente[arrec_acum_atual],MATCH(tblDespesaPessoal[[#This Row],[data_base]],tblReceitaCorrente[data_base],0))</f>
        <v>24526537.609999999</v>
      </c>
      <c r="M9" s="3">
        <f>IFERROR(IF(tblDespesaPessoal[[#This Row],[emp_acum]]&gt;0,tblDespesaPessoal[[#This Row],[emp_acum]]/tblDespesaPessoal[[#This Row],[arrec_acum]],""),"")</f>
        <v>0.44523520945523321</v>
      </c>
      <c r="N9" s="3">
        <f>IFERROR(IF(tblDespesaPessoal[[#This Row],[liq_acum]]&gt;0,tblDespesaPessoal[[#This Row],[liq_acum]]/tblDespesaPessoal[[#This Row],[arrec_acum]],""),"")</f>
        <v>0.44472555741225978</v>
      </c>
      <c r="O9">
        <f>YEAR(tblDespesaPessoal[[#This Row],[data_base]])</f>
        <v>2022</v>
      </c>
      <c r="P9">
        <f>MONTH(tblDespesaPessoal[[#This Row],[data_base]])</f>
        <v>8</v>
      </c>
    </row>
    <row r="10" spans="1:16" x14ac:dyDescent="0.25">
      <c r="A10" s="1">
        <v>44834</v>
      </c>
      <c r="B10" s="6">
        <v>1338489.4799999993</v>
      </c>
      <c r="C10" s="6">
        <v>1350989.4800000007</v>
      </c>
      <c r="D10" s="6">
        <v>1216774.8599999999</v>
      </c>
      <c r="E10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12258567.590000004</v>
      </c>
      <c r="F10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12258567.590000004</v>
      </c>
      <c r="G10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11207743.370000001</v>
      </c>
      <c r="H10" s="6">
        <f>IFERROR(IF(tblDespesaPessoal[[#This Row],[emp_mes]]&gt;0,tblDespesaPessoal[[#This Row],[emp_acum]]-tblDespesaPessoal[[#This Row],[prev_acum]],""),"")</f>
        <v>1050824.2200000025</v>
      </c>
      <c r="I10" s="6">
        <f>IFERROR(IF(tblDespesaPessoal[[#This Row],[liq_mes]]&gt;0,tblDespesaPessoal[[#This Row],[liq_acum]]-tblDespesaPessoal[[#This Row],[prev_acum]],""),"")</f>
        <v>1050824.2200000025</v>
      </c>
      <c r="J10" s="3">
        <f>IFERROR(IF(tblDespesaPessoal[[#This Row],[emp_mes]]&gt;0,(tblDespesaPessoal[[#This Row],[emp_acum]]/tblDespesaPessoal[[#This Row],[prev_acum]])-1,""),"")</f>
        <v>9.3758768853752006E-2</v>
      </c>
      <c r="K10" s="3">
        <f>IFERROR(IF(tblDespesaPessoal[[#This Row],[liq_mes]]&gt;0,(tblDespesaPessoal[[#This Row],[liq_acum]]/tblDespesaPessoal[[#This Row],[prev_acum]])-1,""),"")</f>
        <v>9.3758768853752006E-2</v>
      </c>
      <c r="L10" s="6">
        <f>INDEX(tblReceitaCorrente[arrec_acum_atual],MATCH(tblDespesaPessoal[[#This Row],[data_base]],tblReceitaCorrente[data_base],0))</f>
        <v>27381568.940000001</v>
      </c>
      <c r="M10" s="3">
        <f>IFERROR(IF(tblDespesaPessoal[[#This Row],[emp_acum]]&gt;0,tblDespesaPessoal[[#This Row],[emp_acum]]/tblDespesaPessoal[[#This Row],[arrec_acum]],""),"")</f>
        <v>0.44769412654408702</v>
      </c>
      <c r="N10" s="3">
        <f>IFERROR(IF(tblDespesaPessoal[[#This Row],[liq_acum]]&gt;0,tblDespesaPessoal[[#This Row],[liq_acum]]/tblDespesaPessoal[[#This Row],[arrec_acum]],""),"")</f>
        <v>0.44769412654408702</v>
      </c>
      <c r="O10">
        <f>YEAR(tblDespesaPessoal[[#This Row],[data_base]])</f>
        <v>2022</v>
      </c>
      <c r="P10">
        <f>MONTH(tblDespesaPessoal[[#This Row],[data_base]])</f>
        <v>9</v>
      </c>
    </row>
    <row r="11" spans="1:16" x14ac:dyDescent="0.25">
      <c r="A11" s="1">
        <v>44865</v>
      </c>
      <c r="B11" s="6">
        <v>1403941.6600000004</v>
      </c>
      <c r="C11" s="6">
        <v>1403941.6600000001</v>
      </c>
      <c r="D11" s="6">
        <v>1303659.74</v>
      </c>
      <c r="E11" s="6">
        <f>IF(tblDespesaPessoal[[#This Row],[emp_mes]]&gt;0,SUMIFS(tblDespesaPessoal[emp_mes],tblDespesaPessoal[ano],YEAR(tblDespesaPessoal[[#This Row],[data_base]]),tblDespesaPessoal[mês],"&lt;="&amp;MONTH(tblDespesaPessoal[[#This Row],[data_base]])),"")</f>
        <v>13662509.250000004</v>
      </c>
      <c r="F11" s="6">
        <f>IF(tblDespesaPessoal[[#This Row],[liq_mes]]&gt;0,SUMIFS(tblDespesaPessoal[liq_mes],tblDespesaPessoal[ano],YEAR(tblDespesaPessoal[[#This Row],[data_base]]),tblDespesaPessoal[mês],"&lt;="&amp;MONTH(tblDespesaPessoal[[#This Row],[data_base]])),"")</f>
        <v>13662509.250000004</v>
      </c>
      <c r="G11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12511403.110000001</v>
      </c>
      <c r="H11" s="6">
        <f>IFERROR(IF(tblDespesaPessoal[[#This Row],[emp_mes]]&gt;0,tblDespesaPessoal[[#This Row],[emp_acum]]-tblDespesaPessoal[[#This Row],[prev_acum]],""),"")</f>
        <v>1151106.1400000025</v>
      </c>
      <c r="I11" s="6">
        <f>IFERROR(IF(tblDespesaPessoal[[#This Row],[liq_mes]]&gt;0,tblDespesaPessoal[[#This Row],[liq_acum]]-tblDespesaPessoal[[#This Row],[prev_acum]],""),"")</f>
        <v>1151106.1400000025</v>
      </c>
      <c r="J11" s="3">
        <f>IFERROR(IF(tblDespesaPessoal[[#This Row],[emp_mes]]&gt;0,(tblDespesaPessoal[[#This Row],[emp_acum]]/tblDespesaPessoal[[#This Row],[prev_acum]])-1,""),"")</f>
        <v>9.2004560150408476E-2</v>
      </c>
      <c r="K11" s="3">
        <f>IFERROR(IF(tblDespesaPessoal[[#This Row],[liq_mes]]&gt;0,(tblDespesaPessoal[[#This Row],[liq_acum]]/tblDespesaPessoal[[#This Row],[prev_acum]])-1,""),"")</f>
        <v>9.2004560150408476E-2</v>
      </c>
      <c r="L11" s="6">
        <f>INDEX(tblReceitaCorrente[arrec_acum_atual],MATCH(tblDespesaPessoal[[#This Row],[data_base]],tblReceitaCorrente[data_base],0))</f>
        <v>30402749.140000001</v>
      </c>
      <c r="M11" s="3">
        <f>IFERROR(IF(tblDespesaPessoal[[#This Row],[emp_acum]]&gt;0,tblDespesaPessoal[[#This Row],[emp_acum]]/tblDespesaPessoal[[#This Row],[arrec_acum]],""),"")</f>
        <v>0.44938400758057245</v>
      </c>
      <c r="N11" s="3">
        <f>IFERROR(IF(tblDespesaPessoal[[#This Row],[liq_acum]]&gt;0,tblDespesaPessoal[[#This Row],[liq_acum]]/tblDespesaPessoal[[#This Row],[arrec_acum]],""),"")</f>
        <v>0.44938400758057245</v>
      </c>
      <c r="O11">
        <f>YEAR(tblDespesaPessoal[[#This Row],[data_base]])</f>
        <v>2022</v>
      </c>
      <c r="P11">
        <f>MONTH(tblDespesaPessoal[[#This Row],[data_base]])</f>
        <v>10</v>
      </c>
    </row>
    <row r="12" spans="1:16" x14ac:dyDescent="0.25">
      <c r="A12" s="1">
        <v>44895</v>
      </c>
      <c r="B12" s="6"/>
      <c r="C12" s="6"/>
      <c r="D12" s="6">
        <v>1223741.76</v>
      </c>
      <c r="E12" s="6" t="str">
        <f>IF(tblDespesaPessoal[[#This Row],[emp_mes]]&gt;0,SUMIFS(tblDespesaPessoal[emp_mes],tblDespesaPessoal[ano],YEAR(tblDespesaPessoal[[#This Row],[data_base]]),tblDespesaPessoal[mês],"&lt;="&amp;MONTH(tblDespesaPessoal[[#This Row],[data_base]])),"")</f>
        <v/>
      </c>
      <c r="F12" s="6" t="str">
        <f>IF(tblDespesaPessoal[[#This Row],[liq_mes]]&gt;0,SUMIFS(tblDespesaPessoal[liq_mes],tblDespesaPessoal[ano],YEAR(tblDespesaPessoal[[#This Row],[data_base]]),tblDespesaPessoal[mês],"&lt;="&amp;MONTH(tblDespesaPessoal[[#This Row],[data_base]])),"")</f>
        <v/>
      </c>
      <c r="G12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13735144.870000001</v>
      </c>
      <c r="H12" s="6" t="str">
        <f>IFERROR(IF(tblDespesaPessoal[[#This Row],[emp_mes]]&gt;0,tblDespesaPessoal[[#This Row],[emp_acum]]-tblDespesaPessoal[[#This Row],[prev_acum]],""),"")</f>
        <v/>
      </c>
      <c r="I12" s="6" t="str">
        <f>IFERROR(IF(tblDespesaPessoal[[#This Row],[liq_mes]]&gt;0,tblDespesaPessoal[[#This Row],[liq_acum]]-tblDespesaPessoal[[#This Row],[prev_acum]],""),"")</f>
        <v/>
      </c>
      <c r="J12" s="3" t="str">
        <f>IFERROR(IF(tblDespesaPessoal[[#This Row],[emp_mes]]&gt;0,(tblDespesaPessoal[[#This Row],[emp_acum]]/tblDespesaPessoal[[#This Row],[prev_acum]])-1,""),"")</f>
        <v/>
      </c>
      <c r="K12" s="3" t="str">
        <f>IFERROR(IF(tblDespesaPessoal[[#This Row],[liq_mes]]&gt;0,(tblDespesaPessoal[[#This Row],[liq_acum]]/tblDespesaPessoal[[#This Row],[prev_acum]])-1,""),"")</f>
        <v/>
      </c>
      <c r="L12" s="6" t="str">
        <f>INDEX(tblReceitaCorrente[arrec_acum_atual],MATCH(tblDespesaPessoal[[#This Row],[data_base]],tblReceitaCorrente[data_base],0))</f>
        <v/>
      </c>
      <c r="M12" s="3" t="str">
        <f>IFERROR(IF(tblDespesaPessoal[[#This Row],[emp_acum]]&gt;0,tblDespesaPessoal[[#This Row],[emp_acum]]/tblDespesaPessoal[[#This Row],[arrec_acum]],""),"")</f>
        <v/>
      </c>
      <c r="N12" s="3" t="str">
        <f>IFERROR(IF(tblDespesaPessoal[[#This Row],[liq_acum]]&gt;0,tblDespesaPessoal[[#This Row],[liq_acum]]/tblDespesaPessoal[[#This Row],[arrec_acum]],""),"")</f>
        <v/>
      </c>
      <c r="O12">
        <f>YEAR(tblDespesaPessoal[[#This Row],[data_base]])</f>
        <v>2022</v>
      </c>
      <c r="P12">
        <f>MONTH(tblDespesaPessoal[[#This Row],[data_base]])</f>
        <v>11</v>
      </c>
    </row>
    <row r="13" spans="1:16" x14ac:dyDescent="0.25">
      <c r="A13" s="1">
        <v>44926</v>
      </c>
      <c r="B13" s="6"/>
      <c r="C13" s="6"/>
      <c r="D13" s="6">
        <v>2462095.31</v>
      </c>
      <c r="E13" s="6" t="str">
        <f>IF(tblDespesaPessoal[[#This Row],[emp_mes]]&gt;0,SUMIFS(tblDespesaPessoal[emp_mes],tblDespesaPessoal[ano],YEAR(tblDespesaPessoal[[#This Row],[data_base]]),tblDespesaPessoal[mês],"&lt;="&amp;MONTH(tblDespesaPessoal[[#This Row],[data_base]])),"")</f>
        <v/>
      </c>
      <c r="F13" s="6" t="str">
        <f>IF(tblDespesaPessoal[[#This Row],[liq_mes]]&gt;0,SUMIFS(tblDespesaPessoal[liq_mes],tblDespesaPessoal[ano],YEAR(tblDespesaPessoal[[#This Row],[data_base]]),tblDespesaPessoal[mês],"&lt;="&amp;MONTH(tblDespesaPessoal[[#This Row],[data_base]])),"")</f>
        <v/>
      </c>
      <c r="G13" s="6">
        <f>IF(tblDespesaPessoal[[#This Row],[prev_mes]]&gt;0,SUMIFS(tblDespesaPessoal[prev_mes],tblDespesaPessoal[ano],YEAR(tblDespesaPessoal[[#This Row],[data_base]]),tblDespesaPessoal[mês],"&lt;="&amp;MONTH(tblDespesaPessoal[[#This Row],[data_base]])),"")</f>
        <v>16197240.180000002</v>
      </c>
      <c r="H13" s="6" t="str">
        <f>IFERROR(IF(tblDespesaPessoal[[#This Row],[emp_mes]]&gt;0,tblDespesaPessoal[[#This Row],[emp_acum]]-tblDespesaPessoal[[#This Row],[prev_acum]],""),"")</f>
        <v/>
      </c>
      <c r="I13" s="6" t="str">
        <f>IFERROR(IF(tblDespesaPessoal[[#This Row],[liq_mes]]&gt;0,tblDespesaPessoal[[#This Row],[liq_acum]]-tblDespesaPessoal[[#This Row],[prev_acum]],""),"")</f>
        <v/>
      </c>
      <c r="J13" s="3" t="str">
        <f>IFERROR(IF(tblDespesaPessoal[[#This Row],[emp_mes]]&gt;0,(tblDespesaPessoal[[#This Row],[emp_acum]]/tblDespesaPessoal[[#This Row],[prev_acum]])-1,""),"")</f>
        <v/>
      </c>
      <c r="K13" s="3" t="str">
        <f>IFERROR(IF(tblDespesaPessoal[[#This Row],[liq_mes]]&gt;0,(tblDespesaPessoal[[#This Row],[liq_acum]]/tblDespesaPessoal[[#This Row],[prev_acum]])-1,""),"")</f>
        <v/>
      </c>
      <c r="L13" s="6" t="str">
        <f>INDEX(tblReceitaCorrente[arrec_acum_atual],MATCH(tblDespesaPessoal[[#This Row],[data_base]],tblReceitaCorrente[data_base],0))</f>
        <v/>
      </c>
      <c r="M13" s="3" t="str">
        <f>IFERROR(IF(tblDespesaPessoal[[#This Row],[emp_acum]]&gt;0,tblDespesaPessoal[[#This Row],[emp_acum]]/tblDespesaPessoal[[#This Row],[arrec_acum]],""),"")</f>
        <v/>
      </c>
      <c r="N13" s="3" t="str">
        <f>IFERROR(IF(tblDespesaPessoal[[#This Row],[liq_acum]]&gt;0,tblDespesaPessoal[[#This Row],[liq_acum]]/tblDespesaPessoal[[#This Row],[arrec_acum]],""),"")</f>
        <v/>
      </c>
      <c r="O13">
        <f>YEAR(tblDespesaPessoal[[#This Row],[data_base]])</f>
        <v>2022</v>
      </c>
      <c r="P13">
        <f>MONTH(tblDespesaPessoal[[#This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1F05-82FD-409A-BEF4-363E9A835635}">
  <dimension ref="A1:G13"/>
  <sheetViews>
    <sheetView workbookViewId="0">
      <selection activeCell="D12" sqref="D12"/>
    </sheetView>
  </sheetViews>
  <sheetFormatPr defaultRowHeight="15" x14ac:dyDescent="0.25"/>
  <cols>
    <col min="1" max="1" width="12.140625" customWidth="1"/>
    <col min="3" max="3" width="10" customWidth="1"/>
    <col min="4" max="4" width="14.28515625" bestFit="1" customWidth="1"/>
    <col min="5" max="5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44592</v>
      </c>
      <c r="B2" s="3">
        <f>IFERROR(tblASPS[[#This Row],[despesa_bc]]/tblASPS[[#This Row],[receita_bc]],"")</f>
        <v>9.0231509469211671E-2</v>
      </c>
      <c r="C2" s="2">
        <v>0.15</v>
      </c>
      <c r="D2" s="4">
        <v>2242831.37</v>
      </c>
      <c r="E2" s="4">
        <v>202374.06</v>
      </c>
      <c r="F2">
        <f>YEAR(tblASPS[[#This Row],[data_base]])</f>
        <v>2022</v>
      </c>
      <c r="G2">
        <f>MONTH(tblASPS[[#This Row],[data_base]])</f>
        <v>1</v>
      </c>
    </row>
    <row r="3" spans="1:7" x14ac:dyDescent="0.25">
      <c r="A3" s="1">
        <v>44620</v>
      </c>
      <c r="B3" s="3">
        <f>IFERROR(tblASPS[[#This Row],[despesa_bc]]/tblASPS[[#This Row],[receita_bc]],"")</f>
        <v>0.12854397682138682</v>
      </c>
      <c r="C3" s="2">
        <v>0.15</v>
      </c>
      <c r="D3" s="4">
        <v>4928860.8899999997</v>
      </c>
      <c r="E3" s="4">
        <v>633575.38</v>
      </c>
      <c r="F3">
        <f>YEAR(tblASPS[[#This Row],[data_base]])</f>
        <v>2022</v>
      </c>
      <c r="G3">
        <f>MONTH(tblASPS[[#This Row],[data_base]])</f>
        <v>2</v>
      </c>
    </row>
    <row r="4" spans="1:7" x14ac:dyDescent="0.25">
      <c r="A4" s="1">
        <v>44651</v>
      </c>
      <c r="B4" s="3">
        <f>IFERROR(tblASPS[[#This Row],[despesa_bc]]/tblASPS[[#This Row],[receita_bc]],"")</f>
        <v>0.14848808908067906</v>
      </c>
      <c r="C4" s="2">
        <v>0.15</v>
      </c>
      <c r="D4" s="4">
        <v>7164376.46</v>
      </c>
      <c r="E4" s="4">
        <v>1063824.57</v>
      </c>
      <c r="F4">
        <f>YEAR(tblASPS[[#This Row],[data_base]])</f>
        <v>2022</v>
      </c>
      <c r="G4">
        <f>MONTH(tblASPS[[#This Row],[data_base]])</f>
        <v>3</v>
      </c>
    </row>
    <row r="5" spans="1:7" x14ac:dyDescent="0.25">
      <c r="A5" s="1">
        <v>44681</v>
      </c>
      <c r="B5" s="3">
        <f>IFERROR(tblASPS[[#This Row],[despesa_bc]]/tblASPS[[#This Row],[receita_bc]],"")</f>
        <v>0.15671215179774289</v>
      </c>
      <c r="C5" s="2">
        <v>0.15</v>
      </c>
      <c r="D5" s="4">
        <v>9650489.2100000009</v>
      </c>
      <c r="E5" s="4">
        <v>1512348.93</v>
      </c>
      <c r="F5">
        <f>YEAR(tblASPS[[#This Row],[data_base]])</f>
        <v>2022</v>
      </c>
      <c r="G5">
        <f>MONTH(tblASPS[[#This Row],[data_base]])</f>
        <v>4</v>
      </c>
    </row>
    <row r="6" spans="1:7" x14ac:dyDescent="0.25">
      <c r="A6" s="1">
        <v>44712</v>
      </c>
      <c r="B6" s="3">
        <f>IFERROR(tblASPS[[#This Row],[despesa_bc]]/tblASPS[[#This Row],[receita_bc]],"")</f>
        <v>0.15461766427880477</v>
      </c>
      <c r="C6" s="2">
        <v>0.15</v>
      </c>
      <c r="D6" s="4">
        <v>12516854.52</v>
      </c>
      <c r="E6" s="4">
        <v>1935326.81</v>
      </c>
      <c r="F6">
        <f>YEAR(tblASPS[[#This Row],[data_base]])</f>
        <v>2022</v>
      </c>
      <c r="G6">
        <f>MONTH(tblASPS[[#This Row],[data_base]])</f>
        <v>5</v>
      </c>
    </row>
    <row r="7" spans="1:7" x14ac:dyDescent="0.25">
      <c r="A7" s="1">
        <v>44742</v>
      </c>
      <c r="B7" s="3">
        <f>IFERROR(tblASPS[[#This Row],[despesa_bc]]/tblASPS[[#This Row],[receita_bc]],"")</f>
        <v>0.15708823573863742</v>
      </c>
      <c r="C7" s="2">
        <v>0.15</v>
      </c>
      <c r="D7" s="4">
        <v>15038039.92</v>
      </c>
      <c r="E7" s="4">
        <v>2362299.16</v>
      </c>
      <c r="F7">
        <f>YEAR(tblASPS[[#This Row],[data_base]])</f>
        <v>2022</v>
      </c>
      <c r="G7">
        <f>MONTH(tblASPS[[#This Row],[data_base]])</f>
        <v>6</v>
      </c>
    </row>
    <row r="8" spans="1:7" x14ac:dyDescent="0.25">
      <c r="A8" s="1">
        <v>44773</v>
      </c>
      <c r="B8" s="3">
        <f>IFERROR(tblASPS[[#This Row],[despesa_bc]]/tblASPS[[#This Row],[receita_bc]],"")</f>
        <v>0.1647715694399885</v>
      </c>
      <c r="C8" s="2">
        <v>0.15</v>
      </c>
      <c r="D8" s="4">
        <v>17188854.239999998</v>
      </c>
      <c r="E8" s="4">
        <v>2832234.49</v>
      </c>
      <c r="F8">
        <f>YEAR(tblASPS[[#This Row],[data_base]])</f>
        <v>2022</v>
      </c>
      <c r="G8">
        <f>MONTH(tblASPS[[#This Row],[data_base]])</f>
        <v>7</v>
      </c>
    </row>
    <row r="9" spans="1:7" x14ac:dyDescent="0.25">
      <c r="A9" s="1">
        <v>44804</v>
      </c>
      <c r="B9" s="3">
        <f>IFERROR(tblASPS[[#This Row],[despesa_bc]]/tblASPS[[#This Row],[receita_bc]],"")</f>
        <v>0.18099072393935178</v>
      </c>
      <c r="C9" s="2">
        <v>0.15</v>
      </c>
      <c r="D9" s="4">
        <v>19778308.59</v>
      </c>
      <c r="E9" s="4">
        <v>3579690.39</v>
      </c>
      <c r="F9">
        <f>YEAR(tblASPS[[#This Row],[data_base]])</f>
        <v>2022</v>
      </c>
      <c r="G9">
        <f>MONTH(tblASPS[[#This Row],[data_base]])</f>
        <v>8</v>
      </c>
    </row>
    <row r="10" spans="1:7" x14ac:dyDescent="0.25">
      <c r="A10" s="1">
        <v>44834</v>
      </c>
      <c r="B10" s="3">
        <f>IFERROR(tblASPS[[#This Row],[despesa_bc]]/tblASPS[[#This Row],[receita_bc]],"")</f>
        <v>0.18061688161768208</v>
      </c>
      <c r="C10" s="2">
        <v>0.15</v>
      </c>
      <c r="D10" s="4">
        <v>22146645.010000002</v>
      </c>
      <c r="E10" s="4">
        <v>4000057.96</v>
      </c>
      <c r="F10">
        <f>YEAR(tblASPS[[#This Row],[data_base]])</f>
        <v>2022</v>
      </c>
      <c r="G10">
        <f>MONTH(tblASPS[[#This Row],[data_base]])</f>
        <v>9</v>
      </c>
    </row>
    <row r="11" spans="1:7" x14ac:dyDescent="0.25">
      <c r="A11" s="1">
        <v>44865</v>
      </c>
      <c r="B11" s="3">
        <f>IFERROR(tblASPS[[#This Row],[despesa_bc]]/tblASPS[[#This Row],[receita_bc]],"")</f>
        <v>0.18282952119923754</v>
      </c>
      <c r="C11" s="2">
        <v>0.15</v>
      </c>
      <c r="D11" s="4">
        <v>24579081.16</v>
      </c>
      <c r="E11" s="4">
        <v>4493781.6399999997</v>
      </c>
      <c r="F11">
        <f>YEAR(tblASPS[[#This Row],[data_base]])</f>
        <v>2022</v>
      </c>
      <c r="G11">
        <f>MONTH(tblASPS[[#This Row],[data_base]])</f>
        <v>10</v>
      </c>
    </row>
    <row r="12" spans="1:7" x14ac:dyDescent="0.25">
      <c r="A12" s="1">
        <v>44895</v>
      </c>
      <c r="B12" s="3" t="str">
        <f>IFERROR(tblASPS[[#This Row],[despesa_bc]]/tblASPS[[#This Row],[receita_bc]],"")</f>
        <v/>
      </c>
      <c r="C12" s="2">
        <v>0.15</v>
      </c>
      <c r="D12" s="4"/>
      <c r="E12" s="4"/>
      <c r="F12">
        <f>YEAR(tblASPS[[#This Row],[data_base]])</f>
        <v>2022</v>
      </c>
      <c r="G12">
        <f>MONTH(tblASPS[[#This Row],[data_base]])</f>
        <v>11</v>
      </c>
    </row>
    <row r="13" spans="1:7" x14ac:dyDescent="0.25">
      <c r="A13" s="1">
        <v>44926</v>
      </c>
      <c r="B13" s="3" t="str">
        <f>IFERROR(tblASPS[[#This Row],[despesa_bc]]/tblASPS[[#This Row],[receita_bc]],"")</f>
        <v/>
      </c>
      <c r="C13" s="2">
        <v>0.15</v>
      </c>
      <c r="D13" s="4"/>
      <c r="E13" s="4"/>
      <c r="F13">
        <f>YEAR(tblASPS[[#This Row],[data_base]])</f>
        <v>2022</v>
      </c>
      <c r="G13">
        <f>MONTH(tblASPS[[#This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73EE-7730-4860-B637-10E6946EBBCE}">
  <dimension ref="A1:I13"/>
  <sheetViews>
    <sheetView workbookViewId="0">
      <selection activeCell="B3" sqref="B3"/>
    </sheetView>
  </sheetViews>
  <sheetFormatPr defaultRowHeight="15" x14ac:dyDescent="0.25"/>
  <cols>
    <col min="1" max="1" width="12.140625" customWidth="1"/>
    <col min="4" max="4" width="12.5703125" customWidth="1"/>
    <col min="6" max="7" width="14.28515625" bestFit="1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</row>
    <row r="2" spans="1:9" x14ac:dyDescent="0.25">
      <c r="A2" s="1">
        <v>44592</v>
      </c>
      <c r="B2" s="3">
        <f>IFERROR(tblPessoalLRF[[#This Row],[dtp]]/tblPessoalLRF[[#This Row],[rcl]],"")</f>
        <v>0.42208874402484314</v>
      </c>
      <c r="C2" s="2">
        <v>0.54</v>
      </c>
      <c r="D2" s="3">
        <f>tblPessoalLRF[[#This Row],[legal]]*95%</f>
        <v>0.51300000000000001</v>
      </c>
      <c r="E2" s="3">
        <f>tblPessoalLRF[[#This Row],[legal]]*90%</f>
        <v>0.48600000000000004</v>
      </c>
      <c r="F2" s="4">
        <v>33063558.760000002</v>
      </c>
      <c r="G2" s="4">
        <v>13955755.99</v>
      </c>
      <c r="H2">
        <f>YEAR(tblPessoalLRF[[#This Row],[data_base]])</f>
        <v>2022</v>
      </c>
      <c r="I2">
        <f>MONTH(tblPessoalLRF[[#This Row],[data_base]])</f>
        <v>1</v>
      </c>
    </row>
    <row r="3" spans="1:9" x14ac:dyDescent="0.25">
      <c r="A3" s="1">
        <v>44620</v>
      </c>
      <c r="B3" s="3">
        <f>IFERROR(tblPessoalLRF[[#This Row],[dtp]]/tblPessoalLRF[[#This Row],[rcl]],"")</f>
        <v>0.41945913812194874</v>
      </c>
      <c r="C3" s="2">
        <v>0.54</v>
      </c>
      <c r="D3" s="3">
        <f>tblPessoalLRF[[#This Row],[legal]]*95%</f>
        <v>0.51300000000000001</v>
      </c>
      <c r="E3" s="3">
        <f>tblPessoalLRF[[#This Row],[legal]]*90%</f>
        <v>0.48600000000000004</v>
      </c>
      <c r="F3" s="4">
        <v>33672938.950000003</v>
      </c>
      <c r="G3" s="4">
        <v>14124421.949999999</v>
      </c>
      <c r="H3">
        <f>YEAR(tblPessoalLRF[[#This Row],[data_base]])</f>
        <v>2022</v>
      </c>
      <c r="I3">
        <f>MONTH(tblPessoalLRF[[#This Row],[data_base]])</f>
        <v>2</v>
      </c>
    </row>
    <row r="4" spans="1:9" x14ac:dyDescent="0.25">
      <c r="A4" s="1">
        <v>44651</v>
      </c>
      <c r="B4" s="3">
        <f>IFERROR(tblPessoalLRF[[#This Row],[dtp]]/tblPessoalLRF[[#This Row],[rcl]],"")</f>
        <v>0.42094396414333468</v>
      </c>
      <c r="C4" s="2">
        <v>0.54</v>
      </c>
      <c r="D4" s="3">
        <f>tblPessoalLRF[[#This Row],[legal]]*95%</f>
        <v>0.51300000000000001</v>
      </c>
      <c r="E4" s="3">
        <f>tblPessoalLRF[[#This Row],[legal]]*90%</f>
        <v>0.48600000000000004</v>
      </c>
      <c r="F4" s="4">
        <v>33965126.140000001</v>
      </c>
      <c r="G4" s="4">
        <v>14297414.84</v>
      </c>
      <c r="H4">
        <f>YEAR(tblPessoalLRF[[#This Row],[data_base]])</f>
        <v>2022</v>
      </c>
      <c r="I4">
        <f>MONTH(tblPessoalLRF[[#This Row],[data_base]])</f>
        <v>3</v>
      </c>
    </row>
    <row r="5" spans="1:9" x14ac:dyDescent="0.25">
      <c r="A5" s="1">
        <v>44681</v>
      </c>
      <c r="B5" s="3">
        <f>IFERROR(tblPessoalLRF[[#This Row],[dtp]]/tblPessoalLRF[[#This Row],[rcl]],"")</f>
        <v>0.4188577314992778</v>
      </c>
      <c r="C5" s="2">
        <v>0.54</v>
      </c>
      <c r="D5" s="3">
        <f>tblPessoalLRF[[#This Row],[legal]]*95%</f>
        <v>0.51300000000000001</v>
      </c>
      <c r="E5" s="3">
        <f>tblPessoalLRF[[#This Row],[legal]]*90%</f>
        <v>0.48600000000000004</v>
      </c>
      <c r="F5" s="4">
        <v>34596504.039999999</v>
      </c>
      <c r="G5" s="4">
        <v>14491013.199999999</v>
      </c>
      <c r="H5">
        <f>YEAR(tblPessoalLRF[[#This Row],[data_base]])</f>
        <v>2022</v>
      </c>
      <c r="I5">
        <f>MONTH(tblPessoalLRF[[#This Row],[data_base]])</f>
        <v>4</v>
      </c>
    </row>
    <row r="6" spans="1:9" x14ac:dyDescent="0.25">
      <c r="A6" s="1">
        <v>44712</v>
      </c>
      <c r="B6" s="3">
        <f>IFERROR(tblPessoalLRF[[#This Row],[dtp]]/tblPessoalLRF[[#This Row],[rcl]],"")</f>
        <v>0.41519527495276598</v>
      </c>
      <c r="C6" s="2">
        <v>0.54</v>
      </c>
      <c r="D6" s="3">
        <f>tblPessoalLRF[[#This Row],[legal]]*95%</f>
        <v>0.51300000000000001</v>
      </c>
      <c r="E6" s="3">
        <f>tblPessoalLRF[[#This Row],[legal]]*90%</f>
        <v>0.48600000000000004</v>
      </c>
      <c r="F6" s="4">
        <v>35512488.170000002</v>
      </c>
      <c r="G6" s="4">
        <v>14744617.289999999</v>
      </c>
      <c r="H6">
        <f>YEAR(tblPessoalLRF[[#This Row],[data_base]])</f>
        <v>2022</v>
      </c>
      <c r="I6">
        <f>MONTH(tblPessoalLRF[[#This Row],[data_base]])</f>
        <v>5</v>
      </c>
    </row>
    <row r="7" spans="1:9" x14ac:dyDescent="0.25">
      <c r="A7" s="1">
        <v>44742</v>
      </c>
      <c r="B7" s="3">
        <f>IFERROR(tblPessoalLRF[[#This Row],[dtp]]/tblPessoalLRF[[#This Row],[rcl]],"")</f>
        <v>0.42323857223849642</v>
      </c>
      <c r="C7" s="2">
        <v>0.54</v>
      </c>
      <c r="D7" s="3">
        <f>tblPessoalLRF[[#This Row],[legal]]*95%</f>
        <v>0.51300000000000001</v>
      </c>
      <c r="E7" s="3">
        <f>tblPessoalLRF[[#This Row],[legal]]*90%</f>
        <v>0.48600000000000004</v>
      </c>
      <c r="F7" s="4">
        <v>35589963.079999998</v>
      </c>
      <c r="G7" s="4">
        <v>15063045.16</v>
      </c>
      <c r="H7">
        <f>YEAR(tblPessoalLRF[[#This Row],[data_base]])</f>
        <v>2022</v>
      </c>
      <c r="I7">
        <f>MONTH(tblPessoalLRF[[#This Row],[data_base]])</f>
        <v>6</v>
      </c>
    </row>
    <row r="8" spans="1:9" x14ac:dyDescent="0.25">
      <c r="A8" s="1">
        <v>44773</v>
      </c>
      <c r="B8" s="3">
        <f>IFERROR(tblPessoalLRF[[#This Row],[dtp]]/tblPessoalLRF[[#This Row],[rcl]],"")</f>
        <v>0.42769227129678833</v>
      </c>
      <c r="C8" s="2">
        <v>0.54</v>
      </c>
      <c r="D8" s="3">
        <f>tblPessoalLRF[[#This Row],[legal]]*95%</f>
        <v>0.51300000000000001</v>
      </c>
      <c r="E8" s="3">
        <f>tblPessoalLRF[[#This Row],[legal]]*90%</f>
        <v>0.48600000000000004</v>
      </c>
      <c r="F8" s="4">
        <v>35995977.769999996</v>
      </c>
      <c r="G8" s="4">
        <v>15395201.49</v>
      </c>
      <c r="H8">
        <f>YEAR(tblPessoalLRF[[#This Row],[data_base]])</f>
        <v>2022</v>
      </c>
      <c r="I8">
        <f>MONTH(tblPessoalLRF[[#This Row],[data_base]])</f>
        <v>7</v>
      </c>
    </row>
    <row r="9" spans="1:9" x14ac:dyDescent="0.25">
      <c r="A9" s="1">
        <v>44804</v>
      </c>
      <c r="B9" s="3">
        <f>IFERROR(tblPessoalLRF[[#This Row],[dtp]]/tblPessoalLRF[[#This Row],[rcl]],"")</f>
        <v>0.43286191021680576</v>
      </c>
      <c r="C9" s="2">
        <v>0.54</v>
      </c>
      <c r="D9" s="3">
        <f>tblPessoalLRF[[#This Row],[legal]]*95%</f>
        <v>0.51300000000000001</v>
      </c>
      <c r="E9" s="3">
        <f>tblPessoalLRF[[#This Row],[legal]]*90%</f>
        <v>0.48600000000000004</v>
      </c>
      <c r="F9" s="4">
        <v>36385270.609999999</v>
      </c>
      <c r="G9" s="4">
        <v>15749797.74</v>
      </c>
      <c r="H9">
        <f>YEAR(tblPessoalLRF[[#This Row],[data_base]])</f>
        <v>2022</v>
      </c>
      <c r="I9">
        <f>MONTH(tblPessoalLRF[[#This Row],[data_base]])</f>
        <v>8</v>
      </c>
    </row>
    <row r="10" spans="1:9" x14ac:dyDescent="0.25">
      <c r="A10" s="1">
        <v>44834</v>
      </c>
      <c r="B10" s="3">
        <f>IFERROR(tblPessoalLRF[[#This Row],[dtp]]/tblPessoalLRF[[#This Row],[rcl]],"")</f>
        <v>0.43459843321346064</v>
      </c>
      <c r="C10" s="2">
        <v>0.54</v>
      </c>
      <c r="D10" s="3">
        <f>tblPessoalLRF[[#This Row],[legal]]*95%</f>
        <v>0.51300000000000001</v>
      </c>
      <c r="E10" s="3">
        <f>tblPessoalLRF[[#This Row],[legal]]*90%</f>
        <v>0.48600000000000004</v>
      </c>
      <c r="F10" s="4">
        <v>36937598.420000002</v>
      </c>
      <c r="G10" s="4">
        <v>16053022.4</v>
      </c>
      <c r="H10">
        <f>YEAR(tblPessoalLRF[[#This Row],[data_base]])</f>
        <v>2022</v>
      </c>
      <c r="I10">
        <f>MONTH(tblPessoalLRF[[#This Row],[data_base]])</f>
        <v>9</v>
      </c>
    </row>
    <row r="11" spans="1:9" x14ac:dyDescent="0.25">
      <c r="A11" s="1">
        <v>44865</v>
      </c>
      <c r="B11" s="3">
        <f>IFERROR(tblPessoalLRF[[#This Row],[dtp]]/tblPessoalLRF[[#This Row],[rcl]],"")</f>
        <v>0.43713769817098008</v>
      </c>
      <c r="C11" s="2">
        <v>0.54</v>
      </c>
      <c r="D11" s="3">
        <f>tblPessoalLRF[[#This Row],[legal]]*95%</f>
        <v>0.51300000000000001</v>
      </c>
      <c r="E11" s="3">
        <f>tblPessoalLRF[[#This Row],[legal]]*90%</f>
        <v>0.48600000000000004</v>
      </c>
      <c r="F11" s="4">
        <v>37358335.07</v>
      </c>
      <c r="G11" s="4">
        <v>16330736.6</v>
      </c>
      <c r="H11">
        <f>YEAR(tblPessoalLRF[[#This Row],[data_base]])</f>
        <v>2022</v>
      </c>
      <c r="I11">
        <f>MONTH(tblPessoalLRF[[#This Row],[data_base]])</f>
        <v>10</v>
      </c>
    </row>
    <row r="12" spans="1:9" x14ac:dyDescent="0.25">
      <c r="A12" s="1">
        <v>44895</v>
      </c>
      <c r="B12" s="3" t="str">
        <f>IFERROR(tblPessoalLRF[[#This Row],[dtp]]/tblPessoalLRF[[#This Row],[rcl]],"")</f>
        <v/>
      </c>
      <c r="C12" s="2">
        <v>0.54</v>
      </c>
      <c r="D12" s="3">
        <f>tblPessoalLRF[[#This Row],[legal]]*95%</f>
        <v>0.51300000000000001</v>
      </c>
      <c r="E12" s="3">
        <f>tblPessoalLRF[[#This Row],[legal]]*90%</f>
        <v>0.48600000000000004</v>
      </c>
      <c r="F12" s="4"/>
      <c r="G12" s="4"/>
      <c r="H12">
        <f>YEAR(tblPessoalLRF[[#This Row],[data_base]])</f>
        <v>2022</v>
      </c>
      <c r="I12">
        <f>MONTH(tblPessoalLRF[[#This Row],[data_base]])</f>
        <v>11</v>
      </c>
    </row>
    <row r="13" spans="1:9" x14ac:dyDescent="0.25">
      <c r="A13" s="1">
        <v>44926</v>
      </c>
      <c r="B13" s="3" t="str">
        <f>IFERROR(tblPessoalLRF[[#This Row],[dtp]]/tblPessoalLRF[[#This Row],[rcl]],"")</f>
        <v/>
      </c>
      <c r="C13" s="2">
        <v>0.54</v>
      </c>
      <c r="D13" s="3">
        <f>tblPessoalLRF[[#This Row],[legal]]*95%</f>
        <v>0.51300000000000001</v>
      </c>
      <c r="E13" s="3">
        <f>tblPessoalLRF[[#This Row],[legal]]*90%</f>
        <v>0.48600000000000004</v>
      </c>
      <c r="F13" s="4"/>
      <c r="G13" s="4"/>
      <c r="H13">
        <f>YEAR(tblPessoalLRF[[#This Row],[data_base]])</f>
        <v>2022</v>
      </c>
      <c r="I13">
        <f>MONTH(tblPessoalLRF[[#This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1E21-B3FF-428E-8B05-F6FA9599DDBC}">
  <dimension ref="A1:J13"/>
  <sheetViews>
    <sheetView workbookViewId="0">
      <selection activeCell="D2" sqref="D2:D13"/>
    </sheetView>
  </sheetViews>
  <sheetFormatPr defaultRowHeight="15" x14ac:dyDescent="0.25"/>
  <cols>
    <col min="1" max="1" width="12.140625" customWidth="1"/>
    <col min="2" max="2" width="15.140625" customWidth="1"/>
    <col min="3" max="3" width="13.42578125" customWidth="1"/>
    <col min="4" max="4" width="15" customWidth="1"/>
    <col min="5" max="5" width="15.7109375" customWidth="1"/>
    <col min="6" max="6" width="16.28515625" customWidth="1"/>
    <col min="7" max="7" width="13.28515625" customWidth="1"/>
    <col min="8" max="8" width="14" customWidth="1"/>
  </cols>
  <sheetData>
    <row r="1" spans="1:10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5</v>
      </c>
      <c r="J1" t="s">
        <v>6</v>
      </c>
    </row>
    <row r="2" spans="1:10" x14ac:dyDescent="0.25">
      <c r="A2" s="1">
        <v>44592</v>
      </c>
      <c r="B2" s="4">
        <v>5971727.2769999998</v>
      </c>
      <c r="C2" s="4">
        <v>287520</v>
      </c>
      <c r="D2" s="5">
        <f>IF(tblSuplementacao[[#This Row],[vl_utilizado]]&gt;0,tblSuplementacao[[#This Row],[vl_autorizado]]-tblSuplementacao[[#This Row],[vl_utilizado]],"")</f>
        <v>5684207.2769999998</v>
      </c>
      <c r="E2" s="3">
        <f>IF(tblSuplementacao[[#This Row],[vl_utilizado]]&gt;0,tblSuplementacao[[#This Row],[vl_utilizado]]/tblSuplementacao[[#This Row],[vl_autorizado]]*tblSuplementacao[[#This Row],[perc_limite]],"")</f>
        <v>7.2220310807070368E-3</v>
      </c>
      <c r="F2" s="3">
        <f>tblSuplementacao[[#This Row],[vl_esperado]]/tblSuplementacao[[#This Row],[vl_autorizado]]*tblSuplementacao[[#This Row],[perc_limite]]</f>
        <v>1.2499999999999999E-2</v>
      </c>
      <c r="G2" s="2">
        <v>0.15</v>
      </c>
      <c r="H2" s="4">
        <f>tblSuplementacao[[#This Row],[vl_autorizado]]/12*tblSuplementacao[[#This Row],[mês]]</f>
        <v>497643.93974999996</v>
      </c>
      <c r="I2">
        <f>YEAR(tblSuplementacao[[#This Row],[data_base]])</f>
        <v>2022</v>
      </c>
      <c r="J2">
        <f>MONTH(tblSuplementacao[[#This Row],[data_base]])</f>
        <v>1</v>
      </c>
    </row>
    <row r="3" spans="1:10" x14ac:dyDescent="0.25">
      <c r="A3" s="1">
        <v>44620</v>
      </c>
      <c r="B3" s="4">
        <v>5971727.2769999998</v>
      </c>
      <c r="C3" s="4">
        <v>407785</v>
      </c>
      <c r="D3" s="5">
        <f>IF(tblSuplementacao[[#This Row],[vl_utilizado]]&gt;0,tblSuplementacao[[#This Row],[vl_autorizado]]-tblSuplementacao[[#This Row],[vl_utilizado]],"")</f>
        <v>5563942.2769999998</v>
      </c>
      <c r="E3" s="3">
        <f>IF(tblSuplementacao[[#This Row],[vl_utilizado]]&gt;0,tblSuplementacao[[#This Row],[vl_utilizado]]/tblSuplementacao[[#This Row],[vl_autorizado]]*tblSuplementacao[[#This Row],[perc_limite]],"")</f>
        <v>1.0242890735413601E-2</v>
      </c>
      <c r="F3" s="3">
        <f>tblSuplementacao[[#This Row],[vl_esperado]]/tblSuplementacao[[#This Row],[vl_autorizado]]*tblSuplementacao[[#This Row],[perc_limite]]</f>
        <v>2.4999999999999998E-2</v>
      </c>
      <c r="G3" s="2">
        <v>0.15</v>
      </c>
      <c r="H3" s="4">
        <f>tblSuplementacao[[#This Row],[vl_autorizado]]/12*tblSuplementacao[[#This Row],[mês]]</f>
        <v>995287.87949999992</v>
      </c>
      <c r="I3">
        <f>YEAR(tblSuplementacao[[#This Row],[data_base]])</f>
        <v>2022</v>
      </c>
      <c r="J3">
        <f>MONTH(tblSuplementacao[[#This Row],[data_base]])</f>
        <v>2</v>
      </c>
    </row>
    <row r="4" spans="1:10" x14ac:dyDescent="0.25">
      <c r="A4" s="1">
        <v>44651</v>
      </c>
      <c r="B4" s="4">
        <v>5971727.2769999998</v>
      </c>
      <c r="C4" s="4">
        <v>565014</v>
      </c>
      <c r="D4" s="5">
        <f>IF(tblSuplementacao[[#This Row],[vl_utilizado]]&gt;0,tblSuplementacao[[#This Row],[vl_autorizado]]-tblSuplementacao[[#This Row],[vl_utilizado]],"")</f>
        <v>5406713.2769999998</v>
      </c>
      <c r="E4" s="3">
        <f>IF(tblSuplementacao[[#This Row],[vl_utilizado]]&gt;0,tblSuplementacao[[#This Row],[vl_utilizado]]/tblSuplementacao[[#This Row],[vl_autorizado]]*tblSuplementacao[[#This Row],[perc_limite]],"")</f>
        <v>1.4192225476608951E-2</v>
      </c>
      <c r="F4" s="3">
        <f>tblSuplementacao[[#This Row],[vl_esperado]]/tblSuplementacao[[#This Row],[vl_autorizado]]*tblSuplementacao[[#This Row],[perc_limite]]</f>
        <v>3.7499999999999999E-2</v>
      </c>
      <c r="G4" s="2">
        <v>0.15</v>
      </c>
      <c r="H4" s="4">
        <f>tblSuplementacao[[#This Row],[vl_autorizado]]/12*tblSuplementacao[[#This Row],[mês]]</f>
        <v>1492931.8192499999</v>
      </c>
      <c r="I4">
        <f>YEAR(tblSuplementacao[[#This Row],[data_base]])</f>
        <v>2022</v>
      </c>
      <c r="J4">
        <f>MONTH(tblSuplementacao[[#This Row],[data_base]])</f>
        <v>3</v>
      </c>
    </row>
    <row r="5" spans="1:10" x14ac:dyDescent="0.25">
      <c r="A5" s="1">
        <v>44681</v>
      </c>
      <c r="B5" s="4">
        <v>5971727.2769999998</v>
      </c>
      <c r="C5" s="4">
        <v>1005014</v>
      </c>
      <c r="D5" s="5">
        <f>IF(tblSuplementacao[[#This Row],[vl_utilizado]]&gt;0,tblSuplementacao[[#This Row],[vl_autorizado]]-tblSuplementacao[[#This Row],[vl_utilizado]],"")</f>
        <v>4966713.2769999998</v>
      </c>
      <c r="E5" s="3">
        <f>IF(tblSuplementacao[[#This Row],[vl_utilizado]]&gt;0,tblSuplementacao[[#This Row],[vl_utilizado]]/tblSuplementacao[[#This Row],[vl_autorizado]]*tblSuplementacao[[#This Row],[perc_limite]],"")</f>
        <v>2.5244304203344815E-2</v>
      </c>
      <c r="F5" s="3">
        <f>tblSuplementacao[[#This Row],[vl_esperado]]/tblSuplementacao[[#This Row],[vl_autorizado]]*tblSuplementacao[[#This Row],[perc_limite]]</f>
        <v>4.9999999999999996E-2</v>
      </c>
      <c r="G5" s="2">
        <v>0.15</v>
      </c>
      <c r="H5" s="4">
        <f>tblSuplementacao[[#This Row],[vl_autorizado]]/12*tblSuplementacao[[#This Row],[mês]]</f>
        <v>1990575.7589999998</v>
      </c>
      <c r="I5">
        <f>YEAR(tblSuplementacao[[#This Row],[data_base]])</f>
        <v>2022</v>
      </c>
      <c r="J5">
        <f>MONTH(tblSuplementacao[[#This Row],[data_base]])</f>
        <v>4</v>
      </c>
    </row>
    <row r="6" spans="1:10" x14ac:dyDescent="0.25">
      <c r="A6" s="1">
        <v>44712</v>
      </c>
      <c r="B6" s="4">
        <v>5971727.2769999998</v>
      </c>
      <c r="C6" s="4">
        <v>1585391.62</v>
      </c>
      <c r="D6" s="5">
        <f>IF(tblSuplementacao[[#This Row],[vl_utilizado]]&gt;0,tblSuplementacao[[#This Row],[vl_autorizado]]-tblSuplementacao[[#This Row],[vl_utilizado]],"")</f>
        <v>4386335.6569999997</v>
      </c>
      <c r="E6" s="3">
        <f>IF(tblSuplementacao[[#This Row],[vl_utilizado]]&gt;0,tblSuplementacao[[#This Row],[vl_utilizado]]/tblSuplementacao[[#This Row],[vl_autorizado]]*tblSuplementacao[[#This Row],[perc_limite]],"")</f>
        <v>3.9822438629425715E-2</v>
      </c>
      <c r="F6" s="3">
        <f>tblSuplementacao[[#This Row],[vl_esperado]]/tblSuplementacao[[#This Row],[vl_autorizado]]*tblSuplementacao[[#This Row],[perc_limite]]</f>
        <v>6.25E-2</v>
      </c>
      <c r="G6" s="2">
        <v>0.15</v>
      </c>
      <c r="H6" s="4">
        <f>tblSuplementacao[[#This Row],[vl_autorizado]]/12*tblSuplementacao[[#This Row],[mês]]</f>
        <v>2488219.69875</v>
      </c>
      <c r="I6">
        <f>YEAR(tblSuplementacao[[#This Row],[data_base]])</f>
        <v>2022</v>
      </c>
      <c r="J6">
        <f>MONTH(tblSuplementacao[[#This Row],[data_base]])</f>
        <v>5</v>
      </c>
    </row>
    <row r="7" spans="1:10" x14ac:dyDescent="0.25">
      <c r="A7" s="1">
        <v>44742</v>
      </c>
      <c r="B7" s="4">
        <v>5971727.2769999998</v>
      </c>
      <c r="C7" s="4">
        <v>2902391.62</v>
      </c>
      <c r="D7" s="5">
        <f>IF(tblSuplementacao[[#This Row],[vl_utilizado]]&gt;0,tblSuplementacao[[#This Row],[vl_autorizado]]-tblSuplementacao[[#This Row],[vl_utilizado]],"")</f>
        <v>3069335.6569999997</v>
      </c>
      <c r="E7" s="3">
        <f>IF(tblSuplementacao[[#This Row],[vl_utilizado]]&gt;0,tblSuplementacao[[#This Row],[vl_utilizado]]/tblSuplementacao[[#This Row],[vl_autorizado]]*tblSuplementacao[[#This Row],[perc_limite]],"")</f>
        <v>7.2903319727405561E-2</v>
      </c>
      <c r="F7" s="3">
        <f>tblSuplementacao[[#This Row],[vl_esperado]]/tblSuplementacao[[#This Row],[vl_autorizado]]*tblSuplementacao[[#This Row],[perc_limite]]</f>
        <v>7.4999999999999997E-2</v>
      </c>
      <c r="G7" s="2">
        <v>0.15</v>
      </c>
      <c r="H7" s="4">
        <f>tblSuplementacao[[#This Row],[vl_autorizado]]/12*tblSuplementacao[[#This Row],[mês]]</f>
        <v>2985863.6384999999</v>
      </c>
      <c r="I7">
        <f>YEAR(tblSuplementacao[[#This Row],[data_base]])</f>
        <v>2022</v>
      </c>
      <c r="J7">
        <f>MONTH(tblSuplementacao[[#This Row],[data_base]])</f>
        <v>6</v>
      </c>
    </row>
    <row r="8" spans="1:10" x14ac:dyDescent="0.25">
      <c r="A8" s="1">
        <v>44773</v>
      </c>
      <c r="B8" s="4">
        <v>5971727.2769999998</v>
      </c>
      <c r="C8" s="4">
        <v>3627901.62</v>
      </c>
      <c r="D8" s="5">
        <f>IF(tblSuplementacao[[#This Row],[vl_utilizado]]&gt;0,tblSuplementacao[[#This Row],[vl_autorizado]]-tblSuplementacao[[#This Row],[vl_utilizado]],"")</f>
        <v>2343825.6569999997</v>
      </c>
      <c r="E8" s="3">
        <f>IF(tblSuplementacao[[#This Row],[vl_utilizado]]&gt;0,tblSuplementacao[[#This Row],[vl_utilizado]]/tblSuplementacao[[#This Row],[vl_autorizado]]*tblSuplementacao[[#This Row],[perc_limite]],"")</f>
        <v>9.1126941629755875E-2</v>
      </c>
      <c r="F8" s="3">
        <f>tblSuplementacao[[#This Row],[vl_esperado]]/tblSuplementacao[[#This Row],[vl_autorizado]]*tblSuplementacao[[#This Row],[perc_limite]]</f>
        <v>8.7500000000000008E-2</v>
      </c>
      <c r="G8" s="2">
        <v>0.15</v>
      </c>
      <c r="H8" s="4">
        <f>tblSuplementacao[[#This Row],[vl_autorizado]]/12*tblSuplementacao[[#This Row],[mês]]</f>
        <v>3483507.5782499998</v>
      </c>
      <c r="I8">
        <f>YEAR(tblSuplementacao[[#This Row],[data_base]])</f>
        <v>2022</v>
      </c>
      <c r="J8">
        <f>MONTH(tblSuplementacao[[#This Row],[data_base]])</f>
        <v>7</v>
      </c>
    </row>
    <row r="9" spans="1:10" x14ac:dyDescent="0.25">
      <c r="A9" s="1">
        <v>44804</v>
      </c>
      <c r="B9" s="4">
        <v>5971727.2769999998</v>
      </c>
      <c r="C9" s="4">
        <v>4579925.62</v>
      </c>
      <c r="D9" s="5">
        <f>IF(tblSuplementacao[[#This Row],[vl_utilizado]]&gt;0,tblSuplementacao[[#This Row],[vl_autorizado]]-tblSuplementacao[[#This Row],[vl_utilizado]],"")</f>
        <v>1391801.6569999997</v>
      </c>
      <c r="E9" s="3">
        <f>IF(tblSuplementacao[[#This Row],[vl_utilizado]]&gt;0,tblSuplementacao[[#This Row],[vl_utilizado]]/tblSuplementacao[[#This Row],[vl_autorizado]]*tblSuplementacao[[#This Row],[perc_limite]],"")</f>
        <v>0.1150402238973513</v>
      </c>
      <c r="F9" s="3">
        <f>tblSuplementacao[[#This Row],[vl_esperado]]/tblSuplementacao[[#This Row],[vl_autorizado]]*tblSuplementacao[[#This Row],[perc_limite]]</f>
        <v>9.9999999999999992E-2</v>
      </c>
      <c r="G9" s="2">
        <v>0.15</v>
      </c>
      <c r="H9" s="4">
        <f>tblSuplementacao[[#This Row],[vl_autorizado]]/12*tblSuplementacao[[#This Row],[mês]]</f>
        <v>3981151.5179999997</v>
      </c>
      <c r="I9">
        <f>YEAR(tblSuplementacao[[#This Row],[data_base]])</f>
        <v>2022</v>
      </c>
      <c r="J9">
        <f>MONTH(tblSuplementacao[[#This Row],[data_base]])</f>
        <v>8</v>
      </c>
    </row>
    <row r="10" spans="1:10" x14ac:dyDescent="0.25">
      <c r="A10" s="1">
        <v>44834</v>
      </c>
      <c r="B10" s="4">
        <v>5971727.2769999998</v>
      </c>
      <c r="C10" s="4">
        <v>4840325.62</v>
      </c>
      <c r="D10" s="5">
        <f>IF(tblSuplementacao[[#This Row],[vl_utilizado]]&gt;0,tblSuplementacao[[#This Row],[vl_autorizado]]-tblSuplementacao[[#This Row],[vl_utilizado]],"")</f>
        <v>1131401.6569999997</v>
      </c>
      <c r="E10" s="3">
        <f>IF(tblSuplementacao[[#This Row],[vl_utilizado]]&gt;0,tblSuplementacao[[#This Row],[vl_utilizado]]/tblSuplementacao[[#This Row],[vl_autorizado]]*tblSuplementacao[[#This Row],[perc_limite]],"")</f>
        <v>0.12158104503471952</v>
      </c>
      <c r="F10" s="3">
        <f>tblSuplementacao[[#This Row],[vl_esperado]]/tblSuplementacao[[#This Row],[vl_autorizado]]*tblSuplementacao[[#This Row],[perc_limite]]</f>
        <v>0.11249999999999999</v>
      </c>
      <c r="G10" s="2">
        <v>0.15</v>
      </c>
      <c r="H10" s="4">
        <f>tblSuplementacao[[#This Row],[vl_autorizado]]/12*tblSuplementacao[[#This Row],[mês]]</f>
        <v>4478795.4577500001</v>
      </c>
      <c r="I10">
        <f>YEAR(tblSuplementacao[[#This Row],[data_base]])</f>
        <v>2022</v>
      </c>
      <c r="J10">
        <f>MONTH(tblSuplementacao[[#This Row],[data_base]])</f>
        <v>9</v>
      </c>
    </row>
    <row r="11" spans="1:10" x14ac:dyDescent="0.25">
      <c r="A11" s="1">
        <v>44865</v>
      </c>
      <c r="B11" s="4">
        <v>5971727.2769999998</v>
      </c>
      <c r="C11" s="4">
        <v>5539205.6200000001</v>
      </c>
      <c r="D11" s="5">
        <f>IF(tblSuplementacao[[#This Row],[vl_utilizado]]&gt;0,tblSuplementacao[[#This Row],[vl_autorizado]]-tblSuplementacao[[#This Row],[vl_utilizado]],"")</f>
        <v>432521.65699999966</v>
      </c>
      <c r="E11" s="3">
        <f>IF(tblSuplementacao[[#This Row],[vl_utilizado]]&gt;0,tblSuplementacao[[#This Row],[vl_utilizado]]/tblSuplementacao[[#This Row],[vl_autorizado]]*tblSuplementacao[[#This Row],[perc_limite]],"")</f>
        <v>0.1391357649904949</v>
      </c>
      <c r="F11" s="3">
        <f>tblSuplementacao[[#This Row],[vl_esperado]]/tblSuplementacao[[#This Row],[vl_autorizado]]*tblSuplementacao[[#This Row],[perc_limite]]</f>
        <v>0.125</v>
      </c>
      <c r="G11" s="2">
        <v>0.15</v>
      </c>
      <c r="H11" s="4">
        <f>tblSuplementacao[[#This Row],[vl_autorizado]]/12*tblSuplementacao[[#This Row],[mês]]</f>
        <v>4976439.3975</v>
      </c>
      <c r="I11">
        <f>YEAR(tblSuplementacao[[#This Row],[data_base]])</f>
        <v>2022</v>
      </c>
      <c r="J11">
        <f>MONTH(tblSuplementacao[[#This Row],[data_base]])</f>
        <v>10</v>
      </c>
    </row>
    <row r="12" spans="1:10" x14ac:dyDescent="0.25">
      <c r="A12" s="1">
        <v>44895</v>
      </c>
      <c r="B12" s="4">
        <v>5971727.2769999998</v>
      </c>
      <c r="C12" s="4"/>
      <c r="D12" s="5" t="str">
        <f>IF(tblSuplementacao[[#This Row],[vl_utilizado]]&gt;0,tblSuplementacao[[#This Row],[vl_autorizado]]-tblSuplementacao[[#This Row],[vl_utilizado]],"")</f>
        <v/>
      </c>
      <c r="E12" s="3" t="str">
        <f>IF(tblSuplementacao[[#This Row],[vl_utilizado]]&gt;0,tblSuplementacao[[#This Row],[vl_utilizado]]/tblSuplementacao[[#This Row],[vl_autorizado]]*tblSuplementacao[[#This Row],[perc_limite]],"")</f>
        <v/>
      </c>
      <c r="F12" s="3">
        <f>tblSuplementacao[[#This Row],[vl_esperado]]/tblSuplementacao[[#This Row],[vl_autorizado]]*tblSuplementacao[[#This Row],[perc_limite]]</f>
        <v>0.13749999999999998</v>
      </c>
      <c r="G12" s="2">
        <v>0.15</v>
      </c>
      <c r="H12" s="4">
        <f>tblSuplementacao[[#This Row],[vl_autorizado]]/12*tblSuplementacao[[#This Row],[mês]]</f>
        <v>5474083.3372499999</v>
      </c>
      <c r="I12">
        <f>YEAR(tblSuplementacao[[#This Row],[data_base]])</f>
        <v>2022</v>
      </c>
      <c r="J12">
        <f>MONTH(tblSuplementacao[[#This Row],[data_base]])</f>
        <v>11</v>
      </c>
    </row>
    <row r="13" spans="1:10" x14ac:dyDescent="0.25">
      <c r="A13" s="1">
        <v>44926</v>
      </c>
      <c r="B13" s="4">
        <v>5971727.2769999998</v>
      </c>
      <c r="C13" s="4"/>
      <c r="D13" s="5" t="str">
        <f>IF(tblSuplementacao[[#This Row],[vl_utilizado]]&gt;0,tblSuplementacao[[#This Row],[vl_autorizado]]-tblSuplementacao[[#This Row],[vl_utilizado]],"")</f>
        <v/>
      </c>
      <c r="E13" s="3" t="str">
        <f>IF(tblSuplementacao[[#This Row],[vl_utilizado]]&gt;0,tblSuplementacao[[#This Row],[vl_utilizado]]/tblSuplementacao[[#This Row],[vl_autorizado]]*tblSuplementacao[[#This Row],[perc_limite]],"")</f>
        <v/>
      </c>
      <c r="F13" s="3">
        <f>tblSuplementacao[[#This Row],[vl_esperado]]/tblSuplementacao[[#This Row],[vl_autorizado]]*tblSuplementacao[[#This Row],[perc_limite]]</f>
        <v>0.15</v>
      </c>
      <c r="G13" s="2">
        <v>0.15</v>
      </c>
      <c r="H13" s="4">
        <f>tblSuplementacao[[#This Row],[vl_autorizado]]/12*tblSuplementacao[[#This Row],[mês]]</f>
        <v>5971727.2769999998</v>
      </c>
      <c r="I13">
        <f>YEAR(tblSuplementacao[[#This Row],[data_base]])</f>
        <v>2022</v>
      </c>
      <c r="J13">
        <f>MONTH(tblSuplementacao[[#This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9296-0268-4C44-B06E-972A4C77BEA8}">
  <dimension ref="A1:G13"/>
  <sheetViews>
    <sheetView workbookViewId="0">
      <selection activeCell="B8" sqref="B8"/>
    </sheetView>
  </sheetViews>
  <sheetFormatPr defaultRowHeight="15" x14ac:dyDescent="0.25"/>
  <cols>
    <col min="1" max="1" width="12.140625" customWidth="1"/>
    <col min="3" max="3" width="10.28515625" customWidth="1"/>
    <col min="4" max="4" width="13.28515625" bestFit="1" customWidth="1"/>
    <col min="5" max="5" width="13.5703125" bestFit="1" customWidth="1"/>
  </cols>
  <sheetData>
    <row r="1" spans="1:7" x14ac:dyDescent="0.25">
      <c r="A1" t="s">
        <v>0</v>
      </c>
      <c r="B1" t="s">
        <v>1</v>
      </c>
      <c r="C1" t="s">
        <v>19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44592</v>
      </c>
      <c r="B2" s="3">
        <f>IFERROR(tblReceitaDespesaCorrentes[[#This Row],[despesa_bc]]/tblReceitaDespesaCorrentes[[#This Row],[receita_bc]],"")</f>
        <v>0.52310270747762222</v>
      </c>
      <c r="C2" s="2">
        <v>0.95</v>
      </c>
      <c r="D2" s="4">
        <v>2919851.2800000003</v>
      </c>
      <c r="E2" s="4">
        <v>1527382.1100000008</v>
      </c>
      <c r="F2">
        <f>YEAR(tblReceitaDespesaCorrentes[[#This Row],[data_base]])</f>
        <v>2022</v>
      </c>
      <c r="G2">
        <f>MONTH(tblReceitaDespesaCorrentes[[#This Row],[data_base]])</f>
        <v>1</v>
      </c>
    </row>
    <row r="3" spans="1:7" x14ac:dyDescent="0.25">
      <c r="A3" s="1">
        <v>44620</v>
      </c>
      <c r="B3" s="3">
        <f>IFERROR(tblReceitaDespesaCorrentes[[#This Row],[despesa_bc]]/tblReceitaDespesaCorrentes[[#This Row],[receita_bc]],"")</f>
        <v>0.57295152213784339</v>
      </c>
      <c r="C3" s="2">
        <v>0.95</v>
      </c>
      <c r="D3" s="4">
        <v>3524832.21</v>
      </c>
      <c r="E3" s="4">
        <v>2019557.9799999984</v>
      </c>
      <c r="F3">
        <f>YEAR(tblReceitaDespesaCorrentes[[#This Row],[data_base]])</f>
        <v>2022</v>
      </c>
      <c r="G3">
        <f>MONTH(tblReceitaDespesaCorrentes[[#This Row],[data_base]])</f>
        <v>2</v>
      </c>
    </row>
    <row r="4" spans="1:7" x14ac:dyDescent="0.25">
      <c r="A4" s="1">
        <v>44651</v>
      </c>
      <c r="B4" s="3">
        <f>IFERROR(tblReceitaDespesaCorrentes[[#This Row],[despesa_bc]]/tblReceitaDespesaCorrentes[[#This Row],[receita_bc]],"")</f>
        <v>0.67015264967469657</v>
      </c>
      <c r="C4" s="2">
        <v>0.95</v>
      </c>
      <c r="D4" s="4">
        <v>3475160.3699999992</v>
      </c>
      <c r="E4" s="4">
        <v>2328887.9299999983</v>
      </c>
      <c r="F4">
        <f>YEAR(tblReceitaDespesaCorrentes[[#This Row],[data_base]])</f>
        <v>2022</v>
      </c>
      <c r="G4">
        <f>MONTH(tblReceitaDespesaCorrentes[[#This Row],[data_base]])</f>
        <v>3</v>
      </c>
    </row>
    <row r="5" spans="1:7" x14ac:dyDescent="0.25">
      <c r="A5" s="1">
        <v>44681</v>
      </c>
      <c r="B5" s="3">
        <f>IFERROR(tblReceitaDespesaCorrentes[[#This Row],[despesa_bc]]/tblReceitaDespesaCorrentes[[#This Row],[receita_bc]],"")</f>
        <v>0.72698194479876499</v>
      </c>
      <c r="C5" s="2">
        <v>0.95</v>
      </c>
      <c r="D5" s="4">
        <v>3562091.0100000002</v>
      </c>
      <c r="E5" s="4">
        <v>2589575.8499999973</v>
      </c>
      <c r="F5">
        <f>YEAR(tblReceitaDespesaCorrentes[[#This Row],[data_base]])</f>
        <v>2022</v>
      </c>
      <c r="G5">
        <f>MONTH(tblReceitaDespesaCorrentes[[#This Row],[data_base]])</f>
        <v>4</v>
      </c>
    </row>
    <row r="6" spans="1:7" x14ac:dyDescent="0.25">
      <c r="A6" s="1">
        <v>44712</v>
      </c>
      <c r="B6" s="3">
        <f>IFERROR(tblReceitaDespesaCorrentes[[#This Row],[despesa_bc]]/tblReceitaDespesaCorrentes[[#This Row],[receita_bc]],"")</f>
        <v>0.673837744265118</v>
      </c>
      <c r="C6" s="2">
        <v>0.95</v>
      </c>
      <c r="D6" s="4">
        <v>4195401.5399999982</v>
      </c>
      <c r="E6" s="4">
        <v>2827019.9100000011</v>
      </c>
      <c r="F6">
        <f>YEAR(tblReceitaDespesaCorrentes[[#This Row],[data_base]])</f>
        <v>2022</v>
      </c>
      <c r="G6">
        <f>MONTH(tblReceitaDespesaCorrentes[[#This Row],[data_base]])</f>
        <v>5</v>
      </c>
    </row>
    <row r="7" spans="1:7" x14ac:dyDescent="0.25">
      <c r="A7" s="1">
        <v>44742</v>
      </c>
      <c r="B7" s="3">
        <f>IFERROR(tblReceitaDespesaCorrentes[[#This Row],[despesa_bc]]/tblReceitaDespesaCorrentes[[#This Row],[receita_bc]],"")</f>
        <v>0.77252246792015544</v>
      </c>
      <c r="C7" s="2">
        <v>0.95</v>
      </c>
      <c r="D7" s="4">
        <v>3520538.3700000006</v>
      </c>
      <c r="E7" s="4">
        <v>2719694.9900000016</v>
      </c>
      <c r="F7">
        <f>YEAR(tblReceitaDespesaCorrentes[[#This Row],[data_base]])</f>
        <v>2022</v>
      </c>
      <c r="G7">
        <f>MONTH(tblReceitaDespesaCorrentes[[#This Row],[data_base]])</f>
        <v>6</v>
      </c>
    </row>
    <row r="8" spans="1:7" x14ac:dyDescent="0.25">
      <c r="A8" s="1">
        <v>44773</v>
      </c>
      <c r="B8" s="3">
        <f>IFERROR(tblReceitaDespesaCorrentes[[#This Row],[despesa_bc]]/tblReceitaDespesaCorrentes[[#This Row],[receita_bc]],"")</f>
        <v>0.62576113916415244</v>
      </c>
      <c r="C8" s="2">
        <v>0.95</v>
      </c>
      <c r="D8" s="4">
        <v>4191749.88</v>
      </c>
      <c r="E8" s="4">
        <v>2623034.1799999992</v>
      </c>
      <c r="F8">
        <f>YEAR(tblReceitaDespesaCorrentes[[#This Row],[data_base]])</f>
        <v>2022</v>
      </c>
      <c r="G8">
        <f>MONTH(tblReceitaDespesaCorrentes[[#This Row],[data_base]])</f>
        <v>7</v>
      </c>
    </row>
    <row r="9" spans="1:7" x14ac:dyDescent="0.25">
      <c r="A9" s="1">
        <v>44804</v>
      </c>
      <c r="B9" s="3">
        <f>IFERROR(tblReceitaDespesaCorrentes[[#This Row],[despesa_bc]]/tblReceitaDespesaCorrentes[[#This Row],[receita_bc]],"")</f>
        <v>0.96344937517104601</v>
      </c>
      <c r="C9" s="2">
        <v>0.95</v>
      </c>
      <c r="D9" s="4">
        <v>3532037.0199999986</v>
      </c>
      <c r="E9" s="4">
        <v>3402938.8600000022</v>
      </c>
      <c r="F9">
        <f>YEAR(tblReceitaDespesaCorrentes[[#This Row],[data_base]])</f>
        <v>2022</v>
      </c>
      <c r="G9">
        <f>MONTH(tblReceitaDespesaCorrentes[[#This Row],[data_base]])</f>
        <v>8</v>
      </c>
    </row>
    <row r="10" spans="1:7" x14ac:dyDescent="0.25">
      <c r="A10" s="1">
        <v>44834</v>
      </c>
      <c r="B10" s="3">
        <f>IFERROR(tblReceitaDespesaCorrentes[[#This Row],[despesa_bc]]/tblReceitaDespesaCorrentes[[#This Row],[receita_bc]],"")</f>
        <v>0.81819175029384938</v>
      </c>
      <c r="C10" s="2">
        <v>0.95</v>
      </c>
      <c r="D10" s="4">
        <v>3483558.2599999993</v>
      </c>
      <c r="E10" s="4">
        <v>2850218.6299999957</v>
      </c>
      <c r="F10">
        <f>YEAR(tblReceitaDespesaCorrentes[[#This Row],[data_base]])</f>
        <v>2022</v>
      </c>
      <c r="G10">
        <f>MONTH(tblReceitaDespesaCorrentes[[#This Row],[data_base]])</f>
        <v>9</v>
      </c>
    </row>
    <row r="11" spans="1:7" x14ac:dyDescent="0.25">
      <c r="A11" s="1">
        <v>44865</v>
      </c>
      <c r="B11" s="3">
        <f>IFERROR(tblReceitaDespesaCorrentes[[#This Row],[despesa_bc]]/tblReceitaDespesaCorrentes[[#This Row],[receita_bc]],"")</f>
        <v>0.75549100583537065</v>
      </c>
      <c r="C11" s="2">
        <v>0.95</v>
      </c>
      <c r="D11" s="4">
        <v>3773570.0199999991</v>
      </c>
      <c r="E11" s="4">
        <v>2850898.209999999</v>
      </c>
      <c r="F11">
        <f>YEAR(tblReceitaDespesaCorrentes[[#This Row],[data_base]])</f>
        <v>2022</v>
      </c>
      <c r="G11">
        <f>MONTH(tblReceitaDespesaCorrentes[[#This Row],[data_base]])</f>
        <v>10</v>
      </c>
    </row>
    <row r="12" spans="1:7" x14ac:dyDescent="0.25">
      <c r="A12" s="1">
        <v>44895</v>
      </c>
      <c r="B12" s="3" t="str">
        <f>IFERROR(tblReceitaDespesaCorrentes[[#This Row],[despesa_bc]]/tblReceitaDespesaCorrentes[[#This Row],[receita_bc]],"")</f>
        <v/>
      </c>
      <c r="C12" s="2">
        <v>0.95</v>
      </c>
      <c r="D12" s="4"/>
      <c r="E12" s="4"/>
      <c r="F12">
        <f>YEAR(tblReceitaDespesaCorrentes[[#This Row],[data_base]])</f>
        <v>2022</v>
      </c>
      <c r="G12">
        <f>MONTH(tblReceitaDespesaCorrentes[[#This Row],[data_base]])</f>
        <v>11</v>
      </c>
    </row>
    <row r="13" spans="1:7" x14ac:dyDescent="0.25">
      <c r="A13" s="1">
        <v>44926</v>
      </c>
      <c r="B13" s="3" t="str">
        <f>IFERROR(tblReceitaDespesaCorrentes[[#This Row],[despesa_bc]]/tblReceitaDespesaCorrentes[[#This Row],[receita_bc]],"")</f>
        <v/>
      </c>
      <c r="C13" s="2">
        <v>0.95</v>
      </c>
      <c r="D13" s="4"/>
      <c r="E13" s="4"/>
      <c r="F13">
        <f>YEAR(tblReceitaDespesaCorrentes[[#This Row],[data_base]])</f>
        <v>2022</v>
      </c>
      <c r="G13">
        <f>MONTH(tblReceitaDespesaCorrentes[[#This Row],[data_base]])</f>
        <v>12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556F-DFCC-45DF-8C02-0DF5588FCDBA}">
  <dimension ref="A1:E13"/>
  <sheetViews>
    <sheetView workbookViewId="0">
      <selection activeCell="C3" sqref="C3"/>
    </sheetView>
  </sheetViews>
  <sheetFormatPr defaultRowHeight="15" x14ac:dyDescent="0.25"/>
  <cols>
    <col min="1" max="1" width="12.140625" customWidth="1"/>
    <col min="2" max="3" width="16.140625" customWidth="1"/>
  </cols>
  <sheetData>
    <row r="1" spans="1:5" x14ac:dyDescent="0.25">
      <c r="A1" t="s">
        <v>0</v>
      </c>
      <c r="B1" t="s">
        <v>21</v>
      </c>
      <c r="C1" t="s">
        <v>22</v>
      </c>
      <c r="D1" t="s">
        <v>5</v>
      </c>
      <c r="E1" t="s">
        <v>6</v>
      </c>
    </row>
    <row r="2" spans="1:5" x14ac:dyDescent="0.25">
      <c r="A2" s="1">
        <v>44592</v>
      </c>
      <c r="B2" s="5">
        <v>-637536.32000001147</v>
      </c>
      <c r="C2" s="5">
        <v>-992983.43000001274</v>
      </c>
      <c r="D2">
        <f>YEAR(tblDotacaoFolha[[#This Row],[data_base]])</f>
        <v>2022</v>
      </c>
      <c r="E2">
        <f>MONTH(tblDotacaoFolha[[#This Row],[data_base]])</f>
        <v>1</v>
      </c>
    </row>
    <row r="3" spans="1:5" x14ac:dyDescent="0.25">
      <c r="A3" s="1">
        <v>44620</v>
      </c>
      <c r="B3" s="5">
        <v>-4997.730000006035</v>
      </c>
      <c r="C3" s="5">
        <v>-134537.00000000186</v>
      </c>
      <c r="D3">
        <f>YEAR(tblDotacaoFolha[[#This Row],[data_base]])</f>
        <v>2022</v>
      </c>
      <c r="E3">
        <f>MONTH(tblDotacaoFolha[[#This Row],[data_base]])</f>
        <v>2</v>
      </c>
    </row>
    <row r="4" spans="1:5" x14ac:dyDescent="0.25">
      <c r="A4" s="1">
        <v>44651</v>
      </c>
      <c r="B4" s="5">
        <v>255581.34333332814</v>
      </c>
      <c r="C4" s="5">
        <v>-213207.39000000246</v>
      </c>
      <c r="D4">
        <f>YEAR(tblDotacaoFolha[[#This Row],[data_base]])</f>
        <v>2022</v>
      </c>
      <c r="E4">
        <f>MONTH(tblDotacaoFolha[[#This Row],[data_base]])</f>
        <v>3</v>
      </c>
    </row>
    <row r="5" spans="1:5" x14ac:dyDescent="0.25">
      <c r="A5" s="1">
        <v>44681</v>
      </c>
      <c r="B5" s="5">
        <v>167363.52749999613</v>
      </c>
      <c r="C5" s="5">
        <v>-626653.09000000358</v>
      </c>
      <c r="D5">
        <f>YEAR(tblDotacaoFolha[[#This Row],[data_base]])</f>
        <v>2022</v>
      </c>
      <c r="E5">
        <f>MONTH(tblDotacaoFolha[[#This Row],[data_base]])</f>
        <v>4</v>
      </c>
    </row>
    <row r="6" spans="1:5" x14ac:dyDescent="0.25">
      <c r="A6" s="1">
        <v>44712</v>
      </c>
      <c r="B6" s="5">
        <v>-188977.34000000358</v>
      </c>
      <c r="C6" s="5">
        <v>-1469557.8599999938</v>
      </c>
      <c r="D6">
        <f>YEAR(tblDotacaoFolha[[#This Row],[data_base]])</f>
        <v>2022</v>
      </c>
      <c r="E6">
        <f>MONTH(tblDotacaoFolha[[#This Row],[data_base]])</f>
        <v>5</v>
      </c>
    </row>
    <row r="7" spans="1:5" x14ac:dyDescent="0.25">
      <c r="A7" s="1">
        <v>44742</v>
      </c>
      <c r="B7" s="5">
        <v>-1034025.4050000031</v>
      </c>
      <c r="C7" s="5">
        <v>-2674430.5800000057</v>
      </c>
      <c r="D7">
        <f>YEAR(tblDotacaoFolha[[#This Row],[data_base]])</f>
        <v>2022</v>
      </c>
      <c r="E7">
        <f>MONTH(tblDotacaoFolha[[#This Row],[data_base]])</f>
        <v>6</v>
      </c>
    </row>
    <row r="8" spans="1:5" x14ac:dyDescent="0.25">
      <c r="A8" s="1">
        <v>44773</v>
      </c>
      <c r="B8" s="5">
        <v>-1003731.2942857202</v>
      </c>
      <c r="C8" s="5">
        <v>-2393865.6800000109</v>
      </c>
      <c r="D8">
        <f>YEAR(tblDotacaoFolha[[#This Row],[data_base]])</f>
        <v>2022</v>
      </c>
      <c r="E8">
        <f>MONTH(tblDotacaoFolha[[#This Row],[data_base]])</f>
        <v>7</v>
      </c>
    </row>
    <row r="9" spans="1:5" x14ac:dyDescent="0.25">
      <c r="A9" s="1">
        <v>44804</v>
      </c>
      <c r="B9" s="5">
        <v>-625683.32125000656</v>
      </c>
      <c r="C9" s="5">
        <v>-2107272.2400000095</v>
      </c>
      <c r="D9">
        <f>YEAR(tblDotacaoFolha[[#This Row],[data_base]])</f>
        <v>2022</v>
      </c>
      <c r="E9">
        <f>MONTH(tblDotacaoFolha[[#This Row],[data_base]])</f>
        <v>8</v>
      </c>
    </row>
    <row r="10" spans="1:5" x14ac:dyDescent="0.25">
      <c r="A10" s="1">
        <v>44834</v>
      </c>
      <c r="B10" s="5">
        <v>-738092.08555556089</v>
      </c>
      <c r="C10" s="5">
        <v>-1822677.8900000006</v>
      </c>
      <c r="D10">
        <f>YEAR(tblDotacaoFolha[[#This Row],[data_base]])</f>
        <v>2022</v>
      </c>
      <c r="E10">
        <f>MONTH(tblDotacaoFolha[[#This Row],[data_base]])</f>
        <v>9</v>
      </c>
    </row>
    <row r="11" spans="1:5" x14ac:dyDescent="0.25">
      <c r="A11" s="1">
        <v>44865</v>
      </c>
      <c r="B11" s="5">
        <v>-753419.31400000304</v>
      </c>
      <c r="C11" s="5">
        <v>-1616774.2500000037</v>
      </c>
      <c r="D11">
        <f>YEAR(tblDotacaoFolha[[#This Row],[data_base]])</f>
        <v>2022</v>
      </c>
      <c r="E11">
        <f>MONTH(tblDotacaoFolha[[#This Row],[data_base]])</f>
        <v>10</v>
      </c>
    </row>
    <row r="12" spans="1:5" x14ac:dyDescent="0.25">
      <c r="A12" s="1">
        <v>44895</v>
      </c>
      <c r="B12" s="5"/>
      <c r="C12" s="5"/>
      <c r="D12">
        <f>YEAR(tblDotacaoFolha[[#This Row],[data_base]])</f>
        <v>2022</v>
      </c>
      <c r="E12">
        <f>MONTH(tblDotacaoFolha[[#This Row],[data_base]])</f>
        <v>11</v>
      </c>
    </row>
    <row r="13" spans="1:5" x14ac:dyDescent="0.25">
      <c r="A13" s="1">
        <v>44926</v>
      </c>
      <c r="B13" s="5"/>
      <c r="C13" s="5"/>
      <c r="D13">
        <f>YEAR(tblDotacaoFolha[[#This Row],[data_base]])</f>
        <v>2022</v>
      </c>
      <c r="E13">
        <f>MONTH(tblDotacaoFolha[[#This Row],[data_base]])</f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7385-7ACE-4FDC-A593-2B13EB83FBCF}">
  <dimension ref="A1:D13"/>
  <sheetViews>
    <sheetView workbookViewId="0">
      <selection activeCell="B3" sqref="B3"/>
    </sheetView>
  </sheetViews>
  <sheetFormatPr defaultRowHeight="15" x14ac:dyDescent="0.25"/>
  <cols>
    <col min="1" max="1" width="12.140625" customWidth="1"/>
    <col min="2" max="2" width="10.85546875" bestFit="1" customWidth="1"/>
  </cols>
  <sheetData>
    <row r="1" spans="1:4" x14ac:dyDescent="0.25">
      <c r="A1" t="s">
        <v>0</v>
      </c>
      <c r="B1" t="s">
        <v>23</v>
      </c>
      <c r="C1" t="s">
        <v>5</v>
      </c>
      <c r="D1" t="s">
        <v>6</v>
      </c>
    </row>
    <row r="2" spans="1:4" x14ac:dyDescent="0.25">
      <c r="A2" s="1">
        <v>44592</v>
      </c>
      <c r="B2" s="6">
        <v>452139.11999999988</v>
      </c>
      <c r="C2">
        <f>YEAR(tblDotacaoVale[[#This Row],[data_base]])</f>
        <v>2022</v>
      </c>
      <c r="D2">
        <f>MONTH(tblDotacaoVale[[#This Row],[data_base]])</f>
        <v>1</v>
      </c>
    </row>
    <row r="3" spans="1:4" x14ac:dyDescent="0.25">
      <c r="A3" s="1">
        <v>44620</v>
      </c>
      <c r="B3" s="6">
        <v>663674.6399999999</v>
      </c>
      <c r="C3">
        <f>YEAR(tblDotacaoVale[[#This Row],[data_base]])</f>
        <v>2022</v>
      </c>
      <c r="D3">
        <f>MONTH(tblDotacaoVale[[#This Row],[data_base]])</f>
        <v>2</v>
      </c>
    </row>
    <row r="4" spans="1:4" x14ac:dyDescent="0.25">
      <c r="A4" s="1">
        <v>44651</v>
      </c>
      <c r="B4" s="6">
        <v>405206.24000000022</v>
      </c>
      <c r="C4">
        <f>YEAR(tblDotacaoVale[[#This Row],[data_base]])</f>
        <v>2022</v>
      </c>
      <c r="D4">
        <f>MONTH(tblDotacaoVale[[#This Row],[data_base]])</f>
        <v>3</v>
      </c>
    </row>
    <row r="5" spans="1:4" x14ac:dyDescent="0.25">
      <c r="A5" s="1">
        <v>44681</v>
      </c>
      <c r="B5" s="6">
        <v>307090.0299999998</v>
      </c>
      <c r="C5">
        <f>YEAR(tblDotacaoVale[[#This Row],[data_base]])</f>
        <v>2022</v>
      </c>
      <c r="D5">
        <f>MONTH(tblDotacaoVale[[#This Row],[data_base]])</f>
        <v>4</v>
      </c>
    </row>
    <row r="6" spans="1:4" x14ac:dyDescent="0.25">
      <c r="A6" s="1">
        <v>44712</v>
      </c>
      <c r="B6" s="6">
        <v>299064.83000000007</v>
      </c>
      <c r="C6">
        <f>YEAR(tblDotacaoVale[[#This Row],[data_base]])</f>
        <v>2022</v>
      </c>
      <c r="D6">
        <f>MONTH(tblDotacaoVale[[#This Row],[data_base]])</f>
        <v>5</v>
      </c>
    </row>
    <row r="7" spans="1:4" x14ac:dyDescent="0.25">
      <c r="A7" s="1">
        <v>44742</v>
      </c>
      <c r="B7" s="6">
        <v>1099.9700000002049</v>
      </c>
      <c r="C7">
        <f>YEAR(tblDotacaoVale[[#This Row],[data_base]])</f>
        <v>2022</v>
      </c>
      <c r="D7">
        <f>MONTH(tblDotacaoVale[[#This Row],[data_base]])</f>
        <v>6</v>
      </c>
    </row>
    <row r="8" spans="1:4" x14ac:dyDescent="0.25">
      <c r="A8" s="1">
        <v>44773</v>
      </c>
      <c r="B8" s="6">
        <v>-52676.969999999739</v>
      </c>
      <c r="C8">
        <f>YEAR(tblDotacaoVale[[#This Row],[data_base]])</f>
        <v>2022</v>
      </c>
      <c r="D8">
        <f>MONTH(tblDotacaoVale[[#This Row],[data_base]])</f>
        <v>7</v>
      </c>
    </row>
    <row r="9" spans="1:4" x14ac:dyDescent="0.25">
      <c r="A9" s="1">
        <v>44804</v>
      </c>
      <c r="B9" s="6">
        <v>-31242.169999999693</v>
      </c>
      <c r="C9">
        <f>YEAR(tblDotacaoVale[[#This Row],[data_base]])</f>
        <v>2022</v>
      </c>
      <c r="D9">
        <f>MONTH(tblDotacaoVale[[#This Row],[data_base]])</f>
        <v>8</v>
      </c>
    </row>
    <row r="10" spans="1:4" x14ac:dyDescent="0.25">
      <c r="A10" s="1">
        <v>44834</v>
      </c>
      <c r="B10" s="6">
        <v>-63539.889999999665</v>
      </c>
      <c r="C10">
        <f>YEAR(tblDotacaoVale[[#This Row],[data_base]])</f>
        <v>2022</v>
      </c>
      <c r="D10">
        <f>MONTH(tblDotacaoVale[[#This Row],[data_base]])</f>
        <v>9</v>
      </c>
    </row>
    <row r="11" spans="1:4" x14ac:dyDescent="0.25">
      <c r="A11" s="1">
        <v>44865</v>
      </c>
      <c r="B11" s="6">
        <v>-41469.220000000205</v>
      </c>
      <c r="C11">
        <f>YEAR(tblDotacaoVale[[#This Row],[data_base]])</f>
        <v>2022</v>
      </c>
      <c r="D11">
        <f>MONTH(tblDotacaoVale[[#This Row],[data_base]])</f>
        <v>10</v>
      </c>
    </row>
    <row r="12" spans="1:4" x14ac:dyDescent="0.25">
      <c r="A12" s="1">
        <v>44895</v>
      </c>
      <c r="B12" s="6" t="s">
        <v>20</v>
      </c>
      <c r="C12">
        <f>YEAR(tblDotacaoVale[[#This Row],[data_base]])</f>
        <v>2022</v>
      </c>
      <c r="D12">
        <f>MONTH(tblDotacaoVale[[#This Row],[data_base]])</f>
        <v>11</v>
      </c>
    </row>
    <row r="13" spans="1:4" x14ac:dyDescent="0.25">
      <c r="A13" s="1">
        <v>44926</v>
      </c>
      <c r="B13" s="6" t="s">
        <v>20</v>
      </c>
      <c r="C13">
        <f>YEAR(tblDotacaoVale[[#This Row],[data_base]])</f>
        <v>2022</v>
      </c>
      <c r="D13">
        <f>MONTH(tblDotacaoVale[[#This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6BD3-0086-4686-8BBF-89289720AF45}">
  <dimension ref="A1:E13"/>
  <sheetViews>
    <sheetView workbookViewId="0">
      <selection activeCell="B1" sqref="B1"/>
    </sheetView>
  </sheetViews>
  <sheetFormatPr defaultRowHeight="15" x14ac:dyDescent="0.25"/>
  <cols>
    <col min="1" max="1" width="12.140625" customWidth="1"/>
    <col min="2" max="2" width="17.140625" bestFit="1" customWidth="1"/>
    <col min="3" max="3" width="12.42578125" bestFit="1" customWidth="1"/>
  </cols>
  <sheetData>
    <row r="1" spans="1:5" x14ac:dyDescent="0.25">
      <c r="A1" t="s">
        <v>0</v>
      </c>
      <c r="B1" t="s">
        <v>25</v>
      </c>
      <c r="C1" t="s">
        <v>24</v>
      </c>
      <c r="D1" t="s">
        <v>5</v>
      </c>
      <c r="E1" t="s">
        <v>6</v>
      </c>
    </row>
    <row r="2" spans="1:5" x14ac:dyDescent="0.25">
      <c r="A2" s="1">
        <v>44592</v>
      </c>
      <c r="B2" s="6">
        <v>944543.53</v>
      </c>
      <c r="C2" s="6">
        <v>347185.02</v>
      </c>
      <c r="D2">
        <f>YEAR(tblCaixaProjetado[[#This Row],[data_base]])</f>
        <v>2022</v>
      </c>
      <c r="E2">
        <f>MONTH(tblCaixaProjetado[[#This Row],[data_base]])</f>
        <v>1</v>
      </c>
    </row>
    <row r="3" spans="1:5" x14ac:dyDescent="0.25">
      <c r="A3" s="1">
        <v>44620</v>
      </c>
      <c r="B3" s="6">
        <v>510043.53</v>
      </c>
      <c r="C3" s="6">
        <v>140685.01999999999</v>
      </c>
      <c r="D3">
        <f>YEAR(tblCaixaProjetado[[#This Row],[data_base]])</f>
        <v>2022</v>
      </c>
      <c r="E3">
        <f>MONTH(tblCaixaProjetado[[#This Row],[data_base]])</f>
        <v>2</v>
      </c>
    </row>
    <row r="4" spans="1:5" x14ac:dyDescent="0.25">
      <c r="A4" s="1">
        <v>44651</v>
      </c>
      <c r="B4" s="6">
        <v>388455.62</v>
      </c>
      <c r="C4" s="6">
        <v>63532.13</v>
      </c>
      <c r="D4">
        <f>YEAR(tblCaixaProjetado[[#This Row],[data_base]])</f>
        <v>2022</v>
      </c>
      <c r="E4">
        <f>MONTH(tblCaixaProjetado[[#This Row],[data_base]])</f>
        <v>3</v>
      </c>
    </row>
    <row r="5" spans="1:5" x14ac:dyDescent="0.25">
      <c r="A5" s="1">
        <v>44681</v>
      </c>
      <c r="B5" s="6">
        <v>327974.74</v>
      </c>
      <c r="C5" s="6">
        <v>53532.13</v>
      </c>
      <c r="D5">
        <f>YEAR(tblCaixaProjetado[[#This Row],[data_base]])</f>
        <v>2022</v>
      </c>
      <c r="E5">
        <f>MONTH(tblCaixaProjetado[[#This Row],[data_base]])</f>
        <v>4</v>
      </c>
    </row>
    <row r="6" spans="1:5" x14ac:dyDescent="0.25">
      <c r="A6" s="1">
        <v>44712</v>
      </c>
      <c r="B6" s="6">
        <v>289974.74000000005</v>
      </c>
      <c r="C6" s="6">
        <v>35906.660000000033</v>
      </c>
      <c r="D6">
        <f>YEAR(tblCaixaProjetado[[#This Row],[data_base]])</f>
        <v>2022</v>
      </c>
      <c r="E6">
        <f>MONTH(tblCaixaProjetado[[#This Row],[data_base]])</f>
        <v>5</v>
      </c>
    </row>
    <row r="7" spans="1:5" x14ac:dyDescent="0.25">
      <c r="A7" s="1">
        <v>44742</v>
      </c>
      <c r="B7" s="6">
        <v>283474.74000000005</v>
      </c>
      <c r="C7" s="6">
        <v>71906.660000000033</v>
      </c>
      <c r="D7">
        <f>YEAR(tblCaixaProjetado[[#This Row],[data_base]])</f>
        <v>2022</v>
      </c>
      <c r="E7">
        <f>MONTH(tblCaixaProjetado[[#This Row],[data_base]])</f>
        <v>6</v>
      </c>
    </row>
    <row r="8" spans="1:5" x14ac:dyDescent="0.25">
      <c r="A8" s="1">
        <v>44773</v>
      </c>
      <c r="B8" s="6">
        <v>955095.02</v>
      </c>
      <c r="C8" s="6">
        <v>78431.910000000033</v>
      </c>
      <c r="D8">
        <f>YEAR(tblCaixaProjetado[[#This Row],[data_base]])</f>
        <v>2022</v>
      </c>
      <c r="E8">
        <f>MONTH(tblCaixaProjetado[[#This Row],[data_base]])</f>
        <v>7</v>
      </c>
    </row>
    <row r="9" spans="1:5" x14ac:dyDescent="0.25">
      <c r="A9" s="1">
        <v>44804</v>
      </c>
      <c r="B9" s="6">
        <v>2444801.75</v>
      </c>
      <c r="C9" s="6">
        <v>1519527.11</v>
      </c>
      <c r="D9">
        <f>YEAR(tblCaixaProjetado[[#This Row],[data_base]])</f>
        <v>2022</v>
      </c>
      <c r="E9">
        <f>MONTH(tblCaixaProjetado[[#This Row],[data_base]])</f>
        <v>8</v>
      </c>
    </row>
    <row r="10" spans="1:5" x14ac:dyDescent="0.25">
      <c r="A10" s="1">
        <v>44834</v>
      </c>
      <c r="B10" s="6">
        <v>2720923.0100000016</v>
      </c>
      <c r="C10" s="6">
        <v>1833664.23</v>
      </c>
      <c r="D10">
        <f>YEAR(tblCaixaProjetado[[#This Row],[data_base]])</f>
        <v>2022</v>
      </c>
      <c r="E10">
        <f>MONTH(tblCaixaProjetado[[#This Row],[data_base]])</f>
        <v>9</v>
      </c>
    </row>
    <row r="11" spans="1:5" x14ac:dyDescent="0.25">
      <c r="A11" s="1">
        <v>44865</v>
      </c>
      <c r="B11" s="6">
        <v>2726836.7700000033</v>
      </c>
      <c r="C11" s="6">
        <v>2124848.75</v>
      </c>
      <c r="D11">
        <f>YEAR(tblCaixaProjetado[[#This Row],[data_base]])</f>
        <v>2022</v>
      </c>
      <c r="E11">
        <f>MONTH(tblCaixaProjetado[[#This Row],[data_base]])</f>
        <v>10</v>
      </c>
    </row>
    <row r="12" spans="1:5" x14ac:dyDescent="0.25">
      <c r="A12" s="1">
        <v>44895</v>
      </c>
      <c r="B12" s="6"/>
      <c r="C12" s="6"/>
      <c r="D12">
        <f>YEAR(tblCaixaProjetado[[#This Row],[data_base]])</f>
        <v>2022</v>
      </c>
      <c r="E12">
        <f>MONTH(tblCaixaProjetado[[#This Row],[data_base]])</f>
        <v>11</v>
      </c>
    </row>
    <row r="13" spans="1:5" x14ac:dyDescent="0.25">
      <c r="A13" s="1">
        <v>44926</v>
      </c>
      <c r="B13" s="6"/>
      <c r="C13" s="6"/>
      <c r="D13">
        <f>YEAR(tblCaixaProjetado[[#This Row],[data_base]])</f>
        <v>2022</v>
      </c>
      <c r="E13">
        <f>MONTH(tblCaixaProjetado[[#This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MDE</vt:lpstr>
      <vt:lpstr>FUNDEB</vt:lpstr>
      <vt:lpstr>ASPS</vt:lpstr>
      <vt:lpstr>PessoalLRF</vt:lpstr>
      <vt:lpstr>Suplementacao</vt:lpstr>
      <vt:lpstr>ReceitaDespesaCorrentes</vt:lpstr>
      <vt:lpstr>DotacaoFolha</vt:lpstr>
      <vt:lpstr>DotacaoVale</vt:lpstr>
      <vt:lpstr>CaixaProjetado</vt:lpstr>
      <vt:lpstr>Superavit</vt:lpstr>
      <vt:lpstr>ReceitaTotal</vt:lpstr>
      <vt:lpstr>ReceitaCorrente</vt:lpstr>
      <vt:lpstr>ArrecadacaoPropria</vt:lpstr>
      <vt:lpstr>TransfCorr</vt:lpstr>
      <vt:lpstr>FPM</vt:lpstr>
      <vt:lpstr>ICMS</vt:lpstr>
      <vt:lpstr>TransfFUNDEB</vt:lpstr>
      <vt:lpstr>TransfSaude</vt:lpstr>
      <vt:lpstr>TransfEducacao</vt:lpstr>
      <vt:lpstr>TransfAssistSocial</vt:lpstr>
      <vt:lpstr>TransfFederal</vt:lpstr>
      <vt:lpstr>TransfEstadual</vt:lpstr>
      <vt:lpstr>DespesaTotal</vt:lpstr>
      <vt:lpstr>DespesaCorrente</vt:lpstr>
      <vt:lpstr>DespesaPessoal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2015-06-05T18:17:20Z</dcterms:created>
  <dcterms:modified xsi:type="dcterms:W3CDTF">2022-11-25T17:38:10Z</dcterms:modified>
</cp:coreProperties>
</file>