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verton\Desktop\Contabil\indicadores3\"/>
    </mc:Choice>
  </mc:AlternateContent>
  <xr:revisionPtr revIDLastSave="0" documentId="13_ncr:1_{19A5C77E-0298-45E1-A6FA-B88CEE6ED3D1}" xr6:coauthVersionLast="47" xr6:coauthVersionMax="47" xr10:uidLastSave="{00000000-0000-0000-0000-000000000000}"/>
  <bookViews>
    <workbookView xWindow="-120" yWindow="-120" windowWidth="29040" windowHeight="15720" tabRatio="910" activeTab="3" xr2:uid="{00000000-000D-0000-FFFF-FFFF00000000}"/>
  </bookViews>
  <sheets>
    <sheet name="ReceitaTotal" sheetId="1" r:id="rId1"/>
    <sheet name="ContribServ" sheetId="2" r:id="rId2"/>
    <sheet name="PatronalNormal" sheetId="3" r:id="rId3"/>
    <sheet name="PatronalSuplementar" sheetId="4" r:id="rId4"/>
    <sheet name="CaixaProjetado" sheetId="5" r:id="rId5"/>
    <sheet name="GanhoPerdasRend" sheetId="6" r:id="rId6"/>
    <sheet name="DespesaTotal" sheetId="7" r:id="rId7"/>
    <sheet name="InativPensRPPS" sheetId="8" r:id="rId8"/>
    <sheet name="InativPensTesouro" sheetId="9" r:id="rId9"/>
    <sheet name="Manut" sheetId="10" r:id="rId10"/>
    <sheet name="Aposentadorias" sheetId="11" r:id="rId11"/>
    <sheet name="Pensoes" sheetId="12" r:id="rId12"/>
    <sheet name="Comprev" sheetId="13" r:id="rId13"/>
    <sheet name="LimiteDespesaAdm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4" l="1"/>
  <c r="H3" i="14"/>
  <c r="H4" i="14"/>
  <c r="H5" i="14"/>
  <c r="H6" i="14"/>
  <c r="H7" i="14"/>
  <c r="H8" i="14"/>
  <c r="H9" i="14"/>
  <c r="H10" i="14"/>
  <c r="H11" i="14"/>
  <c r="H12" i="14"/>
  <c r="H13" i="14"/>
  <c r="G2" i="14"/>
  <c r="G3" i="14"/>
  <c r="G4" i="14"/>
  <c r="G5" i="14"/>
  <c r="G6" i="14"/>
  <c r="G7" i="14"/>
  <c r="G8" i="14"/>
  <c r="G9" i="14"/>
  <c r="G10" i="14"/>
  <c r="G11" i="14"/>
  <c r="G12" i="14"/>
  <c r="G13" i="14"/>
  <c r="D2" i="14"/>
  <c r="D3" i="14"/>
  <c r="D4" i="14"/>
  <c r="D5" i="14"/>
  <c r="D6" i="14"/>
  <c r="D7" i="14"/>
  <c r="D8" i="14"/>
  <c r="D9" i="14"/>
  <c r="D10" i="14"/>
  <c r="D11" i="14"/>
  <c r="D12" i="14"/>
  <c r="E12" i="14" s="1"/>
  <c r="D13" i="14"/>
  <c r="E13" i="14" s="1"/>
  <c r="F13" i="13"/>
  <c r="E3" i="13"/>
  <c r="E5" i="13"/>
  <c r="E7" i="13"/>
  <c r="E9" i="13"/>
  <c r="E11" i="13"/>
  <c r="E13" i="13"/>
  <c r="G13" i="13" s="1"/>
  <c r="D2" i="13"/>
  <c r="D3" i="13"/>
  <c r="D4" i="13"/>
  <c r="D5" i="13"/>
  <c r="D6" i="13"/>
  <c r="D7" i="13"/>
  <c r="D8" i="13"/>
  <c r="D9" i="13"/>
  <c r="D10" i="13"/>
  <c r="D11" i="13"/>
  <c r="D12" i="13"/>
  <c r="D13" i="13"/>
  <c r="I2" i="13"/>
  <c r="F2" i="13" s="1"/>
  <c r="I3" i="13"/>
  <c r="I4" i="13"/>
  <c r="F4" i="13" s="1"/>
  <c r="I5" i="13"/>
  <c r="I6" i="13"/>
  <c r="F6" i="13" s="1"/>
  <c r="I7" i="13"/>
  <c r="I8" i="13"/>
  <c r="F8" i="13" s="1"/>
  <c r="I9" i="13"/>
  <c r="I10" i="13"/>
  <c r="F10" i="13" s="1"/>
  <c r="I11" i="13"/>
  <c r="I12" i="13"/>
  <c r="F12" i="13" s="1"/>
  <c r="I13" i="13"/>
  <c r="H2" i="13"/>
  <c r="H3" i="13"/>
  <c r="H4" i="13"/>
  <c r="F9" i="13" s="1"/>
  <c r="G9" i="13" s="1"/>
  <c r="H5" i="13"/>
  <c r="H6" i="13"/>
  <c r="H7" i="13"/>
  <c r="H8" i="13"/>
  <c r="H9" i="13"/>
  <c r="H10" i="13"/>
  <c r="H11" i="13"/>
  <c r="H12" i="13"/>
  <c r="H13" i="13"/>
  <c r="G2" i="5"/>
  <c r="G3" i="5"/>
  <c r="G4" i="5"/>
  <c r="G5" i="5"/>
  <c r="G6" i="5"/>
  <c r="G7" i="5"/>
  <c r="G8" i="5"/>
  <c r="G9" i="5"/>
  <c r="G10" i="5"/>
  <c r="G11" i="5"/>
  <c r="G12" i="5"/>
  <c r="G13" i="5"/>
  <c r="G14" i="5"/>
  <c r="G2" i="12"/>
  <c r="G3" i="12"/>
  <c r="G4" i="12"/>
  <c r="G5" i="12"/>
  <c r="G6" i="12"/>
  <c r="G7" i="12"/>
  <c r="D7" i="12" s="1"/>
  <c r="G8" i="12"/>
  <c r="G9" i="12"/>
  <c r="D9" i="12" s="1"/>
  <c r="G10" i="12"/>
  <c r="G11" i="12"/>
  <c r="E11" i="12" s="1"/>
  <c r="G12" i="12"/>
  <c r="E12" i="12" s="1"/>
  <c r="G13" i="12"/>
  <c r="F2" i="12"/>
  <c r="F3" i="12"/>
  <c r="D8" i="12" s="1"/>
  <c r="F4" i="12"/>
  <c r="F5" i="12"/>
  <c r="D10" i="12" s="1"/>
  <c r="F6" i="12"/>
  <c r="E2" i="12" s="1"/>
  <c r="F7" i="12"/>
  <c r="F8" i="12"/>
  <c r="F9" i="12"/>
  <c r="F10" i="12"/>
  <c r="F11" i="12"/>
  <c r="F12" i="12"/>
  <c r="F13" i="12"/>
  <c r="E13" i="12"/>
  <c r="D2" i="12"/>
  <c r="D5" i="12"/>
  <c r="D13" i="12"/>
  <c r="G2" i="11"/>
  <c r="E2" i="11" s="1"/>
  <c r="G3" i="11"/>
  <c r="E3" i="11" s="1"/>
  <c r="G4" i="11"/>
  <c r="E4" i="11" s="1"/>
  <c r="G5" i="11"/>
  <c r="D5" i="11" s="1"/>
  <c r="G6" i="11"/>
  <c r="E6" i="11" s="1"/>
  <c r="G7" i="11"/>
  <c r="E7" i="11" s="1"/>
  <c r="G8" i="11"/>
  <c r="E8" i="11" s="1"/>
  <c r="G9" i="11"/>
  <c r="E9" i="11" s="1"/>
  <c r="G10" i="11"/>
  <c r="E10" i="11" s="1"/>
  <c r="G11" i="11"/>
  <c r="E11" i="11" s="1"/>
  <c r="G12" i="11"/>
  <c r="E12" i="11" s="1"/>
  <c r="G13" i="11"/>
  <c r="E13" i="11" s="1"/>
  <c r="F2" i="11"/>
  <c r="F3" i="11"/>
  <c r="F4" i="11"/>
  <c r="F5" i="11"/>
  <c r="F6" i="11"/>
  <c r="F7" i="11"/>
  <c r="E5" i="11" s="1"/>
  <c r="F8" i="11"/>
  <c r="F9" i="11"/>
  <c r="F10" i="11"/>
  <c r="F11" i="11"/>
  <c r="F12" i="11"/>
  <c r="F13" i="11"/>
  <c r="E11" i="10"/>
  <c r="G2" i="10"/>
  <c r="E2" i="10" s="1"/>
  <c r="G3" i="10"/>
  <c r="E3" i="10" s="1"/>
  <c r="G4" i="10"/>
  <c r="E4" i="10" s="1"/>
  <c r="G5" i="10"/>
  <c r="E5" i="10" s="1"/>
  <c r="G6" i="10"/>
  <c r="E6" i="10" s="1"/>
  <c r="G7" i="10"/>
  <c r="E7" i="10" s="1"/>
  <c r="G8" i="10"/>
  <c r="E8" i="10" s="1"/>
  <c r="G9" i="10"/>
  <c r="E9" i="10" s="1"/>
  <c r="G10" i="10"/>
  <c r="E10" i="10" s="1"/>
  <c r="G11" i="10"/>
  <c r="D11" i="10" s="1"/>
  <c r="G12" i="10"/>
  <c r="E12" i="10" s="1"/>
  <c r="G13" i="10"/>
  <c r="E13" i="10" s="1"/>
  <c r="F2" i="10"/>
  <c r="F3" i="10"/>
  <c r="F4" i="10"/>
  <c r="F5" i="10"/>
  <c r="F6" i="10"/>
  <c r="F7" i="10"/>
  <c r="F8" i="10"/>
  <c r="F9" i="10"/>
  <c r="F10" i="10"/>
  <c r="F11" i="10"/>
  <c r="F12" i="10"/>
  <c r="F13" i="10"/>
  <c r="G2" i="9"/>
  <c r="E2" i="9" s="1"/>
  <c r="G3" i="9"/>
  <c r="D3" i="9" s="1"/>
  <c r="G4" i="9"/>
  <c r="E4" i="9" s="1"/>
  <c r="G5" i="9"/>
  <c r="E5" i="9" s="1"/>
  <c r="G6" i="9"/>
  <c r="E6" i="9" s="1"/>
  <c r="G7" i="9"/>
  <c r="D7" i="9" s="1"/>
  <c r="G8" i="9"/>
  <c r="E8" i="9" s="1"/>
  <c r="G9" i="9"/>
  <c r="E9" i="9" s="1"/>
  <c r="G10" i="9"/>
  <c r="E10" i="9" s="1"/>
  <c r="G11" i="9"/>
  <c r="E11" i="9" s="1"/>
  <c r="G12" i="9"/>
  <c r="E12" i="9" s="1"/>
  <c r="G13" i="9"/>
  <c r="E13" i="9" s="1"/>
  <c r="F2" i="9"/>
  <c r="F3" i="9"/>
  <c r="F4" i="9"/>
  <c r="F5" i="9"/>
  <c r="E3" i="9" s="1"/>
  <c r="F6" i="9"/>
  <c r="F7" i="9"/>
  <c r="F8" i="9"/>
  <c r="F9" i="9"/>
  <c r="F10" i="9"/>
  <c r="F11" i="9"/>
  <c r="F12" i="9"/>
  <c r="F13" i="9"/>
  <c r="E6" i="14" l="1"/>
  <c r="E2" i="14"/>
  <c r="D5" i="10"/>
  <c r="D9" i="10"/>
  <c r="D3" i="10"/>
  <c r="D9" i="11"/>
  <c r="D3" i="11"/>
  <c r="F7" i="13"/>
  <c r="G7" i="13" s="1"/>
  <c r="D13" i="9"/>
  <c r="E7" i="9"/>
  <c r="D13" i="10"/>
  <c r="D7" i="10"/>
  <c r="D13" i="11"/>
  <c r="D7" i="11"/>
  <c r="D11" i="9"/>
  <c r="D5" i="9"/>
  <c r="D11" i="11"/>
  <c r="D9" i="9"/>
  <c r="D8" i="9"/>
  <c r="D2" i="9"/>
  <c r="D8" i="10"/>
  <c r="D2" i="10"/>
  <c r="D8" i="11"/>
  <c r="D2" i="11"/>
  <c r="E6" i="12"/>
  <c r="E12" i="13"/>
  <c r="G12" i="13" s="1"/>
  <c r="E6" i="13"/>
  <c r="G6" i="13" s="1"/>
  <c r="F11" i="13"/>
  <c r="G11" i="13" s="1"/>
  <c r="F5" i="13"/>
  <c r="G5" i="13" s="1"/>
  <c r="D12" i="9"/>
  <c r="D6" i="9"/>
  <c r="D12" i="10"/>
  <c r="D6" i="10"/>
  <c r="D12" i="11"/>
  <c r="D6" i="11"/>
  <c r="D11" i="12"/>
  <c r="E10" i="13"/>
  <c r="G10" i="13" s="1"/>
  <c r="E4" i="13"/>
  <c r="G4" i="13" s="1"/>
  <c r="F3" i="13"/>
  <c r="G3" i="13" s="1"/>
  <c r="D10" i="9"/>
  <c r="D4" i="9"/>
  <c r="D10" i="10"/>
  <c r="D4" i="10"/>
  <c r="D10" i="11"/>
  <c r="D4" i="11"/>
  <c r="E8" i="13"/>
  <c r="G8" i="13" s="1"/>
  <c r="E2" i="13"/>
  <c r="G2" i="13" s="1"/>
  <c r="F13" i="14"/>
  <c r="F6" i="14"/>
  <c r="F11" i="14"/>
  <c r="E11" i="14" s="1"/>
  <c r="F5" i="14"/>
  <c r="E5" i="14" s="1"/>
  <c r="F10" i="14"/>
  <c r="E10" i="14" s="1"/>
  <c r="F4" i="14"/>
  <c r="E4" i="14" s="1"/>
  <c r="F7" i="14"/>
  <c r="E7" i="14" s="1"/>
  <c r="F9" i="14"/>
  <c r="E9" i="14" s="1"/>
  <c r="F3" i="14"/>
  <c r="E3" i="14" s="1"/>
  <c r="F8" i="14"/>
  <c r="E8" i="14" s="1"/>
  <c r="F2" i="14"/>
  <c r="F12" i="14"/>
  <c r="D12" i="12"/>
  <c r="D6" i="12"/>
  <c r="D4" i="12"/>
  <c r="E10" i="12"/>
  <c r="D3" i="12"/>
  <c r="E9" i="12"/>
  <c r="E8" i="12"/>
  <c r="E7" i="12"/>
  <c r="E5" i="12"/>
  <c r="E4" i="12"/>
  <c r="E3" i="12"/>
  <c r="E12" i="8" l="1"/>
  <c r="F2" i="8"/>
  <c r="G2" i="8"/>
  <c r="E2" i="8" s="1"/>
  <c r="F3" i="8"/>
  <c r="E3" i="8" s="1"/>
  <c r="G3" i="8"/>
  <c r="F4" i="8"/>
  <c r="G4" i="8"/>
  <c r="F5" i="8"/>
  <c r="G5" i="8"/>
  <c r="E5" i="8" s="1"/>
  <c r="F6" i="8"/>
  <c r="E6" i="8" s="1"/>
  <c r="G6" i="8"/>
  <c r="F7" i="8"/>
  <c r="G7" i="8"/>
  <c r="E7" i="8" s="1"/>
  <c r="F8" i="8"/>
  <c r="G8" i="8"/>
  <c r="E8" i="8" s="1"/>
  <c r="F9" i="8"/>
  <c r="D9" i="8" s="1"/>
  <c r="G9" i="8"/>
  <c r="F10" i="8"/>
  <c r="E10" i="8" s="1"/>
  <c r="G10" i="8"/>
  <c r="F11" i="8"/>
  <c r="G11" i="8"/>
  <c r="E11" i="8" s="1"/>
  <c r="F12" i="8"/>
  <c r="D12" i="8" s="1"/>
  <c r="G12" i="8"/>
  <c r="F13" i="8"/>
  <c r="G13" i="8"/>
  <c r="E13" i="8" s="1"/>
  <c r="G2" i="7"/>
  <c r="E2" i="7" s="1"/>
  <c r="G3" i="7"/>
  <c r="D3" i="7" s="1"/>
  <c r="G4" i="7"/>
  <c r="E4" i="7" s="1"/>
  <c r="G5" i="7"/>
  <c r="E5" i="7" s="1"/>
  <c r="G6" i="7"/>
  <c r="E6" i="7" s="1"/>
  <c r="G7" i="7"/>
  <c r="E7" i="7" s="1"/>
  <c r="G8" i="7"/>
  <c r="E8" i="7" s="1"/>
  <c r="G9" i="7"/>
  <c r="E9" i="7" s="1"/>
  <c r="G10" i="7"/>
  <c r="E10" i="7" s="1"/>
  <c r="G11" i="7"/>
  <c r="E11" i="7" s="1"/>
  <c r="G12" i="7"/>
  <c r="E12" i="7" s="1"/>
  <c r="G13" i="7"/>
  <c r="E13" i="7" s="1"/>
  <c r="F2" i="7"/>
  <c r="F3" i="7"/>
  <c r="F4" i="7"/>
  <c r="F5" i="7"/>
  <c r="F6" i="7"/>
  <c r="F7" i="7"/>
  <c r="F8" i="7"/>
  <c r="F9" i="7"/>
  <c r="F10" i="7"/>
  <c r="F11" i="7"/>
  <c r="F12" i="7"/>
  <c r="F13" i="7"/>
  <c r="H2" i="5"/>
  <c r="H3" i="5"/>
  <c r="H4" i="5"/>
  <c r="H5" i="5"/>
  <c r="H6" i="5"/>
  <c r="H7" i="5"/>
  <c r="H8" i="5"/>
  <c r="H9" i="5"/>
  <c r="H10" i="5"/>
  <c r="H11" i="5"/>
  <c r="H12" i="5"/>
  <c r="H13" i="5"/>
  <c r="H14" i="5"/>
  <c r="D4" i="7" l="1"/>
  <c r="D4" i="8"/>
  <c r="D9" i="7"/>
  <c r="E3" i="7"/>
  <c r="E9" i="8"/>
  <c r="D13" i="7"/>
  <c r="D7" i="7"/>
  <c r="D13" i="8"/>
  <c r="D7" i="8"/>
  <c r="D10" i="7"/>
  <c r="D12" i="7"/>
  <c r="D6" i="7"/>
  <c r="D6" i="8"/>
  <c r="D11" i="7"/>
  <c r="D5" i="7"/>
  <c r="D11" i="8"/>
  <c r="D5" i="8"/>
  <c r="D10" i="8"/>
  <c r="E4" i="8"/>
  <c r="D3" i="8"/>
  <c r="D8" i="7"/>
  <c r="D2" i="7"/>
  <c r="D8" i="8"/>
  <c r="D2" i="8"/>
  <c r="L2" i="6"/>
  <c r="L3" i="6"/>
  <c r="L4" i="6"/>
  <c r="L5" i="6"/>
  <c r="L6" i="6"/>
  <c r="L7" i="6"/>
  <c r="L8" i="6"/>
  <c r="L9" i="6"/>
  <c r="L10" i="6"/>
  <c r="L11" i="6"/>
  <c r="L12" i="6"/>
  <c r="L13" i="6"/>
  <c r="G2" i="6"/>
  <c r="H2" i="6" s="1"/>
  <c r="G3" i="6"/>
  <c r="K3" i="6" s="1"/>
  <c r="G4" i="6"/>
  <c r="K4" i="6" s="1"/>
  <c r="G5" i="6"/>
  <c r="K5" i="6" s="1"/>
  <c r="G6" i="6"/>
  <c r="K6" i="6" s="1"/>
  <c r="G7" i="6"/>
  <c r="K7" i="6" s="1"/>
  <c r="G8" i="6"/>
  <c r="K8" i="6" s="1"/>
  <c r="G9" i="6"/>
  <c r="K9" i="6" s="1"/>
  <c r="G10" i="6"/>
  <c r="K10" i="6" s="1"/>
  <c r="G11" i="6"/>
  <c r="K11" i="6" s="1"/>
  <c r="G12" i="6"/>
  <c r="K12" i="6" s="1"/>
  <c r="G13" i="6"/>
  <c r="K13" i="6" s="1"/>
  <c r="F2" i="6"/>
  <c r="F3" i="6"/>
  <c r="F4" i="6"/>
  <c r="F5" i="6"/>
  <c r="F6" i="6"/>
  <c r="F7" i="6"/>
  <c r="F8" i="6"/>
  <c r="F9" i="6"/>
  <c r="F10" i="6"/>
  <c r="F11" i="6"/>
  <c r="F12" i="6"/>
  <c r="F13" i="6"/>
  <c r="B13" i="5"/>
  <c r="B14" i="5"/>
  <c r="F2" i="5"/>
  <c r="B2" i="5" s="1"/>
  <c r="F3" i="5"/>
  <c r="B3" i="5" s="1"/>
  <c r="F4" i="5"/>
  <c r="B4" i="5" s="1"/>
  <c r="F5" i="5"/>
  <c r="B5" i="5" s="1"/>
  <c r="F6" i="5"/>
  <c r="B6" i="5" s="1"/>
  <c r="F7" i="5"/>
  <c r="B7" i="5" s="1"/>
  <c r="F8" i="5"/>
  <c r="B8" i="5" s="1"/>
  <c r="F9" i="5"/>
  <c r="B9" i="5" s="1"/>
  <c r="F10" i="5"/>
  <c r="B10" i="5" s="1"/>
  <c r="F11" i="5"/>
  <c r="B11" i="5" s="1"/>
  <c r="F12" i="5"/>
  <c r="B12" i="5" s="1"/>
  <c r="F13" i="5"/>
  <c r="F14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F2" i="1"/>
  <c r="I2" i="1" s="1"/>
  <c r="F3" i="1"/>
  <c r="I3" i="1" s="1"/>
  <c r="F4" i="1"/>
  <c r="I4" i="1" s="1"/>
  <c r="F5" i="1"/>
  <c r="I5" i="1" s="1"/>
  <c r="F6" i="1"/>
  <c r="H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H12" i="1" s="1"/>
  <c r="F13" i="1"/>
  <c r="I13" i="1" s="1"/>
  <c r="E2" i="1"/>
  <c r="E3" i="1"/>
  <c r="E4" i="1"/>
  <c r="E5" i="1"/>
  <c r="E6" i="1"/>
  <c r="E7" i="1"/>
  <c r="E8" i="1"/>
  <c r="E9" i="1"/>
  <c r="E10" i="1"/>
  <c r="E11" i="1"/>
  <c r="E12" i="1"/>
  <c r="E13" i="1"/>
  <c r="F2" i="2"/>
  <c r="I2" i="2" s="1"/>
  <c r="F3" i="2"/>
  <c r="I3" i="2" s="1"/>
  <c r="F4" i="2"/>
  <c r="I4" i="2" s="1"/>
  <c r="F5" i="2"/>
  <c r="G5" i="2" s="1"/>
  <c r="F6" i="2"/>
  <c r="I6" i="2" s="1"/>
  <c r="F7" i="2"/>
  <c r="I7" i="2" s="1"/>
  <c r="F8" i="2"/>
  <c r="I8" i="2" s="1"/>
  <c r="F9" i="2"/>
  <c r="I9" i="2" s="1"/>
  <c r="F10" i="2"/>
  <c r="I10" i="2" s="1"/>
  <c r="F11" i="2"/>
  <c r="I11" i="2" s="1"/>
  <c r="F12" i="2"/>
  <c r="H12" i="2" s="1"/>
  <c r="F13" i="2"/>
  <c r="I13" i="2" s="1"/>
  <c r="E2" i="2"/>
  <c r="E3" i="2"/>
  <c r="E4" i="2"/>
  <c r="E5" i="2"/>
  <c r="E6" i="2"/>
  <c r="E7" i="2"/>
  <c r="E8" i="2"/>
  <c r="E9" i="2"/>
  <c r="E10" i="2"/>
  <c r="E11" i="2"/>
  <c r="E12" i="2"/>
  <c r="E13" i="2"/>
  <c r="F2" i="3"/>
  <c r="I2" i="3" s="1"/>
  <c r="F3" i="3"/>
  <c r="I3" i="3" s="1"/>
  <c r="F4" i="3"/>
  <c r="I4" i="3" s="1"/>
  <c r="F5" i="3"/>
  <c r="H5" i="3" s="1"/>
  <c r="F6" i="3"/>
  <c r="H6" i="3" s="1"/>
  <c r="F7" i="3"/>
  <c r="I7" i="3" s="1"/>
  <c r="F8" i="3"/>
  <c r="I8" i="3" s="1"/>
  <c r="F9" i="3"/>
  <c r="I9" i="3" s="1"/>
  <c r="F10" i="3"/>
  <c r="I10" i="3" s="1"/>
  <c r="F11" i="3"/>
  <c r="H11" i="3" s="1"/>
  <c r="F12" i="3"/>
  <c r="H12" i="3" s="1"/>
  <c r="F13" i="3"/>
  <c r="I13" i="3" s="1"/>
  <c r="E2" i="3"/>
  <c r="E3" i="3"/>
  <c r="E4" i="3"/>
  <c r="E5" i="3"/>
  <c r="E6" i="3"/>
  <c r="E7" i="3"/>
  <c r="E8" i="3"/>
  <c r="E9" i="3"/>
  <c r="E10" i="3"/>
  <c r="E11" i="3"/>
  <c r="E12" i="3"/>
  <c r="E13" i="3"/>
  <c r="F2" i="4"/>
  <c r="G2" i="4" s="1"/>
  <c r="F3" i="4"/>
  <c r="I3" i="4" s="1"/>
  <c r="F4" i="4"/>
  <c r="I4" i="4" s="1"/>
  <c r="F5" i="4"/>
  <c r="I5" i="4" s="1"/>
  <c r="F6" i="4"/>
  <c r="I6" i="4" s="1"/>
  <c r="F7" i="4"/>
  <c r="I7" i="4" s="1"/>
  <c r="F8" i="4"/>
  <c r="I8" i="4" s="1"/>
  <c r="F9" i="4"/>
  <c r="I9" i="4" s="1"/>
  <c r="F10" i="4"/>
  <c r="I10" i="4" s="1"/>
  <c r="F11" i="4"/>
  <c r="I11" i="4" s="1"/>
  <c r="F12" i="4"/>
  <c r="I12" i="4" s="1"/>
  <c r="F13" i="4"/>
  <c r="I13" i="4" s="1"/>
  <c r="E2" i="4"/>
  <c r="E3" i="4"/>
  <c r="E4" i="4"/>
  <c r="E5" i="4"/>
  <c r="E6" i="4"/>
  <c r="E7" i="4"/>
  <c r="E8" i="4"/>
  <c r="E9" i="4"/>
  <c r="E10" i="4"/>
  <c r="E11" i="4"/>
  <c r="E12" i="4"/>
  <c r="E13" i="4"/>
  <c r="G12" i="3" l="1"/>
  <c r="I12" i="3"/>
  <c r="G6" i="2"/>
  <c r="I12" i="2"/>
  <c r="G12" i="1"/>
  <c r="I12" i="1"/>
  <c r="G5" i="3"/>
  <c r="I5" i="3"/>
  <c r="H5" i="2"/>
  <c r="I2" i="4"/>
  <c r="G8" i="3"/>
  <c r="G2" i="3"/>
  <c r="H8" i="3"/>
  <c r="H2" i="3"/>
  <c r="G8" i="2"/>
  <c r="G2" i="2"/>
  <c r="H8" i="2"/>
  <c r="H2" i="2"/>
  <c r="G8" i="1"/>
  <c r="G2" i="1"/>
  <c r="H8" i="1"/>
  <c r="H2" i="1"/>
  <c r="M13" i="6"/>
  <c r="M7" i="6"/>
  <c r="G13" i="3"/>
  <c r="G7" i="3"/>
  <c r="H13" i="3"/>
  <c r="H7" i="3"/>
  <c r="G13" i="2"/>
  <c r="G7" i="2"/>
  <c r="H13" i="2"/>
  <c r="H7" i="2"/>
  <c r="G13" i="1"/>
  <c r="G7" i="1"/>
  <c r="H13" i="1"/>
  <c r="H7" i="1"/>
  <c r="M12" i="6"/>
  <c r="M6" i="6"/>
  <c r="M11" i="6"/>
  <c r="M5" i="6"/>
  <c r="I11" i="3"/>
  <c r="H11" i="2"/>
  <c r="I5" i="2"/>
  <c r="G11" i="1"/>
  <c r="G5" i="1"/>
  <c r="H11" i="1"/>
  <c r="H5" i="1"/>
  <c r="M10" i="6"/>
  <c r="M4" i="6"/>
  <c r="G6" i="3"/>
  <c r="I6" i="3"/>
  <c r="G12" i="2"/>
  <c r="H6" i="2"/>
  <c r="I6" i="1"/>
  <c r="G11" i="3"/>
  <c r="G11" i="2"/>
  <c r="G10" i="3"/>
  <c r="G4" i="3"/>
  <c r="H10" i="3"/>
  <c r="H4" i="3"/>
  <c r="G10" i="2"/>
  <c r="G4" i="2"/>
  <c r="H10" i="2"/>
  <c r="H4" i="2"/>
  <c r="G10" i="1"/>
  <c r="G4" i="1"/>
  <c r="H10" i="1"/>
  <c r="H4" i="1"/>
  <c r="M9" i="6"/>
  <c r="M3" i="6"/>
  <c r="G6" i="1"/>
  <c r="G9" i="3"/>
  <c r="G3" i="3"/>
  <c r="H9" i="3"/>
  <c r="H3" i="3"/>
  <c r="G9" i="2"/>
  <c r="G3" i="2"/>
  <c r="H9" i="2"/>
  <c r="H3" i="2"/>
  <c r="G9" i="1"/>
  <c r="G3" i="1"/>
  <c r="H9" i="1"/>
  <c r="H3" i="1"/>
  <c r="M8" i="6"/>
  <c r="M2" i="6"/>
  <c r="K2" i="6"/>
  <c r="H13" i="6"/>
  <c r="H7" i="6"/>
  <c r="H12" i="6"/>
  <c r="H6" i="6"/>
  <c r="H11" i="6"/>
  <c r="H5" i="6"/>
  <c r="H10" i="6"/>
  <c r="H4" i="6"/>
  <c r="H9" i="6"/>
  <c r="H3" i="6"/>
  <c r="H8" i="6"/>
  <c r="I13" i="6"/>
  <c r="I7" i="6"/>
  <c r="J13" i="6"/>
  <c r="J7" i="6"/>
  <c r="I12" i="6"/>
  <c r="I6" i="6"/>
  <c r="J12" i="6"/>
  <c r="J6" i="6"/>
  <c r="I11" i="6"/>
  <c r="I5" i="6"/>
  <c r="J11" i="6"/>
  <c r="J5" i="6"/>
  <c r="I10" i="6"/>
  <c r="I4" i="6"/>
  <c r="J10" i="6"/>
  <c r="J4" i="6"/>
  <c r="I9" i="6"/>
  <c r="I3" i="6"/>
  <c r="J9" i="6"/>
  <c r="J3" i="6"/>
  <c r="I8" i="6"/>
  <c r="I2" i="6"/>
  <c r="J8" i="6"/>
  <c r="J2" i="6"/>
  <c r="G13" i="4"/>
  <c r="G7" i="4"/>
  <c r="H13" i="4"/>
  <c r="H7" i="4"/>
  <c r="G12" i="4"/>
  <c r="G6" i="4"/>
  <c r="H12" i="4"/>
  <c r="H6" i="4"/>
  <c r="G11" i="4"/>
  <c r="G5" i="4"/>
  <c r="H11" i="4"/>
  <c r="H5" i="4"/>
  <c r="G10" i="4"/>
  <c r="G4" i="4"/>
  <c r="H10" i="4"/>
  <c r="H4" i="4"/>
  <c r="G9" i="4"/>
  <c r="G3" i="4"/>
  <c r="H9" i="4"/>
  <c r="H3" i="4"/>
  <c r="G8" i="4"/>
  <c r="H8" i="4"/>
  <c r="H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Everton da Rosa</author>
  </authors>
  <commentList>
    <comment ref="D1" authorId="0" shapeId="0" xr:uid="{62436AC2-0F84-48AD-BFB1-63FEE3FBF9EC}">
      <text>
        <r>
          <rPr>
            <b/>
            <sz val="9"/>
            <color indexed="81"/>
            <rFont val="Segoe UI"/>
            <family val="2"/>
          </rPr>
          <t>Everton da Rosa:</t>
        </r>
        <r>
          <rPr>
            <sz val="9"/>
            <color indexed="81"/>
            <rFont val="Segoe UI"/>
            <family val="2"/>
          </rPr>
          <t xml:space="preserve">
4.4.5.1.1.03
Movimento mensal
Crédito (-) Débito</t>
        </r>
      </text>
    </comment>
    <comment ref="E1" authorId="0" shapeId="0" xr:uid="{AE7ECB0D-0978-445D-96A5-AD17B4705E1A}">
      <text>
        <r>
          <rPr>
            <b/>
            <sz val="9"/>
            <color indexed="81"/>
            <rFont val="Segoe UI"/>
            <family val="2"/>
          </rPr>
          <t>Everton da Rosa:</t>
        </r>
        <r>
          <rPr>
            <sz val="9"/>
            <color indexed="81"/>
            <rFont val="Segoe UI"/>
            <family val="2"/>
          </rPr>
          <t xml:space="preserve">
3.6.1.7.1.99.01.*
3.6.1.7.1.99.02.*
Movimento mensal
Débito (-) Crédito</t>
        </r>
      </text>
    </comment>
  </commentList>
</comments>
</file>

<file path=xl/sharedStrings.xml><?xml version="1.0" encoding="utf-8"?>
<sst xmlns="http://schemas.openxmlformats.org/spreadsheetml/2006/main" count="116" uniqueCount="35">
  <si>
    <t>data_base</t>
  </si>
  <si>
    <t>arrec_ant</t>
  </si>
  <si>
    <t>prev_mes</t>
  </si>
  <si>
    <t>arrec_mes</t>
  </si>
  <si>
    <t>arrec_ant_acum</t>
  </si>
  <si>
    <t>prev_acum</t>
  </si>
  <si>
    <t>arrec_acum</t>
  </si>
  <si>
    <t>ano</t>
  </si>
  <si>
    <t>mês</t>
  </si>
  <si>
    <t>projetado</t>
  </si>
  <si>
    <t>atual</t>
  </si>
  <si>
    <t>prev_receita</t>
  </si>
  <si>
    <t>prev_desp</t>
  </si>
  <si>
    <t>arrec</t>
  </si>
  <si>
    <t>empenho</t>
  </si>
  <si>
    <t>ganho_mes</t>
  </si>
  <si>
    <t>perda_mes</t>
  </si>
  <si>
    <t>ganho_acum</t>
  </si>
  <si>
    <t>perda_acum</t>
  </si>
  <si>
    <t>resultado_mes</t>
  </si>
  <si>
    <t>resultado_acum</t>
  </si>
  <si>
    <t>emp_ant</t>
  </si>
  <si>
    <t>emp_atual</t>
  </si>
  <si>
    <t>emp_ant_acum</t>
  </si>
  <si>
    <t>emp_atual_acum</t>
  </si>
  <si>
    <t>receita</t>
  </si>
  <si>
    <t>despesa</t>
  </si>
  <si>
    <t>receita_acum</t>
  </si>
  <si>
    <t>despesa_acum</t>
  </si>
  <si>
    <t>resultado</t>
  </si>
  <si>
    <t>resultado_acumulado</t>
  </si>
  <si>
    <t>despesa_acumulada</t>
  </si>
  <si>
    <t>vl_limite</t>
  </si>
  <si>
    <t>perc_limite</t>
  </si>
  <si>
    <t>perc_despesa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</si>
</sst>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3" fontId="0" fillId="0" borderId="0" xfId="1" applyFont="1"/>
    <xf numFmtId="0" fontId="0" fillId="0" borderId="0" xfId="1" applyNumberFormat="1" applyFont="1"/>
    <xf numFmtId="10" fontId="0" fillId="0" borderId="0" xfId="2" applyNumberFormat="1" applyFont="1"/>
  </cellXfs>
  <cellStyles count="3">
    <cellStyle name="Normal" xfId="0" builtinId="0"/>
    <cellStyle name="Porcentagem" xfId="2" builtinId="5"/>
    <cellStyle name="Vírgula" xfId="1" builtinId="3"/>
  </cellStyles>
  <dxfs count="106">
    <dxf>
      <numFmt numFmtId="0" formatCode="General"/>
    </dxf>
    <dxf>
      <numFmt numFmtId="0" formatCode="General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numFmt numFmtId="19" formatCode="dd/mm/yyyy"/>
    </dxf>
    <dxf>
      <numFmt numFmtId="0" formatCode="General"/>
    </dxf>
    <dxf>
      <numFmt numFmtId="0" formatCode="General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9" formatCode="dd/mm/yyyy"/>
    </dxf>
    <dxf>
      <numFmt numFmtId="0" formatCode="General"/>
    </dxf>
    <dxf>
      <numFmt numFmtId="0" formatCode="General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9" formatCode="dd/mm/yyyy"/>
    </dxf>
    <dxf>
      <numFmt numFmtId="0" formatCode="General"/>
    </dxf>
    <dxf>
      <numFmt numFmtId="0" formatCode="General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9" formatCode="dd/mm/yyyy"/>
    </dxf>
    <dxf>
      <numFmt numFmtId="0" formatCode="General"/>
    </dxf>
    <dxf>
      <numFmt numFmtId="0" formatCode="General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9" formatCode="dd/mm/yyyy"/>
    </dxf>
    <dxf>
      <numFmt numFmtId="0" formatCode="General"/>
    </dxf>
    <dxf>
      <numFmt numFmtId="0" formatCode="General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9C417B-EFCF-4FAA-865F-54D06F3CF0BB}" name="tblReceitaTotal" displayName="tblReceitaTotal" ref="A1:I13" totalsRowShown="0" dataDxfId="105" dataCellStyle="Vírgula">
  <autoFilter ref="A1:I13" xr:uid="{499C417B-EFCF-4FAA-865F-54D06F3CF0BB}"/>
  <tableColumns count="9">
    <tableColumn id="1" xr3:uid="{642B3F0D-84D6-4838-B6C0-A1C3C0AF939E}" name="data_base" dataDxfId="104"/>
    <tableColumn id="2" xr3:uid="{FB64EE72-1C19-464F-9174-A6E4C3A0FFFD}" name="arrec_ant" dataDxfId="103" dataCellStyle="Vírgula"/>
    <tableColumn id="3" xr3:uid="{F68A747C-1562-48E0-8CEB-5B7EEF72369E}" name="prev_mes" dataDxfId="102" dataCellStyle="Vírgula"/>
    <tableColumn id="4" xr3:uid="{96CBBD21-99B8-487A-8D34-97C1D3E4F161}" name="arrec_mes" dataDxfId="101" dataCellStyle="Vírgula"/>
    <tableColumn id="8" xr3:uid="{365FB318-E674-4335-89F7-DEE4A31505CC}" name="ano" dataDxfId="100" dataCellStyle="Vírgula">
      <calculatedColumnFormula>YEAR(tblReceitaTotal[[#This Row],[data_base]])</calculatedColumnFormula>
    </tableColumn>
    <tableColumn id="9" xr3:uid="{55C3A1D7-C7DE-45E8-812F-AF8B4EA4F295}" name="mês" dataDxfId="99" dataCellStyle="Vírgula">
      <calculatedColumnFormula>MONTH(tblReceitaTotal[[#This Row],[data_base]])</calculatedColumnFormula>
    </tableColumn>
    <tableColumn id="10" xr3:uid="{BDDC24C3-1A25-42CE-9878-5CD65EFFD345}" name="arrec_ant_acum" dataDxfId="98" dataCellStyle="Vírgula">
      <calculatedColumnFormula>IF(tblReceitaTotal[[#This Row],[mês]]=1,tblReceitaTotal[[#This Row],[arrec_ant]],IF(tblReceitaTotal[[#This Row],[arrec_ant]]&gt;0,SUMIFS(tblReceitaTotal[arrec_ant],tblReceitaTotal[ano],tblReceitaTotal[[#This Row],[ano]],tblReceitaTotal[mês],"&lt;="&amp;tblReceitaTotal[[#This Row],[mês]]),""))</calculatedColumnFormula>
    </tableColumn>
    <tableColumn id="11" xr3:uid="{35FED886-CB9E-4776-9645-AA6F204592E9}" name="prev_acum" dataDxfId="97" dataCellStyle="Vírgula">
      <calculatedColumnFormula>IF(tblReceitaTotal[[#This Row],[mês]]=1,tblReceitaTotal[[#This Row],[prev_mes]],IF(tblReceitaTotal[[#This Row],[prev_mes]]&gt;0,SUMIFS(tblReceitaTotal[prev_mes],tblReceitaTotal[ano],tblReceitaTotal[[#This Row],[ano]],tblReceitaTotal[mês],"&lt;="&amp;tblReceitaTotal[[#This Row],[mês]]),""))</calculatedColumnFormula>
    </tableColumn>
    <tableColumn id="12" xr3:uid="{11994EAB-3800-478C-92FF-6B79BE1A01F4}" name="arrec_acum" dataDxfId="96" dataCellStyle="Vírgula">
      <calculatedColumnFormula>IF(tblReceitaTotal[[#This Row],[mês]]=1,tblReceitaTotal[[#This Row],[arrec_mes]],IF(tblReceitaTotal[[#This Row],[arrec_mes]]&gt;0,SUMIFS(tblReceitaTotal[arrec_mes],tblReceitaTotal[ano],tblReceitaTotal[[#This Row],[ano]],tblReceitaTotal[mês],"&lt;="&amp;tblReceitaTotal[[#This Row],[mês]]),""))</calculatedColumnFormula>
    </tableColumn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3F57E72-84D3-43A9-80F2-CC257AFDB896}" name="tblManut" displayName="tblManut" ref="A1:G13" totalsRowShown="0">
  <autoFilter ref="A1:G13" xr:uid="{B3F57E72-84D3-43A9-80F2-CC257AFDB896}"/>
  <tableColumns count="7">
    <tableColumn id="1" xr3:uid="{729EC1A1-DC34-4280-8803-6ED29E38E4D1}" name="data_base" dataDxfId="28"/>
    <tableColumn id="2" xr3:uid="{4935638E-B0C1-463A-9D1B-5A4FFF689AFB}" name="emp_ant" dataCellStyle="Vírgula"/>
    <tableColumn id="3" xr3:uid="{C0069254-3B2A-4C7A-850F-5E22C92BCE13}" name="emp_atual" dataCellStyle="Vírgula"/>
    <tableColumn id="4" xr3:uid="{FAD188FE-605D-4BAC-BC2E-E369154B8F9A}" name="emp_ant_acum" dataDxfId="27" dataCellStyle="Vírgula">
      <calculatedColumnFormula>IF(tblManut[[#This Row],[mês]]=1,tblManut[[#This Row],[emp_ant]],IF(tblManut[[#This Row],[emp_ant]]&gt;0,SUMIFS(tblManut[emp_ant],tblManut[ano],tblManut[[#This Row],[ano]],tblManut[mês],"&lt;="&amp;tblManut[[#This Row],[mês]]),""))</calculatedColumnFormula>
    </tableColumn>
    <tableColumn id="5" xr3:uid="{7D336569-BE33-4ECB-96A3-EBF8E7AA97C8}" name="emp_atual_acum" dataDxfId="26" dataCellStyle="Vírgula">
      <calculatedColumnFormula>IF(tblManut[[#This Row],[mês]]=1,tblManut[[#This Row],[emp_atual]],IF(tblManut[[#This Row],[emp_atual]]&gt;0,SUMIFS(tblManut[emp_atual],tblManut[ano],tblManut[[#This Row],[ano]],tblManut[mês],"&lt;="&amp;tblManut[[#This Row],[mês]]),""))</calculatedColumnFormula>
    </tableColumn>
    <tableColumn id="6" xr3:uid="{83468314-F39E-4655-9F3E-ADA50B3D8D82}" name="ano" dataDxfId="25">
      <calculatedColumnFormula>YEAR(tblManut[[#This Row],[data_base]])</calculatedColumnFormula>
    </tableColumn>
    <tableColumn id="7" xr3:uid="{30CF53F5-DC54-472D-8D7A-0E9F751DC091}" name="mês" dataDxfId="24">
      <calculatedColumnFormula>MONTH(tblManut[[#This Row],[data_base]])</calculatedColumnFormula>
    </tableColumn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54CB30B-44FD-4288-B10B-C65E06B548B4}" name="tblAposentadorias" displayName="tblAposentadorias" ref="A1:G13" totalsRowShown="0">
  <autoFilter ref="A1:G13" xr:uid="{954CB30B-44FD-4288-B10B-C65E06B548B4}"/>
  <tableColumns count="7">
    <tableColumn id="1" xr3:uid="{A888516D-0EE3-442A-BFD4-48307DE93E47}" name="data_base" dataDxfId="23"/>
    <tableColumn id="2" xr3:uid="{DFB25E9C-0ED2-4FBC-86C0-9230E8D8C4F6}" name="emp_ant" dataCellStyle="Vírgula"/>
    <tableColumn id="3" xr3:uid="{6D8FFAD4-4795-4DEB-9904-EA25BB0AADC3}" name="emp_atual" dataCellStyle="Vírgula"/>
    <tableColumn id="4" xr3:uid="{5549E01E-8376-4128-9E3C-5958A08E908B}" name="emp_ant_acum" dataDxfId="22" dataCellStyle="Vírgula">
      <calculatedColumnFormula>IF(tblAposentadorias[[#This Row],[mês]]=1,tblAposentadorias[[#This Row],[emp_ant]],IF(tblAposentadorias[[#This Row],[emp_ant]]&gt;0,SUMIFS(tblAposentadorias[emp_ant],tblAposentadorias[ano],tblAposentadorias[[#This Row],[ano]],tblAposentadorias[mês],"&lt;="&amp;tblAposentadorias[[#This Row],[mês]]),""))</calculatedColumnFormula>
    </tableColumn>
    <tableColumn id="5" xr3:uid="{9AFDB0DC-5B33-41CE-9625-BFA843786153}" name="emp_atual_acum" dataDxfId="21" dataCellStyle="Vírgula">
      <calculatedColumnFormula>IF(tblAposentadorias[[#This Row],[mês]]=1,tblAposentadorias[[#This Row],[emp_atual]],IF(tblAposentadorias[[#This Row],[emp_atual]]&gt;0,SUMIFS(tblAposentadorias[emp_atual],tblAposentadorias[ano],tblAposentadorias[[#This Row],[ano]],tblAposentadorias[mês],"&lt;="&amp;tblAposentadorias[[#This Row],[mês]]),""))</calculatedColumnFormula>
    </tableColumn>
    <tableColumn id="6" xr3:uid="{A32B6C9B-1EE7-4D14-B361-A44111539F45}" name="ano" dataDxfId="20">
      <calculatedColumnFormula>YEAR(tblAposentadorias[[#This Row],[data_base]])</calculatedColumnFormula>
    </tableColumn>
    <tableColumn id="7" xr3:uid="{60054D4D-58A6-49D7-9E7F-4C2B4DE6EB55}" name="mês" dataDxfId="19">
      <calculatedColumnFormula>MONTH(tblAposentadorias[[#This Row],[data_base]])</calculatedColumnFormula>
    </tableColumn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FFCB599-1C49-465F-B021-4BAA3342A60B}" name="tblPensoes" displayName="tblPensoes" ref="A1:G13" totalsRowShown="0">
  <autoFilter ref="A1:G13" xr:uid="{1FFCB599-1C49-465F-B021-4BAA3342A60B}"/>
  <tableColumns count="7">
    <tableColumn id="1" xr3:uid="{E3BA2DE0-0F14-43A8-969F-1E34E6508F82}" name="data_base" dataDxfId="18"/>
    <tableColumn id="2" xr3:uid="{D38EAF98-2827-41C1-8900-5D5BC0746383}" name="emp_ant" dataCellStyle="Vírgula"/>
    <tableColumn id="3" xr3:uid="{AAD7DC09-F9BA-4098-B4D6-60BF690C6748}" name="emp_atual" dataCellStyle="Vírgula"/>
    <tableColumn id="4" xr3:uid="{4E5F0A0E-6E1B-4372-A377-5228D4B267CD}" name="emp_ant_acum" dataDxfId="17" dataCellStyle="Vírgula">
      <calculatedColumnFormula>IF(tblPensoes[[#This Row],[mês]]=1,tblPensoes[[#This Row],[emp_ant]],IF(tblPensoes[[#This Row],[emp_ant]]&gt;0,SUMIFS(tblPensoes[emp_ant],tblPensoes[ano],tblPensoes[[#This Row],[ano]],tblPensoes[mês],"&lt;="&amp;tblPensoes[[#This Row],[mês]]),""))</calculatedColumnFormula>
    </tableColumn>
    <tableColumn id="5" xr3:uid="{E2161802-F797-41FE-9917-9095520F06E7}" name="emp_atual_acum" dataDxfId="16" dataCellStyle="Vírgula">
      <calculatedColumnFormula>IF(tblPensoes[[#This Row],[mês]]=1,tblPensoes[[#This Row],[emp_atual]],IF(tblPensoes[[#This Row],[emp_atual]]&gt;0,SUMIFS(tblPensoes[emp_atual],tblPensoes[ano],tblPensoes[[#This Row],[ano]],tblPensoes[mês],"&lt;="&amp;tblPensoes[[#This Row],[mês]]),""))</calculatedColumnFormula>
    </tableColumn>
    <tableColumn id="6" xr3:uid="{0CF404B6-2BC5-4355-BD0C-27971A39CEED}" name="ano" dataDxfId="15">
      <calculatedColumnFormula>YEAR(tblPensoes[[#This Row],[data_base]])</calculatedColumnFormula>
    </tableColumn>
    <tableColumn id="7" xr3:uid="{4FF3BA48-BF78-4D02-B65F-75548C26A5F0}" name="mês" dataDxfId="14">
      <calculatedColumnFormula>MONTH(tblPensoes[[#This Row],[data_base]])</calculatedColumnFormula>
    </tableColumn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7C517A5-7037-4242-B843-C4859B97AEBD}" name="tblComprev" displayName="tblComprev" ref="A1:I13" totalsRowShown="0">
  <autoFilter ref="A1:I13" xr:uid="{37C517A5-7037-4242-B843-C4859B97AEBD}"/>
  <tableColumns count="9">
    <tableColumn id="1" xr3:uid="{5CA7D310-E210-4823-88E1-6ED12FA046B6}" name="data_base" dataDxfId="13"/>
    <tableColumn id="2" xr3:uid="{1803D78D-4815-4BFF-A173-B6C564350C78}" name="receita" dataCellStyle="Vírgula"/>
    <tableColumn id="3" xr3:uid="{20FB1377-EA88-4CCC-B9C8-DE5BB78273D6}" name="despesa" dataCellStyle="Vírgula"/>
    <tableColumn id="9" xr3:uid="{25D579C8-7895-4A39-A2BA-FBD0A0673ACB}" name="resultado" dataDxfId="12" dataCellStyle="Vírgula">
      <calculatedColumnFormula>tblComprev[[#This Row],[receita]]-tblComprev[[#This Row],[despesa]]</calculatedColumnFormula>
    </tableColumn>
    <tableColumn id="5" xr3:uid="{A5A59772-8E11-4A59-BB8F-86A75C8CB3DB}" name="receita_acum" dataDxfId="11" dataCellStyle="Vírgula">
      <calculatedColumnFormula>IF(tblComprev[[#This Row],[mês]]=1,tblComprev[[#This Row],[receita]],IF(tblComprev[[#This Row],[receita]]&gt;0,SUMIFS(tblComprev[receita],tblComprev[ano],tblComprev[[#This Row],[ano]],tblComprev[mês],"&lt;="&amp;tblComprev[[#This Row],[mês]]),0))</calculatedColumnFormula>
    </tableColumn>
    <tableColumn id="6" xr3:uid="{7AF02AB7-F029-4052-B12B-28A96D6C68AC}" name="despesa_acum" dataDxfId="10" dataCellStyle="Vírgula">
      <calculatedColumnFormula>IF(tblComprev[[#This Row],[mês]]=1,tblComprev[[#This Row],[despesa]],IF(tblComprev[[#This Row],[despesa]]&gt;0,SUMIFS(tblComprev[despesa],tblComprev[ano],tblComprev[[#This Row],[ano]],tblComprev[mês],"&lt;="&amp;tblComprev[[#This Row],[mês]]),0))</calculatedColumnFormula>
    </tableColumn>
    <tableColumn id="10" xr3:uid="{ACA54473-F613-4EB1-A081-E2305538FB56}" name="resultado_acumulado" dataDxfId="9" dataCellStyle="Vírgula">
      <calculatedColumnFormula>tblComprev[[#This Row],[receita_acum]]-tblComprev[[#This Row],[despesa_acum]]</calculatedColumnFormula>
    </tableColumn>
    <tableColumn id="7" xr3:uid="{192F3FE6-789E-41DE-BCAC-88C7B7E7471E}" name="ano" dataDxfId="8">
      <calculatedColumnFormula>YEAR(tblComprev[[#This Row],[data_base]])</calculatedColumnFormula>
    </tableColumn>
    <tableColumn id="8" xr3:uid="{508A2CEE-850D-4A4E-A80F-AE5101D68B30}" name="mês" dataDxfId="7">
      <calculatedColumnFormula>MONTH(tblComprev[[#This Row],[data_base]])</calculatedColumnFormula>
    </tableColumn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543281A-3ED7-4133-9DB4-93D13029BD84}" name="tblLimiteDespesaAdm" displayName="tblLimiteDespesaAdm" ref="A1:H13" totalsRowShown="0">
  <autoFilter ref="A1:H13" xr:uid="{0543281A-3ED7-4133-9DB4-93D13029BD84}"/>
  <tableColumns count="8">
    <tableColumn id="1" xr3:uid="{6D4CDFC5-9F08-4492-8E65-0F18D75D6090}" name="data_base" dataDxfId="6"/>
    <tableColumn id="2" xr3:uid="{0709F871-F90C-408A-87A7-5496F740E083}" name="vl_limite" dataDxfId="5" dataCellStyle="Vírgula"/>
    <tableColumn id="3" xr3:uid="{A1918EBD-13BD-4441-BBEB-F36C1B03177C}" name="perc_limite" dataDxfId="4" dataCellStyle="Porcentagem"/>
    <tableColumn id="4" xr3:uid="{2946E59B-A4E1-40DD-AB75-D383D26D2997}" name="despesa" dataCellStyle="Vírgula">
      <calculatedColumnFormula>IFERROR(INDEX(tblManut[emp_atual],MATCH(tblLimiteDespesaAdm[[#This Row],[data_base]],tblManut[data_base],0)),0)</calculatedColumnFormula>
    </tableColumn>
    <tableColumn id="5" xr3:uid="{18D43244-F89A-4158-9FAC-E0BC5A38F9D0}" name="perc_despesa" dataDxfId="3" dataCellStyle="Porcentagem">
      <calculatedColumnFormula>IF(tblLimiteDespesaAdm[[#This Row],[despesa]]&gt;0,tblLimiteDespesaAdm[[#This Row],[despesa_acumulada]]/tblLimiteDespesaAdm[[#This Row],[vl_limite]],"")</calculatedColumnFormula>
    </tableColumn>
    <tableColumn id="6" xr3:uid="{2E5E33AF-0484-4D6A-A826-3FB83C6369E6}" name="despesa_acumulada" dataDxfId="2" dataCellStyle="Vírgula">
      <calculatedColumnFormula>IF(tblLimiteDespesaAdm[[#This Row],[mês]]=1,tblLimiteDespesaAdm[[#This Row],[despesa]],IF(tblLimiteDespesaAdm[[#This Row],[despesa]]&gt;0,SUMIFS(tblLimiteDespesaAdm[despesa],tblLimiteDespesaAdm[ano],tblLimiteDespesaAdm[[#This Row],[ano]],tblLimiteDespesaAdm[mês],"&lt;="&amp;tblLimiteDespesaAdm[[#This Row],[mês]]),0))</calculatedColumnFormula>
    </tableColumn>
    <tableColumn id="7" xr3:uid="{1AA0CCA2-1B0E-45FB-852A-6EF0C4052A75}" name="ano" dataDxfId="1">
      <calculatedColumnFormula>YEAR(tblLimiteDespesaAdm[[#This Row],[data_base]])</calculatedColumnFormula>
    </tableColumn>
    <tableColumn id="8" xr3:uid="{269BF1FC-FF1C-4B06-A2CD-776A556720E3}" name="mês" dataDxfId="0">
      <calculatedColumnFormula>MONTH(tblLimiteDespesaAdm[[#This Row],[data_base]])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33FCFA-91A2-482A-9602-68DCA254D003}" name="tblContribServ" displayName="tblContribServ" ref="A1:I13" totalsRowShown="0" dataDxfId="95" dataCellStyle="Vírgula">
  <autoFilter ref="A1:I13" xr:uid="{EF33FCFA-91A2-482A-9602-68DCA254D003}"/>
  <tableColumns count="9">
    <tableColumn id="1" xr3:uid="{389BB2BD-A01C-441F-ACE6-22234AA54FED}" name="data_base" dataDxfId="94"/>
    <tableColumn id="2" xr3:uid="{3F8E597C-2602-484D-A3DD-597ECB863CA2}" name="arrec_ant" dataDxfId="93" dataCellStyle="Vírgula"/>
    <tableColumn id="3" xr3:uid="{9239AA32-07A3-452D-B404-764C3211719C}" name="prev_mes" dataDxfId="92" dataCellStyle="Vírgula"/>
    <tableColumn id="4" xr3:uid="{F9B2DAD5-16C1-45AC-B228-2D6A089B1260}" name="arrec_mes" dataDxfId="91" dataCellStyle="Vírgula"/>
    <tableColumn id="8" xr3:uid="{5334985E-CF02-42C1-8324-ED059678B8BE}" name="ano" dataDxfId="90" dataCellStyle="Vírgula">
      <calculatedColumnFormula>YEAR(tblContribServ[[#This Row],[data_base]])</calculatedColumnFormula>
    </tableColumn>
    <tableColumn id="9" xr3:uid="{2E71ABF6-6CF2-494D-A274-AB9B19D94930}" name="mês" dataDxfId="89" dataCellStyle="Vírgula">
      <calculatedColumnFormula>MONTH(tblContribServ[[#This Row],[data_base]])</calculatedColumnFormula>
    </tableColumn>
    <tableColumn id="10" xr3:uid="{0103772D-0924-41AE-9612-60988FCCBDA4}" name="arrec_ant_acum" dataDxfId="88" dataCellStyle="Vírgula">
      <calculatedColumnFormula>IF(tblContribServ[[#This Row],[mês]]=1,tblContribServ[[#This Row],[arrec_ant]],IF(tblContribServ[[#This Row],[arrec_ant]]&gt;0,SUMIFS(tblContribServ[arrec_ant],tblContribServ[ano],tblContribServ[[#This Row],[ano]],tblContribServ[mês],"&lt;="&amp;tblContribServ[[#This Row],[mês]]),""))</calculatedColumnFormula>
    </tableColumn>
    <tableColumn id="11" xr3:uid="{71C67F1C-0B7A-4094-A061-F85A34DE9713}" name="prev_acum" dataDxfId="87" dataCellStyle="Vírgula">
      <calculatedColumnFormula>IF(tblContribServ[[#This Row],[mês]]=1,tblContribServ[[#This Row],[prev_mes]],IF(tblContribServ[[#This Row],[prev_mes]]&gt;0,SUMIFS(tblContribServ[prev_mes],tblContribServ[ano],tblContribServ[[#This Row],[ano]],tblContribServ[mês],"&lt;="&amp;tblContribServ[[#This Row],[mês]]),""))</calculatedColumnFormula>
    </tableColumn>
    <tableColumn id="12" xr3:uid="{FD39796A-4CB0-4ADF-8C14-FDB559139D4B}" name="arrec_acum" dataDxfId="86" dataCellStyle="Vírgula">
      <calculatedColumnFormula>IF(tblContribServ[[#This Row],[mês]]=1,tblContribServ[[#This Row],[arrec_mes]],IF(tblContribServ[[#This Row],[arrec_mes]]&gt;0,SUMIFS(tblContribServ[arrec_mes],tblContribServ[ano],tblContribServ[[#This Row],[ano]],tblContribServ[mês],"&lt;="&amp;tblContribServ[[#This Row],[mês]]),""))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59BB2C-B4BC-4BCF-BFC3-BFD3201527D0}" name="tblPatronalNormal" displayName="tblPatronalNormal" ref="A1:I13" totalsRowShown="0" dataDxfId="85" dataCellStyle="Vírgula">
  <autoFilter ref="A1:I13" xr:uid="{6C59BB2C-B4BC-4BCF-BFC3-BFD3201527D0}"/>
  <tableColumns count="9">
    <tableColumn id="1" xr3:uid="{6483307E-0A17-44AD-8FE4-CE9DB51031EA}" name="data_base" dataDxfId="84"/>
    <tableColumn id="2" xr3:uid="{EA390F65-B893-4A68-8FCD-3C587DC7DD26}" name="arrec_ant" dataDxfId="83" dataCellStyle="Vírgula"/>
    <tableColumn id="3" xr3:uid="{B2D2F057-EC4D-42A1-AE1B-CC7DB4FD0141}" name="prev_mes" dataDxfId="82" dataCellStyle="Vírgula"/>
    <tableColumn id="4" xr3:uid="{86BCE1AC-A3C1-4BEC-93A1-4BEE2862E3CC}" name="arrec_mes" dataDxfId="81" dataCellStyle="Vírgula"/>
    <tableColumn id="13" xr3:uid="{0775235D-0EEC-4FB4-A5F5-83EA0BC13768}" name="ano" dataDxfId="80" dataCellStyle="Vírgula">
      <calculatedColumnFormula>YEAR(tblPatronalNormal[[#This Row],[data_base]])</calculatedColumnFormula>
    </tableColumn>
    <tableColumn id="14" xr3:uid="{836D9205-B7F7-42BF-A552-384B2D6CE52B}" name="mês" dataDxfId="79" dataCellStyle="Vírgula">
      <calculatedColumnFormula>MONTH(tblPatronalNormal[[#This Row],[data_base]])</calculatedColumnFormula>
    </tableColumn>
    <tableColumn id="15" xr3:uid="{427DBEE9-4E5D-40D5-B4CA-CDC5E4626013}" name="arrec_ant_acum" dataDxfId="78" dataCellStyle="Vírgula">
      <calculatedColumnFormula>IF(tblPatronalNormal[[#This Row],[mês]]=1,tblPatronalNormal[[#This Row],[arrec_ant]],IF(tblPatronalNormal[[#This Row],[arrec_ant]]&gt;0,SUMIFS(tblPatronalNormal[arrec_ant],tblPatronalNormal[ano],tblPatronalNormal[[#This Row],[ano]],tblPatronalNormal[mês],"&lt;="&amp;tblPatronalNormal[[#This Row],[mês]]),""))</calculatedColumnFormula>
    </tableColumn>
    <tableColumn id="16" xr3:uid="{51214273-266E-4E1F-BCFB-BFE0D6169D36}" name="prev_acum" dataDxfId="77" dataCellStyle="Vírgula">
      <calculatedColumnFormula>IF(tblPatronalNormal[[#This Row],[mês]]=1,tblPatronalNormal[[#This Row],[prev_mes]],IF(tblPatronalNormal[[#This Row],[prev_mes]]&gt;0,SUMIFS(tblPatronalNormal[prev_mes],tblPatronalNormal[ano],tblPatronalNormal[[#This Row],[ano]],tblPatronalNormal[mês],"&lt;="&amp;tblPatronalNormal[[#This Row],[mês]]),""))</calculatedColumnFormula>
    </tableColumn>
    <tableColumn id="17" xr3:uid="{1C9BFC40-AD00-4DEA-A688-CC3BCE4434BE}" name="arrec_acum" dataDxfId="76" dataCellStyle="Vírgula">
      <calculatedColumnFormula>IF(tblPatronalNormal[[#This Row],[mês]]=1,tblPatronalNormal[[#This Row],[arrec_mes]],IF(tblPatronalNormal[[#This Row],[arrec_mes]]&gt;0,SUMIFS(tblPatronalNormal[arrec_mes],tblPatronalNormal[ano],tblPatronalNormal[[#This Row],[ano]],tblPatronalNormal[mês],"&lt;="&amp;tblPatronalNormal[[#This Row],[mês]]),""))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A686F5-A245-4E0D-838F-682358041697}" name="tblPatronalSuplementar" displayName="tblPatronalSuplementar" ref="A1:I13" totalsRowShown="0" dataDxfId="75" dataCellStyle="Vírgula">
  <autoFilter ref="A1:I13" xr:uid="{A6A686F5-A245-4E0D-838F-682358041697}"/>
  <tableColumns count="9">
    <tableColumn id="1" xr3:uid="{DC6D52CB-97D1-4B1D-AB4E-35E2D5C86715}" name="data_base" dataDxfId="74"/>
    <tableColumn id="2" xr3:uid="{CBF6C0CC-E276-427E-B560-362DB1D14E22}" name="arrec_ant" dataDxfId="73" dataCellStyle="Vírgula"/>
    <tableColumn id="3" xr3:uid="{3254C00E-024B-4615-89AD-0710E8376CDC}" name="prev_mes" dataDxfId="72" dataCellStyle="Vírgula"/>
    <tableColumn id="4" xr3:uid="{27322615-AA9B-4537-BAC2-037BD191693A}" name="arrec_mes" dataDxfId="71" dataCellStyle="Vírgula"/>
    <tableColumn id="6" xr3:uid="{F856C323-3D5F-43B4-BE9E-28B186DBD90D}" name="ano" dataDxfId="70" dataCellStyle="Vírgula">
      <calculatedColumnFormula>YEAR(tblPatronalSuplementar[[#This Row],[data_base]])</calculatedColumnFormula>
    </tableColumn>
    <tableColumn id="7" xr3:uid="{332D974F-0830-49F7-B851-75694ECB28B4}" name="mês" dataDxfId="69" dataCellStyle="Vírgula">
      <calculatedColumnFormula>MONTH(tblPatronalSuplementar[[#This Row],[data_base]])</calculatedColumnFormula>
    </tableColumn>
    <tableColumn id="5" xr3:uid="{DFD67D26-1AF8-41C6-907B-505F663DA81B}" name="arrec_ant_acum" dataDxfId="68" dataCellStyle="Vírgula">
      <calculatedColumnFormula>IF(tblPatronalSuplementar[[#This Row],[mês]]=1,tblPatronalSuplementar[[#This Row],[arrec_ant]],IF(tblPatronalSuplementar[[#This Row],[arrec_ant]]&gt;0,SUMIFS(tblPatronalSuplementar[arrec_ant],tblPatronalSuplementar[ano],tblPatronalSuplementar[[#This Row],[ano]],tblPatronalSuplementar[mês],"&lt;="&amp;tblPatronalSuplementar[[#This Row],[mês]]),""))</calculatedColumnFormula>
    </tableColumn>
    <tableColumn id="8" xr3:uid="{AE3EBDBE-81D0-4956-AA6D-F90F81D1A2E7}" name="prev_acum" dataDxfId="67" dataCellStyle="Vírgula">
      <calculatedColumnFormula>IF(tblPatronalSuplementar[[#This Row],[mês]]=1,tblPatronalSuplementar[[#This Row],[prev_mes]],IF(tblPatronalSuplementar[[#This Row],[prev_mes]]&gt;0,SUMIFS(tblPatronalSuplementar[prev_mes],tblPatronalSuplementar[ano],tblPatronalSuplementar[[#This Row],[ano]],tblPatronalSuplementar[mês],"&lt;="&amp;tblPatronalSuplementar[[#This Row],[mês]]),""))</calculatedColumnFormula>
    </tableColumn>
    <tableColumn id="9" xr3:uid="{98C5461B-14F4-40AA-94DA-B30623219CA7}" name="arrec_acum" dataDxfId="66" dataCellStyle="Vírgula">
      <calculatedColumnFormula>IF(tblPatronalSuplementar[[#This Row],[mês]]=1,tblPatronalSuplementar[[#This Row],[arrec_mes]],IF(tblPatronalSuplementar[[#This Row],[arrec_mes]]&gt;0,SUMIFS(tblPatronalSuplementar[arrec_mes],tblPatronalSuplementar[ano],tblPatronalSuplementar[[#This Row],[ano]],tblPatronalSuplementar[mês],"&lt;="&amp;tblPatronalSuplementar[[#This Row],[mês]]),""))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2438958-DDEF-48F3-9D59-D07F99A6C088}" name="tblCaixaProjetado" displayName="tblCaixaProjetado" ref="A1:H14" totalsRowShown="0" dataDxfId="65" dataCellStyle="Vírgula">
  <autoFilter ref="A1:H14" xr:uid="{62438958-DDEF-48F3-9D59-D07F99A6C088}"/>
  <tableColumns count="8">
    <tableColumn id="1" xr3:uid="{D15EA1B0-957A-4995-9AF5-ABA64D13CF95}" name="data_base" dataDxfId="64"/>
    <tableColumn id="2" xr3:uid="{4EC9B576-E9F7-47B9-9AC2-2188C5128567}" name="projetado" dataDxfId="63" dataCellStyle="Vírgula">
      <calculatedColumnFormula>IF(tblCaixaProjetado[[#This Row],[atual]]&gt;0,C1+IF(tblCaixaProjetado[[#This Row],[arrec]]&gt;0,tblCaixaProjetado[[#This Row],[arrec]],tblCaixaProjetado[[#This Row],[prev_receita]])-IF(tblCaixaProjetado[[#This Row],[empenho]]&gt;0,tblCaixaProjetado[[#This Row],[empenho]],tblCaixaProjetado[[#This Row],[prev_desp]]),"")</calculatedColumnFormula>
    </tableColumn>
    <tableColumn id="3" xr3:uid="{25FF9B8B-F7D0-4C86-A075-AF8B6F218CA5}" name="atual" dataDxfId="62" dataCellStyle="Vírgula"/>
    <tableColumn id="4" xr3:uid="{0876A37F-11F2-4E2E-A247-E009B5F3C67A}" name="prev_receita" dataDxfId="61" dataCellStyle="Vírgula">
      <calculatedColumnFormula>IFERROR(INDEX(tblReceitaTotal[prev_mes],MATCH(tblCaixaProjetado[[#This Row],[data_base]],tblReceitaTotal[data_base],0)),0)</calculatedColumnFormula>
    </tableColumn>
    <tableColumn id="5" xr3:uid="{480CC5D5-9D24-4D2E-B88C-66468C505A23}" name="prev_desp" dataDxfId="60" dataCellStyle="Vírgula"/>
    <tableColumn id="6" xr3:uid="{997357E3-02C7-4871-BF42-D585332C0A96}" name="arrec" dataDxfId="59" dataCellStyle="Vírgula">
      <calculatedColumnFormula>IFERROR(INDEX(tblReceitaTotal[arrec_mes],MATCH(tblCaixaProjetado[[#This Row],[data_base]],tblReceitaTotal[data_base],0)),0)</calculatedColumnFormula>
    </tableColumn>
    <tableColumn id="7" xr3:uid="{DB84A22D-E9FC-4BF6-AA94-E441F56642F5}" name="empenho" dataDxfId="58" dataCellStyle="Vírgula">
      <calculatedColumnFormula>IFERROR(INDEX(tblDespesaTotal[emp_atual],MATCH(tblCaixaProjetado[[#This Row],[data_base]],tblDespesaTotal[data_base],0)),"")</calculatedColumnFormula>
    </tableColumn>
    <tableColumn id="8" xr3:uid="{CF436064-1BEB-474F-953A-B573D5F00CDE}" name="ano" dataDxfId="57" dataCellStyle="Vírgula">
      <calculatedColumnFormula>YEAR(tblCaixaProjetado[[#This Row],[data_base]])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9677693-8A1F-4918-93BB-3B512D3116CD}" name="tblGanhoPerdasRend" displayName="tblGanhoPerdasRend" ref="A1:M13" totalsRowShown="0">
  <autoFilter ref="A1:M13" xr:uid="{89677693-8A1F-4918-93BB-3B512D3116CD}"/>
  <tableColumns count="13">
    <tableColumn id="1" xr3:uid="{F45F80AA-621F-432A-996E-B3D46692C805}" name="data_base" dataDxfId="56"/>
    <tableColumn id="2" xr3:uid="{39ADAC23-3022-4410-B6D0-EF65281F777D}" name="arrec_ant" dataCellStyle="Vírgula"/>
    <tableColumn id="3" xr3:uid="{E1C5176D-5E1D-4406-9AEB-02851F2E480A}" name="prev_mes" dataCellStyle="Vírgula"/>
    <tableColumn id="4" xr3:uid="{0BEEA6EC-978E-44DD-BBD8-8D307006D5FD}" name="ganho_mes" dataCellStyle="Vírgula"/>
    <tableColumn id="14" xr3:uid="{C59E0549-E620-42CA-9FCB-1E67130CB397}" name="perda_mes" dataDxfId="55" dataCellStyle="Vírgula"/>
    <tableColumn id="9" xr3:uid="{E4D9294C-2A36-4443-9DD8-017E7197FB3F}" name="ano" dataDxfId="54" dataCellStyle="Vírgula">
      <calculatedColumnFormula>YEAR(tblGanhoPerdasRend[[#This Row],[data_base]])</calculatedColumnFormula>
    </tableColumn>
    <tableColumn id="8" xr3:uid="{E3B42A13-10B1-4DF9-A1FB-A1B247B8DA77}" name="mês" dataDxfId="53" dataCellStyle="Vírgula">
      <calculatedColumnFormula>MONTH(tblGanhoPerdasRend[[#This Row],[data_base]])</calculatedColumnFormula>
    </tableColumn>
    <tableColumn id="5" xr3:uid="{4688B322-FB08-4FF0-84DE-9040395F029C}" name="arrec_ant_acum" dataDxfId="52" dataCellStyle="Vírgula">
      <calculatedColumnFormula>IF(tblGanhoPerdasRend[[#This Row],[mês]]=1,tblGanhoPerdasRend[[#This Row],[arrec_ant]],IF(tblGanhoPerdasRend[[#This Row],[arrec_ant]]&lt;&gt;0,SUMIFS(tblGanhoPerdasRend[arrec_ant],tblGanhoPerdasRend[ano],tblGanhoPerdasRend[[#This Row],[ano]],tblGanhoPerdasRend[mês],"&lt;="&amp;tblGanhoPerdasRend[[#This Row],[mês]]),""))</calculatedColumnFormula>
    </tableColumn>
    <tableColumn id="6" xr3:uid="{BE61AD17-B196-41D4-B1A3-D84071980B51}" name="prev_acum" dataDxfId="51" dataCellStyle="Vírgula">
      <calculatedColumnFormula>IF(tblGanhoPerdasRend[[#This Row],[mês]]=1,tblGanhoPerdasRend[[#This Row],[prev_mes]],IF(tblGanhoPerdasRend[[#This Row],[prev_mes]]&gt;0,SUMIFS(tblGanhoPerdasRend[prev_mes],tblGanhoPerdasRend[ano],tblGanhoPerdasRend[[#This Row],[ano]],tblGanhoPerdasRend[mês],"&lt;="&amp;tblGanhoPerdasRend[[#This Row],[mês]]),""))</calculatedColumnFormula>
    </tableColumn>
    <tableColumn id="7" xr3:uid="{7DC6A901-8FBF-4598-8472-45DB40596AD8}" name="ganho_acum" dataDxfId="50" dataCellStyle="Vírgula">
      <calculatedColumnFormula>IF(tblGanhoPerdasRend[[#This Row],[mês]]=1,tblGanhoPerdasRend[[#This Row],[ganho_mes]],IF(tblGanhoPerdasRend[[#This Row],[ganho_mes]]&gt;0,SUMIFS(tblGanhoPerdasRend[ganho_mes],tblGanhoPerdasRend[ano],tblGanhoPerdasRend[[#This Row],[ano]],tblGanhoPerdasRend[mês],"&lt;="&amp;tblGanhoPerdasRend[[#This Row],[mês]]),""))</calculatedColumnFormula>
    </tableColumn>
    <tableColumn id="16" xr3:uid="{58AD9659-A352-4B87-B78E-EA021391D641}" name="perda_acum" dataDxfId="49" dataCellStyle="Vírgula">
      <calculatedColumnFormula>IF(tblGanhoPerdasRend[[#This Row],[mês]]=1,tblGanhoPerdasRend[[#This Row],[perda_mes]],IF(tblGanhoPerdasRend[[#This Row],[perda_mes]]&lt;0,SUMIFS(tblGanhoPerdasRend[perda_mes],tblGanhoPerdasRend[ano],tblGanhoPerdasRend[[#This Row],[ano]],tblGanhoPerdasRend[mês],"&lt;="&amp;tblGanhoPerdasRend[[#This Row],[mês]]),""))</calculatedColumnFormula>
    </tableColumn>
    <tableColumn id="17" xr3:uid="{C5793BF4-1103-48B0-8F01-E50827DF2260}" name="resultado_mes" dataDxfId="48" dataCellStyle="Vírgula">
      <calculatedColumnFormula>tblGanhoPerdasRend[[#This Row],[ganho_mes]]-tblGanhoPerdasRend[[#This Row],[perda_mes]]</calculatedColumnFormula>
    </tableColumn>
    <tableColumn id="18" xr3:uid="{88BBA923-F7C0-46C4-BA33-F827591EB385}" name="resultado_acum" dataDxfId="47" dataCellStyle="Vírgula">
      <calculatedColumnFormula>IF(tblGanhoPerdasRend[[#This Row],[mês]]=1,tblGanhoPerdasRend[[#This Row],[resultado_mes]],IF(tblGanhoPerdasRend[[#This Row],[resultado_mes]]&lt;&gt;0,SUMIFS(tblGanhoPerdasRend[resultado_mes],tblGanhoPerdasRend[ano],tblGanhoPerdasRend[[#This Row],[ano]],tblGanhoPerdasRend[mês],"&lt;="&amp;tblGanhoPerdasRend[[#This Row],[mês]]),""))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C9B7576-1ACD-4149-A1A6-FFD2992DBA90}" name="tblDespesaTotal" displayName="tblDespesaTotal" ref="A1:G13" totalsRowShown="0" dataDxfId="46" dataCellStyle="Vírgula">
  <autoFilter ref="A1:G13" xr:uid="{CC9B7576-1ACD-4149-A1A6-FFD2992DBA90}"/>
  <tableColumns count="7">
    <tableColumn id="1" xr3:uid="{0AA46958-42DE-4FCE-A448-A2A79C8FC03E}" name="data_base" dataDxfId="45"/>
    <tableColumn id="2" xr3:uid="{A289F61C-C1ED-4529-BB0A-B0E226A166C8}" name="emp_ant" dataDxfId="44" dataCellStyle="Vírgula"/>
    <tableColumn id="3" xr3:uid="{BBE4FB4D-02AC-46C5-A91F-65131586A238}" name="emp_atual" dataDxfId="43" dataCellStyle="Vírgula"/>
    <tableColumn id="4" xr3:uid="{EF5EF07E-2204-4F8A-B0A8-3980CA1EF1ED}" name="emp_ant_acum" dataDxfId="42" dataCellStyle="Vírgula">
      <calculatedColumnFormula>IF(tblDespesaTotal[[#This Row],[mês]]=1,tblDespesaTotal[[#This Row],[emp_ant]],IF(tblDespesaTotal[[#This Row],[emp_ant]]&gt;0,SUMIFS(tblDespesaTotal[emp_ant],tblDespesaTotal[ano],tblDespesaTotal[[#This Row],[ano]],tblDespesaTotal[mês],"&lt;="&amp;tblDespesaTotal[[#This Row],[mês]]),""))</calculatedColumnFormula>
    </tableColumn>
    <tableColumn id="5" xr3:uid="{E2979B7D-A626-4B60-A3B4-DC7141AED286}" name="emp_atual_acum" dataDxfId="41" dataCellStyle="Vírgula">
      <calculatedColumnFormula>IF(tblDespesaTotal[[#This Row],[mês]]=1,tblDespesaTotal[[#This Row],[emp_atual]],IF(tblDespesaTotal[[#This Row],[emp_atual]]&gt;0,SUMIFS(tblDespesaTotal[emp_atual],tblDespesaTotal[ano],tblDespesaTotal[[#This Row],[ano]],tblDespesaTotal[mês],"&lt;="&amp;tblDespesaTotal[[#This Row],[mês]]),""))</calculatedColumnFormula>
    </tableColumn>
    <tableColumn id="6" xr3:uid="{23E63A5A-AC10-43E7-B981-F3983F28BFCC}" name="ano" dataDxfId="40" dataCellStyle="Vírgula">
      <calculatedColumnFormula>YEAR(tblDespesaTotal[[#This Row],[data_base]])</calculatedColumnFormula>
    </tableColumn>
    <tableColumn id="7" xr3:uid="{87CC83E2-F077-40D3-A658-D1B226E8887E}" name="mês" dataDxfId="39" dataCellStyle="Vírgula">
      <calculatedColumnFormula>MONTH(tblDespesaTotal[[#This Row],[data_base]])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4588A96-DD0C-4768-AE14-5DCDC07B5CC8}" name="tblInativPensRPPS" displayName="tblInativPensRPPS" ref="A1:G13" totalsRowShown="0">
  <autoFilter ref="A1:G13" xr:uid="{5E0DBBBF-7BB7-431E-B856-635D556045FF}"/>
  <tableColumns count="7">
    <tableColumn id="1" xr3:uid="{50BD824F-E008-4968-B64E-876C5AFE30A0}" name="data_base" dataDxfId="38"/>
    <tableColumn id="2" xr3:uid="{5C33428C-EEF9-40C9-AC60-7693F9F6365D}" name="emp_ant" dataCellStyle="Vírgula"/>
    <tableColumn id="3" xr3:uid="{7090B399-8360-47A1-B4BF-3FA486DEA502}" name="emp_atual" dataCellStyle="Vírgula"/>
    <tableColumn id="4" xr3:uid="{385003E7-583B-46CB-86E2-086D3EC3D494}" name="emp_ant_acum" dataDxfId="37" dataCellStyle="Vírgula">
      <calculatedColumnFormula>IF(tblInativPensRPPS[[#This Row],[mês]]=1,tblInativPensRPPS[[#This Row],[emp_ant]],IF(tblInativPensRPPS[[#This Row],[emp_ant]]&gt;0,SUMIFS(tblInativPensRPPS[emp_ant],tblInativPensRPPS[ano],tblInativPensRPPS[[#This Row],[ano]],tblInativPensRPPS[mês],"&lt;="&amp;tblInativPensRPPS[[#This Row],[mês]]),""))</calculatedColumnFormula>
    </tableColumn>
    <tableColumn id="5" xr3:uid="{8D0048B8-05F7-4866-92AF-FF357891878C}" name="emp_atual_acum" dataDxfId="36" dataCellStyle="Vírgula">
      <calculatedColumnFormula>IF(tblInativPensRPPS[[#This Row],[mês]]=1,tblInativPensRPPS[[#This Row],[emp_atual]],IF(tblInativPensRPPS[[#This Row],[emp_atual]]&gt;0,SUMIFS(tblInativPensRPPS[emp_atual],tblInativPensRPPS[ano],tblInativPensRPPS[[#This Row],[ano]],tblInativPensRPPS[mês],"&lt;="&amp;tblInativPensRPPS[[#This Row],[mês]]),""))</calculatedColumnFormula>
    </tableColumn>
    <tableColumn id="6" xr3:uid="{34E9F0E8-2C76-490E-8ECF-9B15227B5E0D}" name="ano" dataDxfId="35" dataCellStyle="Vírgula">
      <calculatedColumnFormula>YEAR(tblInativPensRPPS[[#This Row],[data_base]])</calculatedColumnFormula>
    </tableColumn>
    <tableColumn id="7" xr3:uid="{ADD5A736-4686-44F6-B91C-9EBB01482516}" name="mês" dataDxfId="34" dataCellStyle="Vírgula">
      <calculatedColumnFormula>MONTH(tblInativPensRPPS[[#This Row],[data_base]])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5C80593-6C85-4994-A43A-9D22B568A9EF}" name="tblInativPensTesouro" displayName="tblInativPensTesouro" ref="A1:G13" totalsRowShown="0">
  <autoFilter ref="A1:G13" xr:uid="{75C80593-6C85-4994-A43A-9D22B568A9EF}"/>
  <tableColumns count="7">
    <tableColumn id="1" xr3:uid="{86931E5D-B1CC-409C-9440-8D53BA778904}" name="data_base" dataDxfId="33"/>
    <tableColumn id="2" xr3:uid="{E41F929D-F3AD-405A-83B7-DC1D8DA89B5F}" name="emp_ant" dataCellStyle="Vírgula"/>
    <tableColumn id="3" xr3:uid="{284434C8-4248-4DBF-B384-4EAF781818FE}" name="emp_atual" dataCellStyle="Vírgula"/>
    <tableColumn id="4" xr3:uid="{88152CBB-C237-481A-A659-821A962ABBB5}" name="emp_ant_acum" dataDxfId="32" dataCellStyle="Vírgula">
      <calculatedColumnFormula>IF(tblInativPensTesouro[[#This Row],[mês]]=1,tblInativPensTesouro[[#This Row],[emp_ant]],IF(tblInativPensTesouro[[#This Row],[emp_ant]]&gt;0,SUMIFS(tblInativPensTesouro[emp_ant],tblInativPensTesouro[ano],tblInativPensTesouro[[#This Row],[ano]],tblInativPensTesouro[mês],"&lt;="&amp;tblInativPensTesouro[[#This Row],[mês]]),""))</calculatedColumnFormula>
    </tableColumn>
    <tableColumn id="5" xr3:uid="{B5C84D42-7A71-44E5-8B24-30EC4B92E4C9}" name="emp_atual_acum" dataDxfId="31" dataCellStyle="Vírgula">
      <calculatedColumnFormula>IF(tblInativPensTesouro[[#This Row],[mês]]=1,tblInativPensTesouro[[#This Row],[emp_atual]],IF(tblInativPensTesouro[[#This Row],[emp_atual]]&gt;0,SUMIFS(tblInativPensTesouro[emp_atual],tblInativPensTesouro[ano],tblInativPensTesouro[[#This Row],[ano]],tblInativPensTesouro[mês],"&lt;="&amp;tblInativPensTesouro[[#This Row],[mês]]),""))</calculatedColumnFormula>
    </tableColumn>
    <tableColumn id="6" xr3:uid="{C53BB4F6-4B24-41B3-900C-21C05F14638B}" name="ano" dataDxfId="30" dataCellStyle="Vírgula">
      <calculatedColumnFormula>YEAR(tblInativPensTesouro[[#This Row],[data_base]])</calculatedColumnFormula>
    </tableColumn>
    <tableColumn id="7" xr3:uid="{19C588B4-C043-4950-AA57-2C7BB2AA17A1}" name="mês" dataDxfId="29" dataCellStyle="Vírgula">
      <calculatedColumnFormula>MONTH(tblInativPensTesouro[[#This Row],[data_base]])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/>
  </sheetViews>
  <sheetFormatPr defaultRowHeight="15" x14ac:dyDescent="0.25"/>
  <cols>
    <col min="1" max="1" width="12.28515625" bestFit="1" customWidth="1"/>
    <col min="2" max="3" width="13.28515625" bestFit="1" customWidth="1"/>
    <col min="4" max="4" width="12.42578125" bestFit="1" customWidth="1"/>
    <col min="5" max="5" width="6.5703125" bestFit="1" customWidth="1"/>
    <col min="6" max="6" width="7" bestFit="1" customWidth="1"/>
    <col min="7" max="7" width="17.42578125" bestFit="1" customWidth="1"/>
    <col min="8" max="8" width="13.28515625" bestFit="1" customWidth="1"/>
    <col min="9" max="9" width="13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4</v>
      </c>
      <c r="H1" t="s">
        <v>5</v>
      </c>
      <c r="I1" t="s">
        <v>6</v>
      </c>
    </row>
    <row r="2" spans="1:9" x14ac:dyDescent="0.25">
      <c r="A2" s="1">
        <v>44592</v>
      </c>
      <c r="B2" s="2">
        <v>8505.31</v>
      </c>
      <c r="C2" s="2">
        <v>258095.28</v>
      </c>
      <c r="D2" s="2">
        <v>219212.79999999999</v>
      </c>
      <c r="E2" s="3">
        <f>YEAR(tblReceitaTotal[[#This Row],[data_base]])</f>
        <v>2022</v>
      </c>
      <c r="F2" s="3">
        <f>MONTH(tblReceitaTotal[[#This Row],[data_base]])</f>
        <v>1</v>
      </c>
      <c r="G2" s="2">
        <f>IF(tblReceitaTotal[[#This Row],[mês]]=1,tblReceitaTotal[[#This Row],[arrec_ant]],IF(tblReceitaTotal[[#This Row],[arrec_ant]]&gt;0,SUMIFS(tblReceitaTotal[arrec_ant],tblReceitaTotal[ano],tblReceitaTotal[[#This Row],[ano]],tblReceitaTotal[mês],"&lt;="&amp;tblReceitaTotal[[#This Row],[mês]]),""))</f>
        <v>8505.31</v>
      </c>
      <c r="H2" s="2">
        <f>IF(tblReceitaTotal[[#This Row],[mês]]=1,tblReceitaTotal[[#This Row],[prev_mes]],IF(tblReceitaTotal[[#This Row],[prev_mes]]&gt;0,SUMIFS(tblReceitaTotal[prev_mes],tblReceitaTotal[ano],tblReceitaTotal[[#This Row],[ano]],tblReceitaTotal[mês],"&lt;="&amp;tblReceitaTotal[[#This Row],[mês]]),""))</f>
        <v>258095.28</v>
      </c>
      <c r="I2" s="2">
        <f>IF(tblReceitaTotal[[#This Row],[mês]]=1,tblReceitaTotal[[#This Row],[arrec_mes]],IF(tblReceitaTotal[[#This Row],[arrec_mes]]&gt;0,SUMIFS(tblReceitaTotal[arrec_mes],tblReceitaTotal[ano],tblReceitaTotal[[#This Row],[ano]],tblReceitaTotal[mês],"&lt;="&amp;tblReceitaTotal[[#This Row],[mês]]),""))</f>
        <v>219212.79999999999</v>
      </c>
    </row>
    <row r="3" spans="1:9" x14ac:dyDescent="0.25">
      <c r="A3" s="1">
        <v>44620</v>
      </c>
      <c r="B3" s="2">
        <v>228547.28</v>
      </c>
      <c r="C3" s="2">
        <v>468348.71</v>
      </c>
      <c r="D3" s="2">
        <v>599919.07000000007</v>
      </c>
      <c r="E3" s="3">
        <f>YEAR(tblReceitaTotal[[#This Row],[data_base]])</f>
        <v>2022</v>
      </c>
      <c r="F3" s="3">
        <f>MONTH(tblReceitaTotal[[#This Row],[data_base]])</f>
        <v>2</v>
      </c>
      <c r="G3" s="2">
        <f>IF(tblReceitaTotal[[#This Row],[mês]]=1,tblReceitaTotal[[#This Row],[arrec_ant]],IF(tblReceitaTotal[[#This Row],[arrec_ant]]&gt;0,SUMIFS(tblReceitaTotal[arrec_ant],tblReceitaTotal[ano],tblReceitaTotal[[#This Row],[ano]],tblReceitaTotal[mês],"&lt;="&amp;tblReceitaTotal[[#This Row],[mês]]),""))</f>
        <v>237052.59</v>
      </c>
      <c r="H3" s="2">
        <f>IF(tblReceitaTotal[[#This Row],[mês]]=1,tblReceitaTotal[[#This Row],[prev_mes]],IF(tblReceitaTotal[[#This Row],[prev_mes]]&gt;0,SUMIFS(tblReceitaTotal[prev_mes],tblReceitaTotal[ano],tblReceitaTotal[[#This Row],[ano]],tblReceitaTotal[mês],"&lt;="&amp;tblReceitaTotal[[#This Row],[mês]]),""))</f>
        <v>726443.99</v>
      </c>
      <c r="I3" s="2">
        <f>IF(tblReceitaTotal[[#This Row],[mês]]=1,tblReceitaTotal[[#This Row],[arrec_mes]],IF(tblReceitaTotal[[#This Row],[arrec_mes]]&gt;0,SUMIFS(tblReceitaTotal[arrec_mes],tblReceitaTotal[ano],tblReceitaTotal[[#This Row],[ano]],tblReceitaTotal[mês],"&lt;="&amp;tblReceitaTotal[[#This Row],[mês]]),""))</f>
        <v>819131.87000000011</v>
      </c>
    </row>
    <row r="4" spans="1:9" x14ac:dyDescent="0.25">
      <c r="A4" s="1">
        <v>44651</v>
      </c>
      <c r="B4" s="2">
        <v>200905.89</v>
      </c>
      <c r="C4" s="2">
        <v>350130.26</v>
      </c>
      <c r="D4" s="2">
        <v>803574.46000000008</v>
      </c>
      <c r="E4" s="3">
        <f>YEAR(tblReceitaTotal[[#This Row],[data_base]])</f>
        <v>2022</v>
      </c>
      <c r="F4" s="3">
        <f>MONTH(tblReceitaTotal[[#This Row],[data_base]])</f>
        <v>3</v>
      </c>
      <c r="G4" s="2">
        <f>IF(tblReceitaTotal[[#This Row],[mês]]=1,tblReceitaTotal[[#This Row],[arrec_ant]],IF(tblReceitaTotal[[#This Row],[arrec_ant]]&gt;0,SUMIFS(tblReceitaTotal[arrec_ant],tblReceitaTotal[ano],tblReceitaTotal[[#This Row],[ano]],tblReceitaTotal[mês],"&lt;="&amp;tblReceitaTotal[[#This Row],[mês]]),""))</f>
        <v>437958.48</v>
      </c>
      <c r="H4" s="2">
        <f>IF(tblReceitaTotal[[#This Row],[mês]]=1,tblReceitaTotal[[#This Row],[prev_mes]],IF(tblReceitaTotal[[#This Row],[prev_mes]]&gt;0,SUMIFS(tblReceitaTotal[prev_mes],tblReceitaTotal[ano],tblReceitaTotal[[#This Row],[ano]],tblReceitaTotal[mês],"&lt;="&amp;tblReceitaTotal[[#This Row],[mês]]),""))</f>
        <v>1076574.25</v>
      </c>
      <c r="I4" s="2">
        <f>IF(tblReceitaTotal[[#This Row],[mês]]=1,tblReceitaTotal[[#This Row],[arrec_mes]],IF(tblReceitaTotal[[#This Row],[arrec_mes]]&gt;0,SUMIFS(tblReceitaTotal[arrec_mes],tblReceitaTotal[ano],tblReceitaTotal[[#This Row],[ano]],tblReceitaTotal[mês],"&lt;="&amp;tblReceitaTotal[[#This Row],[mês]]),""))</f>
        <v>1622706.33</v>
      </c>
    </row>
    <row r="5" spans="1:9" x14ac:dyDescent="0.25">
      <c r="A5" s="1">
        <v>44681</v>
      </c>
      <c r="B5" s="2">
        <v>746199.68</v>
      </c>
      <c r="C5" s="2">
        <v>404726.83</v>
      </c>
      <c r="D5" s="2">
        <v>596050.01</v>
      </c>
      <c r="E5" s="3">
        <f>YEAR(tblReceitaTotal[[#This Row],[data_base]])</f>
        <v>2022</v>
      </c>
      <c r="F5" s="3">
        <f>MONTH(tblReceitaTotal[[#This Row],[data_base]])</f>
        <v>4</v>
      </c>
      <c r="G5" s="2">
        <f>IF(tblReceitaTotal[[#This Row],[mês]]=1,tblReceitaTotal[[#This Row],[arrec_ant]],IF(tblReceitaTotal[[#This Row],[arrec_ant]]&gt;0,SUMIFS(tblReceitaTotal[arrec_ant],tblReceitaTotal[ano],tblReceitaTotal[[#This Row],[ano]],tblReceitaTotal[mês],"&lt;="&amp;tblReceitaTotal[[#This Row],[mês]]),""))</f>
        <v>1184158.1600000001</v>
      </c>
      <c r="H5" s="2">
        <f>IF(tblReceitaTotal[[#This Row],[mês]]=1,tblReceitaTotal[[#This Row],[prev_mes]],IF(tblReceitaTotal[[#This Row],[prev_mes]]&gt;0,SUMIFS(tblReceitaTotal[prev_mes],tblReceitaTotal[ano],tblReceitaTotal[[#This Row],[ano]],tblReceitaTotal[mês],"&lt;="&amp;tblReceitaTotal[[#This Row],[mês]]),""))</f>
        <v>1481301.08</v>
      </c>
      <c r="I5" s="2">
        <f>IF(tblReceitaTotal[[#This Row],[mês]]=1,tblReceitaTotal[[#This Row],[arrec_mes]],IF(tblReceitaTotal[[#This Row],[arrec_mes]]&gt;0,SUMIFS(tblReceitaTotal[arrec_mes],tblReceitaTotal[ano],tblReceitaTotal[[#This Row],[ano]],tblReceitaTotal[mês],"&lt;="&amp;tblReceitaTotal[[#This Row],[mês]]),""))</f>
        <v>2218756.34</v>
      </c>
    </row>
    <row r="6" spans="1:9" x14ac:dyDescent="0.25">
      <c r="A6" s="1">
        <v>44712</v>
      </c>
      <c r="B6" s="2">
        <v>421192.76</v>
      </c>
      <c r="C6" s="2">
        <v>455578.17</v>
      </c>
      <c r="D6" s="2">
        <v>597682.47000000009</v>
      </c>
      <c r="E6" s="3">
        <f>YEAR(tblReceitaTotal[[#This Row],[data_base]])</f>
        <v>2022</v>
      </c>
      <c r="F6" s="3">
        <f>MONTH(tblReceitaTotal[[#This Row],[data_base]])</f>
        <v>5</v>
      </c>
      <c r="G6" s="2">
        <f>IF(tblReceitaTotal[[#This Row],[mês]]=1,tblReceitaTotal[[#This Row],[arrec_ant]],IF(tblReceitaTotal[[#This Row],[arrec_ant]]&gt;0,SUMIFS(tblReceitaTotal[arrec_ant],tblReceitaTotal[ano],tblReceitaTotal[[#This Row],[ano]],tblReceitaTotal[mês],"&lt;="&amp;tblReceitaTotal[[#This Row],[mês]]),""))</f>
        <v>1605350.9200000002</v>
      </c>
      <c r="H6" s="2">
        <f>IF(tblReceitaTotal[[#This Row],[mês]]=1,tblReceitaTotal[[#This Row],[prev_mes]],IF(tblReceitaTotal[[#This Row],[prev_mes]]&gt;0,SUMIFS(tblReceitaTotal[prev_mes],tblReceitaTotal[ano],tblReceitaTotal[[#This Row],[ano]],tblReceitaTotal[mês],"&lt;="&amp;tblReceitaTotal[[#This Row],[mês]]),""))</f>
        <v>1936879.25</v>
      </c>
      <c r="I6" s="2">
        <f>IF(tblReceitaTotal[[#This Row],[mês]]=1,tblReceitaTotal[[#This Row],[arrec_mes]],IF(tblReceitaTotal[[#This Row],[arrec_mes]]&gt;0,SUMIFS(tblReceitaTotal[arrec_mes],tblReceitaTotal[ano],tblReceitaTotal[[#This Row],[ano]],tblReceitaTotal[mês],"&lt;="&amp;tblReceitaTotal[[#This Row],[mês]]),""))</f>
        <v>2816438.81</v>
      </c>
    </row>
    <row r="7" spans="1:9" x14ac:dyDescent="0.25">
      <c r="A7" s="1">
        <v>44742</v>
      </c>
      <c r="B7" s="2">
        <v>273657.52</v>
      </c>
      <c r="C7" s="2">
        <v>425425.93</v>
      </c>
      <c r="D7" s="2">
        <v>525609.18999999994</v>
      </c>
      <c r="E7" s="3">
        <f>YEAR(tblReceitaTotal[[#This Row],[data_base]])</f>
        <v>2022</v>
      </c>
      <c r="F7" s="3">
        <f>MONTH(tblReceitaTotal[[#This Row],[data_base]])</f>
        <v>6</v>
      </c>
      <c r="G7" s="2">
        <f>IF(tblReceitaTotal[[#This Row],[mês]]=1,tblReceitaTotal[[#This Row],[arrec_ant]],IF(tblReceitaTotal[[#This Row],[arrec_ant]]&gt;0,SUMIFS(tblReceitaTotal[arrec_ant],tblReceitaTotal[ano],tblReceitaTotal[[#This Row],[ano]],tblReceitaTotal[mês],"&lt;="&amp;tblReceitaTotal[[#This Row],[mês]]),""))</f>
        <v>1879008.4400000002</v>
      </c>
      <c r="H7" s="2">
        <f>IF(tblReceitaTotal[[#This Row],[mês]]=1,tblReceitaTotal[[#This Row],[prev_mes]],IF(tblReceitaTotal[[#This Row],[prev_mes]]&gt;0,SUMIFS(tblReceitaTotal[prev_mes],tblReceitaTotal[ano],tblReceitaTotal[[#This Row],[ano]],tblReceitaTotal[mês],"&lt;="&amp;tblReceitaTotal[[#This Row],[mês]]),""))</f>
        <v>2362305.1800000002</v>
      </c>
      <c r="I7" s="2">
        <f>IF(tblReceitaTotal[[#This Row],[mês]]=1,tblReceitaTotal[[#This Row],[arrec_mes]],IF(tblReceitaTotal[[#This Row],[arrec_mes]]&gt;0,SUMIFS(tblReceitaTotal[arrec_mes],tblReceitaTotal[ano],tblReceitaTotal[[#This Row],[ano]],tblReceitaTotal[mês],"&lt;="&amp;tblReceitaTotal[[#This Row],[mês]]),""))</f>
        <v>3342048</v>
      </c>
    </row>
    <row r="8" spans="1:9" x14ac:dyDescent="0.25">
      <c r="A8" s="1">
        <v>44773</v>
      </c>
      <c r="B8" s="2">
        <v>257133.62</v>
      </c>
      <c r="C8" s="2">
        <v>453162.74</v>
      </c>
      <c r="D8" s="2">
        <v>465656.70000000007</v>
      </c>
      <c r="E8" s="3">
        <f>YEAR(tblReceitaTotal[[#This Row],[data_base]])</f>
        <v>2022</v>
      </c>
      <c r="F8" s="3">
        <f>MONTH(tblReceitaTotal[[#This Row],[data_base]])</f>
        <v>7</v>
      </c>
      <c r="G8" s="2">
        <f>IF(tblReceitaTotal[[#This Row],[mês]]=1,tblReceitaTotal[[#This Row],[arrec_ant]],IF(tblReceitaTotal[[#This Row],[arrec_ant]]&gt;0,SUMIFS(tblReceitaTotal[arrec_ant],tblReceitaTotal[ano],tblReceitaTotal[[#This Row],[ano]],tblReceitaTotal[mês],"&lt;="&amp;tblReceitaTotal[[#This Row],[mês]]),""))</f>
        <v>2136142.06</v>
      </c>
      <c r="H8" s="2">
        <f>IF(tblReceitaTotal[[#This Row],[mês]]=1,tblReceitaTotal[[#This Row],[prev_mes]],IF(tblReceitaTotal[[#This Row],[prev_mes]]&gt;0,SUMIFS(tblReceitaTotal[prev_mes],tblReceitaTotal[ano],tblReceitaTotal[[#This Row],[ano]],tblReceitaTotal[mês],"&lt;="&amp;tblReceitaTotal[[#This Row],[mês]]),""))</f>
        <v>2815467.92</v>
      </c>
      <c r="I8" s="2">
        <f>IF(tblReceitaTotal[[#This Row],[mês]]=1,tblReceitaTotal[[#This Row],[arrec_mes]],IF(tblReceitaTotal[[#This Row],[arrec_mes]]&gt;0,SUMIFS(tblReceitaTotal[arrec_mes],tblReceitaTotal[ano],tblReceitaTotal[[#This Row],[ano]],tblReceitaTotal[mês],"&lt;="&amp;tblReceitaTotal[[#This Row],[mês]]),""))</f>
        <v>3807704.7</v>
      </c>
    </row>
    <row r="9" spans="1:9" x14ac:dyDescent="0.25">
      <c r="A9" s="1">
        <v>44804</v>
      </c>
      <c r="B9" s="2">
        <v>288494.38</v>
      </c>
      <c r="C9" s="2">
        <v>332664.96999999997</v>
      </c>
      <c r="D9" s="2">
        <v>587419.37</v>
      </c>
      <c r="E9" s="3">
        <f>YEAR(tblReceitaTotal[[#This Row],[data_base]])</f>
        <v>2022</v>
      </c>
      <c r="F9" s="3">
        <f>MONTH(tblReceitaTotal[[#This Row],[data_base]])</f>
        <v>8</v>
      </c>
      <c r="G9" s="2">
        <f>IF(tblReceitaTotal[[#This Row],[mês]]=1,tblReceitaTotal[[#This Row],[arrec_ant]],IF(tblReceitaTotal[[#This Row],[arrec_ant]]&gt;0,SUMIFS(tblReceitaTotal[arrec_ant],tblReceitaTotal[ano],tblReceitaTotal[[#This Row],[ano]],tblReceitaTotal[mês],"&lt;="&amp;tblReceitaTotal[[#This Row],[mês]]),""))</f>
        <v>2424636.44</v>
      </c>
      <c r="H9" s="2">
        <f>IF(tblReceitaTotal[[#This Row],[mês]]=1,tblReceitaTotal[[#This Row],[prev_mes]],IF(tblReceitaTotal[[#This Row],[prev_mes]]&gt;0,SUMIFS(tblReceitaTotal[prev_mes],tblReceitaTotal[ano],tblReceitaTotal[[#This Row],[ano]],tblReceitaTotal[mês],"&lt;="&amp;tblReceitaTotal[[#This Row],[mês]]),""))</f>
        <v>3148132.8899999997</v>
      </c>
      <c r="I9" s="2">
        <f>IF(tblReceitaTotal[[#This Row],[mês]]=1,tblReceitaTotal[[#This Row],[arrec_mes]],IF(tblReceitaTotal[[#This Row],[arrec_mes]]&gt;0,SUMIFS(tblReceitaTotal[arrec_mes],tblReceitaTotal[ano],tblReceitaTotal[[#This Row],[ano]],tblReceitaTotal[mês],"&lt;="&amp;tblReceitaTotal[[#This Row],[mês]]),""))</f>
        <v>4395124.07</v>
      </c>
    </row>
    <row r="10" spans="1:9" x14ac:dyDescent="0.25">
      <c r="A10" s="1">
        <v>44834</v>
      </c>
      <c r="B10" s="2">
        <v>453287.26</v>
      </c>
      <c r="C10" s="2">
        <v>402965.55</v>
      </c>
      <c r="D10" s="2">
        <v>628526.92999999993</v>
      </c>
      <c r="E10" s="3">
        <f>YEAR(tblReceitaTotal[[#This Row],[data_base]])</f>
        <v>2022</v>
      </c>
      <c r="F10" s="3">
        <f>MONTH(tblReceitaTotal[[#This Row],[data_base]])</f>
        <v>9</v>
      </c>
      <c r="G10" s="2">
        <f>IF(tblReceitaTotal[[#This Row],[mês]]=1,tblReceitaTotal[[#This Row],[arrec_ant]],IF(tblReceitaTotal[[#This Row],[arrec_ant]]&gt;0,SUMIFS(tblReceitaTotal[arrec_ant],tblReceitaTotal[ano],tblReceitaTotal[[#This Row],[ano]],tblReceitaTotal[mês],"&lt;="&amp;tblReceitaTotal[[#This Row],[mês]]),""))</f>
        <v>2877923.7</v>
      </c>
      <c r="H10" s="2">
        <f>IF(tblReceitaTotal[[#This Row],[mês]]=1,tblReceitaTotal[[#This Row],[prev_mes]],IF(tblReceitaTotal[[#This Row],[prev_mes]]&gt;0,SUMIFS(tblReceitaTotal[prev_mes],tblReceitaTotal[ano],tblReceitaTotal[[#This Row],[ano]],tblReceitaTotal[mês],"&lt;="&amp;tblReceitaTotal[[#This Row],[mês]]),""))</f>
        <v>3551098.4399999995</v>
      </c>
      <c r="I10" s="2">
        <f>IF(tblReceitaTotal[[#This Row],[mês]]=1,tblReceitaTotal[[#This Row],[arrec_mes]],IF(tblReceitaTotal[[#This Row],[arrec_mes]]&gt;0,SUMIFS(tblReceitaTotal[arrec_mes],tblReceitaTotal[ano],tblReceitaTotal[[#This Row],[ano]],tblReceitaTotal[mês],"&lt;="&amp;tblReceitaTotal[[#This Row],[mês]]),""))</f>
        <v>5023651</v>
      </c>
    </row>
    <row r="11" spans="1:9" x14ac:dyDescent="0.25">
      <c r="A11" s="1">
        <v>44865</v>
      </c>
      <c r="B11" s="2">
        <v>97189.8</v>
      </c>
      <c r="C11" s="2">
        <v>483720.05</v>
      </c>
      <c r="D11" s="2">
        <v>752389.82000000007</v>
      </c>
      <c r="E11" s="3">
        <f>YEAR(tblReceitaTotal[[#This Row],[data_base]])</f>
        <v>2022</v>
      </c>
      <c r="F11" s="3">
        <f>MONTH(tblReceitaTotal[[#This Row],[data_base]])</f>
        <v>10</v>
      </c>
      <c r="G11" s="2">
        <f>IF(tblReceitaTotal[[#This Row],[mês]]=1,tblReceitaTotal[[#This Row],[arrec_ant]],IF(tblReceitaTotal[[#This Row],[arrec_ant]]&gt;0,SUMIFS(tblReceitaTotal[arrec_ant],tblReceitaTotal[ano],tblReceitaTotal[[#This Row],[ano]],tblReceitaTotal[mês],"&lt;="&amp;tblReceitaTotal[[#This Row],[mês]]),""))</f>
        <v>2975113.5</v>
      </c>
      <c r="H11" s="2">
        <f>IF(tblReceitaTotal[[#This Row],[mês]]=1,tblReceitaTotal[[#This Row],[prev_mes]],IF(tblReceitaTotal[[#This Row],[prev_mes]]&gt;0,SUMIFS(tblReceitaTotal[prev_mes],tblReceitaTotal[ano],tblReceitaTotal[[#This Row],[ano]],tblReceitaTotal[mês],"&lt;="&amp;tblReceitaTotal[[#This Row],[mês]]),""))</f>
        <v>4034818.4899999993</v>
      </c>
      <c r="I11" s="2">
        <f>IF(tblReceitaTotal[[#This Row],[mês]]=1,tblReceitaTotal[[#This Row],[arrec_mes]],IF(tblReceitaTotal[[#This Row],[arrec_mes]]&gt;0,SUMIFS(tblReceitaTotal[arrec_mes],tblReceitaTotal[ano],tblReceitaTotal[[#This Row],[ano]],tblReceitaTotal[mês],"&lt;="&amp;tblReceitaTotal[[#This Row],[mês]]),""))</f>
        <v>5776040.8200000003</v>
      </c>
    </row>
    <row r="12" spans="1:9" x14ac:dyDescent="0.25">
      <c r="A12" s="1">
        <v>44895</v>
      </c>
      <c r="B12" s="2">
        <v>797135.48</v>
      </c>
      <c r="C12" s="2">
        <v>469046.23</v>
      </c>
      <c r="D12" s="2">
        <v>0</v>
      </c>
      <c r="E12" s="3">
        <f>YEAR(tblReceitaTotal[[#This Row],[data_base]])</f>
        <v>2022</v>
      </c>
      <c r="F12" s="3">
        <f>MONTH(tblReceitaTotal[[#This Row],[data_base]])</f>
        <v>11</v>
      </c>
      <c r="G12" s="2">
        <f>IF(tblReceitaTotal[[#This Row],[mês]]=1,tblReceitaTotal[[#This Row],[arrec_ant]],IF(tblReceitaTotal[[#This Row],[arrec_ant]]&gt;0,SUMIFS(tblReceitaTotal[arrec_ant],tblReceitaTotal[ano],tblReceitaTotal[[#This Row],[ano]],tblReceitaTotal[mês],"&lt;="&amp;tblReceitaTotal[[#This Row],[mês]]),""))</f>
        <v>3772248.98</v>
      </c>
      <c r="H12" s="2">
        <f>IF(tblReceitaTotal[[#This Row],[mês]]=1,tblReceitaTotal[[#This Row],[prev_mes]],IF(tblReceitaTotal[[#This Row],[prev_mes]]&gt;0,SUMIFS(tblReceitaTotal[prev_mes],tblReceitaTotal[ano],tblReceitaTotal[[#This Row],[ano]],tblReceitaTotal[mês],"&lt;="&amp;tblReceitaTotal[[#This Row],[mês]]),""))</f>
        <v>4503864.7199999988</v>
      </c>
      <c r="I12" s="2" t="str">
        <f>IF(tblReceitaTotal[[#This Row],[mês]]=1,tblReceitaTotal[[#This Row],[arrec_mes]],IF(tblReceitaTotal[[#This Row],[arrec_mes]]&gt;0,SUMIFS(tblReceitaTotal[arrec_mes],tblReceitaTotal[ano],tblReceitaTotal[[#This Row],[ano]],tblReceitaTotal[mês],"&lt;="&amp;tblReceitaTotal[[#This Row],[mês]]),""))</f>
        <v/>
      </c>
    </row>
    <row r="13" spans="1:9" x14ac:dyDescent="0.25">
      <c r="A13" s="1">
        <v>44926</v>
      </c>
      <c r="B13" s="2">
        <v>1117469.43</v>
      </c>
      <c r="C13" s="2">
        <v>1188046.28</v>
      </c>
      <c r="D13" s="2">
        <v>0</v>
      </c>
      <c r="E13" s="3">
        <f>YEAR(tblReceitaTotal[[#This Row],[data_base]])</f>
        <v>2022</v>
      </c>
      <c r="F13" s="3">
        <f>MONTH(tblReceitaTotal[[#This Row],[data_base]])</f>
        <v>12</v>
      </c>
      <c r="G13" s="2">
        <f>IF(tblReceitaTotal[[#This Row],[mês]]=1,tblReceitaTotal[[#This Row],[arrec_ant]],IF(tblReceitaTotal[[#This Row],[arrec_ant]]&gt;0,SUMIFS(tblReceitaTotal[arrec_ant],tblReceitaTotal[ano],tblReceitaTotal[[#This Row],[ano]],tblReceitaTotal[mês],"&lt;="&amp;tblReceitaTotal[[#This Row],[mês]]),""))</f>
        <v>4889718.41</v>
      </c>
      <c r="H13" s="2">
        <f>IF(tblReceitaTotal[[#This Row],[mês]]=1,tblReceitaTotal[[#This Row],[prev_mes]],IF(tblReceitaTotal[[#This Row],[prev_mes]]&gt;0,SUMIFS(tblReceitaTotal[prev_mes],tblReceitaTotal[ano],tblReceitaTotal[[#This Row],[ano]],tblReceitaTotal[mês],"&lt;="&amp;tblReceitaTotal[[#This Row],[mês]]),""))</f>
        <v>5691910.9999999991</v>
      </c>
      <c r="I13" s="2" t="str">
        <f>IF(tblReceitaTotal[[#This Row],[mês]]=1,tblReceitaTotal[[#This Row],[arrec_mes]],IF(tblReceitaTotal[[#This Row],[arrec_mes]]&gt;0,SUMIFS(tblReceitaTotal[arrec_mes],tblReceitaTotal[ano],tblReceitaTotal[[#This Row],[ano]],tblReceitaTotal[mês],"&lt;="&amp;tblReceitaTotal[[#This Row],[mês]]),""))</f>
        <v/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730BB-F863-4289-B954-9ACCE3B9F439}">
  <dimension ref="A1:G13"/>
  <sheetViews>
    <sheetView workbookViewId="0">
      <selection activeCell="E2" sqref="E2"/>
    </sheetView>
  </sheetViews>
  <sheetFormatPr defaultRowHeight="15" x14ac:dyDescent="0.25"/>
  <cols>
    <col min="1" max="1" width="12.140625" customWidth="1"/>
    <col min="2" max="2" width="11" customWidth="1"/>
    <col min="3" max="3" width="12.5703125" customWidth="1"/>
    <col min="4" max="4" width="16.7109375" customWidth="1"/>
    <col min="5" max="5" width="18.28515625" customWidth="1"/>
  </cols>
  <sheetData>
    <row r="1" spans="1:7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7</v>
      </c>
      <c r="G1" t="s">
        <v>8</v>
      </c>
    </row>
    <row r="2" spans="1:7" x14ac:dyDescent="0.25">
      <c r="A2" s="1">
        <v>44592</v>
      </c>
      <c r="B2" s="2">
        <v>13482.93</v>
      </c>
      <c r="C2" s="2">
        <v>1542</v>
      </c>
      <c r="D2" s="2">
        <f>IF(tblManut[[#This Row],[mês]]=1,tblManut[[#This Row],[emp_ant]],IF(tblManut[[#This Row],[emp_ant]]&gt;0,SUMIFS(tblManut[emp_ant],tblManut[ano],tblManut[[#This Row],[ano]],tblManut[mês],"&lt;="&amp;tblManut[[#This Row],[mês]]),""))</f>
        <v>13482.93</v>
      </c>
      <c r="E2" s="2">
        <f>IF(tblManut[[#This Row],[mês]]=1,tblManut[[#This Row],[emp_atual]],IF(tblManut[[#This Row],[emp_atual]]&gt;0,SUMIFS(tblManut[emp_atual],tblManut[ano],tblManut[[#This Row],[ano]],tblManut[mês],"&lt;="&amp;tblManut[[#This Row],[mês]]),""))</f>
        <v>1542</v>
      </c>
      <c r="F2">
        <f>YEAR(tblManut[[#This Row],[data_base]])</f>
        <v>2022</v>
      </c>
      <c r="G2">
        <f>MONTH(tblManut[[#This Row],[data_base]])</f>
        <v>1</v>
      </c>
    </row>
    <row r="3" spans="1:7" x14ac:dyDescent="0.25">
      <c r="A3" s="1">
        <v>44620</v>
      </c>
      <c r="B3" s="2">
        <v>2232.9299999999998</v>
      </c>
      <c r="C3" s="2">
        <v>6913.67</v>
      </c>
      <c r="D3" s="2">
        <f>IF(tblManut[[#This Row],[mês]]=1,tblManut[[#This Row],[emp_ant]],IF(tblManut[[#This Row],[emp_ant]]&gt;0,SUMIFS(tblManut[emp_ant],tblManut[ano],tblManut[[#This Row],[ano]],tblManut[mês],"&lt;="&amp;tblManut[[#This Row],[mês]]),""))</f>
        <v>15715.86</v>
      </c>
      <c r="E3" s="2">
        <f>IF(tblManut[[#This Row],[mês]]=1,tblManut[[#This Row],[emp_atual]],IF(tblManut[[#This Row],[emp_atual]]&gt;0,SUMIFS(tblManut[emp_atual],tblManut[ano],tblManut[[#This Row],[ano]],tblManut[mês],"&lt;="&amp;tblManut[[#This Row],[mês]]),""))</f>
        <v>8455.67</v>
      </c>
      <c r="F3">
        <f>YEAR(tblManut[[#This Row],[data_base]])</f>
        <v>2022</v>
      </c>
      <c r="G3">
        <f>MONTH(tblManut[[#This Row],[data_base]])</f>
        <v>2</v>
      </c>
    </row>
    <row r="4" spans="1:7" x14ac:dyDescent="0.25">
      <c r="A4" s="1">
        <v>44651</v>
      </c>
      <c r="B4" s="2">
        <v>2574.9299999999998</v>
      </c>
      <c r="C4" s="2">
        <v>10953</v>
      </c>
      <c r="D4" s="2">
        <f>IF(tblManut[[#This Row],[mês]]=1,tblManut[[#This Row],[emp_ant]],IF(tblManut[[#This Row],[emp_ant]]&gt;0,SUMIFS(tblManut[emp_ant],tblManut[ano],tblManut[[#This Row],[ano]],tblManut[mês],"&lt;="&amp;tblManut[[#This Row],[mês]]),""))</f>
        <v>18290.79</v>
      </c>
      <c r="E4" s="2">
        <f>IF(tblManut[[#This Row],[mês]]=1,tblManut[[#This Row],[emp_atual]],IF(tblManut[[#This Row],[emp_atual]]&gt;0,SUMIFS(tblManut[emp_atual],tblManut[ano],tblManut[[#This Row],[ano]],tblManut[mês],"&lt;="&amp;tblManut[[#This Row],[mês]]),""))</f>
        <v>19408.669999999998</v>
      </c>
      <c r="F4">
        <f>YEAR(tblManut[[#This Row],[data_base]])</f>
        <v>2022</v>
      </c>
      <c r="G4">
        <f>MONTH(tblManut[[#This Row],[data_base]])</f>
        <v>3</v>
      </c>
    </row>
    <row r="5" spans="1:7" x14ac:dyDescent="0.25">
      <c r="A5" s="1">
        <v>44681</v>
      </c>
      <c r="B5" s="2">
        <v>2232.9299999999998</v>
      </c>
      <c r="C5" s="2">
        <v>4654.24</v>
      </c>
      <c r="D5" s="2">
        <f>IF(tblManut[[#This Row],[mês]]=1,tblManut[[#This Row],[emp_ant]],IF(tblManut[[#This Row],[emp_ant]]&gt;0,SUMIFS(tblManut[emp_ant],tblManut[ano],tblManut[[#This Row],[ano]],tblManut[mês],"&lt;="&amp;tblManut[[#This Row],[mês]]),""))</f>
        <v>20523.72</v>
      </c>
      <c r="E5" s="2">
        <f>IF(tblManut[[#This Row],[mês]]=1,tblManut[[#This Row],[emp_atual]],IF(tblManut[[#This Row],[emp_atual]]&gt;0,SUMIFS(tblManut[emp_atual],tblManut[ano],tblManut[[#This Row],[ano]],tblManut[mês],"&lt;="&amp;tblManut[[#This Row],[mês]]),""))</f>
        <v>24062.909999999996</v>
      </c>
      <c r="F5">
        <f>YEAR(tblManut[[#This Row],[data_base]])</f>
        <v>2022</v>
      </c>
      <c r="G5">
        <f>MONTH(tblManut[[#This Row],[data_base]])</f>
        <v>4</v>
      </c>
    </row>
    <row r="6" spans="1:7" x14ac:dyDescent="0.25">
      <c r="A6" s="1">
        <v>44712</v>
      </c>
      <c r="B6" s="2">
        <v>10992.93</v>
      </c>
      <c r="C6" s="2">
        <v>3799.99</v>
      </c>
      <c r="D6" s="2">
        <f>IF(tblManut[[#This Row],[mês]]=1,tblManut[[#This Row],[emp_ant]],IF(tblManut[[#This Row],[emp_ant]]&gt;0,SUMIFS(tblManut[emp_ant],tblManut[ano],tblManut[[#This Row],[ano]],tblManut[mês],"&lt;="&amp;tblManut[[#This Row],[mês]]),""))</f>
        <v>31516.65</v>
      </c>
      <c r="E6" s="2">
        <f>IF(tblManut[[#This Row],[mês]]=1,tblManut[[#This Row],[emp_atual]],IF(tblManut[[#This Row],[emp_atual]]&gt;0,SUMIFS(tblManut[emp_atual],tblManut[ano],tblManut[[#This Row],[ano]],tblManut[mês],"&lt;="&amp;tblManut[[#This Row],[mês]]),""))</f>
        <v>27862.899999999994</v>
      </c>
      <c r="F6">
        <f>YEAR(tblManut[[#This Row],[data_base]])</f>
        <v>2022</v>
      </c>
      <c r="G6">
        <f>MONTH(tblManut[[#This Row],[data_base]])</f>
        <v>5</v>
      </c>
    </row>
    <row r="7" spans="1:7" x14ac:dyDescent="0.25">
      <c r="A7" s="1">
        <v>44742</v>
      </c>
      <c r="B7" s="2">
        <v>2232.9299999999998</v>
      </c>
      <c r="C7" s="2">
        <v>8222.6299999999992</v>
      </c>
      <c r="D7" s="2">
        <f>IF(tblManut[[#This Row],[mês]]=1,tblManut[[#This Row],[emp_ant]],IF(tblManut[[#This Row],[emp_ant]]&gt;0,SUMIFS(tblManut[emp_ant],tblManut[ano],tblManut[[#This Row],[ano]],tblManut[mês],"&lt;="&amp;tblManut[[#This Row],[mês]]),""))</f>
        <v>33749.58</v>
      </c>
      <c r="E7" s="2">
        <f>IF(tblManut[[#This Row],[mês]]=1,tblManut[[#This Row],[emp_atual]],IF(tblManut[[#This Row],[emp_atual]]&gt;0,SUMIFS(tblManut[emp_atual],tblManut[ano],tblManut[[#This Row],[ano]],tblManut[mês],"&lt;="&amp;tblManut[[#This Row],[mês]]),""))</f>
        <v>36085.529999999992</v>
      </c>
      <c r="F7">
        <f>YEAR(tblManut[[#This Row],[data_base]])</f>
        <v>2022</v>
      </c>
      <c r="G7">
        <f>MONTH(tblManut[[#This Row],[data_base]])</f>
        <v>6</v>
      </c>
    </row>
    <row r="8" spans="1:7" x14ac:dyDescent="0.25">
      <c r="A8" s="1">
        <v>44773</v>
      </c>
      <c r="B8" s="2">
        <v>2081.2600000000002</v>
      </c>
      <c r="C8" s="2">
        <v>2781.85</v>
      </c>
      <c r="D8" s="2">
        <f>IF(tblManut[[#This Row],[mês]]=1,tblManut[[#This Row],[emp_ant]],IF(tblManut[[#This Row],[emp_ant]]&gt;0,SUMIFS(tblManut[emp_ant],tblManut[ano],tblManut[[#This Row],[ano]],tblManut[mês],"&lt;="&amp;tblManut[[#This Row],[mês]]),""))</f>
        <v>35830.840000000004</v>
      </c>
      <c r="E8" s="2">
        <f>IF(tblManut[[#This Row],[mês]]=1,tblManut[[#This Row],[emp_atual]],IF(tblManut[[#This Row],[emp_atual]]&gt;0,SUMIFS(tblManut[emp_atual],tblManut[ano],tblManut[[#This Row],[ano]],tblManut[mês],"&lt;="&amp;tblManut[[#This Row],[mês]]),""))</f>
        <v>38867.37999999999</v>
      </c>
      <c r="F8">
        <f>YEAR(tblManut[[#This Row],[data_base]])</f>
        <v>2022</v>
      </c>
      <c r="G8">
        <f>MONTH(tblManut[[#This Row],[data_base]])</f>
        <v>7</v>
      </c>
    </row>
    <row r="9" spans="1:7" x14ac:dyDescent="0.25">
      <c r="A9" s="1">
        <v>44804</v>
      </c>
      <c r="B9" s="2">
        <v>2574.96</v>
      </c>
      <c r="C9" s="2">
        <v>6417.99</v>
      </c>
      <c r="D9" s="2">
        <f>IF(tblManut[[#This Row],[mês]]=1,tblManut[[#This Row],[emp_ant]],IF(tblManut[[#This Row],[emp_ant]]&gt;0,SUMIFS(tblManut[emp_ant],tblManut[ano],tblManut[[#This Row],[ano]],tblManut[mês],"&lt;="&amp;tblManut[[#This Row],[mês]]),""))</f>
        <v>38405.800000000003</v>
      </c>
      <c r="E9" s="2">
        <f>IF(tblManut[[#This Row],[mês]]=1,tblManut[[#This Row],[emp_atual]],IF(tblManut[[#This Row],[emp_atual]]&gt;0,SUMIFS(tblManut[emp_atual],tblManut[ano],tblManut[[#This Row],[ano]],tblManut[mês],"&lt;="&amp;tblManut[[#This Row],[mês]]),""))</f>
        <v>45285.369999999988</v>
      </c>
      <c r="F9">
        <f>YEAR(tblManut[[#This Row],[data_base]])</f>
        <v>2022</v>
      </c>
      <c r="G9">
        <f>MONTH(tblManut[[#This Row],[data_base]])</f>
        <v>8</v>
      </c>
    </row>
    <row r="10" spans="1:7" x14ac:dyDescent="0.25">
      <c r="A10" s="1">
        <v>44834</v>
      </c>
      <c r="B10" s="2">
        <v>2132.9299999999998</v>
      </c>
      <c r="C10" s="2">
        <v>5625.6900000000005</v>
      </c>
      <c r="D10" s="2">
        <f>IF(tblManut[[#This Row],[mês]]=1,tblManut[[#This Row],[emp_ant]],IF(tblManut[[#This Row],[emp_ant]]&gt;0,SUMIFS(tblManut[emp_ant],tblManut[ano],tblManut[[#This Row],[ano]],tblManut[mês],"&lt;="&amp;tblManut[[#This Row],[mês]]),""))</f>
        <v>40538.730000000003</v>
      </c>
      <c r="E10" s="2">
        <f>IF(tblManut[[#This Row],[mês]]=1,tblManut[[#This Row],[emp_atual]],IF(tblManut[[#This Row],[emp_atual]]&gt;0,SUMIFS(tblManut[emp_atual],tblManut[ano],tblManut[[#This Row],[ano]],tblManut[mês],"&lt;="&amp;tblManut[[#This Row],[mês]]),""))</f>
        <v>50911.05999999999</v>
      </c>
      <c r="F10">
        <f>YEAR(tblManut[[#This Row],[data_base]])</f>
        <v>2022</v>
      </c>
      <c r="G10">
        <f>MONTH(tblManut[[#This Row],[data_base]])</f>
        <v>9</v>
      </c>
    </row>
    <row r="11" spans="1:7" x14ac:dyDescent="0.25">
      <c r="A11" s="1">
        <v>44865</v>
      </c>
      <c r="B11" s="2">
        <v>2782.93</v>
      </c>
      <c r="C11" s="2">
        <v>5345.42</v>
      </c>
      <c r="D11" s="2">
        <f>IF(tblManut[[#This Row],[mês]]=1,tblManut[[#This Row],[emp_ant]],IF(tblManut[[#This Row],[emp_ant]]&gt;0,SUMIFS(tblManut[emp_ant],tblManut[ano],tblManut[[#This Row],[ano]],tblManut[mês],"&lt;="&amp;tblManut[[#This Row],[mês]]),""))</f>
        <v>43321.66</v>
      </c>
      <c r="E11" s="2">
        <f>IF(tblManut[[#This Row],[mês]]=1,tblManut[[#This Row],[emp_atual]],IF(tblManut[[#This Row],[emp_atual]]&gt;0,SUMIFS(tblManut[emp_atual],tblManut[ano],tblManut[[#This Row],[ano]],tblManut[mês],"&lt;="&amp;tblManut[[#This Row],[mês]]),""))</f>
        <v>56256.479999999989</v>
      </c>
      <c r="F11">
        <f>YEAR(tblManut[[#This Row],[data_base]])</f>
        <v>2022</v>
      </c>
      <c r="G11">
        <f>MONTH(tblManut[[#This Row],[data_base]])</f>
        <v>10</v>
      </c>
    </row>
    <row r="12" spans="1:7" x14ac:dyDescent="0.25">
      <c r="A12" s="1">
        <v>44895</v>
      </c>
      <c r="B12" s="2">
        <v>13988.23</v>
      </c>
      <c r="C12" s="2">
        <v>0</v>
      </c>
      <c r="D12" s="2">
        <f>IF(tblManut[[#This Row],[mês]]=1,tblManut[[#This Row],[emp_ant]],IF(tblManut[[#This Row],[emp_ant]]&gt;0,SUMIFS(tblManut[emp_ant],tblManut[ano],tblManut[[#This Row],[ano]],tblManut[mês],"&lt;="&amp;tblManut[[#This Row],[mês]]),""))</f>
        <v>57309.89</v>
      </c>
      <c r="E12" s="2" t="str">
        <f>IF(tblManut[[#This Row],[mês]]=1,tblManut[[#This Row],[emp_atual]],IF(tblManut[[#This Row],[emp_atual]]&gt;0,SUMIFS(tblManut[emp_atual],tblManut[ano],tblManut[[#This Row],[ano]],tblManut[mês],"&lt;="&amp;tblManut[[#This Row],[mês]]),""))</f>
        <v/>
      </c>
      <c r="F12">
        <f>YEAR(tblManut[[#This Row],[data_base]])</f>
        <v>2022</v>
      </c>
      <c r="G12">
        <f>MONTH(tblManut[[#This Row],[data_base]])</f>
        <v>11</v>
      </c>
    </row>
    <row r="13" spans="1:7" x14ac:dyDescent="0.25">
      <c r="A13" s="1">
        <v>44926</v>
      </c>
      <c r="B13" s="2">
        <v>17538.189999999999</v>
      </c>
      <c r="C13" s="2">
        <v>0</v>
      </c>
      <c r="D13" s="2">
        <f>IF(tblManut[[#This Row],[mês]]=1,tblManut[[#This Row],[emp_ant]],IF(tblManut[[#This Row],[emp_ant]]&gt;0,SUMIFS(tblManut[emp_ant],tblManut[ano],tblManut[[#This Row],[ano]],tblManut[mês],"&lt;="&amp;tblManut[[#This Row],[mês]]),""))</f>
        <v>74848.08</v>
      </c>
      <c r="E13" s="2" t="str">
        <f>IF(tblManut[[#This Row],[mês]]=1,tblManut[[#This Row],[emp_atual]],IF(tblManut[[#This Row],[emp_atual]]&gt;0,SUMIFS(tblManut[emp_atual],tblManut[ano],tblManut[[#This Row],[ano]],tblManut[mês],"&lt;="&amp;tblManut[[#This Row],[mês]]),""))</f>
        <v/>
      </c>
      <c r="F13">
        <f>YEAR(tblManut[[#This Row],[data_base]])</f>
        <v>2022</v>
      </c>
      <c r="G13">
        <f>MONTH(tblManut[[#This Row],[data_base]])</f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04F7-97BD-48AC-9518-8C258DC4309E}">
  <dimension ref="A1:G13"/>
  <sheetViews>
    <sheetView workbookViewId="0">
      <selection activeCell="E2" sqref="E2"/>
    </sheetView>
  </sheetViews>
  <sheetFormatPr defaultRowHeight="15" x14ac:dyDescent="0.25"/>
  <cols>
    <col min="1" max="1" width="12.140625" customWidth="1"/>
    <col min="2" max="2" width="11.5703125" bestFit="1" customWidth="1"/>
    <col min="3" max="3" width="12.5703125" customWidth="1"/>
    <col min="4" max="4" width="16.7109375" customWidth="1"/>
    <col min="5" max="5" width="18.28515625" customWidth="1"/>
  </cols>
  <sheetData>
    <row r="1" spans="1:7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7</v>
      </c>
      <c r="G1" t="s">
        <v>8</v>
      </c>
    </row>
    <row r="2" spans="1:7" x14ac:dyDescent="0.25">
      <c r="A2" s="1">
        <v>44592</v>
      </c>
      <c r="B2" s="2">
        <v>155015.79000000004</v>
      </c>
      <c r="C2" s="2">
        <v>197611.78999999998</v>
      </c>
      <c r="D2" s="2">
        <f>IF(tblAposentadorias[[#This Row],[mês]]=1,tblAposentadorias[[#This Row],[emp_ant]],IF(tblAposentadorias[[#This Row],[emp_ant]]&gt;0,SUMIFS(tblAposentadorias[emp_ant],tblAposentadorias[ano],tblAposentadorias[[#This Row],[ano]],tblAposentadorias[mês],"&lt;="&amp;tblAposentadorias[[#This Row],[mês]]),""))</f>
        <v>155015.79000000004</v>
      </c>
      <c r="E2" s="2">
        <f>IF(tblAposentadorias[[#This Row],[mês]]=1,tblAposentadorias[[#This Row],[emp_atual]],IF(tblAposentadorias[[#This Row],[emp_atual]]&gt;0,SUMIFS(tblAposentadorias[emp_atual],tblAposentadorias[ano],tblAposentadorias[[#This Row],[ano]],tblAposentadorias[mês],"&lt;="&amp;tblAposentadorias[[#This Row],[mês]]),""))</f>
        <v>197611.78999999998</v>
      </c>
      <c r="F2">
        <f>YEAR(tblAposentadorias[[#This Row],[data_base]])</f>
        <v>2022</v>
      </c>
      <c r="G2">
        <f>MONTH(tblAposentadorias[[#This Row],[data_base]])</f>
        <v>1</v>
      </c>
    </row>
    <row r="3" spans="1:7" x14ac:dyDescent="0.25">
      <c r="A3" s="1">
        <v>44620</v>
      </c>
      <c r="B3" s="2">
        <v>153609.18</v>
      </c>
      <c r="C3" s="2">
        <v>204738.59000000003</v>
      </c>
      <c r="D3" s="2">
        <f>IF(tblAposentadorias[[#This Row],[mês]]=1,tblAposentadorias[[#This Row],[emp_ant]],IF(tblAposentadorias[[#This Row],[emp_ant]]&gt;0,SUMIFS(tblAposentadorias[emp_ant],tblAposentadorias[ano],tblAposentadorias[[#This Row],[ano]],tblAposentadorias[mês],"&lt;="&amp;tblAposentadorias[[#This Row],[mês]]),""))</f>
        <v>308624.97000000003</v>
      </c>
      <c r="E3" s="2">
        <f>IF(tblAposentadorias[[#This Row],[mês]]=1,tblAposentadorias[[#This Row],[emp_atual]],IF(tblAposentadorias[[#This Row],[emp_atual]]&gt;0,SUMIFS(tblAposentadorias[emp_atual],tblAposentadorias[ano],tblAposentadorias[[#This Row],[ano]],tblAposentadorias[mês],"&lt;="&amp;tblAposentadorias[[#This Row],[mês]]),""))</f>
        <v>402350.38</v>
      </c>
      <c r="F3">
        <f>YEAR(tblAposentadorias[[#This Row],[data_base]])</f>
        <v>2022</v>
      </c>
      <c r="G3">
        <f>MONTH(tblAposentadorias[[#This Row],[data_base]])</f>
        <v>2</v>
      </c>
    </row>
    <row r="4" spans="1:7" x14ac:dyDescent="0.25">
      <c r="A4" s="1">
        <v>44651</v>
      </c>
      <c r="B4" s="2">
        <v>153609.18</v>
      </c>
      <c r="C4" s="2">
        <v>207519.68</v>
      </c>
      <c r="D4" s="2">
        <f>IF(tblAposentadorias[[#This Row],[mês]]=1,tblAposentadorias[[#This Row],[emp_ant]],IF(tblAposentadorias[[#This Row],[emp_ant]]&gt;0,SUMIFS(tblAposentadorias[emp_ant],tblAposentadorias[ano],tblAposentadorias[[#This Row],[ano]],tblAposentadorias[mês],"&lt;="&amp;tblAposentadorias[[#This Row],[mês]]),""))</f>
        <v>462234.15</v>
      </c>
      <c r="E4" s="2">
        <f>IF(tblAposentadorias[[#This Row],[mês]]=1,tblAposentadorias[[#This Row],[emp_atual]],IF(tblAposentadorias[[#This Row],[emp_atual]]&gt;0,SUMIFS(tblAposentadorias[emp_atual],tblAposentadorias[ano],tblAposentadorias[[#This Row],[ano]],tblAposentadorias[mês],"&lt;="&amp;tblAposentadorias[[#This Row],[mês]]),""))</f>
        <v>609870.06000000006</v>
      </c>
      <c r="F4">
        <f>YEAR(tblAposentadorias[[#This Row],[data_base]])</f>
        <v>2022</v>
      </c>
      <c r="G4">
        <f>MONTH(tblAposentadorias[[#This Row],[data_base]])</f>
        <v>3</v>
      </c>
    </row>
    <row r="5" spans="1:7" x14ac:dyDescent="0.25">
      <c r="A5" s="1">
        <v>44681</v>
      </c>
      <c r="B5" s="2">
        <v>153609.18</v>
      </c>
      <c r="C5" s="2">
        <v>210495.22999999998</v>
      </c>
      <c r="D5" s="2">
        <f>IF(tblAposentadorias[[#This Row],[mês]]=1,tblAposentadorias[[#This Row],[emp_ant]],IF(tblAposentadorias[[#This Row],[emp_ant]]&gt;0,SUMIFS(tblAposentadorias[emp_ant],tblAposentadorias[ano],tblAposentadorias[[#This Row],[ano]],tblAposentadorias[mês],"&lt;="&amp;tblAposentadorias[[#This Row],[mês]]),""))</f>
        <v>615843.33000000007</v>
      </c>
      <c r="E5" s="2">
        <f>IF(tblAposentadorias[[#This Row],[mês]]=1,tblAposentadorias[[#This Row],[emp_atual]],IF(tblAposentadorias[[#This Row],[emp_atual]]&gt;0,SUMIFS(tblAposentadorias[emp_atual],tblAposentadorias[ano],tblAposentadorias[[#This Row],[ano]],tblAposentadorias[mês],"&lt;="&amp;tblAposentadorias[[#This Row],[mês]]),""))</f>
        <v>820365.29</v>
      </c>
      <c r="F5">
        <f>YEAR(tblAposentadorias[[#This Row],[data_base]])</f>
        <v>2022</v>
      </c>
      <c r="G5">
        <f>MONTH(tblAposentadorias[[#This Row],[data_base]])</f>
        <v>4</v>
      </c>
    </row>
    <row r="6" spans="1:7" x14ac:dyDescent="0.25">
      <c r="A6" s="1">
        <v>44712</v>
      </c>
      <c r="B6" s="2">
        <v>157781.03</v>
      </c>
      <c r="C6" s="2">
        <v>219805.44</v>
      </c>
      <c r="D6" s="2">
        <f>IF(tblAposentadorias[[#This Row],[mês]]=1,tblAposentadorias[[#This Row],[emp_ant]],IF(tblAposentadorias[[#This Row],[emp_ant]]&gt;0,SUMIFS(tblAposentadorias[emp_ant],tblAposentadorias[ano],tblAposentadorias[[#This Row],[ano]],tblAposentadorias[mês],"&lt;="&amp;tblAposentadorias[[#This Row],[mês]]),""))</f>
        <v>773624.3600000001</v>
      </c>
      <c r="E6" s="2">
        <f>IF(tblAposentadorias[[#This Row],[mês]]=1,tblAposentadorias[[#This Row],[emp_atual]],IF(tblAposentadorias[[#This Row],[emp_atual]]&gt;0,SUMIFS(tblAposentadorias[emp_atual],tblAposentadorias[ano],tblAposentadorias[[#This Row],[ano]],tblAposentadorias[mês],"&lt;="&amp;tblAposentadorias[[#This Row],[mês]]),""))</f>
        <v>1040170.73</v>
      </c>
      <c r="F6">
        <f>YEAR(tblAposentadorias[[#This Row],[data_base]])</f>
        <v>2022</v>
      </c>
      <c r="G6">
        <f>MONTH(tblAposentadorias[[#This Row],[data_base]])</f>
        <v>5</v>
      </c>
    </row>
    <row r="7" spans="1:7" x14ac:dyDescent="0.25">
      <c r="A7" s="1">
        <v>44742</v>
      </c>
      <c r="B7" s="2">
        <v>164072</v>
      </c>
      <c r="C7" s="2">
        <v>219805.44</v>
      </c>
      <c r="D7" s="2">
        <f>IF(tblAposentadorias[[#This Row],[mês]]=1,tblAposentadorias[[#This Row],[emp_ant]],IF(tblAposentadorias[[#This Row],[emp_ant]]&gt;0,SUMIFS(tblAposentadorias[emp_ant],tblAposentadorias[ano],tblAposentadorias[[#This Row],[ano]],tblAposentadorias[mês],"&lt;="&amp;tblAposentadorias[[#This Row],[mês]]),""))</f>
        <v>937696.3600000001</v>
      </c>
      <c r="E7" s="2">
        <f>IF(tblAposentadorias[[#This Row],[mês]]=1,tblAposentadorias[[#This Row],[emp_atual]],IF(tblAposentadorias[[#This Row],[emp_atual]]&gt;0,SUMIFS(tblAposentadorias[emp_atual],tblAposentadorias[ano],tblAposentadorias[[#This Row],[ano]],tblAposentadorias[mês],"&lt;="&amp;tblAposentadorias[[#This Row],[mês]]),""))</f>
        <v>1259976.17</v>
      </c>
      <c r="F7">
        <f>YEAR(tblAposentadorias[[#This Row],[data_base]])</f>
        <v>2022</v>
      </c>
      <c r="G7">
        <f>MONTH(tblAposentadorias[[#This Row],[data_base]])</f>
        <v>6</v>
      </c>
    </row>
    <row r="8" spans="1:7" x14ac:dyDescent="0.25">
      <c r="A8" s="1">
        <v>44773</v>
      </c>
      <c r="B8" s="2">
        <v>166921.04999999999</v>
      </c>
      <c r="C8" s="2">
        <v>219805.44</v>
      </c>
      <c r="D8" s="2">
        <f>IF(tblAposentadorias[[#This Row],[mês]]=1,tblAposentadorias[[#This Row],[emp_ant]],IF(tblAposentadorias[[#This Row],[emp_ant]]&gt;0,SUMIFS(tblAposentadorias[emp_ant],tblAposentadorias[ano],tblAposentadorias[[#This Row],[ano]],tblAposentadorias[mês],"&lt;="&amp;tblAposentadorias[[#This Row],[mês]]),""))</f>
        <v>1104617.4100000001</v>
      </c>
      <c r="E8" s="2">
        <f>IF(tblAposentadorias[[#This Row],[mês]]=1,tblAposentadorias[[#This Row],[emp_atual]],IF(tblAposentadorias[[#This Row],[emp_atual]]&gt;0,SUMIFS(tblAposentadorias[emp_atual],tblAposentadorias[ano],tblAposentadorias[[#This Row],[ano]],tblAposentadorias[mês],"&lt;="&amp;tblAposentadorias[[#This Row],[mês]]),""))</f>
        <v>1479781.6099999999</v>
      </c>
      <c r="F8">
        <f>YEAR(tblAposentadorias[[#This Row],[data_base]])</f>
        <v>2022</v>
      </c>
      <c r="G8">
        <f>MONTH(tblAposentadorias[[#This Row],[data_base]])</f>
        <v>7</v>
      </c>
    </row>
    <row r="9" spans="1:7" x14ac:dyDescent="0.25">
      <c r="A9" s="1">
        <v>44804</v>
      </c>
      <c r="B9" s="2">
        <v>166014.42000000001</v>
      </c>
      <c r="C9" s="2">
        <v>219805.44</v>
      </c>
      <c r="D9" s="2">
        <f>IF(tblAposentadorias[[#This Row],[mês]]=1,tblAposentadorias[[#This Row],[emp_ant]],IF(tblAposentadorias[[#This Row],[emp_ant]]&gt;0,SUMIFS(tblAposentadorias[emp_ant],tblAposentadorias[ano],tblAposentadorias[[#This Row],[ano]],tblAposentadorias[mês],"&lt;="&amp;tblAposentadorias[[#This Row],[mês]]),""))</f>
        <v>1270631.83</v>
      </c>
      <c r="E9" s="2">
        <f>IF(tblAposentadorias[[#This Row],[mês]]=1,tblAposentadorias[[#This Row],[emp_atual]],IF(tblAposentadorias[[#This Row],[emp_atual]]&gt;0,SUMIFS(tblAposentadorias[emp_atual],tblAposentadorias[ano],tblAposentadorias[[#This Row],[ano]],tblAposentadorias[mês],"&lt;="&amp;tblAposentadorias[[#This Row],[mês]]),""))</f>
        <v>1699587.0499999998</v>
      </c>
      <c r="F9">
        <f>YEAR(tblAposentadorias[[#This Row],[data_base]])</f>
        <v>2022</v>
      </c>
      <c r="G9">
        <f>MONTH(tblAposentadorias[[#This Row],[data_base]])</f>
        <v>8</v>
      </c>
    </row>
    <row r="10" spans="1:7" x14ac:dyDescent="0.25">
      <c r="A10" s="1">
        <v>44834</v>
      </c>
      <c r="B10" s="2">
        <v>166014.42000000001</v>
      </c>
      <c r="C10" s="2">
        <v>219805.44</v>
      </c>
      <c r="D10" s="2">
        <f>IF(tblAposentadorias[[#This Row],[mês]]=1,tblAposentadorias[[#This Row],[emp_ant]],IF(tblAposentadorias[[#This Row],[emp_ant]]&gt;0,SUMIFS(tblAposentadorias[emp_ant],tblAposentadorias[ano],tblAposentadorias[[#This Row],[ano]],tblAposentadorias[mês],"&lt;="&amp;tblAposentadorias[[#This Row],[mês]]),""))</f>
        <v>1436646.25</v>
      </c>
      <c r="E10" s="2">
        <f>IF(tblAposentadorias[[#This Row],[mês]]=1,tblAposentadorias[[#This Row],[emp_atual]],IF(tblAposentadorias[[#This Row],[emp_atual]]&gt;0,SUMIFS(tblAposentadorias[emp_atual],tblAposentadorias[ano],tblAposentadorias[[#This Row],[ano]],tblAposentadorias[mês],"&lt;="&amp;tblAposentadorias[[#This Row],[mês]]),""))</f>
        <v>1919392.4899999998</v>
      </c>
      <c r="F10">
        <f>YEAR(tblAposentadorias[[#This Row],[data_base]])</f>
        <v>2022</v>
      </c>
      <c r="G10">
        <f>MONTH(tblAposentadorias[[#This Row],[data_base]])</f>
        <v>9</v>
      </c>
    </row>
    <row r="11" spans="1:7" x14ac:dyDescent="0.25">
      <c r="A11" s="1">
        <v>44865</v>
      </c>
      <c r="B11" s="2">
        <v>166014.42000000001</v>
      </c>
      <c r="C11" s="2">
        <v>219805.44</v>
      </c>
      <c r="D11" s="2">
        <f>IF(tblAposentadorias[[#This Row],[mês]]=1,tblAposentadorias[[#This Row],[emp_ant]],IF(tblAposentadorias[[#This Row],[emp_ant]]&gt;0,SUMIFS(tblAposentadorias[emp_ant],tblAposentadorias[ano],tblAposentadorias[[#This Row],[ano]],tblAposentadorias[mês],"&lt;="&amp;tblAposentadorias[[#This Row],[mês]]),""))</f>
        <v>1602660.67</v>
      </c>
      <c r="E11" s="2">
        <f>IF(tblAposentadorias[[#This Row],[mês]]=1,tblAposentadorias[[#This Row],[emp_atual]],IF(tblAposentadorias[[#This Row],[emp_atual]]&gt;0,SUMIFS(tblAposentadorias[emp_atual],tblAposentadorias[ano],tblAposentadorias[[#This Row],[ano]],tblAposentadorias[mês],"&lt;="&amp;tblAposentadorias[[#This Row],[mês]]),""))</f>
        <v>2139197.9299999997</v>
      </c>
      <c r="F11">
        <f>YEAR(tblAposentadorias[[#This Row],[data_base]])</f>
        <v>2022</v>
      </c>
      <c r="G11">
        <f>MONTH(tblAposentadorias[[#This Row],[data_base]])</f>
        <v>10</v>
      </c>
    </row>
    <row r="12" spans="1:7" x14ac:dyDescent="0.25">
      <c r="A12" s="1">
        <v>44895</v>
      </c>
      <c r="B12" s="2">
        <v>166957.32</v>
      </c>
      <c r="C12" s="2">
        <v>0</v>
      </c>
      <c r="D12" s="2">
        <f>IF(tblAposentadorias[[#This Row],[mês]]=1,tblAposentadorias[[#This Row],[emp_ant]],IF(tblAposentadorias[[#This Row],[emp_ant]]&gt;0,SUMIFS(tblAposentadorias[emp_ant],tblAposentadorias[ano],tblAposentadorias[[#This Row],[ano]],tblAposentadorias[mês],"&lt;="&amp;tblAposentadorias[[#This Row],[mês]]),""))</f>
        <v>1769617.99</v>
      </c>
      <c r="E12" s="2" t="str">
        <f>IF(tblAposentadorias[[#This Row],[mês]]=1,tblAposentadorias[[#This Row],[emp_atual]],IF(tblAposentadorias[[#This Row],[emp_atual]]&gt;0,SUMIFS(tblAposentadorias[emp_atual],tblAposentadorias[ano],tblAposentadorias[[#This Row],[ano]],tblAposentadorias[mês],"&lt;="&amp;tblAposentadorias[[#This Row],[mês]]),""))</f>
        <v/>
      </c>
      <c r="F12">
        <f>YEAR(tblAposentadorias[[#This Row],[data_base]])</f>
        <v>2022</v>
      </c>
      <c r="G12">
        <f>MONTH(tblAposentadorias[[#This Row],[data_base]])</f>
        <v>11</v>
      </c>
    </row>
    <row r="13" spans="1:7" x14ac:dyDescent="0.25">
      <c r="A13" s="1">
        <v>44926</v>
      </c>
      <c r="B13" s="2">
        <v>328245.46000000002</v>
      </c>
      <c r="C13" s="2">
        <v>0</v>
      </c>
      <c r="D13" s="2">
        <f>IF(tblAposentadorias[[#This Row],[mês]]=1,tblAposentadorias[[#This Row],[emp_ant]],IF(tblAposentadorias[[#This Row],[emp_ant]]&gt;0,SUMIFS(tblAposentadorias[emp_ant],tblAposentadorias[ano],tblAposentadorias[[#This Row],[ano]],tblAposentadorias[mês],"&lt;="&amp;tblAposentadorias[[#This Row],[mês]]),""))</f>
        <v>2097863.4500000002</v>
      </c>
      <c r="E13" s="2" t="str">
        <f>IF(tblAposentadorias[[#This Row],[mês]]=1,tblAposentadorias[[#This Row],[emp_atual]],IF(tblAposentadorias[[#This Row],[emp_atual]]&gt;0,SUMIFS(tblAposentadorias[emp_atual],tblAposentadorias[ano],tblAposentadorias[[#This Row],[ano]],tblAposentadorias[mês],"&lt;="&amp;tblAposentadorias[[#This Row],[mês]]),""))</f>
        <v/>
      </c>
      <c r="F13">
        <f>YEAR(tblAposentadorias[[#This Row],[data_base]])</f>
        <v>2022</v>
      </c>
      <c r="G13">
        <f>MONTH(tblAposentadorias[[#This Row],[data_base]])</f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DD1EF-A903-4164-8D09-C23FA6E9B144}">
  <dimension ref="A1:G13"/>
  <sheetViews>
    <sheetView workbookViewId="0">
      <selection activeCell="D2" sqref="D2"/>
    </sheetView>
  </sheetViews>
  <sheetFormatPr defaultRowHeight="15" x14ac:dyDescent="0.25"/>
  <cols>
    <col min="1" max="1" width="12.140625" customWidth="1"/>
    <col min="2" max="2" width="11.5703125" bestFit="1" customWidth="1"/>
    <col min="3" max="3" width="12.5703125" customWidth="1"/>
    <col min="4" max="4" width="16.7109375" customWidth="1"/>
    <col min="5" max="5" width="18.28515625" customWidth="1"/>
  </cols>
  <sheetData>
    <row r="1" spans="1:7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7</v>
      </c>
      <c r="G1" t="s">
        <v>8</v>
      </c>
    </row>
    <row r="2" spans="1:7" x14ac:dyDescent="0.25">
      <c r="A2" s="1">
        <v>44592</v>
      </c>
      <c r="B2" s="2">
        <v>47489.350000000006</v>
      </c>
      <c r="C2" s="2">
        <v>56744.36</v>
      </c>
      <c r="D2" s="2">
        <f>IF(tblPensoes[[#This Row],[mês]]=1,tblPensoes[[#This Row],[emp_ant]],IF(tblPensoes[[#This Row],[emp_ant]]&gt;0,SUMIFS(tblPensoes[emp_ant],tblPensoes[ano],tblPensoes[[#This Row],[ano]],tblPensoes[mês],"&lt;="&amp;tblPensoes[[#This Row],[mês]]),""))</f>
        <v>47489.350000000006</v>
      </c>
      <c r="E2" s="2">
        <f>IF(tblPensoes[[#This Row],[mês]]=1,tblPensoes[[#This Row],[emp_atual]],IF(tblPensoes[[#This Row],[emp_atual]]&gt;0,SUMIFS(tblPensoes[emp_atual],tblPensoes[ano],tblPensoes[[#This Row],[ano]],tblPensoes[mês],"&lt;="&amp;tblPensoes[[#This Row],[mês]]),""))</f>
        <v>56744.36</v>
      </c>
      <c r="F2">
        <f>YEAR(tblPensoes[[#This Row],[data_base]])</f>
        <v>2022</v>
      </c>
      <c r="G2">
        <f>MONTH(tblPensoes[[#This Row],[data_base]])</f>
        <v>1</v>
      </c>
    </row>
    <row r="3" spans="1:7" x14ac:dyDescent="0.25">
      <c r="A3" s="1">
        <v>44620</v>
      </c>
      <c r="B3" s="2">
        <v>48815.95</v>
      </c>
      <c r="C3" s="2">
        <v>55532.36</v>
      </c>
      <c r="D3" s="2">
        <f>IF(tblPensoes[[#This Row],[mês]]=1,tblPensoes[[#This Row],[emp_ant]],IF(tblPensoes[[#This Row],[emp_ant]]&gt;0,SUMIFS(tblPensoes[emp_ant],tblPensoes[ano],tblPensoes[[#This Row],[ano]],tblPensoes[mês],"&lt;="&amp;tblPensoes[[#This Row],[mês]]),""))</f>
        <v>96305.3</v>
      </c>
      <c r="E3" s="2">
        <f>IF(tblPensoes[[#This Row],[mês]]=1,tblPensoes[[#This Row],[emp_atual]],IF(tblPensoes[[#This Row],[emp_atual]]&gt;0,SUMIFS(tblPensoes[emp_atual],tblPensoes[ano],tblPensoes[[#This Row],[ano]],tblPensoes[mês],"&lt;="&amp;tblPensoes[[#This Row],[mês]]),""))</f>
        <v>112276.72</v>
      </c>
      <c r="F3">
        <f>YEAR(tblPensoes[[#This Row],[data_base]])</f>
        <v>2022</v>
      </c>
      <c r="G3">
        <f>MONTH(tblPensoes[[#This Row],[data_base]])</f>
        <v>2</v>
      </c>
    </row>
    <row r="4" spans="1:7" x14ac:dyDescent="0.25">
      <c r="A4" s="1">
        <v>44651</v>
      </c>
      <c r="B4" s="2">
        <v>52042.49</v>
      </c>
      <c r="C4" s="2">
        <v>55532.36</v>
      </c>
      <c r="D4" s="2">
        <f>IF(tblPensoes[[#This Row],[mês]]=1,tblPensoes[[#This Row],[emp_ant]],IF(tblPensoes[[#This Row],[emp_ant]]&gt;0,SUMIFS(tblPensoes[emp_ant],tblPensoes[ano],tblPensoes[[#This Row],[ano]],tblPensoes[mês],"&lt;="&amp;tblPensoes[[#This Row],[mês]]),""))</f>
        <v>148347.79</v>
      </c>
      <c r="E4" s="2">
        <f>IF(tblPensoes[[#This Row],[mês]]=1,tblPensoes[[#This Row],[emp_atual]],IF(tblPensoes[[#This Row],[emp_atual]]&gt;0,SUMIFS(tblPensoes[emp_atual],tblPensoes[ano],tblPensoes[[#This Row],[ano]],tblPensoes[mês],"&lt;="&amp;tblPensoes[[#This Row],[mês]]),""))</f>
        <v>167809.08000000002</v>
      </c>
      <c r="F4">
        <f>YEAR(tblPensoes[[#This Row],[data_base]])</f>
        <v>2022</v>
      </c>
      <c r="G4">
        <f>MONTH(tblPensoes[[#This Row],[data_base]])</f>
        <v>3</v>
      </c>
    </row>
    <row r="5" spans="1:7" x14ac:dyDescent="0.25">
      <c r="A5" s="1">
        <v>44681</v>
      </c>
      <c r="B5" s="2">
        <v>50034.83</v>
      </c>
      <c r="C5" s="2">
        <v>55532.36</v>
      </c>
      <c r="D5" s="2">
        <f>IF(tblPensoes[[#This Row],[mês]]=1,tblPensoes[[#This Row],[emp_ant]],IF(tblPensoes[[#This Row],[emp_ant]]&gt;0,SUMIFS(tblPensoes[emp_ant],tblPensoes[ano],tblPensoes[[#This Row],[ano]],tblPensoes[mês],"&lt;="&amp;tblPensoes[[#This Row],[mês]]),""))</f>
        <v>198382.62</v>
      </c>
      <c r="E5" s="2">
        <f>IF(tblPensoes[[#This Row],[mês]]=1,tblPensoes[[#This Row],[emp_atual]],IF(tblPensoes[[#This Row],[emp_atual]]&gt;0,SUMIFS(tblPensoes[emp_atual],tblPensoes[ano],tblPensoes[[#This Row],[ano]],tblPensoes[mês],"&lt;="&amp;tblPensoes[[#This Row],[mês]]),""))</f>
        <v>223341.44</v>
      </c>
      <c r="F5">
        <f>YEAR(tblPensoes[[#This Row],[data_base]])</f>
        <v>2022</v>
      </c>
      <c r="G5">
        <f>MONTH(tblPensoes[[#This Row],[data_base]])</f>
        <v>4</v>
      </c>
    </row>
    <row r="6" spans="1:7" x14ac:dyDescent="0.25">
      <c r="A6" s="1">
        <v>44712</v>
      </c>
      <c r="B6" s="2">
        <v>50034.83</v>
      </c>
      <c r="C6" s="2">
        <v>56383.43</v>
      </c>
      <c r="D6" s="2">
        <f>IF(tblPensoes[[#This Row],[mês]]=1,tblPensoes[[#This Row],[emp_ant]],IF(tblPensoes[[#This Row],[emp_ant]]&gt;0,SUMIFS(tblPensoes[emp_ant],tblPensoes[ano],tblPensoes[[#This Row],[ano]],tblPensoes[mês],"&lt;="&amp;tblPensoes[[#This Row],[mês]]),""))</f>
        <v>248417.45</v>
      </c>
      <c r="E6" s="2">
        <f>IF(tblPensoes[[#This Row],[mês]]=1,tblPensoes[[#This Row],[emp_atual]],IF(tblPensoes[[#This Row],[emp_atual]]&gt;0,SUMIFS(tblPensoes[emp_atual],tblPensoes[ano],tblPensoes[[#This Row],[ano]],tblPensoes[mês],"&lt;="&amp;tblPensoes[[#This Row],[mês]]),""))</f>
        <v>279724.87</v>
      </c>
      <c r="F6">
        <f>YEAR(tblPensoes[[#This Row],[data_base]])</f>
        <v>2022</v>
      </c>
      <c r="G6">
        <f>MONTH(tblPensoes[[#This Row],[data_base]])</f>
        <v>5</v>
      </c>
    </row>
    <row r="7" spans="1:7" x14ac:dyDescent="0.25">
      <c r="A7" s="1">
        <v>44742</v>
      </c>
      <c r="B7" s="2">
        <v>50278.67</v>
      </c>
      <c r="C7" s="2">
        <v>56383.43</v>
      </c>
      <c r="D7" s="2">
        <f>IF(tblPensoes[[#This Row],[mês]]=1,tblPensoes[[#This Row],[emp_ant]],IF(tblPensoes[[#This Row],[emp_ant]]&gt;0,SUMIFS(tblPensoes[emp_ant],tblPensoes[ano],tblPensoes[[#This Row],[ano]],tblPensoes[mês],"&lt;="&amp;tblPensoes[[#This Row],[mês]]),""))</f>
        <v>298696.12</v>
      </c>
      <c r="E7" s="2">
        <f>IF(tblPensoes[[#This Row],[mês]]=1,tblPensoes[[#This Row],[emp_atual]],IF(tblPensoes[[#This Row],[emp_atual]]&gt;0,SUMIFS(tblPensoes[emp_atual],tblPensoes[ano],tblPensoes[[#This Row],[ano]],tblPensoes[mês],"&lt;="&amp;tblPensoes[[#This Row],[mês]]),""))</f>
        <v>336108.3</v>
      </c>
      <c r="F7">
        <f>YEAR(tblPensoes[[#This Row],[data_base]])</f>
        <v>2022</v>
      </c>
      <c r="G7">
        <f>MONTH(tblPensoes[[#This Row],[data_base]])</f>
        <v>6</v>
      </c>
    </row>
    <row r="8" spans="1:7" x14ac:dyDescent="0.25">
      <c r="A8" s="1">
        <v>44773</v>
      </c>
      <c r="B8" s="2">
        <v>50034.84</v>
      </c>
      <c r="C8" s="2">
        <v>56383.43</v>
      </c>
      <c r="D8" s="2">
        <f>IF(tblPensoes[[#This Row],[mês]]=1,tblPensoes[[#This Row],[emp_ant]],IF(tblPensoes[[#This Row],[emp_ant]]&gt;0,SUMIFS(tblPensoes[emp_ant],tblPensoes[ano],tblPensoes[[#This Row],[ano]],tblPensoes[mês],"&lt;="&amp;tblPensoes[[#This Row],[mês]]),""))</f>
        <v>348730.95999999996</v>
      </c>
      <c r="E8" s="2">
        <f>IF(tblPensoes[[#This Row],[mês]]=1,tblPensoes[[#This Row],[emp_atual]],IF(tblPensoes[[#This Row],[emp_atual]]&gt;0,SUMIFS(tblPensoes[emp_atual],tblPensoes[ano],tblPensoes[[#This Row],[ano]],tblPensoes[mês],"&lt;="&amp;tblPensoes[[#This Row],[mês]]),""))</f>
        <v>392491.73</v>
      </c>
      <c r="F8">
        <f>YEAR(tblPensoes[[#This Row],[data_base]])</f>
        <v>2022</v>
      </c>
      <c r="G8">
        <f>MONTH(tblPensoes[[#This Row],[data_base]])</f>
        <v>7</v>
      </c>
    </row>
    <row r="9" spans="1:7" x14ac:dyDescent="0.25">
      <c r="A9" s="1">
        <v>44804</v>
      </c>
      <c r="B9" s="2">
        <v>50034.84</v>
      </c>
      <c r="C9" s="2">
        <v>63833.87</v>
      </c>
      <c r="D9" s="2">
        <f>IF(tblPensoes[[#This Row],[mês]]=1,tblPensoes[[#This Row],[emp_ant]],IF(tblPensoes[[#This Row],[emp_ant]]&gt;0,SUMIFS(tblPensoes[emp_ant],tblPensoes[ano],tblPensoes[[#This Row],[ano]],tblPensoes[mês],"&lt;="&amp;tblPensoes[[#This Row],[mês]]),""))</f>
        <v>398765.79999999993</v>
      </c>
      <c r="E9" s="2">
        <f>IF(tblPensoes[[#This Row],[mês]]=1,tblPensoes[[#This Row],[emp_atual]],IF(tblPensoes[[#This Row],[emp_atual]]&gt;0,SUMIFS(tblPensoes[emp_atual],tblPensoes[ano],tblPensoes[[#This Row],[ano]],tblPensoes[mês],"&lt;="&amp;tblPensoes[[#This Row],[mês]]),""))</f>
        <v>456325.6</v>
      </c>
      <c r="F9">
        <f>YEAR(tblPensoes[[#This Row],[data_base]])</f>
        <v>2022</v>
      </c>
      <c r="G9">
        <f>MONTH(tblPensoes[[#This Row],[data_base]])</f>
        <v>8</v>
      </c>
    </row>
    <row r="10" spans="1:7" x14ac:dyDescent="0.25">
      <c r="A10" s="1">
        <v>44834</v>
      </c>
      <c r="B10" s="2">
        <v>50034.84</v>
      </c>
      <c r="C10" s="2">
        <v>62769.53</v>
      </c>
      <c r="D10" s="2">
        <f>IF(tblPensoes[[#This Row],[mês]]=1,tblPensoes[[#This Row],[emp_ant]],IF(tblPensoes[[#This Row],[emp_ant]]&gt;0,SUMIFS(tblPensoes[emp_ant],tblPensoes[ano],tblPensoes[[#This Row],[ano]],tblPensoes[mês],"&lt;="&amp;tblPensoes[[#This Row],[mês]]),""))</f>
        <v>448800.6399999999</v>
      </c>
      <c r="E10" s="2">
        <f>IF(tblPensoes[[#This Row],[mês]]=1,tblPensoes[[#This Row],[emp_atual]],IF(tblPensoes[[#This Row],[emp_atual]]&gt;0,SUMIFS(tblPensoes[emp_atual],tblPensoes[ano],tblPensoes[[#This Row],[ano]],tblPensoes[mês],"&lt;="&amp;tblPensoes[[#This Row],[mês]]),""))</f>
        <v>519095.13</v>
      </c>
      <c r="F10">
        <f>YEAR(tblPensoes[[#This Row],[data_base]])</f>
        <v>2022</v>
      </c>
      <c r="G10">
        <f>MONTH(tblPensoes[[#This Row],[data_base]])</f>
        <v>9</v>
      </c>
    </row>
    <row r="11" spans="1:7" x14ac:dyDescent="0.25">
      <c r="A11" s="1">
        <v>44865</v>
      </c>
      <c r="B11" s="2">
        <v>50034.84</v>
      </c>
      <c r="C11" s="2">
        <v>62769.53</v>
      </c>
      <c r="D11" s="2">
        <f>IF(tblPensoes[[#This Row],[mês]]=1,tblPensoes[[#This Row],[emp_ant]],IF(tblPensoes[[#This Row],[emp_ant]]&gt;0,SUMIFS(tblPensoes[emp_ant],tblPensoes[ano],tblPensoes[[#This Row],[ano]],tblPensoes[mês],"&lt;="&amp;tblPensoes[[#This Row],[mês]]),""))</f>
        <v>498835.47999999986</v>
      </c>
      <c r="E11" s="2">
        <f>IF(tblPensoes[[#This Row],[mês]]=1,tblPensoes[[#This Row],[emp_atual]],IF(tblPensoes[[#This Row],[emp_atual]]&gt;0,SUMIFS(tblPensoes[emp_atual],tblPensoes[ano],tblPensoes[[#This Row],[ano]],tblPensoes[mês],"&lt;="&amp;tblPensoes[[#This Row],[mês]]),""))</f>
        <v>581864.66</v>
      </c>
      <c r="F11">
        <f>YEAR(tblPensoes[[#This Row],[data_base]])</f>
        <v>2022</v>
      </c>
      <c r="G11">
        <f>MONTH(tblPensoes[[#This Row],[data_base]])</f>
        <v>10</v>
      </c>
    </row>
    <row r="12" spans="1:7" x14ac:dyDescent="0.25">
      <c r="A12" s="1">
        <v>44895</v>
      </c>
      <c r="B12" s="2">
        <v>50034.84</v>
      </c>
      <c r="C12" s="2">
        <v>0</v>
      </c>
      <c r="D12" s="2">
        <f>IF(tblPensoes[[#This Row],[mês]]=1,tblPensoes[[#This Row],[emp_ant]],IF(tblPensoes[[#This Row],[emp_ant]]&gt;0,SUMIFS(tblPensoes[emp_ant],tblPensoes[ano],tblPensoes[[#This Row],[ano]],tblPensoes[mês],"&lt;="&amp;tblPensoes[[#This Row],[mês]]),""))</f>
        <v>548870.31999999983</v>
      </c>
      <c r="E12" s="2" t="str">
        <f>IF(tblPensoes[[#This Row],[mês]]=1,tblPensoes[[#This Row],[emp_atual]],IF(tblPensoes[[#This Row],[emp_atual]]&gt;0,SUMIFS(tblPensoes[emp_atual],tblPensoes[ano],tblPensoes[[#This Row],[ano]],tblPensoes[mês],"&lt;="&amp;tblPensoes[[#This Row],[mês]]),""))</f>
        <v/>
      </c>
      <c r="F12">
        <f>YEAR(tblPensoes[[#This Row],[data_base]])</f>
        <v>2022</v>
      </c>
      <c r="G12">
        <f>MONTH(tblPensoes[[#This Row],[data_base]])</f>
        <v>11</v>
      </c>
    </row>
    <row r="13" spans="1:7" x14ac:dyDescent="0.25">
      <c r="A13" s="1">
        <v>44926</v>
      </c>
      <c r="B13" s="2">
        <v>101388.88</v>
      </c>
      <c r="C13" s="2">
        <v>0</v>
      </c>
      <c r="D13" s="2">
        <f>IF(tblPensoes[[#This Row],[mês]]=1,tblPensoes[[#This Row],[emp_ant]],IF(tblPensoes[[#This Row],[emp_ant]]&gt;0,SUMIFS(tblPensoes[emp_ant],tblPensoes[ano],tblPensoes[[#This Row],[ano]],tblPensoes[mês],"&lt;="&amp;tblPensoes[[#This Row],[mês]]),""))</f>
        <v>650259.19999999984</v>
      </c>
      <c r="E13" s="2" t="str">
        <f>IF(tblPensoes[[#This Row],[mês]]=1,tblPensoes[[#This Row],[emp_atual]],IF(tblPensoes[[#This Row],[emp_atual]]&gt;0,SUMIFS(tblPensoes[emp_atual],tblPensoes[ano],tblPensoes[[#This Row],[ano]],tblPensoes[mês],"&lt;="&amp;tblPensoes[[#This Row],[mês]]),""))</f>
        <v/>
      </c>
      <c r="F13">
        <f>YEAR(tblPensoes[[#This Row],[data_base]])</f>
        <v>2022</v>
      </c>
      <c r="G13">
        <f>MONTH(tblPensoes[[#This Row],[data_base]])</f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92837-6733-48CD-B039-92C6CDF1B8D4}">
  <dimension ref="A1:I13"/>
  <sheetViews>
    <sheetView workbookViewId="0">
      <selection activeCell="C2" sqref="C2"/>
    </sheetView>
  </sheetViews>
  <sheetFormatPr defaultRowHeight="15" x14ac:dyDescent="0.25"/>
  <cols>
    <col min="1" max="1" width="12.140625" customWidth="1"/>
    <col min="2" max="2" width="9.28515625" customWidth="1"/>
    <col min="3" max="3" width="11.5703125" bestFit="1" customWidth="1"/>
    <col min="4" max="4" width="11.5703125" customWidth="1"/>
    <col min="5" max="5" width="15" customWidth="1"/>
    <col min="6" max="7" width="16.140625" customWidth="1"/>
  </cols>
  <sheetData>
    <row r="1" spans="1:9" x14ac:dyDescent="0.25">
      <c r="A1" t="s">
        <v>0</v>
      </c>
      <c r="B1" t="s">
        <v>25</v>
      </c>
      <c r="C1" t="s">
        <v>26</v>
      </c>
      <c r="D1" t="s">
        <v>29</v>
      </c>
      <c r="E1" t="s">
        <v>27</v>
      </c>
      <c r="F1" t="s">
        <v>28</v>
      </c>
      <c r="G1" t="s">
        <v>30</v>
      </c>
      <c r="H1" t="s">
        <v>7</v>
      </c>
      <c r="I1" t="s">
        <v>8</v>
      </c>
    </row>
    <row r="2" spans="1:9" x14ac:dyDescent="0.25">
      <c r="A2" s="1">
        <v>44592</v>
      </c>
      <c r="B2" s="2">
        <v>0</v>
      </c>
      <c r="C2" s="2">
        <v>476511.52</v>
      </c>
      <c r="D2" s="2">
        <f>tblComprev[[#This Row],[receita]]-tblComprev[[#This Row],[despesa]]</f>
        <v>-476511.52</v>
      </c>
      <c r="E2" s="2">
        <f>IF(tblComprev[[#This Row],[mês]]=1,tblComprev[[#This Row],[receita]],IF(tblComprev[[#This Row],[receita]]&gt;0,SUMIFS(tblComprev[receita],tblComprev[ano],tblComprev[[#This Row],[ano]],tblComprev[mês],"&lt;="&amp;tblComprev[[#This Row],[mês]]),0))</f>
        <v>0</v>
      </c>
      <c r="F2" s="2">
        <f>IF(tblComprev[[#This Row],[mês]]=1,tblComprev[[#This Row],[despesa]],IF(tblComprev[[#This Row],[despesa]]&gt;0,SUMIFS(tblComprev[despesa],tblComprev[ano],tblComprev[[#This Row],[ano]],tblComprev[mês],"&lt;="&amp;tblComprev[[#This Row],[mês]]),0))</f>
        <v>476511.52</v>
      </c>
      <c r="G2" s="2">
        <f>tblComprev[[#This Row],[receita_acum]]-tblComprev[[#This Row],[despesa_acum]]</f>
        <v>-476511.52</v>
      </c>
      <c r="H2">
        <f>YEAR(tblComprev[[#This Row],[data_base]])</f>
        <v>2022</v>
      </c>
      <c r="I2">
        <f>MONTH(tblComprev[[#This Row],[data_base]])</f>
        <v>1</v>
      </c>
    </row>
    <row r="3" spans="1:9" x14ac:dyDescent="0.25">
      <c r="A3" s="1">
        <v>44620</v>
      </c>
      <c r="B3" s="2">
        <v>0</v>
      </c>
      <c r="C3" s="2">
        <v>7481.16</v>
      </c>
      <c r="D3" s="2">
        <f>tblComprev[[#This Row],[receita]]-tblComprev[[#This Row],[despesa]]</f>
        <v>-7481.16</v>
      </c>
      <c r="E3" s="2">
        <f>IF(tblComprev[[#This Row],[mês]]=1,tblComprev[[#This Row],[receita]],IF(tblComprev[[#This Row],[receita]]&gt;0,SUMIFS(tblComprev[receita],tblComprev[ano],tblComprev[[#This Row],[ano]],tblComprev[mês],"&lt;="&amp;tblComprev[[#This Row],[mês]]),0))</f>
        <v>0</v>
      </c>
      <c r="F3" s="2">
        <f>IF(tblComprev[[#This Row],[mês]]=1,tblComprev[[#This Row],[despesa]],IF(tblComprev[[#This Row],[despesa]]&gt;0,SUMIFS(tblComprev[despesa],tblComprev[ano],tblComprev[[#This Row],[ano]],tblComprev[mês],"&lt;="&amp;tblComprev[[#This Row],[mês]]),0))</f>
        <v>483992.68</v>
      </c>
      <c r="G3" s="2">
        <f>tblComprev[[#This Row],[receita_acum]]-tblComprev[[#This Row],[despesa_acum]]</f>
        <v>-483992.68</v>
      </c>
      <c r="H3">
        <f>YEAR(tblComprev[[#This Row],[data_base]])</f>
        <v>2022</v>
      </c>
      <c r="I3">
        <f>MONTH(tblComprev[[#This Row],[data_base]])</f>
        <v>2</v>
      </c>
    </row>
    <row r="4" spans="1:9" x14ac:dyDescent="0.25">
      <c r="A4" s="1">
        <v>44651</v>
      </c>
      <c r="B4" s="2">
        <v>0</v>
      </c>
      <c r="C4" s="2">
        <v>7481.16</v>
      </c>
      <c r="D4" s="2">
        <f>tblComprev[[#This Row],[receita]]-tblComprev[[#This Row],[despesa]]</f>
        <v>-7481.16</v>
      </c>
      <c r="E4" s="2">
        <f>IF(tblComprev[[#This Row],[mês]]=1,tblComprev[[#This Row],[receita]],IF(tblComprev[[#This Row],[receita]]&gt;0,SUMIFS(tblComprev[receita],tblComprev[ano],tblComprev[[#This Row],[ano]],tblComprev[mês],"&lt;="&amp;tblComprev[[#This Row],[mês]]),0))</f>
        <v>0</v>
      </c>
      <c r="F4" s="2">
        <f>IF(tblComprev[[#This Row],[mês]]=1,tblComprev[[#This Row],[despesa]],IF(tblComprev[[#This Row],[despesa]]&gt;0,SUMIFS(tblComprev[despesa],tblComprev[ano],tblComprev[[#This Row],[ano]],tblComprev[mês],"&lt;="&amp;tblComprev[[#This Row],[mês]]),0))</f>
        <v>491473.83999999997</v>
      </c>
      <c r="G4" s="2">
        <f>tblComprev[[#This Row],[receita_acum]]-tblComprev[[#This Row],[despesa_acum]]</f>
        <v>-491473.83999999997</v>
      </c>
      <c r="H4">
        <f>YEAR(tblComprev[[#This Row],[data_base]])</f>
        <v>2022</v>
      </c>
      <c r="I4">
        <f>MONTH(tblComprev[[#This Row],[data_base]])</f>
        <v>3</v>
      </c>
    </row>
    <row r="5" spans="1:9" x14ac:dyDescent="0.25">
      <c r="A5" s="1">
        <v>44681</v>
      </c>
      <c r="B5" s="2">
        <v>0</v>
      </c>
      <c r="C5" s="2">
        <v>7481.16</v>
      </c>
      <c r="D5" s="2">
        <f>tblComprev[[#This Row],[receita]]-tblComprev[[#This Row],[despesa]]</f>
        <v>-7481.16</v>
      </c>
      <c r="E5" s="2">
        <f>IF(tblComprev[[#This Row],[mês]]=1,tblComprev[[#This Row],[receita]],IF(tblComprev[[#This Row],[receita]]&gt;0,SUMIFS(tblComprev[receita],tblComprev[ano],tblComprev[[#This Row],[ano]],tblComprev[mês],"&lt;="&amp;tblComprev[[#This Row],[mês]]),0))</f>
        <v>0</v>
      </c>
      <c r="F5" s="2">
        <f>IF(tblComprev[[#This Row],[mês]]=1,tblComprev[[#This Row],[despesa]],IF(tblComprev[[#This Row],[despesa]]&gt;0,SUMIFS(tblComprev[despesa],tblComprev[ano],tblComprev[[#This Row],[ano]],tblComprev[mês],"&lt;="&amp;tblComprev[[#This Row],[mês]]),0))</f>
        <v>498954.99999999994</v>
      </c>
      <c r="G5" s="2">
        <f>tblComprev[[#This Row],[receita_acum]]-tblComprev[[#This Row],[despesa_acum]]</f>
        <v>-498954.99999999994</v>
      </c>
      <c r="H5">
        <f>YEAR(tblComprev[[#This Row],[data_base]])</f>
        <v>2022</v>
      </c>
      <c r="I5">
        <f>MONTH(tblComprev[[#This Row],[data_base]])</f>
        <v>4</v>
      </c>
    </row>
    <row r="6" spans="1:9" x14ac:dyDescent="0.25">
      <c r="A6" s="1">
        <v>44712</v>
      </c>
      <c r="B6" s="2">
        <v>0</v>
      </c>
      <c r="C6" s="2">
        <v>7481.16</v>
      </c>
      <c r="D6" s="2">
        <f>tblComprev[[#This Row],[receita]]-tblComprev[[#This Row],[despesa]]</f>
        <v>-7481.16</v>
      </c>
      <c r="E6" s="2">
        <f>IF(tblComprev[[#This Row],[mês]]=1,tblComprev[[#This Row],[receita]],IF(tblComprev[[#This Row],[receita]]&gt;0,SUMIFS(tblComprev[receita],tblComprev[ano],tblComprev[[#This Row],[ano]],tblComprev[mês],"&lt;="&amp;tblComprev[[#This Row],[mês]]),0))</f>
        <v>0</v>
      </c>
      <c r="F6" s="2">
        <f>IF(tblComprev[[#This Row],[mês]]=1,tblComprev[[#This Row],[despesa]],IF(tblComprev[[#This Row],[despesa]]&gt;0,SUMIFS(tblComprev[despesa],tblComprev[ano],tblComprev[[#This Row],[ano]],tblComprev[mês],"&lt;="&amp;tblComprev[[#This Row],[mês]]),0))</f>
        <v>506436.15999999992</v>
      </c>
      <c r="G6" s="2">
        <f>tblComprev[[#This Row],[receita_acum]]-tblComprev[[#This Row],[despesa_acum]]</f>
        <v>-506436.15999999992</v>
      </c>
      <c r="H6">
        <f>YEAR(tblComprev[[#This Row],[data_base]])</f>
        <v>2022</v>
      </c>
      <c r="I6">
        <f>MONTH(tblComprev[[#This Row],[data_base]])</f>
        <v>5</v>
      </c>
    </row>
    <row r="7" spans="1:9" x14ac:dyDescent="0.25">
      <c r="A7" s="1">
        <v>44742</v>
      </c>
      <c r="B7" s="2">
        <v>0</v>
      </c>
      <c r="C7" s="2">
        <v>7481.16</v>
      </c>
      <c r="D7" s="2">
        <f>tblComprev[[#This Row],[receita]]-tblComprev[[#This Row],[despesa]]</f>
        <v>-7481.16</v>
      </c>
      <c r="E7" s="2">
        <f>IF(tblComprev[[#This Row],[mês]]=1,tblComprev[[#This Row],[receita]],IF(tblComprev[[#This Row],[receita]]&gt;0,SUMIFS(tblComprev[receita],tblComprev[ano],tblComprev[[#This Row],[ano]],tblComprev[mês],"&lt;="&amp;tblComprev[[#This Row],[mês]]),0))</f>
        <v>0</v>
      </c>
      <c r="F7" s="2">
        <f>IF(tblComprev[[#This Row],[mês]]=1,tblComprev[[#This Row],[despesa]],IF(tblComprev[[#This Row],[despesa]]&gt;0,SUMIFS(tblComprev[despesa],tblComprev[ano],tblComprev[[#This Row],[ano]],tblComprev[mês],"&lt;="&amp;tblComprev[[#This Row],[mês]]),0))</f>
        <v>513917.31999999989</v>
      </c>
      <c r="G7" s="2">
        <f>tblComprev[[#This Row],[receita_acum]]-tblComprev[[#This Row],[despesa_acum]]</f>
        <v>-513917.31999999989</v>
      </c>
      <c r="H7">
        <f>YEAR(tblComprev[[#This Row],[data_base]])</f>
        <v>2022</v>
      </c>
      <c r="I7">
        <f>MONTH(tblComprev[[#This Row],[data_base]])</f>
        <v>6</v>
      </c>
    </row>
    <row r="8" spans="1:9" x14ac:dyDescent="0.25">
      <c r="A8" s="1">
        <v>44773</v>
      </c>
      <c r="B8" s="2">
        <v>0</v>
      </c>
      <c r="C8" s="2">
        <v>0</v>
      </c>
      <c r="D8" s="2">
        <f>tblComprev[[#This Row],[receita]]-tblComprev[[#This Row],[despesa]]</f>
        <v>0</v>
      </c>
      <c r="E8" s="2">
        <f>IF(tblComprev[[#This Row],[mês]]=1,tblComprev[[#This Row],[receita]],IF(tblComprev[[#This Row],[receita]]&gt;0,SUMIFS(tblComprev[receita],tblComprev[ano],tblComprev[[#This Row],[ano]],tblComprev[mês],"&lt;="&amp;tblComprev[[#This Row],[mês]]),0))</f>
        <v>0</v>
      </c>
      <c r="F8" s="2">
        <f>IF(tblComprev[[#This Row],[mês]]=1,tblComprev[[#This Row],[despesa]],IF(tblComprev[[#This Row],[despesa]]&gt;0,SUMIFS(tblComprev[despesa],tblComprev[ano],tblComprev[[#This Row],[ano]],tblComprev[mês],"&lt;="&amp;tblComprev[[#This Row],[mês]]),0))</f>
        <v>0</v>
      </c>
      <c r="G8" s="2">
        <f>tblComprev[[#This Row],[receita_acum]]-tblComprev[[#This Row],[despesa_acum]]</f>
        <v>0</v>
      </c>
      <c r="H8">
        <f>YEAR(tblComprev[[#This Row],[data_base]])</f>
        <v>2022</v>
      </c>
      <c r="I8">
        <f>MONTH(tblComprev[[#This Row],[data_base]])</f>
        <v>7</v>
      </c>
    </row>
    <row r="9" spans="1:9" x14ac:dyDescent="0.25">
      <c r="A9" s="1">
        <v>44804</v>
      </c>
      <c r="B9" s="2">
        <v>0</v>
      </c>
      <c r="C9" s="2">
        <v>14962.32</v>
      </c>
      <c r="D9" s="2">
        <f>tblComprev[[#This Row],[receita]]-tblComprev[[#This Row],[despesa]]</f>
        <v>-14962.32</v>
      </c>
      <c r="E9" s="2">
        <f>IF(tblComprev[[#This Row],[mês]]=1,tblComprev[[#This Row],[receita]],IF(tblComprev[[#This Row],[receita]]&gt;0,SUMIFS(tblComprev[receita],tblComprev[ano],tblComprev[[#This Row],[ano]],tblComprev[mês],"&lt;="&amp;tblComprev[[#This Row],[mês]]),0))</f>
        <v>0</v>
      </c>
      <c r="F9" s="2">
        <f>IF(tblComprev[[#This Row],[mês]]=1,tblComprev[[#This Row],[despesa]],IF(tblComprev[[#This Row],[despesa]]&gt;0,SUMIFS(tblComprev[despesa],tblComprev[ano],tblComprev[[#This Row],[ano]],tblComprev[mês],"&lt;="&amp;tblComprev[[#This Row],[mês]]),0))</f>
        <v>528879.6399999999</v>
      </c>
      <c r="G9" s="2">
        <f>tblComprev[[#This Row],[receita_acum]]-tblComprev[[#This Row],[despesa_acum]]</f>
        <v>-528879.6399999999</v>
      </c>
      <c r="H9">
        <f>YEAR(tblComprev[[#This Row],[data_base]])</f>
        <v>2022</v>
      </c>
      <c r="I9">
        <f>MONTH(tblComprev[[#This Row],[data_base]])</f>
        <v>8</v>
      </c>
    </row>
    <row r="10" spans="1:9" x14ac:dyDescent="0.25">
      <c r="A10" s="1">
        <v>44834</v>
      </c>
      <c r="B10" s="2">
        <v>0</v>
      </c>
      <c r="C10" s="2">
        <v>7481.16</v>
      </c>
      <c r="D10" s="2">
        <f>tblComprev[[#This Row],[receita]]-tblComprev[[#This Row],[despesa]]</f>
        <v>-7481.16</v>
      </c>
      <c r="E10" s="2">
        <f>IF(tblComprev[[#This Row],[mês]]=1,tblComprev[[#This Row],[receita]],IF(tblComprev[[#This Row],[receita]]&gt;0,SUMIFS(tblComprev[receita],tblComprev[ano],tblComprev[[#This Row],[ano]],tblComprev[mês],"&lt;="&amp;tblComprev[[#This Row],[mês]]),0))</f>
        <v>0</v>
      </c>
      <c r="F10" s="2">
        <f>IF(tblComprev[[#This Row],[mês]]=1,tblComprev[[#This Row],[despesa]],IF(tblComprev[[#This Row],[despesa]]&gt;0,SUMIFS(tblComprev[despesa],tblComprev[ano],tblComprev[[#This Row],[ano]],tblComprev[mês],"&lt;="&amp;tblComprev[[#This Row],[mês]]),0))</f>
        <v>536360.79999999993</v>
      </c>
      <c r="G10" s="2">
        <f>tblComprev[[#This Row],[receita_acum]]-tblComprev[[#This Row],[despesa_acum]]</f>
        <v>-536360.79999999993</v>
      </c>
      <c r="H10">
        <f>YEAR(tblComprev[[#This Row],[data_base]])</f>
        <v>2022</v>
      </c>
      <c r="I10">
        <f>MONTH(tblComprev[[#This Row],[data_base]])</f>
        <v>9</v>
      </c>
    </row>
    <row r="11" spans="1:9" x14ac:dyDescent="0.25">
      <c r="A11" s="1">
        <v>44865</v>
      </c>
      <c r="B11" s="2">
        <v>0</v>
      </c>
      <c r="C11" s="2">
        <v>7481.16</v>
      </c>
      <c r="D11" s="2">
        <f>tblComprev[[#This Row],[receita]]-tblComprev[[#This Row],[despesa]]</f>
        <v>-7481.16</v>
      </c>
      <c r="E11" s="2">
        <f>IF(tblComprev[[#This Row],[mês]]=1,tblComprev[[#This Row],[receita]],IF(tblComprev[[#This Row],[receita]]&gt;0,SUMIFS(tblComprev[receita],tblComprev[ano],tblComprev[[#This Row],[ano]],tblComprev[mês],"&lt;="&amp;tblComprev[[#This Row],[mês]]),0))</f>
        <v>0</v>
      </c>
      <c r="F11" s="2">
        <f>IF(tblComprev[[#This Row],[mês]]=1,tblComprev[[#This Row],[despesa]],IF(tblComprev[[#This Row],[despesa]]&gt;0,SUMIFS(tblComprev[despesa],tblComprev[ano],tblComprev[[#This Row],[ano]],tblComprev[mês],"&lt;="&amp;tblComprev[[#This Row],[mês]]),0))</f>
        <v>543841.96</v>
      </c>
      <c r="G11" s="2">
        <f>tblComprev[[#This Row],[receita_acum]]-tblComprev[[#This Row],[despesa_acum]]</f>
        <v>-543841.96</v>
      </c>
      <c r="H11">
        <f>YEAR(tblComprev[[#This Row],[data_base]])</f>
        <v>2022</v>
      </c>
      <c r="I11">
        <f>MONTH(tblComprev[[#This Row],[data_base]])</f>
        <v>10</v>
      </c>
    </row>
    <row r="12" spans="1:9" x14ac:dyDescent="0.25">
      <c r="A12" s="1">
        <v>44895</v>
      </c>
      <c r="B12" s="2">
        <v>0</v>
      </c>
      <c r="C12" s="2">
        <v>0</v>
      </c>
      <c r="D12" s="2">
        <f>tblComprev[[#This Row],[receita]]-tblComprev[[#This Row],[despesa]]</f>
        <v>0</v>
      </c>
      <c r="E12" s="2">
        <f>IF(tblComprev[[#This Row],[mês]]=1,tblComprev[[#This Row],[receita]],IF(tblComprev[[#This Row],[receita]]&gt;0,SUMIFS(tblComprev[receita],tblComprev[ano],tblComprev[[#This Row],[ano]],tblComprev[mês],"&lt;="&amp;tblComprev[[#This Row],[mês]]),0))</f>
        <v>0</v>
      </c>
      <c r="F12" s="2">
        <f>IF(tblComprev[[#This Row],[mês]]=1,tblComprev[[#This Row],[despesa]],IF(tblComprev[[#This Row],[despesa]]&gt;0,SUMIFS(tblComprev[despesa],tblComprev[ano],tblComprev[[#This Row],[ano]],tblComprev[mês],"&lt;="&amp;tblComprev[[#This Row],[mês]]),0))</f>
        <v>0</v>
      </c>
      <c r="G12" s="2">
        <f>tblComprev[[#This Row],[receita_acum]]-tblComprev[[#This Row],[despesa_acum]]</f>
        <v>0</v>
      </c>
      <c r="H12">
        <f>YEAR(tblComprev[[#This Row],[data_base]])</f>
        <v>2022</v>
      </c>
      <c r="I12">
        <f>MONTH(tblComprev[[#This Row],[data_base]])</f>
        <v>11</v>
      </c>
    </row>
    <row r="13" spans="1:9" x14ac:dyDescent="0.25">
      <c r="A13" s="1">
        <v>44926</v>
      </c>
      <c r="B13" s="2">
        <v>0</v>
      </c>
      <c r="C13" s="2">
        <v>0</v>
      </c>
      <c r="D13" s="2">
        <f>tblComprev[[#This Row],[receita]]-tblComprev[[#This Row],[despesa]]</f>
        <v>0</v>
      </c>
      <c r="E13" s="2">
        <f>IF(tblComprev[[#This Row],[mês]]=1,tblComprev[[#This Row],[receita]],IF(tblComprev[[#This Row],[receita]]&gt;0,SUMIFS(tblComprev[receita],tblComprev[ano],tblComprev[[#This Row],[ano]],tblComprev[mês],"&lt;="&amp;tblComprev[[#This Row],[mês]]),0))</f>
        <v>0</v>
      </c>
      <c r="F13" s="2">
        <f>IF(tblComprev[[#This Row],[mês]]=1,tblComprev[[#This Row],[despesa]],IF(tblComprev[[#This Row],[despesa]]&gt;0,SUMIFS(tblComprev[despesa],tblComprev[ano],tblComprev[[#This Row],[ano]],tblComprev[mês],"&lt;="&amp;tblComprev[[#This Row],[mês]]),0))</f>
        <v>0</v>
      </c>
      <c r="G13" s="2">
        <f>tblComprev[[#This Row],[receita_acum]]-tblComprev[[#This Row],[despesa_acum]]</f>
        <v>0</v>
      </c>
      <c r="H13">
        <f>YEAR(tblComprev[[#This Row],[data_base]])</f>
        <v>2022</v>
      </c>
      <c r="I13">
        <f>MONTH(tblComprev[[#This Row],[data_base]])</f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46DD1-B2F8-4C7B-96E8-0D52C755E6B1}">
  <dimension ref="A1:H13"/>
  <sheetViews>
    <sheetView workbookViewId="0">
      <selection activeCell="E1" sqref="E1"/>
    </sheetView>
  </sheetViews>
  <sheetFormatPr defaultRowHeight="15" x14ac:dyDescent="0.25"/>
  <cols>
    <col min="1" max="1" width="12.140625" customWidth="1"/>
    <col min="2" max="2" width="13.28515625" bestFit="1" customWidth="1"/>
    <col min="3" max="3" width="13.28515625" customWidth="1"/>
    <col min="4" max="4" width="10.42578125" customWidth="1"/>
    <col min="5" max="5" width="15.28515625" customWidth="1"/>
    <col min="6" max="6" width="21" customWidth="1"/>
  </cols>
  <sheetData>
    <row r="1" spans="1:8" x14ac:dyDescent="0.25">
      <c r="A1" t="s">
        <v>0</v>
      </c>
      <c r="B1" t="s">
        <v>32</v>
      </c>
      <c r="C1" t="s">
        <v>33</v>
      </c>
      <c r="D1" t="s">
        <v>26</v>
      </c>
      <c r="E1" t="s">
        <v>34</v>
      </c>
      <c r="F1" t="s">
        <v>31</v>
      </c>
      <c r="G1" t="s">
        <v>7</v>
      </c>
      <c r="H1" t="s">
        <v>8</v>
      </c>
    </row>
    <row r="2" spans="1:8" x14ac:dyDescent="0.25">
      <c r="A2" s="1">
        <v>44592</v>
      </c>
      <c r="B2" s="2">
        <v>7305255.5700000003</v>
      </c>
      <c r="C2" s="4">
        <v>3.5999999999999997E-2</v>
      </c>
      <c r="D2" s="2">
        <f>IFERROR(INDEX(tblManut[emp_atual],MATCH(tblLimiteDespesaAdm[[#This Row],[data_base]],tblManut[data_base],0)),0)</f>
        <v>1542</v>
      </c>
      <c r="E2" s="4">
        <f>IF(tblLimiteDespesaAdm[[#This Row],[despesa]]&gt;0,tblLimiteDespesaAdm[[#This Row],[despesa_acumulada]]/tblLimiteDespesaAdm[[#This Row],[vl_limite]],"")</f>
        <v>2.1108091089002106E-4</v>
      </c>
      <c r="F2" s="2">
        <f>IF(tblLimiteDespesaAdm[[#This Row],[mês]]=1,tblLimiteDespesaAdm[[#This Row],[despesa]],IF(tblLimiteDespesaAdm[[#This Row],[despesa]]&gt;0,SUMIFS(tblLimiteDespesaAdm[despesa],tblLimiteDespesaAdm[ano],tblLimiteDespesaAdm[[#This Row],[ano]],tblLimiteDespesaAdm[mês],"&lt;="&amp;tblLimiteDespesaAdm[[#This Row],[mês]]),0))</f>
        <v>1542</v>
      </c>
      <c r="G2">
        <f>YEAR(tblLimiteDespesaAdm[[#This Row],[data_base]])</f>
        <v>2022</v>
      </c>
      <c r="H2">
        <f>MONTH(tblLimiteDespesaAdm[[#This Row],[data_base]])</f>
        <v>1</v>
      </c>
    </row>
    <row r="3" spans="1:8" x14ac:dyDescent="0.25">
      <c r="A3" s="1">
        <v>44620</v>
      </c>
      <c r="B3" s="2">
        <v>7305255.5700000003</v>
      </c>
      <c r="C3" s="4">
        <v>3.5999999999999997E-2</v>
      </c>
      <c r="D3" s="2">
        <f>IFERROR(INDEX(tblManut[emp_atual],MATCH(tblLimiteDespesaAdm[[#This Row],[data_base]],tblManut[data_base],0)),0)</f>
        <v>6913.67</v>
      </c>
      <c r="E3" s="4">
        <f>IF(tblLimiteDespesaAdm[[#This Row],[despesa]]&gt;0,tblLimiteDespesaAdm[[#This Row],[despesa_acumulada]]/tblLimiteDespesaAdm[[#This Row],[vl_limite]],"")</f>
        <v>1.1574776431812091E-3</v>
      </c>
      <c r="F3" s="2">
        <f>IF(tblLimiteDespesaAdm[[#This Row],[mês]]=1,tblLimiteDespesaAdm[[#This Row],[despesa]],IF(tblLimiteDespesaAdm[[#This Row],[despesa]]&gt;0,SUMIFS(tblLimiteDespesaAdm[despesa],tblLimiteDespesaAdm[ano],tblLimiteDespesaAdm[[#This Row],[ano]],tblLimiteDespesaAdm[mês],"&lt;="&amp;tblLimiteDespesaAdm[[#This Row],[mês]]),0))</f>
        <v>8455.67</v>
      </c>
      <c r="G3">
        <f>YEAR(tblLimiteDespesaAdm[[#This Row],[data_base]])</f>
        <v>2022</v>
      </c>
      <c r="H3">
        <f>MONTH(tblLimiteDespesaAdm[[#This Row],[data_base]])</f>
        <v>2</v>
      </c>
    </row>
    <row r="4" spans="1:8" x14ac:dyDescent="0.25">
      <c r="A4" s="1">
        <v>44651</v>
      </c>
      <c r="B4" s="2">
        <v>7305255.5700000003</v>
      </c>
      <c r="C4" s="4">
        <v>3.5999999999999997E-2</v>
      </c>
      <c r="D4" s="2">
        <f>IFERROR(INDEX(tblManut[emp_atual],MATCH(tblLimiteDespesaAdm[[#This Row],[data_base]],tblManut[data_base],0)),0)</f>
        <v>10953</v>
      </c>
      <c r="E4" s="4">
        <f>IF(tblLimiteDespesaAdm[[#This Row],[despesa]]&gt;0,tblLimiteDespesaAdm[[#This Row],[despesa_acumulada]]/tblLimiteDespesaAdm[[#This Row],[vl_limite]],"")</f>
        <v>2.6568091717015722E-3</v>
      </c>
      <c r="F4" s="2">
        <f>IF(tblLimiteDespesaAdm[[#This Row],[mês]]=1,tblLimiteDespesaAdm[[#This Row],[despesa]],IF(tblLimiteDespesaAdm[[#This Row],[despesa]]&gt;0,SUMIFS(tblLimiteDespesaAdm[despesa],tblLimiteDespesaAdm[ano],tblLimiteDespesaAdm[[#This Row],[ano]],tblLimiteDespesaAdm[mês],"&lt;="&amp;tblLimiteDespesaAdm[[#This Row],[mês]]),0))</f>
        <v>19408.669999999998</v>
      </c>
      <c r="G4">
        <f>YEAR(tblLimiteDespesaAdm[[#This Row],[data_base]])</f>
        <v>2022</v>
      </c>
      <c r="H4">
        <f>MONTH(tblLimiteDespesaAdm[[#This Row],[data_base]])</f>
        <v>3</v>
      </c>
    </row>
    <row r="5" spans="1:8" x14ac:dyDescent="0.25">
      <c r="A5" s="1">
        <v>44681</v>
      </c>
      <c r="B5" s="2">
        <v>7305255.5700000003</v>
      </c>
      <c r="C5" s="4">
        <v>3.5999999999999997E-2</v>
      </c>
      <c r="D5" s="2">
        <f>IFERROR(INDEX(tblManut[emp_atual],MATCH(tblLimiteDespesaAdm[[#This Row],[data_base]],tblManut[data_base],0)),0)</f>
        <v>4654.24</v>
      </c>
      <c r="E5" s="4">
        <f>IF(tblLimiteDespesaAdm[[#This Row],[despesa]]&gt;0,tblLimiteDespesaAdm[[#This Row],[despesa_acumulada]]/tblLimiteDespesaAdm[[#This Row],[vl_limite]],"")</f>
        <v>3.293917614438778E-3</v>
      </c>
      <c r="F5" s="2">
        <f>IF(tblLimiteDespesaAdm[[#This Row],[mês]]=1,tblLimiteDespesaAdm[[#This Row],[despesa]],IF(tblLimiteDespesaAdm[[#This Row],[despesa]]&gt;0,SUMIFS(tblLimiteDespesaAdm[despesa],tblLimiteDespesaAdm[ano],tblLimiteDespesaAdm[[#This Row],[ano]],tblLimiteDespesaAdm[mês],"&lt;="&amp;tblLimiteDespesaAdm[[#This Row],[mês]]),0))</f>
        <v>24062.909999999996</v>
      </c>
      <c r="G5">
        <f>YEAR(tblLimiteDespesaAdm[[#This Row],[data_base]])</f>
        <v>2022</v>
      </c>
      <c r="H5">
        <f>MONTH(tblLimiteDespesaAdm[[#This Row],[data_base]])</f>
        <v>4</v>
      </c>
    </row>
    <row r="6" spans="1:8" x14ac:dyDescent="0.25">
      <c r="A6" s="1">
        <v>44712</v>
      </c>
      <c r="B6" s="2">
        <v>7305255.5700000003</v>
      </c>
      <c r="C6" s="4">
        <v>3.5999999999999997E-2</v>
      </c>
      <c r="D6" s="2">
        <f>IFERROR(INDEX(tblManut[emp_atual],MATCH(tblLimiteDespesaAdm[[#This Row],[data_base]],tblManut[data_base],0)),0)</f>
        <v>3799.99</v>
      </c>
      <c r="E6" s="4">
        <f>IF(tblLimiteDespesaAdm[[#This Row],[despesa]]&gt;0,tblLimiteDespesaAdm[[#This Row],[despesa_acumulada]]/tblLimiteDespesaAdm[[#This Row],[vl_limite]],"")</f>
        <v>3.8140896965224167E-3</v>
      </c>
      <c r="F6" s="2">
        <f>IF(tblLimiteDespesaAdm[[#This Row],[mês]]=1,tblLimiteDespesaAdm[[#This Row],[despesa]],IF(tblLimiteDespesaAdm[[#This Row],[despesa]]&gt;0,SUMIFS(tblLimiteDespesaAdm[despesa],tblLimiteDespesaAdm[ano],tblLimiteDespesaAdm[[#This Row],[ano]],tblLimiteDespesaAdm[mês],"&lt;="&amp;tblLimiteDespesaAdm[[#This Row],[mês]]),0))</f>
        <v>27862.899999999994</v>
      </c>
      <c r="G6">
        <f>YEAR(tblLimiteDespesaAdm[[#This Row],[data_base]])</f>
        <v>2022</v>
      </c>
      <c r="H6">
        <f>MONTH(tblLimiteDespesaAdm[[#This Row],[data_base]])</f>
        <v>5</v>
      </c>
    </row>
    <row r="7" spans="1:8" x14ac:dyDescent="0.25">
      <c r="A7" s="1">
        <v>44742</v>
      </c>
      <c r="B7" s="2">
        <v>7305255.5700000003</v>
      </c>
      <c r="C7" s="4">
        <v>3.5999999999999997E-2</v>
      </c>
      <c r="D7" s="2">
        <f>IFERROR(INDEX(tblManut[emp_atual],MATCH(tblLimiteDespesaAdm[[#This Row],[data_base]],tblManut[data_base],0)),0)</f>
        <v>8222.6299999999992</v>
      </c>
      <c r="E7" s="4">
        <f>IF(tblLimiteDespesaAdm[[#This Row],[despesa]]&gt;0,tblLimiteDespesaAdm[[#This Row],[despesa_acumulada]]/tblLimiteDespesaAdm[[#This Row],[vl_limite]],"")</f>
        <v>4.9396670183846818E-3</v>
      </c>
      <c r="F7" s="2">
        <f>IF(tblLimiteDespesaAdm[[#This Row],[mês]]=1,tblLimiteDespesaAdm[[#This Row],[despesa]],IF(tblLimiteDespesaAdm[[#This Row],[despesa]]&gt;0,SUMIFS(tblLimiteDespesaAdm[despesa],tblLimiteDespesaAdm[ano],tblLimiteDespesaAdm[[#This Row],[ano]],tblLimiteDespesaAdm[mês],"&lt;="&amp;tblLimiteDespesaAdm[[#This Row],[mês]]),0))</f>
        <v>36085.529999999992</v>
      </c>
      <c r="G7">
        <f>YEAR(tblLimiteDespesaAdm[[#This Row],[data_base]])</f>
        <v>2022</v>
      </c>
      <c r="H7">
        <f>MONTH(tblLimiteDespesaAdm[[#This Row],[data_base]])</f>
        <v>6</v>
      </c>
    </row>
    <row r="8" spans="1:8" x14ac:dyDescent="0.25">
      <c r="A8" s="1">
        <v>44773</v>
      </c>
      <c r="B8" s="2">
        <v>7305255.5700000003</v>
      </c>
      <c r="C8" s="4">
        <v>3.5999999999999997E-2</v>
      </c>
      <c r="D8" s="2">
        <f>IFERROR(INDEX(tblManut[emp_atual],MATCH(tblLimiteDespesaAdm[[#This Row],[data_base]],tblManut[data_base],0)),0)</f>
        <v>2781.85</v>
      </c>
      <c r="E8" s="4">
        <f>IF(tblLimiteDespesaAdm[[#This Row],[despesa]]&gt;0,tblLimiteDespesaAdm[[#This Row],[despesa_acumulada]]/tblLimiteDespesaAdm[[#This Row],[vl_limite]],"")</f>
        <v>5.3204682064258001E-3</v>
      </c>
      <c r="F8" s="2">
        <f>IF(tblLimiteDespesaAdm[[#This Row],[mês]]=1,tblLimiteDespesaAdm[[#This Row],[despesa]],IF(tblLimiteDespesaAdm[[#This Row],[despesa]]&gt;0,SUMIFS(tblLimiteDespesaAdm[despesa],tblLimiteDespesaAdm[ano],tblLimiteDespesaAdm[[#This Row],[ano]],tblLimiteDespesaAdm[mês],"&lt;="&amp;tblLimiteDespesaAdm[[#This Row],[mês]]),0))</f>
        <v>38867.37999999999</v>
      </c>
      <c r="G8">
        <f>YEAR(tblLimiteDespesaAdm[[#This Row],[data_base]])</f>
        <v>2022</v>
      </c>
      <c r="H8">
        <f>MONTH(tblLimiteDespesaAdm[[#This Row],[data_base]])</f>
        <v>7</v>
      </c>
    </row>
    <row r="9" spans="1:8" x14ac:dyDescent="0.25">
      <c r="A9" s="1">
        <v>44804</v>
      </c>
      <c r="B9" s="2">
        <v>7305255.5700000003</v>
      </c>
      <c r="C9" s="4">
        <v>3.5999999999999997E-2</v>
      </c>
      <c r="D9" s="2">
        <f>IFERROR(INDEX(tblManut[emp_atual],MATCH(tblLimiteDespesaAdm[[#This Row],[data_base]],tblManut[data_base],0)),0)</f>
        <v>6417.99</v>
      </c>
      <c r="E9" s="4">
        <f>IF(tblLimiteDespesaAdm[[#This Row],[despesa]]&gt;0,tblLimiteDespesaAdm[[#This Row],[despesa_acumulada]]/tblLimiteDespesaAdm[[#This Row],[vl_limite]],"")</f>
        <v>6.199012418671615E-3</v>
      </c>
      <c r="F9" s="2">
        <f>IF(tblLimiteDespesaAdm[[#This Row],[mês]]=1,tblLimiteDespesaAdm[[#This Row],[despesa]],IF(tblLimiteDespesaAdm[[#This Row],[despesa]]&gt;0,SUMIFS(tblLimiteDespesaAdm[despesa],tblLimiteDespesaAdm[ano],tblLimiteDespesaAdm[[#This Row],[ano]],tblLimiteDespesaAdm[mês],"&lt;="&amp;tblLimiteDespesaAdm[[#This Row],[mês]]),0))</f>
        <v>45285.369999999988</v>
      </c>
      <c r="G9">
        <f>YEAR(tblLimiteDespesaAdm[[#This Row],[data_base]])</f>
        <v>2022</v>
      </c>
      <c r="H9">
        <f>MONTH(tblLimiteDespesaAdm[[#This Row],[data_base]])</f>
        <v>8</v>
      </c>
    </row>
    <row r="10" spans="1:8" x14ac:dyDescent="0.25">
      <c r="A10" s="1">
        <v>44834</v>
      </c>
      <c r="B10" s="2">
        <v>7305255.5700000003</v>
      </c>
      <c r="C10" s="4">
        <v>3.5999999999999997E-2</v>
      </c>
      <c r="D10" s="2">
        <f>IFERROR(INDEX(tblManut[emp_atual],MATCH(tblLimiteDespesaAdm[[#This Row],[data_base]],tblManut[data_base],0)),0)</f>
        <v>5625.6900000000005</v>
      </c>
      <c r="E10" s="4">
        <f>IF(tblLimiteDespesaAdm[[#This Row],[despesa]]&gt;0,tblLimiteDespesaAdm[[#This Row],[despesa_acumulada]]/tblLimiteDespesaAdm[[#This Row],[vl_limite]],"")</f>
        <v>6.9691004663920315E-3</v>
      </c>
      <c r="F10" s="2">
        <f>IF(tblLimiteDespesaAdm[[#This Row],[mês]]=1,tblLimiteDespesaAdm[[#This Row],[despesa]],IF(tblLimiteDespesaAdm[[#This Row],[despesa]]&gt;0,SUMIFS(tblLimiteDespesaAdm[despesa],tblLimiteDespesaAdm[ano],tblLimiteDespesaAdm[[#This Row],[ano]],tblLimiteDespesaAdm[mês],"&lt;="&amp;tblLimiteDespesaAdm[[#This Row],[mês]]),0))</f>
        <v>50911.05999999999</v>
      </c>
      <c r="G10">
        <f>YEAR(tblLimiteDespesaAdm[[#This Row],[data_base]])</f>
        <v>2022</v>
      </c>
      <c r="H10">
        <f>MONTH(tblLimiteDespesaAdm[[#This Row],[data_base]])</f>
        <v>9</v>
      </c>
    </row>
    <row r="11" spans="1:8" x14ac:dyDescent="0.25">
      <c r="A11" s="1">
        <v>44865</v>
      </c>
      <c r="B11" s="2">
        <v>7305255.5700000003</v>
      </c>
      <c r="C11" s="4">
        <v>3.5999999999999997E-2</v>
      </c>
      <c r="D11" s="2">
        <f>IFERROR(INDEX(tblManut[emp_atual],MATCH(tblLimiteDespesaAdm[[#This Row],[data_base]],tblManut[data_base],0)),0)</f>
        <v>5345.42</v>
      </c>
      <c r="E11" s="4">
        <f>IF(tblLimiteDespesaAdm[[#This Row],[despesa]]&gt;0,tblLimiteDespesaAdm[[#This Row],[despesa_acumulada]]/tblLimiteDespesaAdm[[#This Row],[vl_limite]],"")</f>
        <v>7.7008229843490593E-3</v>
      </c>
      <c r="F11" s="2">
        <f>IF(tblLimiteDespesaAdm[[#This Row],[mês]]=1,tblLimiteDespesaAdm[[#This Row],[despesa]],IF(tblLimiteDespesaAdm[[#This Row],[despesa]]&gt;0,SUMIFS(tblLimiteDespesaAdm[despesa],tblLimiteDespesaAdm[ano],tblLimiteDespesaAdm[[#This Row],[ano]],tblLimiteDespesaAdm[mês],"&lt;="&amp;tblLimiteDespesaAdm[[#This Row],[mês]]),0))</f>
        <v>56256.479999999989</v>
      </c>
      <c r="G11">
        <f>YEAR(tblLimiteDespesaAdm[[#This Row],[data_base]])</f>
        <v>2022</v>
      </c>
      <c r="H11">
        <f>MONTH(tblLimiteDespesaAdm[[#This Row],[data_base]])</f>
        <v>10</v>
      </c>
    </row>
    <row r="12" spans="1:8" x14ac:dyDescent="0.25">
      <c r="A12" s="1">
        <v>44895</v>
      </c>
      <c r="B12" s="2">
        <v>7305255.5700000003</v>
      </c>
      <c r="C12" s="4">
        <v>3.5999999999999997E-2</v>
      </c>
      <c r="D12" s="2">
        <f>IFERROR(INDEX(tblManut[emp_atual],MATCH(tblLimiteDespesaAdm[[#This Row],[data_base]],tblManut[data_base],0)),0)</f>
        <v>0</v>
      </c>
      <c r="E12" s="4" t="str">
        <f>IF(tblLimiteDespesaAdm[[#This Row],[despesa]]&gt;0,tblLimiteDespesaAdm[[#This Row],[despesa_acumulada]]/tblLimiteDespesaAdm[[#This Row],[vl_limite]],"")</f>
        <v/>
      </c>
      <c r="F12" s="2">
        <f>IF(tblLimiteDespesaAdm[[#This Row],[mês]]=1,tblLimiteDespesaAdm[[#This Row],[despesa]],IF(tblLimiteDespesaAdm[[#This Row],[despesa]]&gt;0,SUMIFS(tblLimiteDespesaAdm[despesa],tblLimiteDespesaAdm[ano],tblLimiteDespesaAdm[[#This Row],[ano]],tblLimiteDespesaAdm[mês],"&lt;="&amp;tblLimiteDespesaAdm[[#This Row],[mês]]),0))</f>
        <v>0</v>
      </c>
      <c r="G12">
        <f>YEAR(tblLimiteDespesaAdm[[#This Row],[data_base]])</f>
        <v>2022</v>
      </c>
      <c r="H12">
        <f>MONTH(tblLimiteDespesaAdm[[#This Row],[data_base]])</f>
        <v>11</v>
      </c>
    </row>
    <row r="13" spans="1:8" x14ac:dyDescent="0.25">
      <c r="A13" s="1">
        <v>44926</v>
      </c>
      <c r="B13" s="2">
        <v>7305255.5700000003</v>
      </c>
      <c r="C13" s="4">
        <v>3.5999999999999997E-2</v>
      </c>
      <c r="D13" s="2">
        <f>IFERROR(INDEX(tblManut[emp_atual],MATCH(tblLimiteDespesaAdm[[#This Row],[data_base]],tblManut[data_base],0)),0)</f>
        <v>0</v>
      </c>
      <c r="E13" s="4" t="str">
        <f>IF(tblLimiteDespesaAdm[[#This Row],[despesa]]&gt;0,tblLimiteDespesaAdm[[#This Row],[despesa_acumulada]]/tblLimiteDespesaAdm[[#This Row],[vl_limite]],"")</f>
        <v/>
      </c>
      <c r="F13" s="2">
        <f>IF(tblLimiteDespesaAdm[[#This Row],[mês]]=1,tblLimiteDespesaAdm[[#This Row],[despesa]],IF(tblLimiteDespesaAdm[[#This Row],[despesa]]&gt;0,SUMIFS(tblLimiteDespesaAdm[despesa],tblLimiteDespesaAdm[ano],tblLimiteDespesaAdm[[#This Row],[ano]],tblLimiteDespesaAdm[mês],"&lt;="&amp;tblLimiteDespesaAdm[[#This Row],[mês]]),0))</f>
        <v>0</v>
      </c>
      <c r="G13">
        <f>YEAR(tblLimiteDespesaAdm[[#This Row],[data_base]])</f>
        <v>2022</v>
      </c>
      <c r="H13">
        <f>MONTH(tblLimiteDespesaAdm[[#This Row],[data_base]])</f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245D2-65C3-4362-94B7-29D190DA0C05}">
  <dimension ref="A1:I13"/>
  <sheetViews>
    <sheetView workbookViewId="0">
      <selection activeCell="I2" sqref="I2"/>
    </sheetView>
  </sheetViews>
  <sheetFormatPr defaultRowHeight="15" x14ac:dyDescent="0.25"/>
  <cols>
    <col min="1" max="1" width="12.28515625" bestFit="1" customWidth="1"/>
    <col min="2" max="2" width="11.5703125" bestFit="1" customWidth="1"/>
    <col min="3" max="3" width="12" bestFit="1" customWidth="1"/>
    <col min="4" max="4" width="12.42578125" bestFit="1" customWidth="1"/>
    <col min="5" max="5" width="6.5703125" bestFit="1" customWidth="1"/>
    <col min="6" max="6" width="7" bestFit="1" customWidth="1"/>
    <col min="7" max="7" width="17.42578125" bestFit="1" customWidth="1"/>
    <col min="8" max="8" width="13.28515625" bestFit="1" customWidth="1"/>
    <col min="9" max="9" width="13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4</v>
      </c>
      <c r="H1" t="s">
        <v>5</v>
      </c>
      <c r="I1" t="s">
        <v>6</v>
      </c>
    </row>
    <row r="2" spans="1:9" x14ac:dyDescent="0.25">
      <c r="A2" s="1">
        <v>44592</v>
      </c>
      <c r="B2" s="2">
        <v>0</v>
      </c>
      <c r="C2" s="2">
        <v>0</v>
      </c>
      <c r="D2" s="2">
        <v>0</v>
      </c>
      <c r="E2" s="3">
        <f>YEAR(tblContribServ[[#This Row],[data_base]])</f>
        <v>2022</v>
      </c>
      <c r="F2" s="3">
        <f>MONTH(tblContribServ[[#This Row],[data_base]])</f>
        <v>1</v>
      </c>
      <c r="G2" s="2">
        <f>IF(tblContribServ[[#This Row],[mês]]=1,tblContribServ[[#This Row],[arrec_ant]],IF(tblContribServ[[#This Row],[arrec_ant]]&gt;0,SUMIFS(tblContribServ[arrec_ant],tblContribServ[ano],tblContribServ[[#This Row],[ano]],tblContribServ[mês],"&lt;="&amp;tblContribServ[[#This Row],[mês]]),""))</f>
        <v>0</v>
      </c>
      <c r="H2" s="2">
        <f>IF(tblContribServ[[#This Row],[mês]]=1,tblContribServ[[#This Row],[prev_mes]],IF(tblContribServ[[#This Row],[prev_mes]]&gt;0,SUMIFS(tblContribServ[prev_mes],tblContribServ[ano],tblContribServ[[#This Row],[ano]],tblContribServ[mês],"&lt;="&amp;tblContribServ[[#This Row],[mês]]),""))</f>
        <v>0</v>
      </c>
      <c r="I2" s="2">
        <f>IF(tblContribServ[[#This Row],[mês]]=1,tblContribServ[[#This Row],[arrec_mes]],IF(tblContribServ[[#This Row],[arrec_mes]]&gt;0,SUMIFS(tblContribServ[arrec_mes],tblContribServ[ano],tblContribServ[[#This Row],[ano]],tblContribServ[mês],"&lt;="&amp;tblContribServ[[#This Row],[mês]]),""))</f>
        <v>0</v>
      </c>
    </row>
    <row r="3" spans="1:9" x14ac:dyDescent="0.25">
      <c r="A3" s="1">
        <v>44620</v>
      </c>
      <c r="B3" s="2">
        <v>95849.97</v>
      </c>
      <c r="C3" s="2">
        <v>95243.88</v>
      </c>
      <c r="D3" s="2">
        <v>96966.040000000008</v>
      </c>
      <c r="E3" s="3">
        <f>YEAR(tblContribServ[[#This Row],[data_base]])</f>
        <v>2022</v>
      </c>
      <c r="F3" s="3">
        <f>MONTH(tblContribServ[[#This Row],[data_base]])</f>
        <v>2</v>
      </c>
      <c r="G3" s="2">
        <f>IF(tblContribServ[[#This Row],[mês]]=1,tblContribServ[[#This Row],[arrec_ant]],IF(tblContribServ[[#This Row],[arrec_ant]]&gt;0,SUMIFS(tblContribServ[arrec_ant],tblContribServ[ano],tblContribServ[[#This Row],[ano]],tblContribServ[mês],"&lt;="&amp;tblContribServ[[#This Row],[mês]]),""))</f>
        <v>95849.97</v>
      </c>
      <c r="H3" s="2">
        <f>IF(tblContribServ[[#This Row],[mês]]=1,tblContribServ[[#This Row],[prev_mes]],IF(tblContribServ[[#This Row],[prev_mes]]&gt;0,SUMIFS(tblContribServ[prev_mes],tblContribServ[ano],tblContribServ[[#This Row],[ano]],tblContribServ[mês],"&lt;="&amp;tblContribServ[[#This Row],[mês]]),""))</f>
        <v>95243.88</v>
      </c>
      <c r="I3" s="2">
        <f>IF(tblContribServ[[#This Row],[mês]]=1,tblContribServ[[#This Row],[arrec_mes]],IF(tblContribServ[[#This Row],[arrec_mes]]&gt;0,SUMIFS(tblContribServ[arrec_mes],tblContribServ[ano],tblContribServ[[#This Row],[ano]],tblContribServ[mês],"&lt;="&amp;tblContribServ[[#This Row],[mês]]),""))</f>
        <v>96966.040000000008</v>
      </c>
    </row>
    <row r="4" spans="1:9" x14ac:dyDescent="0.25">
      <c r="A4" s="1">
        <v>44651</v>
      </c>
      <c r="B4" s="2">
        <v>80974.649999999994</v>
      </c>
      <c r="C4" s="2">
        <v>80253.59</v>
      </c>
      <c r="D4" s="2">
        <v>94320.73000000001</v>
      </c>
      <c r="E4" s="3">
        <f>YEAR(tblContribServ[[#This Row],[data_base]])</f>
        <v>2022</v>
      </c>
      <c r="F4" s="3">
        <f>MONTH(tblContribServ[[#This Row],[data_base]])</f>
        <v>3</v>
      </c>
      <c r="G4" s="2">
        <f>IF(tblContribServ[[#This Row],[mês]]=1,tblContribServ[[#This Row],[arrec_ant]],IF(tblContribServ[[#This Row],[arrec_ant]]&gt;0,SUMIFS(tblContribServ[arrec_ant],tblContribServ[ano],tblContribServ[[#This Row],[ano]],tblContribServ[mês],"&lt;="&amp;tblContribServ[[#This Row],[mês]]),""))</f>
        <v>176824.62</v>
      </c>
      <c r="H4" s="2">
        <f>IF(tblContribServ[[#This Row],[mês]]=1,tblContribServ[[#This Row],[prev_mes]],IF(tblContribServ[[#This Row],[prev_mes]]&gt;0,SUMIFS(tblContribServ[prev_mes],tblContribServ[ano],tblContribServ[[#This Row],[ano]],tblContribServ[mês],"&lt;="&amp;tblContribServ[[#This Row],[mês]]),""))</f>
        <v>175497.47</v>
      </c>
      <c r="I4" s="2">
        <f>IF(tblContribServ[[#This Row],[mês]]=1,tblContribServ[[#This Row],[arrec_mes]],IF(tblContribServ[[#This Row],[arrec_mes]]&gt;0,SUMIFS(tblContribServ[arrec_mes],tblContribServ[ano],tblContribServ[[#This Row],[ano]],tblContribServ[mês],"&lt;="&amp;tblContribServ[[#This Row],[mês]]),""))</f>
        <v>191286.77000000002</v>
      </c>
    </row>
    <row r="5" spans="1:9" x14ac:dyDescent="0.25">
      <c r="A5" s="1">
        <v>44681</v>
      </c>
      <c r="B5" s="2">
        <v>79577.600000000006</v>
      </c>
      <c r="C5" s="2">
        <v>79925.759999999995</v>
      </c>
      <c r="D5" s="2">
        <v>93586.77</v>
      </c>
      <c r="E5" s="3">
        <f>YEAR(tblContribServ[[#This Row],[data_base]])</f>
        <v>2022</v>
      </c>
      <c r="F5" s="3">
        <f>MONTH(tblContribServ[[#This Row],[data_base]])</f>
        <v>4</v>
      </c>
      <c r="G5" s="2">
        <f>IF(tblContribServ[[#This Row],[mês]]=1,tblContribServ[[#This Row],[arrec_ant]],IF(tblContribServ[[#This Row],[arrec_ant]]&gt;0,SUMIFS(tblContribServ[arrec_ant],tblContribServ[ano],tblContribServ[[#This Row],[ano]],tblContribServ[mês],"&lt;="&amp;tblContribServ[[#This Row],[mês]]),""))</f>
        <v>256402.22</v>
      </c>
      <c r="H5" s="2">
        <f>IF(tblContribServ[[#This Row],[mês]]=1,tblContribServ[[#This Row],[prev_mes]],IF(tblContribServ[[#This Row],[prev_mes]]&gt;0,SUMIFS(tblContribServ[prev_mes],tblContribServ[ano],tblContribServ[[#This Row],[ano]],tblContribServ[mês],"&lt;="&amp;tblContribServ[[#This Row],[mês]]),""))</f>
        <v>255423.22999999998</v>
      </c>
      <c r="I5" s="2">
        <f>IF(tblContribServ[[#This Row],[mês]]=1,tblContribServ[[#This Row],[arrec_mes]],IF(tblContribServ[[#This Row],[arrec_mes]]&gt;0,SUMIFS(tblContribServ[arrec_mes],tblContribServ[ano],tblContribServ[[#This Row],[ano]],tblContribServ[mês],"&lt;="&amp;tblContribServ[[#This Row],[mês]]),""))</f>
        <v>284873.54000000004</v>
      </c>
    </row>
    <row r="6" spans="1:9" x14ac:dyDescent="0.25">
      <c r="A6" s="1">
        <v>44712</v>
      </c>
      <c r="B6" s="2">
        <v>78437.37</v>
      </c>
      <c r="C6" s="2">
        <v>80379.28</v>
      </c>
      <c r="D6" s="2">
        <v>93077.35</v>
      </c>
      <c r="E6" s="3">
        <f>YEAR(tblContribServ[[#This Row],[data_base]])</f>
        <v>2022</v>
      </c>
      <c r="F6" s="3">
        <f>MONTH(tblContribServ[[#This Row],[data_base]])</f>
        <v>5</v>
      </c>
      <c r="G6" s="2">
        <f>IF(tblContribServ[[#This Row],[mês]]=1,tblContribServ[[#This Row],[arrec_ant]],IF(tblContribServ[[#This Row],[arrec_ant]]&gt;0,SUMIFS(tblContribServ[arrec_ant],tblContribServ[ano],tblContribServ[[#This Row],[ano]],tblContribServ[mês],"&lt;="&amp;tblContribServ[[#This Row],[mês]]),""))</f>
        <v>334839.58999999997</v>
      </c>
      <c r="H6" s="2">
        <f>IF(tblContribServ[[#This Row],[mês]]=1,tblContribServ[[#This Row],[prev_mes]],IF(tblContribServ[[#This Row],[prev_mes]]&gt;0,SUMIFS(tblContribServ[prev_mes],tblContribServ[ano],tblContribServ[[#This Row],[ano]],tblContribServ[mês],"&lt;="&amp;tblContribServ[[#This Row],[mês]]),""))</f>
        <v>335802.51</v>
      </c>
      <c r="I6" s="2">
        <f>IF(tblContribServ[[#This Row],[mês]]=1,tblContribServ[[#This Row],[arrec_mes]],IF(tblContribServ[[#This Row],[arrec_mes]]&gt;0,SUMIFS(tblContribServ[arrec_mes],tblContribServ[ano],tblContribServ[[#This Row],[ano]],tblContribServ[mês],"&lt;="&amp;tblContribServ[[#This Row],[mês]]),""))</f>
        <v>377950.89</v>
      </c>
    </row>
    <row r="7" spans="1:9" x14ac:dyDescent="0.25">
      <c r="A7" s="1">
        <v>44742</v>
      </c>
      <c r="B7" s="2">
        <v>79030.59</v>
      </c>
      <c r="C7" s="2">
        <v>80541.210000000006</v>
      </c>
      <c r="D7" s="2">
        <v>96450.49</v>
      </c>
      <c r="E7" s="3">
        <f>YEAR(tblContribServ[[#This Row],[data_base]])</f>
        <v>2022</v>
      </c>
      <c r="F7" s="3">
        <f>MONTH(tblContribServ[[#This Row],[data_base]])</f>
        <v>6</v>
      </c>
      <c r="G7" s="2">
        <f>IF(tblContribServ[[#This Row],[mês]]=1,tblContribServ[[#This Row],[arrec_ant]],IF(tblContribServ[[#This Row],[arrec_ant]]&gt;0,SUMIFS(tblContribServ[arrec_ant],tblContribServ[ano],tblContribServ[[#This Row],[ano]],tblContribServ[mês],"&lt;="&amp;tblContribServ[[#This Row],[mês]]),""))</f>
        <v>413870.17999999993</v>
      </c>
      <c r="H7" s="2">
        <f>IF(tblContribServ[[#This Row],[mês]]=1,tblContribServ[[#This Row],[prev_mes]],IF(tblContribServ[[#This Row],[prev_mes]]&gt;0,SUMIFS(tblContribServ[prev_mes],tblContribServ[ano],tblContribServ[[#This Row],[ano]],tblContribServ[mês],"&lt;="&amp;tblContribServ[[#This Row],[mês]]),""))</f>
        <v>416343.72000000003</v>
      </c>
      <c r="I7" s="2">
        <f>IF(tblContribServ[[#This Row],[mês]]=1,tblContribServ[[#This Row],[arrec_mes]],IF(tblContribServ[[#This Row],[arrec_mes]]&gt;0,SUMIFS(tblContribServ[arrec_mes],tblContribServ[ano],tblContribServ[[#This Row],[ano]],tblContribServ[mês],"&lt;="&amp;tblContribServ[[#This Row],[mês]]),""))</f>
        <v>474401.38</v>
      </c>
    </row>
    <row r="8" spans="1:9" x14ac:dyDescent="0.25">
      <c r="A8" s="1">
        <v>44773</v>
      </c>
      <c r="B8" s="2">
        <v>78466.33</v>
      </c>
      <c r="C8" s="2">
        <v>80515.58</v>
      </c>
      <c r="D8" s="2">
        <v>97902.74</v>
      </c>
      <c r="E8" s="3">
        <f>YEAR(tblContribServ[[#This Row],[data_base]])</f>
        <v>2022</v>
      </c>
      <c r="F8" s="3">
        <f>MONTH(tblContribServ[[#This Row],[data_base]])</f>
        <v>7</v>
      </c>
      <c r="G8" s="2">
        <f>IF(tblContribServ[[#This Row],[mês]]=1,tblContribServ[[#This Row],[arrec_ant]],IF(tblContribServ[[#This Row],[arrec_ant]]&gt;0,SUMIFS(tblContribServ[arrec_ant],tblContribServ[ano],tblContribServ[[#This Row],[ano]],tblContribServ[mês],"&lt;="&amp;tblContribServ[[#This Row],[mês]]),""))</f>
        <v>492336.50999999995</v>
      </c>
      <c r="H8" s="2">
        <f>IF(tblContribServ[[#This Row],[mês]]=1,tblContribServ[[#This Row],[prev_mes]],IF(tblContribServ[[#This Row],[prev_mes]]&gt;0,SUMIFS(tblContribServ[prev_mes],tblContribServ[ano],tblContribServ[[#This Row],[ano]],tblContribServ[mês],"&lt;="&amp;tblContribServ[[#This Row],[mês]]),""))</f>
        <v>496859.30000000005</v>
      </c>
      <c r="I8" s="2">
        <f>IF(tblContribServ[[#This Row],[mês]]=1,tblContribServ[[#This Row],[arrec_mes]],IF(tblContribServ[[#This Row],[arrec_mes]]&gt;0,SUMIFS(tblContribServ[arrec_mes],tblContribServ[ano],tblContribServ[[#This Row],[ano]],tblContribServ[mês],"&lt;="&amp;tblContribServ[[#This Row],[mês]]),""))</f>
        <v>572304.12</v>
      </c>
    </row>
    <row r="9" spans="1:9" x14ac:dyDescent="0.25">
      <c r="A9" s="1">
        <v>44804</v>
      </c>
      <c r="B9" s="2">
        <v>77153.89</v>
      </c>
      <c r="C9" s="2">
        <v>87639.24</v>
      </c>
      <c r="D9" s="2">
        <v>100662.45000000001</v>
      </c>
      <c r="E9" s="3">
        <f>YEAR(tblContribServ[[#This Row],[data_base]])</f>
        <v>2022</v>
      </c>
      <c r="F9" s="3">
        <f>MONTH(tblContribServ[[#This Row],[data_base]])</f>
        <v>8</v>
      </c>
      <c r="G9" s="2">
        <f>IF(tblContribServ[[#This Row],[mês]]=1,tblContribServ[[#This Row],[arrec_ant]],IF(tblContribServ[[#This Row],[arrec_ant]]&gt;0,SUMIFS(tblContribServ[arrec_ant],tblContribServ[ano],tblContribServ[[#This Row],[ano]],tblContribServ[mês],"&lt;="&amp;tblContribServ[[#This Row],[mês]]),""))</f>
        <v>569490.39999999991</v>
      </c>
      <c r="H9" s="2">
        <f>IF(tblContribServ[[#This Row],[mês]]=1,tblContribServ[[#This Row],[prev_mes]],IF(tblContribServ[[#This Row],[prev_mes]]&gt;0,SUMIFS(tblContribServ[prev_mes],tblContribServ[ano],tblContribServ[[#This Row],[ano]],tblContribServ[mês],"&lt;="&amp;tblContribServ[[#This Row],[mês]]),""))</f>
        <v>584498.54</v>
      </c>
      <c r="I9" s="2">
        <f>IF(tblContribServ[[#This Row],[mês]]=1,tblContribServ[[#This Row],[arrec_mes]],IF(tblContribServ[[#This Row],[arrec_mes]]&gt;0,SUMIFS(tblContribServ[arrec_mes],tblContribServ[ano],tblContribServ[[#This Row],[ano]],tblContribServ[mês],"&lt;="&amp;tblContribServ[[#This Row],[mês]]),""))</f>
        <v>672966.57000000007</v>
      </c>
    </row>
    <row r="10" spans="1:9" x14ac:dyDescent="0.25">
      <c r="A10" s="1">
        <v>44834</v>
      </c>
      <c r="B10" s="2">
        <v>77815.67</v>
      </c>
      <c r="C10" s="2">
        <v>88365.5</v>
      </c>
      <c r="D10" s="2">
        <v>100851.53</v>
      </c>
      <c r="E10" s="3">
        <f>YEAR(tblContribServ[[#This Row],[data_base]])</f>
        <v>2022</v>
      </c>
      <c r="F10" s="3">
        <f>MONTH(tblContribServ[[#This Row],[data_base]])</f>
        <v>9</v>
      </c>
      <c r="G10" s="2">
        <f>IF(tblContribServ[[#This Row],[mês]]=1,tblContribServ[[#This Row],[arrec_ant]],IF(tblContribServ[[#This Row],[arrec_ant]]&gt;0,SUMIFS(tblContribServ[arrec_ant],tblContribServ[ano],tblContribServ[[#This Row],[ano]],tblContribServ[mês],"&lt;="&amp;tblContribServ[[#This Row],[mês]]),""))</f>
        <v>647306.06999999995</v>
      </c>
      <c r="H10" s="2">
        <f>IF(tblContribServ[[#This Row],[mês]]=1,tblContribServ[[#This Row],[prev_mes]],IF(tblContribServ[[#This Row],[prev_mes]]&gt;0,SUMIFS(tblContribServ[prev_mes],tblContribServ[ano],tblContribServ[[#This Row],[ano]],tblContribServ[mês],"&lt;="&amp;tblContribServ[[#This Row],[mês]]),""))</f>
        <v>672864.04</v>
      </c>
      <c r="I10" s="2">
        <f>IF(tblContribServ[[#This Row],[mês]]=1,tblContribServ[[#This Row],[arrec_mes]],IF(tblContribServ[[#This Row],[arrec_mes]]&gt;0,SUMIFS(tblContribServ[arrec_mes],tblContribServ[ano],tblContribServ[[#This Row],[ano]],tblContribServ[mês],"&lt;="&amp;tblContribServ[[#This Row],[mês]]),""))</f>
        <v>773818.10000000009</v>
      </c>
    </row>
    <row r="11" spans="1:9" x14ac:dyDescent="0.25">
      <c r="A11" s="1">
        <v>44865</v>
      </c>
      <c r="B11" s="2">
        <v>77335.429999999993</v>
      </c>
      <c r="C11" s="2">
        <v>86862.69</v>
      </c>
      <c r="D11" s="2">
        <v>95775.12000000001</v>
      </c>
      <c r="E11" s="3">
        <f>YEAR(tblContribServ[[#This Row],[data_base]])</f>
        <v>2022</v>
      </c>
      <c r="F11" s="3">
        <f>MONTH(tblContribServ[[#This Row],[data_base]])</f>
        <v>10</v>
      </c>
      <c r="G11" s="2">
        <f>IF(tblContribServ[[#This Row],[mês]]=1,tblContribServ[[#This Row],[arrec_ant]],IF(tblContribServ[[#This Row],[arrec_ant]]&gt;0,SUMIFS(tblContribServ[arrec_ant],tblContribServ[ano],tblContribServ[[#This Row],[ano]],tblContribServ[mês],"&lt;="&amp;tblContribServ[[#This Row],[mês]]),""))</f>
        <v>724641.5</v>
      </c>
      <c r="H11" s="2">
        <f>IF(tblContribServ[[#This Row],[mês]]=1,tblContribServ[[#This Row],[prev_mes]],IF(tblContribServ[[#This Row],[prev_mes]]&gt;0,SUMIFS(tblContribServ[prev_mes],tblContribServ[ano],tblContribServ[[#This Row],[ano]],tblContribServ[mês],"&lt;="&amp;tblContribServ[[#This Row],[mês]]),""))</f>
        <v>759726.73</v>
      </c>
      <c r="I11" s="2">
        <f>IF(tblContribServ[[#This Row],[mês]]=1,tblContribServ[[#This Row],[arrec_mes]],IF(tblContribServ[[#This Row],[arrec_mes]]&gt;0,SUMIFS(tblContribServ[arrec_mes],tblContribServ[ano],tblContribServ[[#This Row],[ano]],tblContribServ[mês],"&lt;="&amp;tblContribServ[[#This Row],[mês]]),""))</f>
        <v>869593.22000000009</v>
      </c>
    </row>
    <row r="12" spans="1:9" x14ac:dyDescent="0.25">
      <c r="A12" s="1">
        <v>44895</v>
      </c>
      <c r="B12" s="2">
        <v>75847.39</v>
      </c>
      <c r="C12" s="2">
        <v>87059.02</v>
      </c>
      <c r="D12" s="2">
        <v>0</v>
      </c>
      <c r="E12" s="3">
        <f>YEAR(tblContribServ[[#This Row],[data_base]])</f>
        <v>2022</v>
      </c>
      <c r="F12" s="3">
        <f>MONTH(tblContribServ[[#This Row],[data_base]])</f>
        <v>11</v>
      </c>
      <c r="G12" s="2">
        <f>IF(tblContribServ[[#This Row],[mês]]=1,tblContribServ[[#This Row],[arrec_ant]],IF(tblContribServ[[#This Row],[arrec_ant]]&gt;0,SUMIFS(tblContribServ[arrec_ant],tblContribServ[ano],tblContribServ[[#This Row],[ano]],tblContribServ[mês],"&lt;="&amp;tblContribServ[[#This Row],[mês]]),""))</f>
        <v>800488.89</v>
      </c>
      <c r="H12" s="2">
        <f>IF(tblContribServ[[#This Row],[mês]]=1,tblContribServ[[#This Row],[prev_mes]],IF(tblContribServ[[#This Row],[prev_mes]]&gt;0,SUMIFS(tblContribServ[prev_mes],tblContribServ[ano],tblContribServ[[#This Row],[ano]],tblContribServ[mês],"&lt;="&amp;tblContribServ[[#This Row],[mês]]),""))</f>
        <v>846785.75</v>
      </c>
      <c r="I12" s="2" t="str">
        <f>IF(tblContribServ[[#This Row],[mês]]=1,tblContribServ[[#This Row],[arrec_mes]],IF(tblContribServ[[#This Row],[arrec_mes]]&gt;0,SUMIFS(tblContribServ[arrec_mes],tblContribServ[ano],tblContribServ[[#This Row],[ano]],tblContribServ[mês],"&lt;="&amp;tblContribServ[[#This Row],[mês]]),""))</f>
        <v/>
      </c>
    </row>
    <row r="13" spans="1:9" x14ac:dyDescent="0.25">
      <c r="A13" s="1">
        <v>44926</v>
      </c>
      <c r="B13" s="2">
        <v>240185.71</v>
      </c>
      <c r="C13" s="2">
        <v>267222.25</v>
      </c>
      <c r="D13" s="2">
        <v>0</v>
      </c>
      <c r="E13" s="3">
        <f>YEAR(tblContribServ[[#This Row],[data_base]])</f>
        <v>2022</v>
      </c>
      <c r="F13" s="3">
        <f>MONTH(tblContribServ[[#This Row],[data_base]])</f>
        <v>12</v>
      </c>
      <c r="G13" s="2">
        <f>IF(tblContribServ[[#This Row],[mês]]=1,tblContribServ[[#This Row],[arrec_ant]],IF(tblContribServ[[#This Row],[arrec_ant]]&gt;0,SUMIFS(tblContribServ[arrec_ant],tblContribServ[ano],tblContribServ[[#This Row],[ano]],tblContribServ[mês],"&lt;="&amp;tblContribServ[[#This Row],[mês]]),""))</f>
        <v>1040674.6</v>
      </c>
      <c r="H13" s="2">
        <f>IF(tblContribServ[[#This Row],[mês]]=1,tblContribServ[[#This Row],[prev_mes]],IF(tblContribServ[[#This Row],[prev_mes]]&gt;0,SUMIFS(tblContribServ[prev_mes],tblContribServ[ano],tblContribServ[[#This Row],[ano]],tblContribServ[mês],"&lt;="&amp;tblContribServ[[#This Row],[mês]]),""))</f>
        <v>1114008</v>
      </c>
      <c r="I13" s="2" t="str">
        <f>IF(tblContribServ[[#This Row],[mês]]=1,tblContribServ[[#This Row],[arrec_mes]],IF(tblContribServ[[#This Row],[arrec_mes]]&gt;0,SUMIFS(tblContribServ[arrec_mes],tblContribServ[ano],tblContribServ[[#This Row],[ano]],tblContribServ[mês],"&lt;="&amp;tblContribServ[[#This Row],[mês]]),""))</f>
        <v/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B6C36-3708-407B-B2C5-609F679CEE03}">
  <dimension ref="A1:I14"/>
  <sheetViews>
    <sheetView workbookViewId="0">
      <selection activeCell="I2" sqref="I2"/>
    </sheetView>
  </sheetViews>
  <sheetFormatPr defaultRowHeight="15" x14ac:dyDescent="0.25"/>
  <cols>
    <col min="1" max="1" width="12.28515625" bestFit="1" customWidth="1"/>
    <col min="2" max="2" width="11.5703125" bestFit="1" customWidth="1"/>
    <col min="3" max="3" width="12" bestFit="1" customWidth="1"/>
    <col min="4" max="4" width="12.42578125" bestFit="1" customWidth="1"/>
    <col min="5" max="5" width="6.5703125" bestFit="1" customWidth="1"/>
    <col min="6" max="6" width="7" bestFit="1" customWidth="1"/>
    <col min="7" max="7" width="17.42578125" bestFit="1" customWidth="1"/>
    <col min="8" max="8" width="13.28515625" bestFit="1" customWidth="1"/>
    <col min="9" max="9" width="13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4</v>
      </c>
      <c r="H1" t="s">
        <v>5</v>
      </c>
      <c r="I1" t="s">
        <v>6</v>
      </c>
    </row>
    <row r="2" spans="1:9" x14ac:dyDescent="0.25">
      <c r="A2" s="1">
        <v>44592</v>
      </c>
      <c r="B2" s="2">
        <v>0</v>
      </c>
      <c r="C2" s="2">
        <v>0</v>
      </c>
      <c r="D2" s="2">
        <v>0</v>
      </c>
      <c r="E2" s="3">
        <f>YEAR(tblPatronalNormal[[#This Row],[data_base]])</f>
        <v>2022</v>
      </c>
      <c r="F2" s="3">
        <f>MONTH(tblPatronalNormal[[#This Row],[data_base]])</f>
        <v>1</v>
      </c>
      <c r="G2" s="2">
        <f>IF(tblPatronalNormal[[#This Row],[mês]]=1,tblPatronalNormal[[#This Row],[arrec_ant]],IF(tblPatronalNormal[[#This Row],[arrec_ant]]&gt;0,SUMIFS(tblPatronalNormal[arrec_ant],tblPatronalNormal[ano],tblPatronalNormal[[#This Row],[ano]],tblPatronalNormal[mês],"&lt;="&amp;tblPatronalNormal[[#This Row],[mês]]),""))</f>
        <v>0</v>
      </c>
      <c r="H2" s="2">
        <f>IF(tblPatronalNormal[[#This Row],[mês]]=1,tblPatronalNormal[[#This Row],[prev_mes]],IF(tblPatronalNormal[[#This Row],[prev_mes]]&gt;0,SUMIFS(tblPatronalNormal[prev_mes],tblPatronalNormal[ano],tblPatronalNormal[[#This Row],[ano]],tblPatronalNormal[mês],"&lt;="&amp;tblPatronalNormal[[#This Row],[mês]]),""))</f>
        <v>0</v>
      </c>
      <c r="I2" s="2">
        <f>IF(tblPatronalNormal[[#This Row],[mês]]=1,tblPatronalNormal[[#This Row],[arrec_mes]],IF(tblPatronalNormal[[#This Row],[arrec_mes]]&gt;0,SUMIFS(tblPatronalNormal[arrec_mes],tblPatronalNormal[ano],tblPatronalNormal[[#This Row],[ano]],tblPatronalNormal[mês],"&lt;="&amp;tblPatronalNormal[[#This Row],[mês]]),""))</f>
        <v>0</v>
      </c>
    </row>
    <row r="3" spans="1:9" x14ac:dyDescent="0.25">
      <c r="A3" s="1">
        <v>44620</v>
      </c>
      <c r="B3" s="2">
        <v>109252.6</v>
      </c>
      <c r="C3" s="2">
        <v>122909.84000000001</v>
      </c>
      <c r="D3" s="2">
        <v>110818.20999999999</v>
      </c>
      <c r="E3" s="3">
        <f>YEAR(tblPatronalNormal[[#This Row],[data_base]])</f>
        <v>2022</v>
      </c>
      <c r="F3" s="3">
        <f>MONTH(tblPatronalNormal[[#This Row],[data_base]])</f>
        <v>2</v>
      </c>
      <c r="G3" s="2">
        <f>IF(tblPatronalNormal[[#This Row],[mês]]=1,tblPatronalNormal[[#This Row],[arrec_ant]],IF(tblPatronalNormal[[#This Row],[arrec_ant]]&gt;0,SUMIFS(tblPatronalNormal[arrec_ant],tblPatronalNormal[ano],tblPatronalNormal[[#This Row],[ano]],tblPatronalNormal[mês],"&lt;="&amp;tblPatronalNormal[[#This Row],[mês]]),""))</f>
        <v>109252.6</v>
      </c>
      <c r="H3" s="2">
        <f>IF(tblPatronalNormal[[#This Row],[mês]]=1,tblPatronalNormal[[#This Row],[prev_mes]],IF(tblPatronalNormal[[#This Row],[prev_mes]]&gt;0,SUMIFS(tblPatronalNormal[prev_mes],tblPatronalNormal[ano],tblPatronalNormal[[#This Row],[ano]],tblPatronalNormal[mês],"&lt;="&amp;tblPatronalNormal[[#This Row],[mês]]),""))</f>
        <v>122909.84000000001</v>
      </c>
      <c r="I3" s="2">
        <f>IF(tblPatronalNormal[[#This Row],[mês]]=1,tblPatronalNormal[[#This Row],[arrec_mes]],IF(tblPatronalNormal[[#This Row],[arrec_mes]]&gt;0,SUMIFS(tblPatronalNormal[arrec_mes],tblPatronalNormal[ano],tblPatronalNormal[[#This Row],[ano]],tblPatronalNormal[mês],"&lt;="&amp;tblPatronalNormal[[#This Row],[mês]]),""))</f>
        <v>110818.20999999999</v>
      </c>
    </row>
    <row r="4" spans="1:9" x14ac:dyDescent="0.25">
      <c r="A4" s="1">
        <v>44651</v>
      </c>
      <c r="B4" s="2">
        <v>92542.44</v>
      </c>
      <c r="C4" s="2">
        <v>103646.06</v>
      </c>
      <c r="D4" s="2">
        <v>107794.92000000001</v>
      </c>
      <c r="E4" s="3">
        <f>YEAR(tblPatronalNormal[[#This Row],[data_base]])</f>
        <v>2022</v>
      </c>
      <c r="F4" s="3">
        <f>MONTH(tblPatronalNormal[[#This Row],[data_base]])</f>
        <v>3</v>
      </c>
      <c r="G4" s="2">
        <f>IF(tblPatronalNormal[[#This Row],[mês]]=1,tblPatronalNormal[[#This Row],[arrec_ant]],IF(tblPatronalNormal[[#This Row],[arrec_ant]]&gt;0,SUMIFS(tblPatronalNormal[arrec_ant],tblPatronalNormal[ano],tblPatronalNormal[[#This Row],[ano]],tblPatronalNormal[mês],"&lt;="&amp;tblPatronalNormal[[#This Row],[mês]]),""))</f>
        <v>201795.04</v>
      </c>
      <c r="H4" s="2">
        <f>IF(tblPatronalNormal[[#This Row],[mês]]=1,tblPatronalNormal[[#This Row],[prev_mes]],IF(tblPatronalNormal[[#This Row],[prev_mes]]&gt;0,SUMIFS(tblPatronalNormal[prev_mes],tblPatronalNormal[ano],tblPatronalNormal[[#This Row],[ano]],tblPatronalNormal[mês],"&lt;="&amp;tblPatronalNormal[[#This Row],[mês]]),""))</f>
        <v>226555.90000000002</v>
      </c>
      <c r="I4" s="2">
        <f>IF(tblPatronalNormal[[#This Row],[mês]]=1,tblPatronalNormal[[#This Row],[arrec_mes]],IF(tblPatronalNormal[[#This Row],[arrec_mes]]&gt;0,SUMIFS(tblPatronalNormal[arrec_mes],tblPatronalNormal[ano],tblPatronalNormal[[#This Row],[ano]],tblPatronalNormal[mês],"&lt;="&amp;tblPatronalNormal[[#This Row],[mês]]),""))</f>
        <v>218613.13</v>
      </c>
    </row>
    <row r="5" spans="1:9" x14ac:dyDescent="0.25">
      <c r="A5" s="1">
        <v>44681</v>
      </c>
      <c r="B5" s="2">
        <v>90945.780000000013</v>
      </c>
      <c r="C5" s="2">
        <v>103265.29999999999</v>
      </c>
      <c r="D5" s="2">
        <v>106956.21000000002</v>
      </c>
      <c r="E5" s="3">
        <f>YEAR(tblPatronalNormal[[#This Row],[data_base]])</f>
        <v>2022</v>
      </c>
      <c r="F5" s="3">
        <f>MONTH(tblPatronalNormal[[#This Row],[data_base]])</f>
        <v>4</v>
      </c>
      <c r="G5" s="2">
        <f>IF(tblPatronalNormal[[#This Row],[mês]]=1,tblPatronalNormal[[#This Row],[arrec_ant]],IF(tblPatronalNormal[[#This Row],[arrec_ant]]&gt;0,SUMIFS(tblPatronalNormal[arrec_ant],tblPatronalNormal[ano],tblPatronalNormal[[#This Row],[ano]],tblPatronalNormal[mês],"&lt;="&amp;tblPatronalNormal[[#This Row],[mês]]),""))</f>
        <v>292740.82</v>
      </c>
      <c r="H5" s="2">
        <f>IF(tblPatronalNormal[[#This Row],[mês]]=1,tblPatronalNormal[[#This Row],[prev_mes]],IF(tblPatronalNormal[[#This Row],[prev_mes]]&gt;0,SUMIFS(tblPatronalNormal[prev_mes],tblPatronalNormal[ano],tblPatronalNormal[[#This Row],[ano]],tblPatronalNormal[mês],"&lt;="&amp;tblPatronalNormal[[#This Row],[mês]]),""))</f>
        <v>329821.2</v>
      </c>
      <c r="I5" s="2">
        <f>IF(tblPatronalNormal[[#This Row],[mês]]=1,tblPatronalNormal[[#This Row],[arrec_mes]],IF(tblPatronalNormal[[#This Row],[arrec_mes]]&gt;0,SUMIFS(tblPatronalNormal[arrec_mes],tblPatronalNormal[ano],tblPatronalNormal[[#This Row],[ano]],tblPatronalNormal[mês],"&lt;="&amp;tblPatronalNormal[[#This Row],[mês]]),""))</f>
        <v>325569.34000000003</v>
      </c>
    </row>
    <row r="6" spans="1:9" x14ac:dyDescent="0.25">
      <c r="A6" s="1">
        <v>44712</v>
      </c>
      <c r="B6" s="2">
        <v>89642.640000000014</v>
      </c>
      <c r="C6" s="2">
        <v>103913.45</v>
      </c>
      <c r="D6" s="2">
        <v>106373.98000000001</v>
      </c>
      <c r="E6" s="3">
        <f>YEAR(tblPatronalNormal[[#This Row],[data_base]])</f>
        <v>2022</v>
      </c>
      <c r="F6" s="3">
        <f>MONTH(tblPatronalNormal[[#This Row],[data_base]])</f>
        <v>5</v>
      </c>
      <c r="G6" s="2">
        <f>IF(tblPatronalNormal[[#This Row],[mês]]=1,tblPatronalNormal[[#This Row],[arrec_ant]],IF(tblPatronalNormal[[#This Row],[arrec_ant]]&gt;0,SUMIFS(tblPatronalNormal[arrec_ant],tblPatronalNormal[ano],tblPatronalNormal[[#This Row],[ano]],tblPatronalNormal[mês],"&lt;="&amp;tblPatronalNormal[[#This Row],[mês]]),""))</f>
        <v>382383.46</v>
      </c>
      <c r="H6" s="2">
        <f>IF(tblPatronalNormal[[#This Row],[mês]]=1,tblPatronalNormal[[#This Row],[prev_mes]],IF(tblPatronalNormal[[#This Row],[prev_mes]]&gt;0,SUMIFS(tblPatronalNormal[prev_mes],tblPatronalNormal[ano],tblPatronalNormal[[#This Row],[ano]],tblPatronalNormal[mês],"&lt;="&amp;tblPatronalNormal[[#This Row],[mês]]),""))</f>
        <v>433734.65</v>
      </c>
      <c r="I6" s="2">
        <f>IF(tblPatronalNormal[[#This Row],[mês]]=1,tblPatronalNormal[[#This Row],[arrec_mes]],IF(tblPatronalNormal[[#This Row],[arrec_mes]]&gt;0,SUMIFS(tblPatronalNormal[arrec_mes],tblPatronalNormal[ano],tblPatronalNormal[[#This Row],[ano]],tblPatronalNormal[mês],"&lt;="&amp;tblPatronalNormal[[#This Row],[mês]]),""))</f>
        <v>431943.32000000007</v>
      </c>
    </row>
    <row r="7" spans="1:9" x14ac:dyDescent="0.25">
      <c r="A7" s="1">
        <v>44742</v>
      </c>
      <c r="B7" s="2">
        <v>90320.590000000011</v>
      </c>
      <c r="C7" s="2">
        <v>104093.79000000001</v>
      </c>
      <c r="D7" s="2">
        <v>110229.31</v>
      </c>
      <c r="E7" s="3">
        <f>YEAR(tblPatronalNormal[[#This Row],[data_base]])</f>
        <v>2022</v>
      </c>
      <c r="F7" s="3">
        <f>MONTH(tblPatronalNormal[[#This Row],[data_base]])</f>
        <v>6</v>
      </c>
      <c r="G7" s="2">
        <f>IF(tblPatronalNormal[[#This Row],[mês]]=1,tblPatronalNormal[[#This Row],[arrec_ant]],IF(tblPatronalNormal[[#This Row],[arrec_ant]]&gt;0,SUMIFS(tblPatronalNormal[arrec_ant],tblPatronalNormal[ano],tblPatronalNormal[[#This Row],[ano]],tblPatronalNormal[mês],"&lt;="&amp;tblPatronalNormal[[#This Row],[mês]]),""))</f>
        <v>472704.05000000005</v>
      </c>
      <c r="H7" s="2">
        <f>IF(tblPatronalNormal[[#This Row],[mês]]=1,tblPatronalNormal[[#This Row],[prev_mes]],IF(tblPatronalNormal[[#This Row],[prev_mes]]&gt;0,SUMIFS(tblPatronalNormal[prev_mes],tblPatronalNormal[ano],tblPatronalNormal[[#This Row],[ano]],tblPatronalNormal[mês],"&lt;="&amp;tblPatronalNormal[[#This Row],[mês]]),""))</f>
        <v>537828.44000000006</v>
      </c>
      <c r="I7" s="2">
        <f>IF(tblPatronalNormal[[#This Row],[mês]]=1,tblPatronalNormal[[#This Row],[arrec_mes]],IF(tblPatronalNormal[[#This Row],[arrec_mes]]&gt;0,SUMIFS(tblPatronalNormal[arrec_mes],tblPatronalNormal[ano],tblPatronalNormal[[#This Row],[ano]],tblPatronalNormal[mês],"&lt;="&amp;tblPatronalNormal[[#This Row],[mês]]),""))</f>
        <v>542172.63000000012</v>
      </c>
    </row>
    <row r="8" spans="1:9" x14ac:dyDescent="0.25">
      <c r="A8" s="1">
        <v>44773</v>
      </c>
      <c r="B8" s="2">
        <v>89675.73000000001</v>
      </c>
      <c r="C8" s="2">
        <v>104082.34999999999</v>
      </c>
      <c r="D8" s="2">
        <v>111888.93</v>
      </c>
      <c r="E8" s="3">
        <f>YEAR(tblPatronalNormal[[#This Row],[data_base]])</f>
        <v>2022</v>
      </c>
      <c r="F8" s="3">
        <f>MONTH(tblPatronalNormal[[#This Row],[data_base]])</f>
        <v>7</v>
      </c>
      <c r="G8" s="2">
        <f>IF(tblPatronalNormal[[#This Row],[mês]]=1,tblPatronalNormal[[#This Row],[arrec_ant]],IF(tblPatronalNormal[[#This Row],[arrec_ant]]&gt;0,SUMIFS(tblPatronalNormal[arrec_ant],tblPatronalNormal[ano],tblPatronalNormal[[#This Row],[ano]],tblPatronalNormal[mês],"&lt;="&amp;tblPatronalNormal[[#This Row],[mês]]),""))</f>
        <v>562379.78</v>
      </c>
      <c r="H8" s="2">
        <f>IF(tblPatronalNormal[[#This Row],[mês]]=1,tblPatronalNormal[[#This Row],[prev_mes]],IF(tblPatronalNormal[[#This Row],[prev_mes]]&gt;0,SUMIFS(tblPatronalNormal[prev_mes],tblPatronalNormal[ano],tblPatronalNormal[[#This Row],[ano]],tblPatronalNormal[mês],"&lt;="&amp;tblPatronalNormal[[#This Row],[mês]]),""))</f>
        <v>641910.79</v>
      </c>
      <c r="I8" s="2">
        <f>IF(tblPatronalNormal[[#This Row],[mês]]=1,tblPatronalNormal[[#This Row],[arrec_mes]],IF(tblPatronalNormal[[#This Row],[arrec_mes]]&gt;0,SUMIFS(tblPatronalNormal[arrec_mes],tblPatronalNormal[ano],tblPatronalNormal[[#This Row],[ano]],tblPatronalNormal[mês],"&lt;="&amp;tblPatronalNormal[[#This Row],[mês]]),""))</f>
        <v>654061.56000000006</v>
      </c>
    </row>
    <row r="9" spans="1:9" x14ac:dyDescent="0.25">
      <c r="A9" s="1">
        <v>44804</v>
      </c>
      <c r="B9" s="2">
        <v>88175.790000000008</v>
      </c>
      <c r="C9" s="2">
        <v>109930.84</v>
      </c>
      <c r="D9" s="2">
        <v>115042.93</v>
      </c>
      <c r="E9" s="3">
        <f>YEAR(tblPatronalNormal[[#This Row],[data_base]])</f>
        <v>2022</v>
      </c>
      <c r="F9" s="3">
        <f>MONTH(tblPatronalNormal[[#This Row],[data_base]])</f>
        <v>8</v>
      </c>
      <c r="G9" s="2">
        <f>IF(tblPatronalNormal[[#This Row],[mês]]=1,tblPatronalNormal[[#This Row],[arrec_ant]],IF(tblPatronalNormal[[#This Row],[arrec_ant]]&gt;0,SUMIFS(tblPatronalNormal[arrec_ant],tblPatronalNormal[ano],tblPatronalNormal[[#This Row],[ano]],tblPatronalNormal[mês],"&lt;="&amp;tblPatronalNormal[[#This Row],[mês]]),""))</f>
        <v>650555.57000000007</v>
      </c>
      <c r="H9" s="2">
        <f>IF(tblPatronalNormal[[#This Row],[mês]]=1,tblPatronalNormal[[#This Row],[prev_mes]],IF(tblPatronalNormal[[#This Row],[prev_mes]]&gt;0,SUMIFS(tblPatronalNormal[prev_mes],tblPatronalNormal[ano],tblPatronalNormal[[#This Row],[ano]],tblPatronalNormal[mês],"&lt;="&amp;tblPatronalNormal[[#This Row],[mês]]),""))</f>
        <v>751841.63</v>
      </c>
      <c r="I9" s="2">
        <f>IF(tblPatronalNormal[[#This Row],[mês]]=1,tblPatronalNormal[[#This Row],[arrec_mes]],IF(tblPatronalNormal[[#This Row],[arrec_mes]]&gt;0,SUMIFS(tblPatronalNormal[arrec_mes],tblPatronalNormal[ano],tblPatronalNormal[[#This Row],[ano]],tblPatronalNormal[mês],"&lt;="&amp;tblPatronalNormal[[#This Row],[mês]]),""))</f>
        <v>769104.49</v>
      </c>
    </row>
    <row r="10" spans="1:9" x14ac:dyDescent="0.25">
      <c r="A10" s="1">
        <v>44834</v>
      </c>
      <c r="B10" s="2">
        <v>87399.19</v>
      </c>
      <c r="C10" s="2">
        <v>110846.34000000001</v>
      </c>
      <c r="D10" s="2">
        <v>115258.97000000003</v>
      </c>
      <c r="E10" s="3">
        <f>YEAR(tblPatronalNormal[[#This Row],[data_base]])</f>
        <v>2022</v>
      </c>
      <c r="F10" s="3">
        <f>MONTH(tblPatronalNormal[[#This Row],[data_base]])</f>
        <v>9</v>
      </c>
      <c r="G10" s="2">
        <f>IF(tblPatronalNormal[[#This Row],[mês]]=1,tblPatronalNormal[[#This Row],[arrec_ant]],IF(tblPatronalNormal[[#This Row],[arrec_ant]]&gt;0,SUMIFS(tblPatronalNormal[arrec_ant],tblPatronalNormal[ano],tblPatronalNormal[[#This Row],[ano]],tblPatronalNormal[mês],"&lt;="&amp;tblPatronalNormal[[#This Row],[mês]]),""))</f>
        <v>737954.76</v>
      </c>
      <c r="H10" s="2">
        <f>IF(tblPatronalNormal[[#This Row],[mês]]=1,tblPatronalNormal[[#This Row],[prev_mes]],IF(tblPatronalNormal[[#This Row],[prev_mes]]&gt;0,SUMIFS(tblPatronalNormal[prev_mes],tblPatronalNormal[ano],tblPatronalNormal[[#This Row],[ano]],tblPatronalNormal[mês],"&lt;="&amp;tblPatronalNormal[[#This Row],[mês]]),""))</f>
        <v>862687.97</v>
      </c>
      <c r="I10" s="2">
        <f>IF(tblPatronalNormal[[#This Row],[mês]]=1,tblPatronalNormal[[#This Row],[arrec_mes]],IF(tblPatronalNormal[[#This Row],[arrec_mes]]&gt;0,SUMIFS(tblPatronalNormal[arrec_mes],tblPatronalNormal[ano],tblPatronalNormal[[#This Row],[ano]],tblPatronalNormal[mês],"&lt;="&amp;tblPatronalNormal[[#This Row],[mês]]),""))</f>
        <v>884363.46</v>
      </c>
    </row>
    <row r="11" spans="1:9" x14ac:dyDescent="0.25">
      <c r="A11" s="1">
        <v>44865</v>
      </c>
      <c r="B11" s="2">
        <v>87382.8</v>
      </c>
      <c r="C11" s="2">
        <v>108961.13</v>
      </c>
      <c r="D11" s="2">
        <v>109457.36000000002</v>
      </c>
      <c r="E11" s="3">
        <f>YEAR(tblPatronalNormal[[#This Row],[data_base]])</f>
        <v>2022</v>
      </c>
      <c r="F11" s="3">
        <f>MONTH(tblPatronalNormal[[#This Row],[data_base]])</f>
        <v>10</v>
      </c>
      <c r="G11" s="2">
        <f>IF(tblPatronalNormal[[#This Row],[mês]]=1,tblPatronalNormal[[#This Row],[arrec_ant]],IF(tblPatronalNormal[[#This Row],[arrec_ant]]&gt;0,SUMIFS(tblPatronalNormal[arrec_ant],tblPatronalNormal[ano],tblPatronalNormal[[#This Row],[ano]],tblPatronalNormal[mês],"&lt;="&amp;tblPatronalNormal[[#This Row],[mês]]),""))</f>
        <v>825337.56</v>
      </c>
      <c r="H11" s="2">
        <f>IF(tblPatronalNormal[[#This Row],[mês]]=1,tblPatronalNormal[[#This Row],[prev_mes]],IF(tblPatronalNormal[[#This Row],[prev_mes]]&gt;0,SUMIFS(tblPatronalNormal[prev_mes],tblPatronalNormal[ano],tblPatronalNormal[[#This Row],[ano]],tblPatronalNormal[mês],"&lt;="&amp;tblPatronalNormal[[#This Row],[mês]]),""))</f>
        <v>971649.1</v>
      </c>
      <c r="I11" s="2">
        <f>IF(tblPatronalNormal[[#This Row],[mês]]=1,tblPatronalNormal[[#This Row],[arrec_mes]],IF(tblPatronalNormal[[#This Row],[arrec_mes]]&gt;0,SUMIFS(tblPatronalNormal[arrec_mes],tblPatronalNormal[ano],tblPatronalNormal[[#This Row],[ano]],tblPatronalNormal[mês],"&lt;="&amp;tblPatronalNormal[[#This Row],[mês]]),""))</f>
        <v>993820.82</v>
      </c>
    </row>
    <row r="12" spans="1:9" x14ac:dyDescent="0.25">
      <c r="A12" s="1">
        <v>44895</v>
      </c>
      <c r="B12" s="2">
        <v>88027.73</v>
      </c>
      <c r="C12" s="2">
        <v>109227.92</v>
      </c>
      <c r="D12" s="2">
        <v>0</v>
      </c>
      <c r="E12" s="3">
        <f>YEAR(tblPatronalNormal[[#This Row],[data_base]])</f>
        <v>2022</v>
      </c>
      <c r="F12" s="3">
        <f>MONTH(tblPatronalNormal[[#This Row],[data_base]])</f>
        <v>11</v>
      </c>
      <c r="G12" s="2">
        <f>IF(tblPatronalNormal[[#This Row],[mês]]=1,tblPatronalNormal[[#This Row],[arrec_ant]],IF(tblPatronalNormal[[#This Row],[arrec_ant]]&gt;0,SUMIFS(tblPatronalNormal[arrec_ant],tblPatronalNormal[ano],tblPatronalNormal[[#This Row],[ano]],tblPatronalNormal[mês],"&lt;="&amp;tblPatronalNormal[[#This Row],[mês]]),""))</f>
        <v>913365.29</v>
      </c>
      <c r="H12" s="2">
        <f>IF(tblPatronalNormal[[#This Row],[mês]]=1,tblPatronalNormal[[#This Row],[prev_mes]],IF(tblPatronalNormal[[#This Row],[prev_mes]]&gt;0,SUMIFS(tblPatronalNormal[prev_mes],tblPatronalNormal[ano],tblPatronalNormal[[#This Row],[ano]],tblPatronalNormal[mês],"&lt;="&amp;tblPatronalNormal[[#This Row],[mês]]),""))</f>
        <v>1080877.02</v>
      </c>
      <c r="I12" s="2" t="str">
        <f>IF(tblPatronalNormal[[#This Row],[mês]]=1,tblPatronalNormal[[#This Row],[arrec_mes]],IF(tblPatronalNormal[[#This Row],[arrec_mes]]&gt;0,SUMIFS(tblPatronalNormal[arrec_mes],tblPatronalNormal[ano],tblPatronalNormal[[#This Row],[ano]],tblPatronalNormal[mês],"&lt;="&amp;tblPatronalNormal[[#This Row],[mês]]),""))</f>
        <v/>
      </c>
    </row>
    <row r="13" spans="1:9" x14ac:dyDescent="0.25">
      <c r="A13" s="1">
        <v>44926</v>
      </c>
      <c r="B13" s="2">
        <v>274497.73000000004</v>
      </c>
      <c r="C13" s="2">
        <v>335082.98</v>
      </c>
      <c r="D13" s="2">
        <v>0</v>
      </c>
      <c r="E13" s="3">
        <f>YEAR(tblPatronalNormal[[#This Row],[data_base]])</f>
        <v>2022</v>
      </c>
      <c r="F13" s="3">
        <f>MONTH(tblPatronalNormal[[#This Row],[data_base]])</f>
        <v>12</v>
      </c>
      <c r="G13" s="2">
        <f>IF(tblPatronalNormal[[#This Row],[mês]]=1,tblPatronalNormal[[#This Row],[arrec_ant]],IF(tblPatronalNormal[[#This Row],[arrec_ant]]&gt;0,SUMIFS(tblPatronalNormal[arrec_ant],tblPatronalNormal[ano],tblPatronalNormal[[#This Row],[ano]],tblPatronalNormal[mês],"&lt;="&amp;tblPatronalNormal[[#This Row],[mês]]),""))</f>
        <v>1187863.02</v>
      </c>
      <c r="H13" s="2">
        <f>IF(tblPatronalNormal[[#This Row],[mês]]=1,tblPatronalNormal[[#This Row],[prev_mes]],IF(tblPatronalNormal[[#This Row],[prev_mes]]&gt;0,SUMIFS(tblPatronalNormal[prev_mes],tblPatronalNormal[ano],tblPatronalNormal[[#This Row],[ano]],tblPatronalNormal[mês],"&lt;="&amp;tblPatronalNormal[[#This Row],[mês]]),""))</f>
        <v>1415960</v>
      </c>
      <c r="I13" s="2" t="str">
        <f>IF(tblPatronalNormal[[#This Row],[mês]]=1,tblPatronalNormal[[#This Row],[arrec_mes]],IF(tblPatronalNormal[[#This Row],[arrec_mes]]&gt;0,SUMIFS(tblPatronalNormal[arrec_mes],tblPatronalNormal[ano],tblPatronalNormal[[#This Row],[ano]],tblPatronalNormal[mês],"&lt;="&amp;tblPatronalNormal[[#This Row],[mês]]),""))</f>
        <v/>
      </c>
    </row>
    <row r="14" spans="1:9" x14ac:dyDescent="0.25">
      <c r="A14" s="1">
        <v>44957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C7C84-6D36-4854-BFE1-9A3FDC6BFDF9}">
  <dimension ref="A1:I13"/>
  <sheetViews>
    <sheetView tabSelected="1" workbookViewId="0">
      <selection activeCell="D2" sqref="D2:D11"/>
    </sheetView>
  </sheetViews>
  <sheetFormatPr defaultRowHeight="15" x14ac:dyDescent="0.25"/>
  <cols>
    <col min="1" max="1" width="12.140625" customWidth="1"/>
    <col min="2" max="2" width="11.5703125" bestFit="1" customWidth="1"/>
    <col min="3" max="3" width="11.85546875" customWidth="1"/>
    <col min="4" max="6" width="12.28515625" customWidth="1"/>
    <col min="7" max="7" width="17.42578125" bestFit="1" customWidth="1"/>
    <col min="8" max="8" width="13.28515625" bestFit="1" customWidth="1"/>
    <col min="9" max="9" width="13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4</v>
      </c>
      <c r="H1" t="s">
        <v>5</v>
      </c>
      <c r="I1" t="s">
        <v>6</v>
      </c>
    </row>
    <row r="2" spans="1:9" x14ac:dyDescent="0.25">
      <c r="A2" s="1">
        <v>44592</v>
      </c>
      <c r="B2" s="2">
        <v>0</v>
      </c>
      <c r="C2" s="2">
        <v>0</v>
      </c>
      <c r="D2" s="2">
        <v>0</v>
      </c>
      <c r="E2" s="3">
        <f>YEAR(tblPatronalSuplementar[[#This Row],[data_base]])</f>
        <v>2022</v>
      </c>
      <c r="F2" s="3">
        <f>MONTH(tblPatronalSuplementar[[#This Row],[data_base]])</f>
        <v>1</v>
      </c>
      <c r="G2" s="2">
        <f>IF(tblPatronalSuplementar[[#This Row],[mês]]=1,tblPatronalSuplementar[[#This Row],[arrec_ant]],IF(tblPatronalSuplementar[[#This Row],[arrec_ant]]&gt;0,SUMIFS(tblPatronalSuplementar[arrec_ant],tblPatronalSuplementar[ano],tblPatronalSuplementar[[#This Row],[ano]],tblPatronalSuplementar[mês],"&lt;="&amp;tblPatronalSuplementar[[#This Row],[mês]]),""))</f>
        <v>0</v>
      </c>
      <c r="H2" s="2">
        <f>IF(tblPatronalSuplementar[[#This Row],[mês]]=1,tblPatronalSuplementar[[#This Row],[prev_mes]],IF(tblPatronalSuplementar[[#This Row],[prev_mes]]&gt;0,SUMIFS(tblPatronalSuplementar[prev_mes],tblPatronalSuplementar[ano],tblPatronalSuplementar[[#This Row],[ano]],tblPatronalSuplementar[mês],"&lt;="&amp;tblPatronalSuplementar[[#This Row],[mês]]),""))</f>
        <v>0</v>
      </c>
      <c r="I2" s="2">
        <f>IF(tblPatronalSuplementar[[#This Row],[mês]]=1,tblPatronalSuplementar[[#This Row],[arrec_mes]],IF(tblPatronalSuplementar[[#This Row],[arrec_mes]]&gt;0,SUMIFS(tblPatronalSuplementar[arrec_mes],tblPatronalSuplementar[ano],tblPatronalSuplementar[[#This Row],[ano]],tblPatronalSuplementar[mês],"&lt;="&amp;tblPatronalSuplementar[[#This Row],[mês]]),""))</f>
        <v>0</v>
      </c>
    </row>
    <row r="3" spans="1:9" x14ac:dyDescent="0.25">
      <c r="A3" s="1">
        <v>44620</v>
      </c>
      <c r="B3" s="2">
        <v>135268.32</v>
      </c>
      <c r="C3" s="2">
        <v>128059.26</v>
      </c>
      <c r="D3" s="2">
        <v>144617.85</v>
      </c>
      <c r="E3" s="3">
        <f>YEAR(tblPatronalSuplementar[[#This Row],[data_base]])</f>
        <v>2022</v>
      </c>
      <c r="F3" s="3">
        <f>MONTH(tblPatronalSuplementar[[#This Row],[data_base]])</f>
        <v>2</v>
      </c>
      <c r="G3" s="2">
        <f>IF(tblPatronalSuplementar[[#This Row],[mês]]=1,tblPatronalSuplementar[[#This Row],[arrec_ant]],IF(tblPatronalSuplementar[[#This Row],[arrec_ant]]&gt;0,SUMIFS(tblPatronalSuplementar[arrec_ant],tblPatronalSuplementar[ano],tblPatronalSuplementar[[#This Row],[ano]],tblPatronalSuplementar[mês],"&lt;="&amp;tblPatronalSuplementar[[#This Row],[mês]]),""))</f>
        <v>135268.32</v>
      </c>
      <c r="H3" s="2">
        <f>IF(tblPatronalSuplementar[[#This Row],[mês]]=1,tblPatronalSuplementar[[#This Row],[prev_mes]],IF(tblPatronalSuplementar[[#This Row],[prev_mes]]&gt;0,SUMIFS(tblPatronalSuplementar[prev_mes],tblPatronalSuplementar[ano],tblPatronalSuplementar[[#This Row],[ano]],tblPatronalSuplementar[mês],"&lt;="&amp;tblPatronalSuplementar[[#This Row],[mês]]),""))</f>
        <v>128059.26</v>
      </c>
      <c r="I3" s="2">
        <f>IF(tblPatronalSuplementar[[#This Row],[mês]]=1,tblPatronalSuplementar[[#This Row],[arrec_mes]],IF(tblPatronalSuplementar[[#This Row],[arrec_mes]]&gt;0,SUMIFS(tblPatronalSuplementar[arrec_mes],tblPatronalSuplementar[ano],tblPatronalSuplementar[[#This Row],[ano]],tblPatronalSuplementar[mês],"&lt;="&amp;tblPatronalSuplementar[[#This Row],[mês]]),""))</f>
        <v>144617.85</v>
      </c>
    </row>
    <row r="4" spans="1:9" x14ac:dyDescent="0.25">
      <c r="A4" s="1">
        <v>44651</v>
      </c>
      <c r="B4" s="2">
        <v>114579.11</v>
      </c>
      <c r="C4" s="2">
        <v>107907.57</v>
      </c>
      <c r="D4" s="2">
        <v>140672.42000000001</v>
      </c>
      <c r="E4" s="3">
        <f>YEAR(tblPatronalSuplementar[[#This Row],[data_base]])</f>
        <v>2022</v>
      </c>
      <c r="F4" s="3">
        <f>MONTH(tblPatronalSuplementar[[#This Row],[data_base]])</f>
        <v>3</v>
      </c>
      <c r="G4" s="2">
        <f>IF(tblPatronalSuplementar[[#This Row],[mês]]=1,tblPatronalSuplementar[[#This Row],[arrec_ant]],IF(tblPatronalSuplementar[[#This Row],[arrec_ant]]&gt;0,SUMIFS(tblPatronalSuplementar[arrec_ant],tblPatronalSuplementar[ano],tblPatronalSuplementar[[#This Row],[ano]],tblPatronalSuplementar[mês],"&lt;="&amp;tblPatronalSuplementar[[#This Row],[mês]]),""))</f>
        <v>249847.43</v>
      </c>
      <c r="H4" s="2">
        <f>IF(tblPatronalSuplementar[[#This Row],[mês]]=1,tblPatronalSuplementar[[#This Row],[prev_mes]],IF(tblPatronalSuplementar[[#This Row],[prev_mes]]&gt;0,SUMIFS(tblPatronalSuplementar[prev_mes],tblPatronalSuplementar[ano],tblPatronalSuplementar[[#This Row],[ano]],tblPatronalSuplementar[mês],"&lt;="&amp;tblPatronalSuplementar[[#This Row],[mês]]),""))</f>
        <v>235966.83000000002</v>
      </c>
      <c r="I4" s="2">
        <f>IF(tblPatronalSuplementar[[#This Row],[mês]]=1,tblPatronalSuplementar[[#This Row],[arrec_mes]],IF(tblPatronalSuplementar[[#This Row],[arrec_mes]]&gt;0,SUMIFS(tblPatronalSuplementar[arrec_mes],tblPatronalSuplementar[ano],tblPatronalSuplementar[[#This Row],[ano]],tblPatronalSuplementar[mês],"&lt;="&amp;tblPatronalSuplementar[[#This Row],[mês]]),""))</f>
        <v>285290.27</v>
      </c>
    </row>
    <row r="5" spans="1:9" x14ac:dyDescent="0.25">
      <c r="A5" s="1">
        <v>44681</v>
      </c>
      <c r="B5" s="2">
        <v>112602.35</v>
      </c>
      <c r="C5" s="2">
        <v>107534.53</v>
      </c>
      <c r="D5" s="2">
        <v>139577.87</v>
      </c>
      <c r="E5" s="3">
        <f>YEAR(tblPatronalSuplementar[[#This Row],[data_base]])</f>
        <v>2022</v>
      </c>
      <c r="F5" s="3">
        <f>MONTH(tblPatronalSuplementar[[#This Row],[data_base]])</f>
        <v>4</v>
      </c>
      <c r="G5" s="2">
        <f>IF(tblPatronalSuplementar[[#This Row],[mês]]=1,tblPatronalSuplementar[[#This Row],[arrec_ant]],IF(tblPatronalSuplementar[[#This Row],[arrec_ant]]&gt;0,SUMIFS(tblPatronalSuplementar[arrec_ant],tblPatronalSuplementar[ano],tblPatronalSuplementar[[#This Row],[ano]],tblPatronalSuplementar[mês],"&lt;="&amp;tblPatronalSuplementar[[#This Row],[mês]]),""))</f>
        <v>362449.78</v>
      </c>
      <c r="H5" s="2">
        <f>IF(tblPatronalSuplementar[[#This Row],[mês]]=1,tblPatronalSuplementar[[#This Row],[prev_mes]],IF(tblPatronalSuplementar[[#This Row],[prev_mes]]&gt;0,SUMIFS(tblPatronalSuplementar[prev_mes],tblPatronalSuplementar[ano],tblPatronalSuplementar[[#This Row],[ano]],tblPatronalSuplementar[mês],"&lt;="&amp;tblPatronalSuplementar[[#This Row],[mês]]),""))</f>
        <v>343501.36</v>
      </c>
      <c r="I5" s="2">
        <f>IF(tblPatronalSuplementar[[#This Row],[mês]]=1,tblPatronalSuplementar[[#This Row],[arrec_mes]],IF(tblPatronalSuplementar[[#This Row],[arrec_mes]]&gt;0,SUMIFS(tblPatronalSuplementar[arrec_mes],tblPatronalSuplementar[ano],tblPatronalSuplementar[[#This Row],[ano]],tblPatronalSuplementar[mês],"&lt;="&amp;tblPatronalSuplementar[[#This Row],[mês]]),""))</f>
        <v>424868.14</v>
      </c>
    </row>
    <row r="6" spans="1:9" x14ac:dyDescent="0.25">
      <c r="A6" s="1">
        <v>44712</v>
      </c>
      <c r="B6" s="2">
        <v>110988.87</v>
      </c>
      <c r="C6" s="2">
        <v>108228.92</v>
      </c>
      <c r="D6" s="2">
        <v>138818.07999999999</v>
      </c>
      <c r="E6" s="3">
        <f>YEAR(tblPatronalSuplementar[[#This Row],[data_base]])</f>
        <v>2022</v>
      </c>
      <c r="F6" s="3">
        <f>MONTH(tblPatronalSuplementar[[#This Row],[data_base]])</f>
        <v>5</v>
      </c>
      <c r="G6" s="2">
        <f>IF(tblPatronalSuplementar[[#This Row],[mês]]=1,tblPatronalSuplementar[[#This Row],[arrec_ant]],IF(tblPatronalSuplementar[[#This Row],[arrec_ant]]&gt;0,SUMIFS(tblPatronalSuplementar[arrec_ant],tblPatronalSuplementar[ano],tblPatronalSuplementar[[#This Row],[ano]],tblPatronalSuplementar[mês],"&lt;="&amp;tblPatronalSuplementar[[#This Row],[mês]]),""))</f>
        <v>473438.65</v>
      </c>
      <c r="H6" s="2">
        <f>IF(tblPatronalSuplementar[[#This Row],[mês]]=1,tblPatronalSuplementar[[#This Row],[prev_mes]],IF(tblPatronalSuplementar[[#This Row],[prev_mes]]&gt;0,SUMIFS(tblPatronalSuplementar[prev_mes],tblPatronalSuplementar[ano],tblPatronalSuplementar[[#This Row],[ano]],tblPatronalSuplementar[mês],"&lt;="&amp;tblPatronalSuplementar[[#This Row],[mês]]),""))</f>
        <v>451730.27999999997</v>
      </c>
      <c r="I6" s="2">
        <f>IF(tblPatronalSuplementar[[#This Row],[mês]]=1,tblPatronalSuplementar[[#This Row],[arrec_mes]],IF(tblPatronalSuplementar[[#This Row],[arrec_mes]]&gt;0,SUMIFS(tblPatronalSuplementar[arrec_mes],tblPatronalSuplementar[ano],tblPatronalSuplementar[[#This Row],[ano]],tblPatronalSuplementar[mês],"&lt;="&amp;tblPatronalSuplementar[[#This Row],[mês]]),""))</f>
        <v>563686.22</v>
      </c>
    </row>
    <row r="7" spans="1:9" x14ac:dyDescent="0.25">
      <c r="A7" s="1">
        <v>44742</v>
      </c>
      <c r="B7" s="2">
        <v>111828.24</v>
      </c>
      <c r="C7" s="2">
        <v>108390.68</v>
      </c>
      <c r="D7" s="2">
        <v>143849.35999999999</v>
      </c>
      <c r="E7" s="3">
        <f>YEAR(tblPatronalSuplementar[[#This Row],[data_base]])</f>
        <v>2022</v>
      </c>
      <c r="F7" s="3">
        <f>MONTH(tblPatronalSuplementar[[#This Row],[data_base]])</f>
        <v>6</v>
      </c>
      <c r="G7" s="2">
        <f>IF(tblPatronalSuplementar[[#This Row],[mês]]=1,tblPatronalSuplementar[[#This Row],[arrec_ant]],IF(tblPatronalSuplementar[[#This Row],[arrec_ant]]&gt;0,SUMIFS(tblPatronalSuplementar[arrec_ant],tblPatronalSuplementar[ano],tblPatronalSuplementar[[#This Row],[ano]],tblPatronalSuplementar[mês],"&lt;="&amp;tblPatronalSuplementar[[#This Row],[mês]]),""))</f>
        <v>585266.89</v>
      </c>
      <c r="H7" s="2">
        <f>IF(tblPatronalSuplementar[[#This Row],[mês]]=1,tblPatronalSuplementar[[#This Row],[prev_mes]],IF(tblPatronalSuplementar[[#This Row],[prev_mes]]&gt;0,SUMIFS(tblPatronalSuplementar[prev_mes],tblPatronalSuplementar[ano],tblPatronalSuplementar[[#This Row],[ano]],tblPatronalSuplementar[mês],"&lt;="&amp;tblPatronalSuplementar[[#This Row],[mês]]),""))</f>
        <v>560120.96</v>
      </c>
      <c r="I7" s="2">
        <f>IF(tblPatronalSuplementar[[#This Row],[mês]]=1,tblPatronalSuplementar[[#This Row],[arrec_mes]],IF(tblPatronalSuplementar[[#This Row],[arrec_mes]]&gt;0,SUMIFS(tblPatronalSuplementar[arrec_mes],tblPatronalSuplementar[ano],tblPatronalSuplementar[[#This Row],[ano]],tblPatronalSuplementar[mês],"&lt;="&amp;tblPatronalSuplementar[[#This Row],[mês]]),""))</f>
        <v>707535.58</v>
      </c>
    </row>
    <row r="8" spans="1:9" x14ac:dyDescent="0.25">
      <c r="A8" s="1">
        <v>44773</v>
      </c>
      <c r="B8" s="2">
        <v>111029.85</v>
      </c>
      <c r="C8" s="2">
        <v>108402.71</v>
      </c>
      <c r="D8" s="2">
        <v>146015.23000000001</v>
      </c>
      <c r="E8" s="3">
        <f>YEAR(tblPatronalSuplementar[[#This Row],[data_base]])</f>
        <v>2022</v>
      </c>
      <c r="F8" s="3">
        <f>MONTH(tblPatronalSuplementar[[#This Row],[data_base]])</f>
        <v>7</v>
      </c>
      <c r="G8" s="2">
        <f>IF(tblPatronalSuplementar[[#This Row],[mês]]=1,tblPatronalSuplementar[[#This Row],[arrec_ant]],IF(tblPatronalSuplementar[[#This Row],[arrec_ant]]&gt;0,SUMIFS(tblPatronalSuplementar[arrec_ant],tblPatronalSuplementar[ano],tblPatronalSuplementar[[#This Row],[ano]],tblPatronalSuplementar[mês],"&lt;="&amp;tblPatronalSuplementar[[#This Row],[mês]]),""))</f>
        <v>696296.74</v>
      </c>
      <c r="H8" s="2">
        <f>IF(tblPatronalSuplementar[[#This Row],[mês]]=1,tblPatronalSuplementar[[#This Row],[prev_mes]],IF(tblPatronalSuplementar[[#This Row],[prev_mes]]&gt;0,SUMIFS(tblPatronalSuplementar[prev_mes],tblPatronalSuplementar[ano],tblPatronalSuplementar[[#This Row],[ano]],tblPatronalSuplementar[mês],"&lt;="&amp;tblPatronalSuplementar[[#This Row],[mês]]),""))</f>
        <v>668523.66999999993</v>
      </c>
      <c r="I8" s="2">
        <f>IF(tblPatronalSuplementar[[#This Row],[mês]]=1,tblPatronalSuplementar[[#This Row],[arrec_mes]],IF(tblPatronalSuplementar[[#This Row],[arrec_mes]]&gt;0,SUMIFS(tblPatronalSuplementar[arrec_mes],tblPatronalSuplementar[ano],tblPatronalSuplementar[[#This Row],[ano]],tblPatronalSuplementar[mês],"&lt;="&amp;tblPatronalSuplementar[[#This Row],[mês]]),""))</f>
        <v>853550.80999999994</v>
      </c>
    </row>
    <row r="9" spans="1:9" x14ac:dyDescent="0.25">
      <c r="A9" s="1">
        <v>44804</v>
      </c>
      <c r="B9" s="2">
        <v>109172.71</v>
      </c>
      <c r="C9" s="2">
        <v>108136.9</v>
      </c>
      <c r="D9" s="2">
        <v>150131.19</v>
      </c>
      <c r="E9" s="3">
        <f>YEAR(tblPatronalSuplementar[[#This Row],[data_base]])</f>
        <v>2022</v>
      </c>
      <c r="F9" s="3">
        <f>MONTH(tblPatronalSuplementar[[#This Row],[data_base]])</f>
        <v>8</v>
      </c>
      <c r="G9" s="2">
        <f>IF(tblPatronalSuplementar[[#This Row],[mês]]=1,tblPatronalSuplementar[[#This Row],[arrec_ant]],IF(tblPatronalSuplementar[[#This Row],[arrec_ant]]&gt;0,SUMIFS(tblPatronalSuplementar[arrec_ant],tblPatronalSuplementar[ano],tblPatronalSuplementar[[#This Row],[ano]],tblPatronalSuplementar[mês],"&lt;="&amp;tblPatronalSuplementar[[#This Row],[mês]]),""))</f>
        <v>805469.45</v>
      </c>
      <c r="H9" s="2">
        <f>IF(tblPatronalSuplementar[[#This Row],[mês]]=1,tblPatronalSuplementar[[#This Row],[prev_mes]],IF(tblPatronalSuplementar[[#This Row],[prev_mes]]&gt;0,SUMIFS(tblPatronalSuplementar[prev_mes],tblPatronalSuplementar[ano],tblPatronalSuplementar[[#This Row],[ano]],tblPatronalSuplementar[mês],"&lt;="&amp;tblPatronalSuplementar[[#This Row],[mês]]),""))</f>
        <v>776660.57</v>
      </c>
      <c r="I9" s="2">
        <f>IF(tblPatronalSuplementar[[#This Row],[mês]]=1,tblPatronalSuplementar[[#This Row],[arrec_mes]],IF(tblPatronalSuplementar[[#This Row],[arrec_mes]]&gt;0,SUMIFS(tblPatronalSuplementar[arrec_mes],tblPatronalSuplementar[ano],tblPatronalSuplementar[[#This Row],[ano]],tblPatronalSuplementar[mês],"&lt;="&amp;tblPatronalSuplementar[[#This Row],[mês]]),""))</f>
        <v>1003682</v>
      </c>
    </row>
    <row r="10" spans="1:9" x14ac:dyDescent="0.25">
      <c r="A10" s="1">
        <v>44834</v>
      </c>
      <c r="B10" s="2">
        <v>110109.16</v>
      </c>
      <c r="C10" s="2">
        <v>109056.92</v>
      </c>
      <c r="D10" s="2">
        <v>150413.20000000001</v>
      </c>
      <c r="E10" s="3">
        <f>YEAR(tblPatronalSuplementar[[#This Row],[data_base]])</f>
        <v>2022</v>
      </c>
      <c r="F10" s="3">
        <f>MONTH(tblPatronalSuplementar[[#This Row],[data_base]])</f>
        <v>9</v>
      </c>
      <c r="G10" s="2">
        <f>IF(tblPatronalSuplementar[[#This Row],[mês]]=1,tblPatronalSuplementar[[#This Row],[arrec_ant]],IF(tblPatronalSuplementar[[#This Row],[arrec_ant]]&gt;0,SUMIFS(tblPatronalSuplementar[arrec_ant],tblPatronalSuplementar[ano],tblPatronalSuplementar[[#This Row],[ano]],tblPatronalSuplementar[mês],"&lt;="&amp;tblPatronalSuplementar[[#This Row],[mês]]),""))</f>
        <v>915578.61</v>
      </c>
      <c r="H10" s="2">
        <f>IF(tblPatronalSuplementar[[#This Row],[mês]]=1,tblPatronalSuplementar[[#This Row],[prev_mes]],IF(tblPatronalSuplementar[[#This Row],[prev_mes]]&gt;0,SUMIFS(tblPatronalSuplementar[prev_mes],tblPatronalSuplementar[ano],tblPatronalSuplementar[[#This Row],[ano]],tblPatronalSuplementar[mês],"&lt;="&amp;tblPatronalSuplementar[[#This Row],[mês]]),""))</f>
        <v>885717.49</v>
      </c>
      <c r="I10" s="2">
        <f>IF(tblPatronalSuplementar[[#This Row],[mês]]=1,tblPatronalSuplementar[[#This Row],[arrec_mes]],IF(tblPatronalSuplementar[[#This Row],[arrec_mes]]&gt;0,SUMIFS(tblPatronalSuplementar[arrec_mes],tblPatronalSuplementar[ano],tblPatronalSuplementar[[#This Row],[ano]],tblPatronalSuplementar[mês],"&lt;="&amp;tblPatronalSuplementar[[#This Row],[mês]]),""))</f>
        <v>1154095.2</v>
      </c>
    </row>
    <row r="11" spans="1:9" x14ac:dyDescent="0.25">
      <c r="A11" s="1">
        <v>44865</v>
      </c>
      <c r="B11" s="2">
        <v>108190.78</v>
      </c>
      <c r="C11" s="2">
        <v>107169.28</v>
      </c>
      <c r="D11" s="2">
        <v>142842.07999999999</v>
      </c>
      <c r="E11" s="3">
        <f>YEAR(tblPatronalSuplementar[[#This Row],[data_base]])</f>
        <v>2022</v>
      </c>
      <c r="F11" s="3">
        <f>MONTH(tblPatronalSuplementar[[#This Row],[data_base]])</f>
        <v>10</v>
      </c>
      <c r="G11" s="2">
        <f>IF(tblPatronalSuplementar[[#This Row],[mês]]=1,tblPatronalSuplementar[[#This Row],[arrec_ant]],IF(tblPatronalSuplementar[[#This Row],[arrec_ant]]&gt;0,SUMIFS(tblPatronalSuplementar[arrec_ant],tblPatronalSuplementar[ano],tblPatronalSuplementar[[#This Row],[ano]],tblPatronalSuplementar[mês],"&lt;="&amp;tblPatronalSuplementar[[#This Row],[mês]]),""))</f>
        <v>1023769.39</v>
      </c>
      <c r="H11" s="2">
        <f>IF(tblPatronalSuplementar[[#This Row],[mês]]=1,tblPatronalSuplementar[[#This Row],[prev_mes]],IF(tblPatronalSuplementar[[#This Row],[prev_mes]]&gt;0,SUMIFS(tblPatronalSuplementar[prev_mes],tblPatronalSuplementar[ano],tblPatronalSuplementar[[#This Row],[ano]],tblPatronalSuplementar[mês],"&lt;="&amp;tblPatronalSuplementar[[#This Row],[mês]]),""))</f>
        <v>992886.77</v>
      </c>
      <c r="I11" s="2">
        <f>IF(tblPatronalSuplementar[[#This Row],[mês]]=1,tblPatronalSuplementar[[#This Row],[arrec_mes]],IF(tblPatronalSuplementar[[#This Row],[arrec_mes]]&gt;0,SUMIFS(tblPatronalSuplementar[arrec_mes],tblPatronalSuplementar[ano],tblPatronalSuplementar[[#This Row],[ano]],tblPatronalSuplementar[mês],"&lt;="&amp;tblPatronalSuplementar[[#This Row],[mês]]),""))</f>
        <v>1296937.28</v>
      </c>
    </row>
    <row r="12" spans="1:9" x14ac:dyDescent="0.25">
      <c r="A12" s="1">
        <v>44895</v>
      </c>
      <c r="B12" s="2">
        <v>108212.2</v>
      </c>
      <c r="C12" s="2">
        <v>107451.99</v>
      </c>
      <c r="D12" s="2"/>
      <c r="E12" s="3">
        <f>YEAR(tblPatronalSuplementar[[#This Row],[data_base]])</f>
        <v>2022</v>
      </c>
      <c r="F12" s="3">
        <f>MONTH(tblPatronalSuplementar[[#This Row],[data_base]])</f>
        <v>11</v>
      </c>
      <c r="G12" s="2">
        <f>IF(tblPatronalSuplementar[[#This Row],[mês]]=1,tblPatronalSuplementar[[#This Row],[arrec_ant]],IF(tblPatronalSuplementar[[#This Row],[arrec_ant]]&gt;0,SUMIFS(tblPatronalSuplementar[arrec_ant],tblPatronalSuplementar[ano],tblPatronalSuplementar[[#This Row],[ano]],tblPatronalSuplementar[mês],"&lt;="&amp;tblPatronalSuplementar[[#This Row],[mês]]),""))</f>
        <v>1131981.5900000001</v>
      </c>
      <c r="H12" s="2">
        <f>IF(tblPatronalSuplementar[[#This Row],[mês]]=1,tblPatronalSuplementar[[#This Row],[prev_mes]],IF(tblPatronalSuplementar[[#This Row],[prev_mes]]&gt;0,SUMIFS(tblPatronalSuplementar[prev_mes],tblPatronalSuplementar[ano],tblPatronalSuplementar[[#This Row],[ano]],tblPatronalSuplementar[mês],"&lt;="&amp;tblPatronalSuplementar[[#This Row],[mês]]),""))</f>
        <v>1100338.76</v>
      </c>
      <c r="I12" s="2" t="str">
        <f>IF(tblPatronalSuplementar[[#This Row],[mês]]=1,tblPatronalSuplementar[[#This Row],[arrec_mes]],IF(tblPatronalSuplementar[[#This Row],[arrec_mes]]&gt;0,SUMIFS(tblPatronalSuplementar[arrec_mes],tblPatronalSuplementar[ano],tblPatronalSuplementar[[#This Row],[ano]],tblPatronalSuplementar[mês],"&lt;="&amp;tblPatronalSuplementar[[#This Row],[mês]]),""))</f>
        <v/>
      </c>
    </row>
    <row r="13" spans="1:9" x14ac:dyDescent="0.25">
      <c r="A13" s="1">
        <v>44926</v>
      </c>
      <c r="B13" s="2">
        <v>339862.76</v>
      </c>
      <c r="C13" s="2">
        <v>329661.24</v>
      </c>
      <c r="D13" s="2"/>
      <c r="E13" s="3">
        <f>YEAR(tblPatronalSuplementar[[#This Row],[data_base]])</f>
        <v>2022</v>
      </c>
      <c r="F13" s="3">
        <f>MONTH(tblPatronalSuplementar[[#This Row],[data_base]])</f>
        <v>12</v>
      </c>
      <c r="G13" s="2">
        <f>IF(tblPatronalSuplementar[[#This Row],[mês]]=1,tblPatronalSuplementar[[#This Row],[arrec_ant]],IF(tblPatronalSuplementar[[#This Row],[arrec_ant]]&gt;0,SUMIFS(tblPatronalSuplementar[arrec_ant],tblPatronalSuplementar[ano],tblPatronalSuplementar[[#This Row],[ano]],tblPatronalSuplementar[mês],"&lt;="&amp;tblPatronalSuplementar[[#This Row],[mês]]),""))</f>
        <v>1471844.35</v>
      </c>
      <c r="H13" s="2">
        <f>IF(tblPatronalSuplementar[[#This Row],[mês]]=1,tblPatronalSuplementar[[#This Row],[prev_mes]],IF(tblPatronalSuplementar[[#This Row],[prev_mes]]&gt;0,SUMIFS(tblPatronalSuplementar[prev_mes],tblPatronalSuplementar[ano],tblPatronalSuplementar[[#This Row],[ano]],tblPatronalSuplementar[mês],"&lt;="&amp;tblPatronalSuplementar[[#This Row],[mês]]),""))</f>
        <v>1430000</v>
      </c>
      <c r="I13" s="2" t="str">
        <f>IF(tblPatronalSuplementar[[#This Row],[mês]]=1,tblPatronalSuplementar[[#This Row],[arrec_mes]],IF(tblPatronalSuplementar[[#This Row],[arrec_mes]]&gt;0,SUMIFS(tblPatronalSuplementar[arrec_mes],tblPatronalSuplementar[ano],tblPatronalSuplementar[[#This Row],[ano]],tblPatronalSuplementar[mês],"&lt;="&amp;tblPatronalSuplementar[[#This Row],[mês]]),""))</f>
        <v/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DF23-5653-4E20-BFC0-7032405B55DF}">
  <dimension ref="A1:H14"/>
  <sheetViews>
    <sheetView workbookViewId="0">
      <selection activeCell="A3" sqref="A3"/>
    </sheetView>
  </sheetViews>
  <sheetFormatPr defaultRowHeight="15" x14ac:dyDescent="0.25"/>
  <cols>
    <col min="1" max="1" width="12.140625" customWidth="1"/>
    <col min="2" max="3" width="14.28515625" bestFit="1" customWidth="1"/>
    <col min="4" max="4" width="14.28515625" customWidth="1"/>
    <col min="5" max="5" width="12.42578125" customWidth="1"/>
    <col min="6" max="6" width="11.5703125" bestFit="1" customWidth="1"/>
    <col min="7" max="7" width="11.7109375" customWidth="1"/>
    <col min="8" max="8" width="9.5703125" bestFit="1" customWidth="1"/>
  </cols>
  <sheetData>
    <row r="1" spans="1:8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7</v>
      </c>
    </row>
    <row r="2" spans="1:8" x14ac:dyDescent="0.25">
      <c r="A2" s="1">
        <v>44561</v>
      </c>
      <c r="B2" s="2" t="e">
        <f>IF(tblCaixaProjetado[[#This Row],[atual]]&gt;0,C1+IF(tblCaixaProjetado[[#This Row],[arrec]]&gt;0,tblCaixaProjetado[[#This Row],[arrec]],tblCaixaProjetado[[#This Row],[prev_receita]])-IF(tblCaixaProjetado[[#This Row],[empenho]]&gt;0,tblCaixaProjetado[[#This Row],[empenho]],tblCaixaProjetado[[#This Row],[prev_desp]]),"")</f>
        <v>#VALUE!</v>
      </c>
      <c r="C2" s="2">
        <v>28306029.579999998</v>
      </c>
      <c r="D2" s="2">
        <f>IFERROR(INDEX(tblReceitaTotal[prev_mes],MATCH(tblCaixaProjetado[[#This Row],[data_base]],tblReceitaTotal[data_base],0)),0)</f>
        <v>0</v>
      </c>
      <c r="E2" s="2"/>
      <c r="F2" s="2">
        <f>IFERROR(INDEX(tblReceitaTotal[arrec_mes],MATCH(tblCaixaProjetado[[#This Row],[data_base]],tblReceitaTotal[data_base],0)),0)</f>
        <v>0</v>
      </c>
      <c r="G2" s="2" t="str">
        <f>IFERROR(INDEX(tblDespesaTotal[emp_atual],MATCH(tblCaixaProjetado[[#This Row],[data_base]],tblDespesaTotal[data_base],0)),"")</f>
        <v/>
      </c>
      <c r="H2" s="3">
        <f>YEAR(tblCaixaProjetado[[#This Row],[data_base]])</f>
        <v>2021</v>
      </c>
    </row>
    <row r="3" spans="1:8" x14ac:dyDescent="0.25">
      <c r="A3" s="1">
        <v>44592</v>
      </c>
      <c r="B3" s="2">
        <f>IF(tblCaixaProjetado[[#This Row],[atual]]&gt;0,C2+IF(tblCaixaProjetado[[#This Row],[arrec]]&gt;0,tblCaixaProjetado[[#This Row],[arrec]],tblCaixaProjetado[[#This Row],[prev_receita]])-IF(tblCaixaProjetado[[#This Row],[empenho]]&gt;0,tblCaixaProjetado[[#This Row],[empenho]],tblCaixaProjetado[[#This Row],[prev_desp]]),"")</f>
        <v>27792832.710000001</v>
      </c>
      <c r="C3" s="2">
        <v>30721827.030000005</v>
      </c>
      <c r="D3" s="2">
        <f>IFERROR(INDEX(tblReceitaTotal[prev_mes],MATCH(tblCaixaProjetado[[#This Row],[data_base]],tblReceitaTotal[data_base],0)),0)</f>
        <v>258095.28</v>
      </c>
      <c r="E3" s="2">
        <v>435582.88</v>
      </c>
      <c r="F3" s="2">
        <f>IFERROR(INDEX(tblReceitaTotal[arrec_mes],MATCH(tblCaixaProjetado[[#This Row],[data_base]],tblReceitaTotal[data_base],0)),0)</f>
        <v>219212.79999999999</v>
      </c>
      <c r="G3" s="2">
        <f>IFERROR(INDEX(tblDespesaTotal[emp_atual],MATCH(tblCaixaProjetado[[#This Row],[data_base]],tblDespesaTotal[data_base],0)),"")</f>
        <v>732409.66999999993</v>
      </c>
      <c r="H3" s="3">
        <f>YEAR(tblCaixaProjetado[[#This Row],[data_base]])</f>
        <v>2022</v>
      </c>
    </row>
    <row r="4" spans="1:8" x14ac:dyDescent="0.25">
      <c r="A4" s="1">
        <v>44620</v>
      </c>
      <c r="B4" s="2">
        <f>IF(tblCaixaProjetado[[#This Row],[atual]]&gt;0,C3+IF(tblCaixaProjetado[[#This Row],[arrec]]&gt;0,tblCaixaProjetado[[#This Row],[arrec]],tblCaixaProjetado[[#This Row],[prev_receita]])-IF(tblCaixaProjetado[[#This Row],[empenho]]&gt;0,tblCaixaProjetado[[#This Row],[empenho]],tblCaixaProjetado[[#This Row],[prev_desp]]),"")</f>
        <v>30931073.000000004</v>
      </c>
      <c r="C4" s="2">
        <v>33137624.480000012</v>
      </c>
      <c r="D4" s="2">
        <f>IFERROR(INDEX(tblReceitaTotal[prev_mes],MATCH(tblCaixaProjetado[[#This Row],[data_base]],tblReceitaTotal[data_base],0)),0)</f>
        <v>468348.71</v>
      </c>
      <c r="E4" s="2">
        <v>441020.7</v>
      </c>
      <c r="F4" s="2">
        <f>IFERROR(INDEX(tblReceitaTotal[arrec_mes],MATCH(tblCaixaProjetado[[#This Row],[data_base]],tblReceitaTotal[data_base],0)),0)</f>
        <v>599919.07000000007</v>
      </c>
      <c r="G4" s="2">
        <f>IFERROR(INDEX(tblDespesaTotal[emp_atual],MATCH(tblCaixaProjetado[[#This Row],[data_base]],tblDespesaTotal[data_base],0)),"")</f>
        <v>390673.1</v>
      </c>
      <c r="H4" s="3">
        <f>YEAR(tblCaixaProjetado[[#This Row],[data_base]])</f>
        <v>2022</v>
      </c>
    </row>
    <row r="5" spans="1:8" x14ac:dyDescent="0.25">
      <c r="A5" s="1">
        <v>44651</v>
      </c>
      <c r="B5" s="2">
        <f>IF(tblCaixaProjetado[[#This Row],[atual]]&gt;0,C4+IF(tblCaixaProjetado[[#This Row],[arrec]]&gt;0,tblCaixaProjetado[[#This Row],[arrec]],tblCaixaProjetado[[#This Row],[prev_receita]])-IF(tblCaixaProjetado[[#This Row],[empenho]]&gt;0,tblCaixaProjetado[[#This Row],[empenho]],tblCaixaProjetado[[#This Row],[prev_desp]]),"")</f>
        <v>33667193.900000013</v>
      </c>
      <c r="C5" s="2">
        <v>35553421.930000022</v>
      </c>
      <c r="D5" s="2">
        <f>IFERROR(INDEX(tblReceitaTotal[prev_mes],MATCH(tblCaixaProjetado[[#This Row],[data_base]],tblReceitaTotal[data_base],0)),0)</f>
        <v>350130.26</v>
      </c>
      <c r="E5" s="2">
        <v>452015.58</v>
      </c>
      <c r="F5" s="2">
        <f>IFERROR(INDEX(tblReceitaTotal[arrec_mes],MATCH(tblCaixaProjetado[[#This Row],[data_base]],tblReceitaTotal[data_base],0)),0)</f>
        <v>803574.46000000008</v>
      </c>
      <c r="G5" s="2">
        <f>IFERROR(INDEX(tblDespesaTotal[emp_atual],MATCH(tblCaixaProjetado[[#This Row],[data_base]],tblDespesaTotal[data_base],0)),"")</f>
        <v>274005.03999999998</v>
      </c>
      <c r="H5" s="3">
        <f>YEAR(tblCaixaProjetado[[#This Row],[data_base]])</f>
        <v>2022</v>
      </c>
    </row>
    <row r="6" spans="1:8" x14ac:dyDescent="0.25">
      <c r="A6" s="1">
        <v>44681</v>
      </c>
      <c r="B6" s="2">
        <f>IF(tblCaixaProjetado[[#This Row],[atual]]&gt;0,C5+IF(tblCaixaProjetado[[#This Row],[arrec]]&gt;0,tblCaixaProjetado[[#This Row],[arrec]],tblCaixaProjetado[[#This Row],[prev_receita]])-IF(tblCaixaProjetado[[#This Row],[empenho]]&gt;0,tblCaixaProjetado[[#This Row],[empenho]],tblCaixaProjetado[[#This Row],[prev_desp]]),"")</f>
        <v>35878790.110000022</v>
      </c>
      <c r="C6" s="2">
        <v>37969219.380000032</v>
      </c>
      <c r="D6" s="2">
        <f>IFERROR(INDEX(tblReceitaTotal[prev_mes],MATCH(tblCaixaProjetado[[#This Row],[data_base]],tblReceitaTotal[data_base],0)),0)</f>
        <v>404726.83</v>
      </c>
      <c r="E6" s="2">
        <v>438614.6</v>
      </c>
      <c r="F6" s="2">
        <f>IFERROR(INDEX(tblReceitaTotal[arrec_mes],MATCH(tblCaixaProjetado[[#This Row],[data_base]],tblReceitaTotal[data_base],0)),0)</f>
        <v>596050.01</v>
      </c>
      <c r="G6" s="2">
        <f>IFERROR(INDEX(tblDespesaTotal[emp_atual],MATCH(tblCaixaProjetado[[#This Row],[data_base]],tblDespesaTotal[data_base],0)),"")</f>
        <v>270681.83</v>
      </c>
      <c r="H6" s="3">
        <f>YEAR(tblCaixaProjetado[[#This Row],[data_base]])</f>
        <v>2022</v>
      </c>
    </row>
    <row r="7" spans="1:8" x14ac:dyDescent="0.25">
      <c r="A7" s="1">
        <v>44712</v>
      </c>
      <c r="B7" s="2">
        <f>IF(tblCaixaProjetado[[#This Row],[atual]]&gt;0,C6+IF(tblCaixaProjetado[[#This Row],[arrec]]&gt;0,tblCaixaProjetado[[#This Row],[arrec]],tblCaixaProjetado[[#This Row],[prev_receita]])-IF(tblCaixaProjetado[[#This Row],[empenho]]&gt;0,tblCaixaProjetado[[#This Row],[empenho]],tblCaixaProjetado[[#This Row],[prev_desp]]),"")</f>
        <v>38286912.990000032</v>
      </c>
      <c r="C7" s="2">
        <v>40385016.830000035</v>
      </c>
      <c r="D7" s="2">
        <f>IFERROR(INDEX(tblReceitaTotal[prev_mes],MATCH(tblCaixaProjetado[[#This Row],[data_base]],tblReceitaTotal[data_base],0)),0)</f>
        <v>455578.17</v>
      </c>
      <c r="E7" s="2">
        <v>440892.73</v>
      </c>
      <c r="F7" s="2">
        <f>IFERROR(INDEX(tblReceitaTotal[arrec_mes],MATCH(tblCaixaProjetado[[#This Row],[data_base]],tblReceitaTotal[data_base],0)),0)</f>
        <v>597682.47000000009</v>
      </c>
      <c r="G7" s="2">
        <f>IFERROR(INDEX(tblDespesaTotal[emp_atual],MATCH(tblCaixaProjetado[[#This Row],[data_base]],tblDespesaTotal[data_base],0)),"")</f>
        <v>279988.86000000004</v>
      </c>
      <c r="H7" s="3">
        <f>YEAR(tblCaixaProjetado[[#This Row],[data_base]])</f>
        <v>2022</v>
      </c>
    </row>
    <row r="8" spans="1:8" x14ac:dyDescent="0.25">
      <c r="A8" s="1">
        <v>44742</v>
      </c>
      <c r="B8" s="2">
        <f>IF(tblCaixaProjetado[[#This Row],[atual]]&gt;0,C7+IF(tblCaixaProjetado[[#This Row],[arrec]]&gt;0,tblCaixaProjetado[[#This Row],[arrec]],tblCaixaProjetado[[#This Row],[prev_receita]])-IF(tblCaixaProjetado[[#This Row],[empenho]]&gt;0,tblCaixaProjetado[[#This Row],[empenho]],tblCaixaProjetado[[#This Row],[prev_desp]]),"")</f>
        <v>40626214.520000033</v>
      </c>
      <c r="C8" s="2">
        <v>42800814.280000038</v>
      </c>
      <c r="D8" s="2">
        <f>IFERROR(INDEX(tblReceitaTotal[prev_mes],MATCH(tblCaixaProjetado[[#This Row],[data_base]],tblReceitaTotal[data_base],0)),0)</f>
        <v>425425.93</v>
      </c>
      <c r="E8" s="2">
        <v>447008.68</v>
      </c>
      <c r="F8" s="2">
        <f>IFERROR(INDEX(tblReceitaTotal[arrec_mes],MATCH(tblCaixaProjetado[[#This Row],[data_base]],tblReceitaTotal[data_base],0)),0)</f>
        <v>525609.18999999994</v>
      </c>
      <c r="G8" s="2">
        <f>IFERROR(INDEX(tblDespesaTotal[emp_atual],MATCH(tblCaixaProjetado[[#This Row],[data_base]],tblDespesaTotal[data_base],0)),"")</f>
        <v>284411.50000000006</v>
      </c>
      <c r="H8" s="3">
        <f>YEAR(tblCaixaProjetado[[#This Row],[data_base]])</f>
        <v>2022</v>
      </c>
    </row>
    <row r="9" spans="1:8" x14ac:dyDescent="0.25">
      <c r="A9" s="1">
        <v>44773</v>
      </c>
      <c r="B9" s="2">
        <f>IF(tblCaixaProjetado[[#This Row],[atual]]&gt;0,C8+IF(tblCaixaProjetado[[#This Row],[arrec]]&gt;0,tblCaixaProjetado[[#This Row],[arrec]],tblCaixaProjetado[[#This Row],[prev_receita]])-IF(tblCaixaProjetado[[#This Row],[empenho]]&gt;0,tblCaixaProjetado[[#This Row],[empenho]],tblCaixaProjetado[[#This Row],[prev_desp]]),"")</f>
        <v>42987500.260000043</v>
      </c>
      <c r="C9" s="2">
        <v>45216611.730000041</v>
      </c>
      <c r="D9" s="2">
        <f>IFERROR(INDEX(tblReceitaTotal[prev_mes],MATCH(tblCaixaProjetado[[#This Row],[data_base]],tblReceitaTotal[data_base],0)),0)</f>
        <v>453162.74</v>
      </c>
      <c r="E9" s="2">
        <v>455193.16</v>
      </c>
      <c r="F9" s="2">
        <f>IFERROR(INDEX(tblReceitaTotal[arrec_mes],MATCH(tblCaixaProjetado[[#This Row],[data_base]],tblReceitaTotal[data_base],0)),0)</f>
        <v>465656.70000000007</v>
      </c>
      <c r="G9" s="2">
        <f>IFERROR(INDEX(tblDespesaTotal[emp_atual],MATCH(tblCaixaProjetado[[#This Row],[data_base]],tblDespesaTotal[data_base],0)),"")</f>
        <v>278970.72000000003</v>
      </c>
      <c r="H9" s="3">
        <f>YEAR(tblCaixaProjetado[[#This Row],[data_base]])</f>
        <v>2022</v>
      </c>
    </row>
    <row r="10" spans="1:8" x14ac:dyDescent="0.25">
      <c r="A10" s="1">
        <v>44804</v>
      </c>
      <c r="B10" s="2">
        <f>IF(tblCaixaProjetado[[#This Row],[atual]]&gt;0,C9+IF(tblCaixaProjetado[[#This Row],[arrec]]&gt;0,tblCaixaProjetado[[#This Row],[arrec]],tblCaixaProjetado[[#This Row],[prev_receita]])-IF(tblCaixaProjetado[[#This Row],[empenho]]&gt;0,tblCaixaProjetado[[#This Row],[empenho]],tblCaixaProjetado[[#This Row],[prev_desp]]),"")</f>
        <v>45513973.800000042</v>
      </c>
      <c r="C10" s="2">
        <v>47632409.180000044</v>
      </c>
      <c r="D10" s="2">
        <f>IFERROR(INDEX(tblReceitaTotal[prev_mes],MATCH(tblCaixaProjetado[[#This Row],[data_base]],tblReceitaTotal[data_base],0)),0)</f>
        <v>332664.96999999997</v>
      </c>
      <c r="E10" s="2">
        <v>460780.22</v>
      </c>
      <c r="F10" s="2">
        <f>IFERROR(INDEX(tblReceitaTotal[arrec_mes],MATCH(tblCaixaProjetado[[#This Row],[data_base]],tblReceitaTotal[data_base],0)),0)</f>
        <v>587419.37</v>
      </c>
      <c r="G10" s="2">
        <f>IFERROR(INDEX(tblDespesaTotal[emp_atual],MATCH(tblCaixaProjetado[[#This Row],[data_base]],tblDespesaTotal[data_base],0)),"")</f>
        <v>290057.30000000005</v>
      </c>
      <c r="H10" s="3">
        <f>YEAR(tblCaixaProjetado[[#This Row],[data_base]])</f>
        <v>2022</v>
      </c>
    </row>
    <row r="11" spans="1:8" x14ac:dyDescent="0.25">
      <c r="A11" s="1">
        <v>44834</v>
      </c>
      <c r="B11" s="2">
        <f>IF(tblCaixaProjetado[[#This Row],[atual]]&gt;0,C10+IF(tblCaixaProjetado[[#This Row],[arrec]]&gt;0,tblCaixaProjetado[[#This Row],[arrec]],tblCaixaProjetado[[#This Row],[prev_receita]])-IF(tblCaixaProjetado[[#This Row],[empenho]]&gt;0,tblCaixaProjetado[[#This Row],[empenho]],tblCaixaProjetado[[#This Row],[prev_desp]]),"")</f>
        <v>47972735.450000048</v>
      </c>
      <c r="C11" s="2">
        <v>50048206.630000047</v>
      </c>
      <c r="D11" s="2">
        <f>IFERROR(INDEX(tblReceitaTotal[prev_mes],MATCH(tblCaixaProjetado[[#This Row],[data_base]],tblReceitaTotal[data_base],0)),0)</f>
        <v>402965.55</v>
      </c>
      <c r="E11" s="2">
        <v>462527.47</v>
      </c>
      <c r="F11" s="2">
        <f>IFERROR(INDEX(tblReceitaTotal[arrec_mes],MATCH(tblCaixaProjetado[[#This Row],[data_base]],tblReceitaTotal[data_base],0)),0)</f>
        <v>628526.92999999993</v>
      </c>
      <c r="G11" s="2">
        <f>IFERROR(INDEX(tblDespesaTotal[emp_atual],MATCH(tblCaixaProjetado[[#This Row],[data_base]],tblDespesaTotal[data_base],0)),"")</f>
        <v>288200.66000000003</v>
      </c>
      <c r="H11" s="3">
        <f>YEAR(tblCaixaProjetado[[#This Row],[data_base]])</f>
        <v>2022</v>
      </c>
    </row>
    <row r="12" spans="1:8" x14ac:dyDescent="0.25">
      <c r="A12" s="1">
        <v>44865</v>
      </c>
      <c r="B12" s="2">
        <f>IF(tblCaixaProjetado[[#This Row],[atual]]&gt;0,C11+IF(tblCaixaProjetado[[#This Row],[arrec]]&gt;0,tblCaixaProjetado[[#This Row],[arrec]],tblCaixaProjetado[[#This Row],[prev_receita]])-IF(tblCaixaProjetado[[#This Row],[empenho]]&gt;0,tblCaixaProjetado[[#This Row],[empenho]],tblCaixaProjetado[[#This Row],[prev_desp]]),"")</f>
        <v>50512676.060000047</v>
      </c>
      <c r="C12" s="2">
        <v>52464004.08000005</v>
      </c>
      <c r="D12" s="2">
        <f>IFERROR(INDEX(tblReceitaTotal[prev_mes],MATCH(tblCaixaProjetado[[#This Row],[data_base]],tblReceitaTotal[data_base],0)),0)</f>
        <v>483720.05</v>
      </c>
      <c r="E12" s="2">
        <v>461851.55</v>
      </c>
      <c r="F12" s="2">
        <f>IFERROR(INDEX(tblReceitaTotal[arrec_mes],MATCH(tblCaixaProjetado[[#This Row],[data_base]],tblReceitaTotal[data_base],0)),0)</f>
        <v>752389.82000000007</v>
      </c>
      <c r="G12" s="2">
        <f>IFERROR(INDEX(tblDespesaTotal[emp_atual],MATCH(tblCaixaProjetado[[#This Row],[data_base]],tblDespesaTotal[data_base],0)),"")</f>
        <v>287920.39</v>
      </c>
      <c r="H12" s="3">
        <f>YEAR(tblCaixaProjetado[[#This Row],[data_base]])</f>
        <v>2022</v>
      </c>
    </row>
    <row r="13" spans="1:8" x14ac:dyDescent="0.25">
      <c r="A13" s="1">
        <v>44895</v>
      </c>
      <c r="B13" s="2" t="str">
        <f>IF(tblCaixaProjetado[[#This Row],[atual]]&gt;0,C12+IF(tblCaixaProjetado[[#This Row],[arrec]]&gt;0,tblCaixaProjetado[[#This Row],[arrec]],tblCaixaProjetado[[#This Row],[prev_receita]])-IF(tblCaixaProjetado[[#This Row],[empenho]]&gt;0,tblCaixaProjetado[[#This Row],[empenho]],tblCaixaProjetado[[#This Row],[prev_desp]]),"")</f>
        <v/>
      </c>
      <c r="C13" s="2"/>
      <c r="D13" s="2">
        <f>IFERROR(INDEX(tblReceitaTotal[prev_mes],MATCH(tblCaixaProjetado[[#This Row],[data_base]],tblReceitaTotal[data_base],0)),0)</f>
        <v>469046.23</v>
      </c>
      <c r="E13" s="2">
        <v>465092.93</v>
      </c>
      <c r="F13" s="2">
        <f>IFERROR(INDEX(tblReceitaTotal[arrec_mes],MATCH(tblCaixaProjetado[[#This Row],[data_base]],tblReceitaTotal[data_base],0)),0)</f>
        <v>0</v>
      </c>
      <c r="G13" s="2">
        <f>IFERROR(INDEX(tblDespesaTotal[emp_atual],MATCH(tblCaixaProjetado[[#This Row],[data_base]],tblDespesaTotal[data_base],0)),"")</f>
        <v>0</v>
      </c>
      <c r="H13" s="3">
        <f>YEAR(tblCaixaProjetado[[#This Row],[data_base]])</f>
        <v>2022</v>
      </c>
    </row>
    <row r="14" spans="1:8" x14ac:dyDescent="0.25">
      <c r="A14" s="1">
        <v>44926</v>
      </c>
      <c r="B14" s="2" t="str">
        <f>IF(tblCaixaProjetado[[#This Row],[atual]]&gt;0,C13+IF(tblCaixaProjetado[[#This Row],[arrec]]&gt;0,tblCaixaProjetado[[#This Row],[arrec]],tblCaixaProjetado[[#This Row],[prev_receita]])-IF(tblCaixaProjetado[[#This Row],[empenho]]&gt;0,tblCaixaProjetado[[#This Row],[empenho]],tblCaixaProjetado[[#This Row],[prev_desp]]),"")</f>
        <v/>
      </c>
      <c r="C14" s="2"/>
      <c r="D14" s="2">
        <f>IFERROR(INDEX(tblReceitaTotal[prev_mes],MATCH(tblCaixaProjetado[[#This Row],[data_base]],tblReceitaTotal[data_base],0)),0)</f>
        <v>1188046.28</v>
      </c>
      <c r="E14" s="2">
        <v>731330.5</v>
      </c>
      <c r="F14" s="2">
        <f>IFERROR(INDEX(tblReceitaTotal[arrec_mes],MATCH(tblCaixaProjetado[[#This Row],[data_base]],tblReceitaTotal[data_base],0)),0)</f>
        <v>0</v>
      </c>
      <c r="G14" s="2">
        <f>IFERROR(INDEX(tblDespesaTotal[emp_atual],MATCH(tblCaixaProjetado[[#This Row],[data_base]],tblDespesaTotal[data_base],0)),"")</f>
        <v>0</v>
      </c>
      <c r="H14" s="3">
        <f>YEAR(tblCaixaProjetado[[#This Row],[data_base]])</f>
        <v>2022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6A098-C711-4E96-AE2C-22C8ABCBA8B6}">
  <dimension ref="A1:M13"/>
  <sheetViews>
    <sheetView workbookViewId="0">
      <selection activeCell="I15" sqref="I15"/>
    </sheetView>
  </sheetViews>
  <sheetFormatPr defaultRowHeight="15" x14ac:dyDescent="0.25"/>
  <cols>
    <col min="1" max="1" width="12.28515625" bestFit="1" customWidth="1"/>
    <col min="2" max="2" width="11.5703125" bestFit="1" customWidth="1"/>
    <col min="3" max="3" width="12" bestFit="1" customWidth="1"/>
    <col min="4" max="4" width="12.42578125" bestFit="1" customWidth="1"/>
    <col min="5" max="5" width="12.42578125" customWidth="1"/>
    <col min="6" max="6" width="6.5703125" bestFit="1" customWidth="1"/>
    <col min="7" max="7" width="7" bestFit="1" customWidth="1"/>
    <col min="8" max="8" width="17.42578125" bestFit="1" customWidth="1"/>
    <col min="9" max="9" width="13.28515625" bestFit="1" customWidth="1"/>
    <col min="10" max="10" width="13.42578125" bestFit="1" customWidth="1"/>
    <col min="12" max="12" width="16.5703125" bestFit="1" customWidth="1"/>
    <col min="13" max="13" width="17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15</v>
      </c>
      <c r="E1" t="s">
        <v>16</v>
      </c>
      <c r="F1" t="s">
        <v>7</v>
      </c>
      <c r="G1" t="s">
        <v>8</v>
      </c>
      <c r="H1" t="s">
        <v>4</v>
      </c>
      <c r="I1" t="s">
        <v>5</v>
      </c>
      <c r="J1" t="s">
        <v>17</v>
      </c>
      <c r="K1" t="s">
        <v>18</v>
      </c>
      <c r="L1" t="s">
        <v>19</v>
      </c>
      <c r="M1" t="s">
        <v>20</v>
      </c>
    </row>
    <row r="2" spans="1:13" x14ac:dyDescent="0.25">
      <c r="A2" s="1">
        <v>44592</v>
      </c>
      <c r="B2" s="2">
        <v>-107434.7</v>
      </c>
      <c r="C2" s="2">
        <v>147370.81</v>
      </c>
      <c r="D2" s="2">
        <v>62803.12</v>
      </c>
      <c r="E2" s="2"/>
      <c r="F2" s="3">
        <f>YEAR(tblGanhoPerdasRend[[#This Row],[data_base]])</f>
        <v>2022</v>
      </c>
      <c r="G2" s="3">
        <f>MONTH(tblGanhoPerdasRend[[#This Row],[data_base]])</f>
        <v>1</v>
      </c>
      <c r="H2" s="2">
        <f>IF(tblGanhoPerdasRend[[#This Row],[mês]]=1,tblGanhoPerdasRend[[#This Row],[arrec_ant]],IF(tblGanhoPerdasRend[[#This Row],[arrec_ant]]&lt;&gt;0,SUMIFS(tblGanhoPerdasRend[arrec_ant],tblGanhoPerdasRend[ano],tblGanhoPerdasRend[[#This Row],[ano]],tblGanhoPerdasRend[mês],"&lt;="&amp;tblGanhoPerdasRend[[#This Row],[mês]]),""))</f>
        <v>-107434.7</v>
      </c>
      <c r="I2" s="2">
        <f>IF(tblGanhoPerdasRend[[#This Row],[mês]]=1,tblGanhoPerdasRend[[#This Row],[prev_mes]],IF(tblGanhoPerdasRend[[#This Row],[prev_mes]]&gt;0,SUMIFS(tblGanhoPerdasRend[prev_mes],tblGanhoPerdasRend[ano],tblGanhoPerdasRend[[#This Row],[ano]],tblGanhoPerdasRend[mês],"&lt;="&amp;tblGanhoPerdasRend[[#This Row],[mês]]),""))</f>
        <v>147370.81</v>
      </c>
      <c r="J2" s="2">
        <f>IF(tblGanhoPerdasRend[[#This Row],[mês]]=1,tblGanhoPerdasRend[[#This Row],[ganho_mes]],IF(tblGanhoPerdasRend[[#This Row],[ganho_mes]]&gt;0,SUMIFS(tblGanhoPerdasRend[ganho_mes],tblGanhoPerdasRend[ano],tblGanhoPerdasRend[[#This Row],[ano]],tblGanhoPerdasRend[mês],"&lt;="&amp;tblGanhoPerdasRend[[#This Row],[mês]]),""))</f>
        <v>62803.12</v>
      </c>
      <c r="K2" s="2">
        <f>IF(tblGanhoPerdasRend[[#This Row],[mês]]=1,tblGanhoPerdasRend[[#This Row],[perda_mes]],IF(tblGanhoPerdasRend[[#This Row],[perda_mes]]&lt;0,SUMIFS(tblGanhoPerdasRend[perda_mes],tblGanhoPerdasRend[ano],tblGanhoPerdasRend[[#This Row],[ano]],tblGanhoPerdasRend[mês],"&lt;="&amp;tblGanhoPerdasRend[[#This Row],[mês]]),""))</f>
        <v>0</v>
      </c>
      <c r="L2" s="2">
        <f>tblGanhoPerdasRend[[#This Row],[ganho_mes]]-tblGanhoPerdasRend[[#This Row],[perda_mes]]</f>
        <v>62803.12</v>
      </c>
      <c r="M2" s="2">
        <f>IF(tblGanhoPerdasRend[[#This Row],[mês]]=1,tblGanhoPerdasRend[[#This Row],[resultado_mes]],IF(tblGanhoPerdasRend[[#This Row],[resultado_mes]]&lt;&gt;0,SUMIFS(tblGanhoPerdasRend[resultado_mes],tblGanhoPerdasRend[ano],tblGanhoPerdasRend[[#This Row],[ano]],tblGanhoPerdasRend[mês],"&lt;="&amp;tblGanhoPerdasRend[[#This Row],[mês]]),""))</f>
        <v>62803.12</v>
      </c>
    </row>
    <row r="3" spans="1:13" x14ac:dyDescent="0.25">
      <c r="A3" s="1">
        <v>44620</v>
      </c>
      <c r="B3" s="2">
        <v>-252543.38999999998</v>
      </c>
      <c r="C3" s="2">
        <v>65423.44</v>
      </c>
      <c r="D3" s="2">
        <v>247516.97000000003</v>
      </c>
      <c r="E3" s="2"/>
      <c r="F3" s="3">
        <f>YEAR(tblGanhoPerdasRend[[#This Row],[data_base]])</f>
        <v>2022</v>
      </c>
      <c r="G3" s="3">
        <f>MONTH(tblGanhoPerdasRend[[#This Row],[data_base]])</f>
        <v>2</v>
      </c>
      <c r="H3" s="2">
        <f>IF(tblGanhoPerdasRend[[#This Row],[mês]]=1,tblGanhoPerdasRend[[#This Row],[arrec_ant]],IF(tblGanhoPerdasRend[[#This Row],[arrec_ant]]&lt;&gt;0,SUMIFS(tblGanhoPerdasRend[arrec_ant],tblGanhoPerdasRend[ano],tblGanhoPerdasRend[[#This Row],[ano]],tblGanhoPerdasRend[mês],"&lt;="&amp;tblGanhoPerdasRend[[#This Row],[mês]]),""))</f>
        <v>-359978.08999999997</v>
      </c>
      <c r="I3" s="2">
        <f>IF(tblGanhoPerdasRend[[#This Row],[mês]]=1,tblGanhoPerdasRend[[#This Row],[prev_mes]],IF(tblGanhoPerdasRend[[#This Row],[prev_mes]]&gt;0,SUMIFS(tblGanhoPerdasRend[prev_mes],tblGanhoPerdasRend[ano],tblGanhoPerdasRend[[#This Row],[ano]],tblGanhoPerdasRend[mês],"&lt;="&amp;tblGanhoPerdasRend[[#This Row],[mês]]),""))</f>
        <v>212794.25</v>
      </c>
      <c r="J3" s="2">
        <f>IF(tblGanhoPerdasRend[[#This Row],[mês]]=1,tblGanhoPerdasRend[[#This Row],[ganho_mes]],IF(tblGanhoPerdasRend[[#This Row],[ganho_mes]]&gt;0,SUMIFS(tblGanhoPerdasRend[ganho_mes],tblGanhoPerdasRend[ano],tblGanhoPerdasRend[[#This Row],[ano]],tblGanhoPerdasRend[mês],"&lt;="&amp;tblGanhoPerdasRend[[#This Row],[mês]]),""))</f>
        <v>310320.09000000003</v>
      </c>
      <c r="K3" s="2" t="str">
        <f>IF(tblGanhoPerdasRend[[#This Row],[mês]]=1,tblGanhoPerdasRend[[#This Row],[perda_mes]],IF(tblGanhoPerdasRend[[#This Row],[perda_mes]]&lt;0,SUMIFS(tblGanhoPerdasRend[perda_mes],tblGanhoPerdasRend[ano],tblGanhoPerdasRend[[#This Row],[ano]],tblGanhoPerdasRend[mês],"&lt;="&amp;tblGanhoPerdasRend[[#This Row],[mês]]),""))</f>
        <v/>
      </c>
      <c r="L3" s="2">
        <f>tblGanhoPerdasRend[[#This Row],[ganho_mes]]-tblGanhoPerdasRend[[#This Row],[perda_mes]]</f>
        <v>247516.97000000003</v>
      </c>
      <c r="M3" s="2">
        <f>IF(tblGanhoPerdasRend[[#This Row],[mês]]=1,tblGanhoPerdasRend[[#This Row],[resultado_mes]],IF(tblGanhoPerdasRend[[#This Row],[resultado_mes]]&lt;&gt;0,SUMIFS(tblGanhoPerdasRend[resultado_mes],tblGanhoPerdasRend[ano],tblGanhoPerdasRend[[#This Row],[ano]],tblGanhoPerdasRend[mês],"&lt;="&amp;tblGanhoPerdasRend[[#This Row],[mês]]),""))</f>
        <v>310320.09000000003</v>
      </c>
    </row>
    <row r="4" spans="1:13" x14ac:dyDescent="0.25">
      <c r="A4" s="1">
        <v>44651</v>
      </c>
      <c r="B4" s="2">
        <v>-93561.950000000012</v>
      </c>
      <c r="C4" s="2">
        <v>55759.79</v>
      </c>
      <c r="D4" s="2">
        <v>460786.3899999999</v>
      </c>
      <c r="E4" s="2"/>
      <c r="F4" s="3">
        <f>YEAR(tblGanhoPerdasRend[[#This Row],[data_base]])</f>
        <v>2022</v>
      </c>
      <c r="G4" s="3">
        <f>MONTH(tblGanhoPerdasRend[[#This Row],[data_base]])</f>
        <v>3</v>
      </c>
      <c r="H4" s="2">
        <f>IF(tblGanhoPerdasRend[[#This Row],[mês]]=1,tblGanhoPerdasRend[[#This Row],[arrec_ant]],IF(tblGanhoPerdasRend[[#This Row],[arrec_ant]]&lt;&gt;0,SUMIFS(tblGanhoPerdasRend[arrec_ant],tblGanhoPerdasRend[ano],tblGanhoPerdasRend[[#This Row],[ano]],tblGanhoPerdasRend[mês],"&lt;="&amp;tblGanhoPerdasRend[[#This Row],[mês]]),""))</f>
        <v>-453540.04</v>
      </c>
      <c r="I4" s="2">
        <f>IF(tblGanhoPerdasRend[[#This Row],[mês]]=1,tblGanhoPerdasRend[[#This Row],[prev_mes]],IF(tblGanhoPerdasRend[[#This Row],[prev_mes]]&gt;0,SUMIFS(tblGanhoPerdasRend[prev_mes],tblGanhoPerdasRend[ano],tblGanhoPerdasRend[[#This Row],[ano]],tblGanhoPerdasRend[mês],"&lt;="&amp;tblGanhoPerdasRend[[#This Row],[mês]]),""))</f>
        <v>268554.03999999998</v>
      </c>
      <c r="J4" s="2">
        <f>IF(tblGanhoPerdasRend[[#This Row],[mês]]=1,tblGanhoPerdasRend[[#This Row],[ganho_mes]],IF(tblGanhoPerdasRend[[#This Row],[ganho_mes]]&gt;0,SUMIFS(tblGanhoPerdasRend[ganho_mes],tblGanhoPerdasRend[ano],tblGanhoPerdasRend[[#This Row],[ano]],tblGanhoPerdasRend[mês],"&lt;="&amp;tblGanhoPerdasRend[[#This Row],[mês]]),""))</f>
        <v>771106.48</v>
      </c>
      <c r="K4" s="2" t="str">
        <f>IF(tblGanhoPerdasRend[[#This Row],[mês]]=1,tblGanhoPerdasRend[[#This Row],[perda_mes]],IF(tblGanhoPerdasRend[[#This Row],[perda_mes]]&lt;0,SUMIFS(tblGanhoPerdasRend[perda_mes],tblGanhoPerdasRend[ano],tblGanhoPerdasRend[[#This Row],[ano]],tblGanhoPerdasRend[mês],"&lt;="&amp;tblGanhoPerdasRend[[#This Row],[mês]]),""))</f>
        <v/>
      </c>
      <c r="L4" s="2">
        <f>tblGanhoPerdasRend[[#This Row],[ganho_mes]]-tblGanhoPerdasRend[[#This Row],[perda_mes]]</f>
        <v>460786.3899999999</v>
      </c>
      <c r="M4" s="2">
        <f>IF(tblGanhoPerdasRend[[#This Row],[mês]]=1,tblGanhoPerdasRend[[#This Row],[resultado_mes]],IF(tblGanhoPerdasRend[[#This Row],[resultado_mes]]&lt;&gt;0,SUMIFS(tblGanhoPerdasRend[resultado_mes],tblGanhoPerdasRend[ano],tblGanhoPerdasRend[[#This Row],[ano]],tblGanhoPerdasRend[mês],"&lt;="&amp;tblGanhoPerdasRend[[#This Row],[mês]]),""))</f>
        <v>771106.48</v>
      </c>
    </row>
    <row r="5" spans="1:13" x14ac:dyDescent="0.25">
      <c r="A5" s="1">
        <v>44681</v>
      </c>
      <c r="B5" s="2">
        <v>477117.55</v>
      </c>
      <c r="C5" s="2">
        <v>114001.24</v>
      </c>
      <c r="D5" s="2">
        <v>260588.42</v>
      </c>
      <c r="E5" s="2"/>
      <c r="F5" s="3">
        <f>YEAR(tblGanhoPerdasRend[[#This Row],[data_base]])</f>
        <v>2022</v>
      </c>
      <c r="G5" s="3">
        <f>MONTH(tblGanhoPerdasRend[[#This Row],[data_base]])</f>
        <v>4</v>
      </c>
      <c r="H5" s="2">
        <f>IF(tblGanhoPerdasRend[[#This Row],[mês]]=1,tblGanhoPerdasRend[[#This Row],[arrec_ant]],IF(tblGanhoPerdasRend[[#This Row],[arrec_ant]]&lt;&gt;0,SUMIFS(tblGanhoPerdasRend[arrec_ant],tblGanhoPerdasRend[ano],tblGanhoPerdasRend[[#This Row],[ano]],tblGanhoPerdasRend[mês],"&lt;="&amp;tblGanhoPerdasRend[[#This Row],[mês]]),""))</f>
        <v>23577.510000000009</v>
      </c>
      <c r="I5" s="2">
        <f>IF(tblGanhoPerdasRend[[#This Row],[mês]]=1,tblGanhoPerdasRend[[#This Row],[prev_mes]],IF(tblGanhoPerdasRend[[#This Row],[prev_mes]]&gt;0,SUMIFS(tblGanhoPerdasRend[prev_mes],tblGanhoPerdasRend[ano],tblGanhoPerdasRend[[#This Row],[ano]],tblGanhoPerdasRend[mês],"&lt;="&amp;tblGanhoPerdasRend[[#This Row],[mês]]),""))</f>
        <v>382555.27999999997</v>
      </c>
      <c r="J5" s="2">
        <f>IF(tblGanhoPerdasRend[[#This Row],[mês]]=1,tblGanhoPerdasRend[[#This Row],[ganho_mes]],IF(tblGanhoPerdasRend[[#This Row],[ganho_mes]]&gt;0,SUMIFS(tblGanhoPerdasRend[ganho_mes],tblGanhoPerdasRend[ano],tblGanhoPerdasRend[[#This Row],[ano]],tblGanhoPerdasRend[mês],"&lt;="&amp;tblGanhoPerdasRend[[#This Row],[mês]]),""))</f>
        <v>1031694.9</v>
      </c>
      <c r="K5" s="2" t="str">
        <f>IF(tblGanhoPerdasRend[[#This Row],[mês]]=1,tblGanhoPerdasRend[[#This Row],[perda_mes]],IF(tblGanhoPerdasRend[[#This Row],[perda_mes]]&lt;0,SUMIFS(tblGanhoPerdasRend[perda_mes],tblGanhoPerdasRend[ano],tblGanhoPerdasRend[[#This Row],[ano]],tblGanhoPerdasRend[mês],"&lt;="&amp;tblGanhoPerdasRend[[#This Row],[mês]]),""))</f>
        <v/>
      </c>
      <c r="L5" s="2">
        <f>tblGanhoPerdasRend[[#This Row],[ganho_mes]]-tblGanhoPerdasRend[[#This Row],[perda_mes]]</f>
        <v>260588.42</v>
      </c>
      <c r="M5" s="2">
        <f>IF(tblGanhoPerdasRend[[#This Row],[mês]]=1,tblGanhoPerdasRend[[#This Row],[resultado_mes]],IF(tblGanhoPerdasRend[[#This Row],[resultado_mes]]&lt;&gt;0,SUMIFS(tblGanhoPerdasRend[resultado_mes],tblGanhoPerdasRend[ano],tblGanhoPerdasRend[[#This Row],[ano]],tblGanhoPerdasRend[mês],"&lt;="&amp;tblGanhoPerdasRend[[#This Row],[mês]]),""))</f>
        <v>1031694.9</v>
      </c>
    </row>
    <row r="6" spans="1:13" x14ac:dyDescent="0.25">
      <c r="A6" s="1">
        <v>44712</v>
      </c>
      <c r="B6" s="2">
        <v>142123.88</v>
      </c>
      <c r="C6" s="2">
        <v>163056.51999999999</v>
      </c>
      <c r="D6" s="2">
        <v>259413.06</v>
      </c>
      <c r="E6" s="2"/>
      <c r="F6" s="3">
        <f>YEAR(tblGanhoPerdasRend[[#This Row],[data_base]])</f>
        <v>2022</v>
      </c>
      <c r="G6" s="3">
        <f>MONTH(tblGanhoPerdasRend[[#This Row],[data_base]])</f>
        <v>5</v>
      </c>
      <c r="H6" s="2">
        <f>IF(tblGanhoPerdasRend[[#This Row],[mês]]=1,tblGanhoPerdasRend[[#This Row],[arrec_ant]],IF(tblGanhoPerdasRend[[#This Row],[arrec_ant]]&lt;&gt;0,SUMIFS(tblGanhoPerdasRend[arrec_ant],tblGanhoPerdasRend[ano],tblGanhoPerdasRend[[#This Row],[ano]],tblGanhoPerdasRend[mês],"&lt;="&amp;tblGanhoPerdasRend[[#This Row],[mês]]),""))</f>
        <v>165701.39000000001</v>
      </c>
      <c r="I6" s="2">
        <f>IF(tblGanhoPerdasRend[[#This Row],[mês]]=1,tblGanhoPerdasRend[[#This Row],[prev_mes]],IF(tblGanhoPerdasRend[[#This Row],[prev_mes]]&gt;0,SUMIFS(tblGanhoPerdasRend[prev_mes],tblGanhoPerdasRend[ano],tblGanhoPerdasRend[[#This Row],[ano]],tblGanhoPerdasRend[mês],"&lt;="&amp;tblGanhoPerdasRend[[#This Row],[mês]]),""))</f>
        <v>545611.79999999993</v>
      </c>
      <c r="J6" s="2">
        <f>IF(tblGanhoPerdasRend[[#This Row],[mês]]=1,tblGanhoPerdasRend[[#This Row],[ganho_mes]],IF(tblGanhoPerdasRend[[#This Row],[ganho_mes]]&gt;0,SUMIFS(tblGanhoPerdasRend[ganho_mes],tblGanhoPerdasRend[ano],tblGanhoPerdasRend[[#This Row],[ano]],tblGanhoPerdasRend[mês],"&lt;="&amp;tblGanhoPerdasRend[[#This Row],[mês]]),""))</f>
        <v>1291107.96</v>
      </c>
      <c r="K6" s="2" t="str">
        <f>IF(tblGanhoPerdasRend[[#This Row],[mês]]=1,tblGanhoPerdasRend[[#This Row],[perda_mes]],IF(tblGanhoPerdasRend[[#This Row],[perda_mes]]&lt;0,SUMIFS(tblGanhoPerdasRend[perda_mes],tblGanhoPerdasRend[ano],tblGanhoPerdasRend[[#This Row],[ano]],tblGanhoPerdasRend[mês],"&lt;="&amp;tblGanhoPerdasRend[[#This Row],[mês]]),""))</f>
        <v/>
      </c>
      <c r="L6" s="2">
        <f>tblGanhoPerdasRend[[#This Row],[ganho_mes]]-tblGanhoPerdasRend[[#This Row],[perda_mes]]</f>
        <v>259413.06</v>
      </c>
      <c r="M6" s="2">
        <f>IF(tblGanhoPerdasRend[[#This Row],[mês]]=1,tblGanhoPerdasRend[[#This Row],[resultado_mes]],IF(tblGanhoPerdasRend[[#This Row],[resultado_mes]]&lt;&gt;0,SUMIFS(tblGanhoPerdasRend[resultado_mes],tblGanhoPerdasRend[ano],tblGanhoPerdasRend[[#This Row],[ano]],tblGanhoPerdasRend[mês],"&lt;="&amp;tblGanhoPerdasRend[[#This Row],[mês]]),""))</f>
        <v>1291107.96</v>
      </c>
    </row>
    <row r="7" spans="1:13" x14ac:dyDescent="0.25">
      <c r="A7" s="1">
        <v>44742</v>
      </c>
      <c r="B7" s="2">
        <v>-7521.8999999999978</v>
      </c>
      <c r="C7" s="2">
        <v>132400.25</v>
      </c>
      <c r="D7" s="2">
        <v>179709.19999999998</v>
      </c>
      <c r="E7" s="2"/>
      <c r="F7" s="3">
        <f>YEAR(tblGanhoPerdasRend[[#This Row],[data_base]])</f>
        <v>2022</v>
      </c>
      <c r="G7" s="3">
        <f>MONTH(tblGanhoPerdasRend[[#This Row],[data_base]])</f>
        <v>6</v>
      </c>
      <c r="H7" s="2">
        <f>IF(tblGanhoPerdasRend[[#This Row],[mês]]=1,tblGanhoPerdasRend[[#This Row],[arrec_ant]],IF(tblGanhoPerdasRend[[#This Row],[arrec_ant]]&lt;&gt;0,SUMIFS(tblGanhoPerdasRend[arrec_ant],tblGanhoPerdasRend[ano],tblGanhoPerdasRend[[#This Row],[ano]],tblGanhoPerdasRend[mês],"&lt;="&amp;tblGanhoPerdasRend[[#This Row],[mês]]),""))</f>
        <v>158179.49000000002</v>
      </c>
      <c r="I7" s="2">
        <f>IF(tblGanhoPerdasRend[[#This Row],[mês]]=1,tblGanhoPerdasRend[[#This Row],[prev_mes]],IF(tblGanhoPerdasRend[[#This Row],[prev_mes]]&gt;0,SUMIFS(tblGanhoPerdasRend[prev_mes],tblGanhoPerdasRend[ano],tblGanhoPerdasRend[[#This Row],[ano]],tblGanhoPerdasRend[mês],"&lt;="&amp;tblGanhoPerdasRend[[#This Row],[mês]]),""))</f>
        <v>678012.04999999993</v>
      </c>
      <c r="J7" s="2">
        <f>IF(tblGanhoPerdasRend[[#This Row],[mês]]=1,tblGanhoPerdasRend[[#This Row],[ganho_mes]],IF(tblGanhoPerdasRend[[#This Row],[ganho_mes]]&gt;0,SUMIFS(tblGanhoPerdasRend[ganho_mes],tblGanhoPerdasRend[ano],tblGanhoPerdasRend[[#This Row],[ano]],tblGanhoPerdasRend[mês],"&lt;="&amp;tblGanhoPerdasRend[[#This Row],[mês]]),""))</f>
        <v>1470817.16</v>
      </c>
      <c r="K7" s="2" t="str">
        <f>IF(tblGanhoPerdasRend[[#This Row],[mês]]=1,tblGanhoPerdasRend[[#This Row],[perda_mes]],IF(tblGanhoPerdasRend[[#This Row],[perda_mes]]&lt;0,SUMIFS(tblGanhoPerdasRend[perda_mes],tblGanhoPerdasRend[ano],tblGanhoPerdasRend[[#This Row],[ano]],tblGanhoPerdasRend[mês],"&lt;="&amp;tblGanhoPerdasRend[[#This Row],[mês]]),""))</f>
        <v/>
      </c>
      <c r="L7" s="2">
        <f>tblGanhoPerdasRend[[#This Row],[ganho_mes]]-tblGanhoPerdasRend[[#This Row],[perda_mes]]</f>
        <v>179709.19999999998</v>
      </c>
      <c r="M7" s="2">
        <f>IF(tblGanhoPerdasRend[[#This Row],[mês]]=1,tblGanhoPerdasRend[[#This Row],[resultado_mes]],IF(tblGanhoPerdasRend[[#This Row],[resultado_mes]]&lt;&gt;0,SUMIFS(tblGanhoPerdasRend[resultado_mes],tblGanhoPerdasRend[ano],tblGanhoPerdasRend[[#This Row],[ano]],tblGanhoPerdasRend[mês],"&lt;="&amp;tblGanhoPerdasRend[[#This Row],[mês]]),""))</f>
        <v>1470817.16</v>
      </c>
    </row>
    <row r="8" spans="1:13" x14ac:dyDescent="0.25">
      <c r="A8" s="1">
        <v>44773</v>
      </c>
      <c r="B8" s="2">
        <v>-55680.439999999995</v>
      </c>
      <c r="C8" s="2">
        <v>160162.1</v>
      </c>
      <c r="D8" s="2">
        <v>153627.38</v>
      </c>
      <c r="E8" s="2"/>
      <c r="F8" s="3">
        <f>YEAR(tblGanhoPerdasRend[[#This Row],[data_base]])</f>
        <v>2022</v>
      </c>
      <c r="G8" s="3">
        <f>MONTH(tblGanhoPerdasRend[[#This Row],[data_base]])</f>
        <v>7</v>
      </c>
      <c r="H8" s="2">
        <f>IF(tblGanhoPerdasRend[[#This Row],[mês]]=1,tblGanhoPerdasRend[[#This Row],[arrec_ant]],IF(tblGanhoPerdasRend[[#This Row],[arrec_ant]]&lt;&gt;0,SUMIFS(tblGanhoPerdasRend[arrec_ant],tblGanhoPerdasRend[ano],tblGanhoPerdasRend[[#This Row],[ano]],tblGanhoPerdasRend[mês],"&lt;="&amp;tblGanhoPerdasRend[[#This Row],[mês]]),""))</f>
        <v>102499.05000000002</v>
      </c>
      <c r="I8" s="2">
        <f>IF(tblGanhoPerdasRend[[#This Row],[mês]]=1,tblGanhoPerdasRend[[#This Row],[prev_mes]],IF(tblGanhoPerdasRend[[#This Row],[prev_mes]]&gt;0,SUMIFS(tblGanhoPerdasRend[prev_mes],tblGanhoPerdasRend[ano],tblGanhoPerdasRend[[#This Row],[ano]],tblGanhoPerdasRend[mês],"&lt;="&amp;tblGanhoPerdasRend[[#This Row],[mês]]),""))</f>
        <v>838174.14999999991</v>
      </c>
      <c r="J8" s="2">
        <f>IF(tblGanhoPerdasRend[[#This Row],[mês]]=1,tblGanhoPerdasRend[[#This Row],[ganho_mes]],IF(tblGanhoPerdasRend[[#This Row],[ganho_mes]]&gt;0,SUMIFS(tblGanhoPerdasRend[ganho_mes],tblGanhoPerdasRend[ano],tblGanhoPerdasRend[[#This Row],[ano]],tblGanhoPerdasRend[mês],"&lt;="&amp;tblGanhoPerdasRend[[#This Row],[mês]]),""))</f>
        <v>1624444.54</v>
      </c>
      <c r="K8" s="2" t="str">
        <f>IF(tblGanhoPerdasRend[[#This Row],[mês]]=1,tblGanhoPerdasRend[[#This Row],[perda_mes]],IF(tblGanhoPerdasRend[[#This Row],[perda_mes]]&lt;0,SUMIFS(tblGanhoPerdasRend[perda_mes],tblGanhoPerdasRend[ano],tblGanhoPerdasRend[[#This Row],[ano]],tblGanhoPerdasRend[mês],"&lt;="&amp;tblGanhoPerdasRend[[#This Row],[mês]]),""))</f>
        <v/>
      </c>
      <c r="L8" s="2">
        <f>tblGanhoPerdasRend[[#This Row],[ganho_mes]]-tblGanhoPerdasRend[[#This Row],[perda_mes]]</f>
        <v>153627.38</v>
      </c>
      <c r="M8" s="2">
        <f>IF(tblGanhoPerdasRend[[#This Row],[mês]]=1,tblGanhoPerdasRend[[#This Row],[resultado_mes]],IF(tblGanhoPerdasRend[[#This Row],[resultado_mes]]&lt;&gt;0,SUMIFS(tblGanhoPerdasRend[resultado_mes],tblGanhoPerdasRend[ano],tblGanhoPerdasRend[[#This Row],[ano]],tblGanhoPerdasRend[mês],"&lt;="&amp;tblGanhoPerdasRend[[#This Row],[mês]]),""))</f>
        <v>1624444.54</v>
      </c>
    </row>
    <row r="9" spans="1:13" x14ac:dyDescent="0.25">
      <c r="A9" s="1">
        <v>44804</v>
      </c>
      <c r="B9" s="2">
        <v>-17506.629999999997</v>
      </c>
      <c r="C9" s="2">
        <v>26957.99</v>
      </c>
      <c r="D9" s="2">
        <v>227383.51</v>
      </c>
      <c r="E9" s="2"/>
      <c r="F9" s="3">
        <f>YEAR(tblGanhoPerdasRend[[#This Row],[data_base]])</f>
        <v>2022</v>
      </c>
      <c r="G9" s="3">
        <f>MONTH(tblGanhoPerdasRend[[#This Row],[data_base]])</f>
        <v>8</v>
      </c>
      <c r="H9" s="2">
        <f>IF(tblGanhoPerdasRend[[#This Row],[mês]]=1,tblGanhoPerdasRend[[#This Row],[arrec_ant]],IF(tblGanhoPerdasRend[[#This Row],[arrec_ant]]&lt;&gt;0,SUMIFS(tblGanhoPerdasRend[arrec_ant],tblGanhoPerdasRend[ano],tblGanhoPerdasRend[[#This Row],[ano]],tblGanhoPerdasRend[mês],"&lt;="&amp;tblGanhoPerdasRend[[#This Row],[mês]]),""))</f>
        <v>84992.420000000013</v>
      </c>
      <c r="I9" s="2">
        <f>IF(tblGanhoPerdasRend[[#This Row],[mês]]=1,tblGanhoPerdasRend[[#This Row],[prev_mes]],IF(tblGanhoPerdasRend[[#This Row],[prev_mes]]&gt;0,SUMIFS(tblGanhoPerdasRend[prev_mes],tblGanhoPerdasRend[ano],tblGanhoPerdasRend[[#This Row],[ano]],tblGanhoPerdasRend[mês],"&lt;="&amp;tblGanhoPerdasRend[[#This Row],[mês]]),""))</f>
        <v>865132.1399999999</v>
      </c>
      <c r="J9" s="2">
        <f>IF(tblGanhoPerdasRend[[#This Row],[mês]]=1,tblGanhoPerdasRend[[#This Row],[ganho_mes]],IF(tblGanhoPerdasRend[[#This Row],[ganho_mes]]&gt;0,SUMIFS(tblGanhoPerdasRend[ganho_mes],tblGanhoPerdasRend[ano],tblGanhoPerdasRend[[#This Row],[ano]],tblGanhoPerdasRend[mês],"&lt;="&amp;tblGanhoPerdasRend[[#This Row],[mês]]),""))</f>
        <v>1851828.05</v>
      </c>
      <c r="K9" s="2" t="str">
        <f>IF(tblGanhoPerdasRend[[#This Row],[mês]]=1,tblGanhoPerdasRend[[#This Row],[perda_mes]],IF(tblGanhoPerdasRend[[#This Row],[perda_mes]]&lt;0,SUMIFS(tblGanhoPerdasRend[perda_mes],tblGanhoPerdasRend[ano],tblGanhoPerdasRend[[#This Row],[ano]],tblGanhoPerdasRend[mês],"&lt;="&amp;tblGanhoPerdasRend[[#This Row],[mês]]),""))</f>
        <v/>
      </c>
      <c r="L9" s="2">
        <f>tblGanhoPerdasRend[[#This Row],[ganho_mes]]-tblGanhoPerdasRend[[#This Row],[perda_mes]]</f>
        <v>227383.51</v>
      </c>
      <c r="M9" s="2">
        <f>IF(tblGanhoPerdasRend[[#This Row],[mês]]=1,tblGanhoPerdasRend[[#This Row],[resultado_mes]],IF(tblGanhoPerdasRend[[#This Row],[resultado_mes]]&lt;&gt;0,SUMIFS(tblGanhoPerdasRend[resultado_mes],tblGanhoPerdasRend[ano],tblGanhoPerdasRend[[#This Row],[ano]],tblGanhoPerdasRend[mês],"&lt;="&amp;tblGanhoPerdasRend[[#This Row],[mês]]),""))</f>
        <v>1851828.05</v>
      </c>
    </row>
    <row r="10" spans="1:13" x14ac:dyDescent="0.25">
      <c r="A10" s="1">
        <v>44834</v>
      </c>
      <c r="B10" s="2">
        <v>160900.24</v>
      </c>
      <c r="C10" s="2">
        <v>94696.79</v>
      </c>
      <c r="D10" s="2">
        <v>262003.22999999998</v>
      </c>
      <c r="E10" s="2"/>
      <c r="F10" s="3">
        <f>YEAR(tblGanhoPerdasRend[[#This Row],[data_base]])</f>
        <v>2022</v>
      </c>
      <c r="G10" s="3">
        <f>MONTH(tblGanhoPerdasRend[[#This Row],[data_base]])</f>
        <v>9</v>
      </c>
      <c r="H10" s="2">
        <f>IF(tblGanhoPerdasRend[[#This Row],[mês]]=1,tblGanhoPerdasRend[[#This Row],[arrec_ant]],IF(tblGanhoPerdasRend[[#This Row],[arrec_ant]]&lt;&gt;0,SUMIFS(tblGanhoPerdasRend[arrec_ant],tblGanhoPerdasRend[ano],tblGanhoPerdasRend[[#This Row],[ano]],tblGanhoPerdasRend[mês],"&lt;="&amp;tblGanhoPerdasRend[[#This Row],[mês]]),""))</f>
        <v>245892.66</v>
      </c>
      <c r="I10" s="2">
        <f>IF(tblGanhoPerdasRend[[#This Row],[mês]]=1,tblGanhoPerdasRend[[#This Row],[prev_mes]],IF(tblGanhoPerdasRend[[#This Row],[prev_mes]]&gt;0,SUMIFS(tblGanhoPerdasRend[prev_mes],tblGanhoPerdasRend[ano],tblGanhoPerdasRend[[#This Row],[ano]],tblGanhoPerdasRend[mês],"&lt;="&amp;tblGanhoPerdasRend[[#This Row],[mês]]),""))</f>
        <v>959828.92999999993</v>
      </c>
      <c r="J10" s="2">
        <f>IF(tblGanhoPerdasRend[[#This Row],[mês]]=1,tblGanhoPerdasRend[[#This Row],[ganho_mes]],IF(tblGanhoPerdasRend[[#This Row],[ganho_mes]]&gt;0,SUMIFS(tblGanhoPerdasRend[ganho_mes],tblGanhoPerdasRend[ano],tblGanhoPerdasRend[[#This Row],[ano]],tblGanhoPerdasRend[mês],"&lt;="&amp;tblGanhoPerdasRend[[#This Row],[mês]]),""))</f>
        <v>2113831.2800000003</v>
      </c>
      <c r="K10" s="2" t="str">
        <f>IF(tblGanhoPerdasRend[[#This Row],[mês]]=1,tblGanhoPerdasRend[[#This Row],[perda_mes]],IF(tblGanhoPerdasRend[[#This Row],[perda_mes]]&lt;0,SUMIFS(tblGanhoPerdasRend[perda_mes],tblGanhoPerdasRend[ano],tblGanhoPerdasRend[[#This Row],[ano]],tblGanhoPerdasRend[mês],"&lt;="&amp;tblGanhoPerdasRend[[#This Row],[mês]]),""))</f>
        <v/>
      </c>
      <c r="L10" s="2">
        <f>tblGanhoPerdasRend[[#This Row],[ganho_mes]]-tblGanhoPerdasRend[[#This Row],[perda_mes]]</f>
        <v>262003.22999999998</v>
      </c>
      <c r="M10" s="2">
        <f>IF(tblGanhoPerdasRend[[#This Row],[mês]]=1,tblGanhoPerdasRend[[#This Row],[resultado_mes]],IF(tblGanhoPerdasRend[[#This Row],[resultado_mes]]&lt;&gt;0,SUMIFS(tblGanhoPerdasRend[resultado_mes],tblGanhoPerdasRend[ano],tblGanhoPerdasRend[[#This Row],[ano]],tblGanhoPerdasRend[mês],"&lt;="&amp;tblGanhoPerdasRend[[#This Row],[mês]]),""))</f>
        <v>2113831.2800000003</v>
      </c>
    </row>
    <row r="11" spans="1:13" x14ac:dyDescent="0.25">
      <c r="A11" s="1">
        <v>44865</v>
      </c>
      <c r="B11" s="2">
        <v>-333771.18</v>
      </c>
      <c r="C11" s="2">
        <v>180726.95</v>
      </c>
      <c r="D11" s="2">
        <v>404315.26000000007</v>
      </c>
      <c r="E11" s="2"/>
      <c r="F11" s="3">
        <f>YEAR(tblGanhoPerdasRend[[#This Row],[data_base]])</f>
        <v>2022</v>
      </c>
      <c r="G11" s="3">
        <f>MONTH(tblGanhoPerdasRend[[#This Row],[data_base]])</f>
        <v>10</v>
      </c>
      <c r="H11" s="2">
        <f>IF(tblGanhoPerdasRend[[#This Row],[mês]]=1,tblGanhoPerdasRend[[#This Row],[arrec_ant]],IF(tblGanhoPerdasRend[[#This Row],[arrec_ant]]&lt;&gt;0,SUMIFS(tblGanhoPerdasRend[arrec_ant],tblGanhoPerdasRend[ano],tblGanhoPerdasRend[[#This Row],[ano]],tblGanhoPerdasRend[mês],"&lt;="&amp;tblGanhoPerdasRend[[#This Row],[mês]]),""))</f>
        <v>-87878.51999999999</v>
      </c>
      <c r="I11" s="2">
        <f>IF(tblGanhoPerdasRend[[#This Row],[mês]]=1,tblGanhoPerdasRend[[#This Row],[prev_mes]],IF(tblGanhoPerdasRend[[#This Row],[prev_mes]]&gt;0,SUMIFS(tblGanhoPerdasRend[prev_mes],tblGanhoPerdasRend[ano],tblGanhoPerdasRend[[#This Row],[ano]],tblGanhoPerdasRend[mês],"&lt;="&amp;tblGanhoPerdasRend[[#This Row],[mês]]),""))</f>
        <v>1140555.8799999999</v>
      </c>
      <c r="J11" s="2">
        <f>IF(tblGanhoPerdasRend[[#This Row],[mês]]=1,tblGanhoPerdasRend[[#This Row],[ganho_mes]],IF(tblGanhoPerdasRend[[#This Row],[ganho_mes]]&gt;0,SUMIFS(tblGanhoPerdasRend[ganho_mes],tblGanhoPerdasRend[ano],tblGanhoPerdasRend[[#This Row],[ano]],tblGanhoPerdasRend[mês],"&lt;="&amp;tblGanhoPerdasRend[[#This Row],[mês]]),""))</f>
        <v>2518146.5400000005</v>
      </c>
      <c r="K11" s="2" t="str">
        <f>IF(tblGanhoPerdasRend[[#This Row],[mês]]=1,tblGanhoPerdasRend[[#This Row],[perda_mes]],IF(tblGanhoPerdasRend[[#This Row],[perda_mes]]&lt;0,SUMIFS(tblGanhoPerdasRend[perda_mes],tblGanhoPerdasRend[ano],tblGanhoPerdasRend[[#This Row],[ano]],tblGanhoPerdasRend[mês],"&lt;="&amp;tblGanhoPerdasRend[[#This Row],[mês]]),""))</f>
        <v/>
      </c>
      <c r="L11" s="2">
        <f>tblGanhoPerdasRend[[#This Row],[ganho_mes]]-tblGanhoPerdasRend[[#This Row],[perda_mes]]</f>
        <v>404315.26000000007</v>
      </c>
      <c r="M11" s="2">
        <f>IF(tblGanhoPerdasRend[[#This Row],[mês]]=1,tblGanhoPerdasRend[[#This Row],[resultado_mes]],IF(tblGanhoPerdasRend[[#This Row],[resultado_mes]]&lt;&gt;0,SUMIFS(tblGanhoPerdasRend[resultado_mes],tblGanhoPerdasRend[ano],tblGanhoPerdasRend[[#This Row],[ano]],tblGanhoPerdasRend[mês],"&lt;="&amp;tblGanhoPerdasRend[[#This Row],[mês]]),""))</f>
        <v>2518146.5400000005</v>
      </c>
    </row>
    <row r="12" spans="1:13" x14ac:dyDescent="0.25">
      <c r="A12" s="1">
        <v>44895</v>
      </c>
      <c r="B12" s="2">
        <v>525048.16</v>
      </c>
      <c r="C12" s="2">
        <v>165307.29999999999</v>
      </c>
      <c r="D12" s="2">
        <v>0</v>
      </c>
      <c r="E12" s="2"/>
      <c r="F12" s="3">
        <f>YEAR(tblGanhoPerdasRend[[#This Row],[data_base]])</f>
        <v>2022</v>
      </c>
      <c r="G12" s="3">
        <f>MONTH(tblGanhoPerdasRend[[#This Row],[data_base]])</f>
        <v>11</v>
      </c>
      <c r="H12" s="2">
        <f>IF(tblGanhoPerdasRend[[#This Row],[mês]]=1,tblGanhoPerdasRend[[#This Row],[arrec_ant]],IF(tblGanhoPerdasRend[[#This Row],[arrec_ant]]&lt;&gt;0,SUMIFS(tblGanhoPerdasRend[arrec_ant],tblGanhoPerdasRend[ano],tblGanhoPerdasRend[[#This Row],[ano]],tblGanhoPerdasRend[mês],"&lt;="&amp;tblGanhoPerdasRend[[#This Row],[mês]]),""))</f>
        <v>437169.64</v>
      </c>
      <c r="I12" s="2">
        <f>IF(tblGanhoPerdasRend[[#This Row],[mês]]=1,tblGanhoPerdasRend[[#This Row],[prev_mes]],IF(tblGanhoPerdasRend[[#This Row],[prev_mes]]&gt;0,SUMIFS(tblGanhoPerdasRend[prev_mes],tblGanhoPerdasRend[ano],tblGanhoPerdasRend[[#This Row],[ano]],tblGanhoPerdasRend[mês],"&lt;="&amp;tblGanhoPerdasRend[[#This Row],[mês]]),""))</f>
        <v>1305863.18</v>
      </c>
      <c r="J12" s="2" t="str">
        <f>IF(tblGanhoPerdasRend[[#This Row],[mês]]=1,tblGanhoPerdasRend[[#This Row],[ganho_mes]],IF(tblGanhoPerdasRend[[#This Row],[ganho_mes]]&gt;0,SUMIFS(tblGanhoPerdasRend[ganho_mes],tblGanhoPerdasRend[ano],tblGanhoPerdasRend[[#This Row],[ano]],tblGanhoPerdasRend[mês],"&lt;="&amp;tblGanhoPerdasRend[[#This Row],[mês]]),""))</f>
        <v/>
      </c>
      <c r="K12" s="2" t="str">
        <f>IF(tblGanhoPerdasRend[[#This Row],[mês]]=1,tblGanhoPerdasRend[[#This Row],[perda_mes]],IF(tblGanhoPerdasRend[[#This Row],[perda_mes]]&lt;0,SUMIFS(tblGanhoPerdasRend[perda_mes],tblGanhoPerdasRend[ano],tblGanhoPerdasRend[[#This Row],[ano]],tblGanhoPerdasRend[mês],"&lt;="&amp;tblGanhoPerdasRend[[#This Row],[mês]]),""))</f>
        <v/>
      </c>
      <c r="L12" s="2">
        <f>tblGanhoPerdasRend[[#This Row],[ganho_mes]]-tblGanhoPerdasRend[[#This Row],[perda_mes]]</f>
        <v>0</v>
      </c>
      <c r="M12" s="2" t="str">
        <f>IF(tblGanhoPerdasRend[[#This Row],[mês]]=1,tblGanhoPerdasRend[[#This Row],[resultado_mes]],IF(tblGanhoPerdasRend[[#This Row],[resultado_mes]]&lt;&gt;0,SUMIFS(tblGanhoPerdasRend[resultado_mes],tblGanhoPerdasRend[ano],tblGanhoPerdasRend[[#This Row],[ano]],tblGanhoPerdasRend[mês],"&lt;="&amp;tblGanhoPerdasRend[[#This Row],[mês]]),""))</f>
        <v/>
      </c>
    </row>
    <row r="13" spans="1:13" x14ac:dyDescent="0.25">
      <c r="A13" s="1">
        <v>44926</v>
      </c>
      <c r="B13" s="2">
        <v>262923.23</v>
      </c>
      <c r="C13" s="2">
        <v>256079.82</v>
      </c>
      <c r="D13" s="2">
        <v>0</v>
      </c>
      <c r="E13" s="2"/>
      <c r="F13" s="3">
        <f>YEAR(tblGanhoPerdasRend[[#This Row],[data_base]])</f>
        <v>2022</v>
      </c>
      <c r="G13" s="3">
        <f>MONTH(tblGanhoPerdasRend[[#This Row],[data_base]])</f>
        <v>12</v>
      </c>
      <c r="H13" s="2">
        <f>IF(tblGanhoPerdasRend[[#This Row],[mês]]=1,tblGanhoPerdasRend[[#This Row],[arrec_ant]],IF(tblGanhoPerdasRend[[#This Row],[arrec_ant]]&lt;&gt;0,SUMIFS(tblGanhoPerdasRend[arrec_ant],tblGanhoPerdasRend[ano],tblGanhoPerdasRend[[#This Row],[ano]],tblGanhoPerdasRend[mês],"&lt;="&amp;tblGanhoPerdasRend[[#This Row],[mês]]),""))</f>
        <v>700092.87</v>
      </c>
      <c r="I13" s="2">
        <f>IF(tblGanhoPerdasRend[[#This Row],[mês]]=1,tblGanhoPerdasRend[[#This Row],[prev_mes]],IF(tblGanhoPerdasRend[[#This Row],[prev_mes]]&gt;0,SUMIFS(tblGanhoPerdasRend[prev_mes],tblGanhoPerdasRend[ano],tblGanhoPerdasRend[[#This Row],[ano]],tblGanhoPerdasRend[mês],"&lt;="&amp;tblGanhoPerdasRend[[#This Row],[mês]]),""))</f>
        <v>1561943</v>
      </c>
      <c r="J13" s="2" t="str">
        <f>IF(tblGanhoPerdasRend[[#This Row],[mês]]=1,tblGanhoPerdasRend[[#This Row],[ganho_mes]],IF(tblGanhoPerdasRend[[#This Row],[ganho_mes]]&gt;0,SUMIFS(tblGanhoPerdasRend[ganho_mes],tblGanhoPerdasRend[ano],tblGanhoPerdasRend[[#This Row],[ano]],tblGanhoPerdasRend[mês],"&lt;="&amp;tblGanhoPerdasRend[[#This Row],[mês]]),""))</f>
        <v/>
      </c>
      <c r="K13" s="2" t="str">
        <f>IF(tblGanhoPerdasRend[[#This Row],[mês]]=1,tblGanhoPerdasRend[[#This Row],[perda_mes]],IF(tblGanhoPerdasRend[[#This Row],[perda_mes]]&lt;0,SUMIFS(tblGanhoPerdasRend[perda_mes],tblGanhoPerdasRend[ano],tblGanhoPerdasRend[[#This Row],[ano]],tblGanhoPerdasRend[mês],"&lt;="&amp;tblGanhoPerdasRend[[#This Row],[mês]]),""))</f>
        <v/>
      </c>
      <c r="L13" s="2">
        <f>tblGanhoPerdasRend[[#This Row],[ganho_mes]]-tblGanhoPerdasRend[[#This Row],[perda_mes]]</f>
        <v>0</v>
      </c>
      <c r="M13" s="2" t="str">
        <f>IF(tblGanhoPerdasRend[[#This Row],[mês]]=1,tblGanhoPerdasRend[[#This Row],[resultado_mes]],IF(tblGanhoPerdasRend[[#This Row],[resultado_mes]]&lt;&gt;0,SUMIFS(tblGanhoPerdasRend[resultado_mes],tblGanhoPerdasRend[ano],tblGanhoPerdasRend[[#This Row],[ano]],tblGanhoPerdasRend[mês],"&lt;="&amp;tblGanhoPerdasRend[[#This Row],[mês]]),""))</f>
        <v/>
      </c>
    </row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D6F3E-B503-46BD-BFE0-D7FA59227748}">
  <dimension ref="A1:G13"/>
  <sheetViews>
    <sheetView workbookViewId="0">
      <selection activeCell="E2" sqref="E2"/>
    </sheetView>
  </sheetViews>
  <sheetFormatPr defaultRowHeight="15" x14ac:dyDescent="0.25"/>
  <cols>
    <col min="1" max="1" width="12.140625" customWidth="1"/>
    <col min="2" max="2" width="11.5703125" bestFit="1" customWidth="1"/>
    <col min="3" max="3" width="12.5703125" customWidth="1"/>
    <col min="4" max="4" width="16.7109375" customWidth="1"/>
    <col min="5" max="5" width="18.28515625" customWidth="1"/>
    <col min="6" max="6" width="9.5703125" bestFit="1" customWidth="1"/>
  </cols>
  <sheetData>
    <row r="1" spans="1:7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7</v>
      </c>
      <c r="G1" t="s">
        <v>8</v>
      </c>
    </row>
    <row r="2" spans="1:7" x14ac:dyDescent="0.25">
      <c r="A2" s="1">
        <v>44592</v>
      </c>
      <c r="B2" s="2">
        <v>215988.06999999998</v>
      </c>
      <c r="C2" s="2">
        <v>732409.66999999993</v>
      </c>
      <c r="D2" s="2">
        <f>IF(tblDespesaTotal[[#This Row],[mês]]=1,tblDespesaTotal[[#This Row],[emp_ant]],IF(tblDespesaTotal[[#This Row],[emp_ant]]&gt;0,SUMIFS(tblDespesaTotal[emp_ant],tblDespesaTotal[ano],tblDespesaTotal[[#This Row],[ano]],tblDespesaTotal[mês],"&lt;="&amp;tblDespesaTotal[[#This Row],[mês]]),""))</f>
        <v>215988.06999999998</v>
      </c>
      <c r="E2" s="2">
        <f>IF(tblDespesaTotal[[#This Row],[mês]]=1,tblDespesaTotal[[#This Row],[emp_atual]],IF(tblDespesaTotal[[#This Row],[emp_atual]]&gt;0,SUMIFS(tblDespesaTotal[emp_atual],tblDespesaTotal[ano],tblDespesaTotal[[#This Row],[ano]],tblDespesaTotal[mês],"&lt;="&amp;tblDespesaTotal[[#This Row],[mês]]),""))</f>
        <v>732409.66999999993</v>
      </c>
      <c r="F2" s="3">
        <f>YEAR(tblDespesaTotal[[#This Row],[data_base]])</f>
        <v>2022</v>
      </c>
      <c r="G2" s="3">
        <f>MONTH(tblDespesaTotal[[#This Row],[data_base]])</f>
        <v>1</v>
      </c>
    </row>
    <row r="3" spans="1:7" x14ac:dyDescent="0.25">
      <c r="A3" s="1">
        <v>44620</v>
      </c>
      <c r="B3" s="2">
        <v>204658.06</v>
      </c>
      <c r="C3" s="2">
        <v>390673.1</v>
      </c>
      <c r="D3" s="2">
        <f>IF(tblDespesaTotal[[#This Row],[mês]]=1,tblDespesaTotal[[#This Row],[emp_ant]],IF(tblDespesaTotal[[#This Row],[emp_ant]]&gt;0,SUMIFS(tblDespesaTotal[emp_ant],tblDespesaTotal[ano],tblDespesaTotal[[#This Row],[ano]],tblDespesaTotal[mês],"&lt;="&amp;tblDespesaTotal[[#This Row],[mês]]),""))</f>
        <v>420646.13</v>
      </c>
      <c r="E3" s="2">
        <f>IF(tblDespesaTotal[[#This Row],[mês]]=1,tblDespesaTotal[[#This Row],[emp_atual]],IF(tblDespesaTotal[[#This Row],[emp_atual]]&gt;0,SUMIFS(tblDespesaTotal[emp_atual],tblDespesaTotal[ano],tblDespesaTotal[[#This Row],[ano]],tblDespesaTotal[mês],"&lt;="&amp;tblDespesaTotal[[#This Row],[mês]]),""))</f>
        <v>1123082.77</v>
      </c>
      <c r="F3" s="3">
        <f>YEAR(tblDespesaTotal[[#This Row],[data_base]])</f>
        <v>2022</v>
      </c>
      <c r="G3" s="3">
        <f>MONTH(tblDespesaTotal[[#This Row],[data_base]])</f>
        <v>2</v>
      </c>
    </row>
    <row r="4" spans="1:7" x14ac:dyDescent="0.25">
      <c r="A4" s="1">
        <v>44651</v>
      </c>
      <c r="B4" s="2">
        <v>208226.6</v>
      </c>
      <c r="C4" s="2">
        <v>274005.03999999998</v>
      </c>
      <c r="D4" s="2">
        <f>IF(tblDespesaTotal[[#This Row],[mês]]=1,tblDespesaTotal[[#This Row],[emp_ant]],IF(tblDespesaTotal[[#This Row],[emp_ant]]&gt;0,SUMIFS(tblDespesaTotal[emp_ant],tblDespesaTotal[ano],tblDespesaTotal[[#This Row],[ano]],tblDespesaTotal[mês],"&lt;="&amp;tblDespesaTotal[[#This Row],[mês]]),""))</f>
        <v>628872.73</v>
      </c>
      <c r="E4" s="2">
        <f>IF(tblDespesaTotal[[#This Row],[mês]]=1,tblDespesaTotal[[#This Row],[emp_atual]],IF(tblDespesaTotal[[#This Row],[emp_atual]]&gt;0,SUMIFS(tblDespesaTotal[emp_atual],tblDespesaTotal[ano],tblDespesaTotal[[#This Row],[ano]],tblDespesaTotal[mês],"&lt;="&amp;tblDespesaTotal[[#This Row],[mês]]),""))</f>
        <v>1397087.81</v>
      </c>
      <c r="F4" s="3">
        <f>YEAR(tblDespesaTotal[[#This Row],[data_base]])</f>
        <v>2022</v>
      </c>
      <c r="G4" s="3">
        <f>MONTH(tblDespesaTotal[[#This Row],[data_base]])</f>
        <v>3</v>
      </c>
    </row>
    <row r="5" spans="1:7" x14ac:dyDescent="0.25">
      <c r="A5" s="1">
        <v>44681</v>
      </c>
      <c r="B5" s="2">
        <v>205876.94</v>
      </c>
      <c r="C5" s="2">
        <v>270681.83</v>
      </c>
      <c r="D5" s="2">
        <f>IF(tblDespesaTotal[[#This Row],[mês]]=1,tblDespesaTotal[[#This Row],[emp_ant]],IF(tblDespesaTotal[[#This Row],[emp_ant]]&gt;0,SUMIFS(tblDespesaTotal[emp_ant],tblDespesaTotal[ano],tblDespesaTotal[[#This Row],[ano]],tblDespesaTotal[mês],"&lt;="&amp;tblDespesaTotal[[#This Row],[mês]]),""))</f>
        <v>834749.66999999993</v>
      </c>
      <c r="E5" s="2">
        <f>IF(tblDespesaTotal[[#This Row],[mês]]=1,tblDespesaTotal[[#This Row],[emp_atual]],IF(tblDespesaTotal[[#This Row],[emp_atual]]&gt;0,SUMIFS(tblDespesaTotal[emp_atual],tblDespesaTotal[ano],tblDespesaTotal[[#This Row],[ano]],tblDespesaTotal[mês],"&lt;="&amp;tblDespesaTotal[[#This Row],[mês]]),""))</f>
        <v>1667769.6400000001</v>
      </c>
      <c r="F5" s="3">
        <f>YEAR(tblDespesaTotal[[#This Row],[data_base]])</f>
        <v>2022</v>
      </c>
      <c r="G5" s="3">
        <f>MONTH(tblDespesaTotal[[#This Row],[data_base]])</f>
        <v>4</v>
      </c>
    </row>
    <row r="6" spans="1:7" x14ac:dyDescent="0.25">
      <c r="A6" s="1">
        <v>44712</v>
      </c>
      <c r="B6" s="2">
        <v>218808.79</v>
      </c>
      <c r="C6" s="2">
        <v>279988.86000000004</v>
      </c>
      <c r="D6" s="2">
        <f>IF(tblDespesaTotal[[#This Row],[mês]]=1,tblDespesaTotal[[#This Row],[emp_ant]],IF(tblDespesaTotal[[#This Row],[emp_ant]]&gt;0,SUMIFS(tblDespesaTotal[emp_ant],tblDespesaTotal[ano],tblDespesaTotal[[#This Row],[ano]],tblDespesaTotal[mês],"&lt;="&amp;tblDespesaTotal[[#This Row],[mês]]),""))</f>
        <v>1053558.46</v>
      </c>
      <c r="E6" s="2">
        <f>IF(tblDespesaTotal[[#This Row],[mês]]=1,tblDespesaTotal[[#This Row],[emp_atual]],IF(tblDespesaTotal[[#This Row],[emp_atual]]&gt;0,SUMIFS(tblDespesaTotal[emp_atual],tblDespesaTotal[ano],tblDespesaTotal[[#This Row],[ano]],tblDespesaTotal[mês],"&lt;="&amp;tblDespesaTotal[[#This Row],[mês]]),""))</f>
        <v>1947758.5000000002</v>
      </c>
      <c r="F6" s="3">
        <f>YEAR(tblDespesaTotal[[#This Row],[data_base]])</f>
        <v>2022</v>
      </c>
      <c r="G6" s="3">
        <f>MONTH(tblDespesaTotal[[#This Row],[data_base]])</f>
        <v>5</v>
      </c>
    </row>
    <row r="7" spans="1:7" x14ac:dyDescent="0.25">
      <c r="A7" s="1">
        <v>44742</v>
      </c>
      <c r="B7" s="2">
        <v>216583.6</v>
      </c>
      <c r="C7" s="2">
        <v>284411.50000000006</v>
      </c>
      <c r="D7" s="2">
        <f>IF(tblDespesaTotal[[#This Row],[mês]]=1,tblDespesaTotal[[#This Row],[emp_ant]],IF(tblDespesaTotal[[#This Row],[emp_ant]]&gt;0,SUMIFS(tblDespesaTotal[emp_ant],tblDespesaTotal[ano],tblDespesaTotal[[#This Row],[ano]],tblDespesaTotal[mês],"&lt;="&amp;tblDespesaTotal[[#This Row],[mês]]),""))</f>
        <v>1270142.06</v>
      </c>
      <c r="E7" s="2">
        <f>IF(tblDespesaTotal[[#This Row],[mês]]=1,tblDespesaTotal[[#This Row],[emp_atual]],IF(tblDespesaTotal[[#This Row],[emp_atual]]&gt;0,SUMIFS(tblDespesaTotal[emp_atual],tblDespesaTotal[ano],tblDespesaTotal[[#This Row],[ano]],tblDespesaTotal[mês],"&lt;="&amp;tblDespesaTotal[[#This Row],[mês]]),""))</f>
        <v>2232170.0000000005</v>
      </c>
      <c r="F7" s="3">
        <f>YEAR(tblDespesaTotal[[#This Row],[data_base]])</f>
        <v>2022</v>
      </c>
      <c r="G7" s="3">
        <f>MONTH(tblDespesaTotal[[#This Row],[data_base]])</f>
        <v>6</v>
      </c>
    </row>
    <row r="8" spans="1:7" x14ac:dyDescent="0.25">
      <c r="A8" s="1">
        <v>44773</v>
      </c>
      <c r="B8" s="2">
        <v>219037.12</v>
      </c>
      <c r="C8" s="2">
        <v>278970.72000000003</v>
      </c>
      <c r="D8" s="2">
        <f>IF(tblDespesaTotal[[#This Row],[mês]]=1,tblDespesaTotal[[#This Row],[emp_ant]],IF(tblDespesaTotal[[#This Row],[emp_ant]]&gt;0,SUMIFS(tblDespesaTotal[emp_ant],tblDespesaTotal[ano],tblDespesaTotal[[#This Row],[ano]],tblDespesaTotal[mês],"&lt;="&amp;tblDespesaTotal[[#This Row],[mês]]),""))</f>
        <v>1489179.1800000002</v>
      </c>
      <c r="E8" s="2">
        <f>IF(tblDespesaTotal[[#This Row],[mês]]=1,tblDespesaTotal[[#This Row],[emp_atual]],IF(tblDespesaTotal[[#This Row],[emp_atual]]&gt;0,SUMIFS(tblDespesaTotal[emp_atual],tblDespesaTotal[ano],tblDespesaTotal[[#This Row],[ano]],tblDespesaTotal[mês],"&lt;="&amp;tblDespesaTotal[[#This Row],[mês]]),""))</f>
        <v>2511140.7200000007</v>
      </c>
      <c r="F8" s="3">
        <f>YEAR(tblDespesaTotal[[#This Row],[data_base]])</f>
        <v>2022</v>
      </c>
      <c r="G8" s="3">
        <f>MONTH(tblDespesaTotal[[#This Row],[data_base]])</f>
        <v>7</v>
      </c>
    </row>
    <row r="9" spans="1:7" x14ac:dyDescent="0.25">
      <c r="A9" s="1">
        <v>44804</v>
      </c>
      <c r="B9" s="2">
        <v>218624.22</v>
      </c>
      <c r="C9" s="2">
        <v>290057.30000000005</v>
      </c>
      <c r="D9" s="2">
        <f>IF(tblDespesaTotal[[#This Row],[mês]]=1,tblDespesaTotal[[#This Row],[emp_ant]],IF(tblDespesaTotal[[#This Row],[emp_ant]]&gt;0,SUMIFS(tblDespesaTotal[emp_ant],tblDespesaTotal[ano],tblDespesaTotal[[#This Row],[ano]],tblDespesaTotal[mês],"&lt;="&amp;tblDespesaTotal[[#This Row],[mês]]),""))</f>
        <v>1707803.4000000001</v>
      </c>
      <c r="E9" s="2">
        <f>IF(tblDespesaTotal[[#This Row],[mês]]=1,tblDespesaTotal[[#This Row],[emp_atual]],IF(tblDespesaTotal[[#This Row],[emp_atual]]&gt;0,SUMIFS(tblDespesaTotal[emp_atual],tblDespesaTotal[ano],tblDespesaTotal[[#This Row],[ano]],tblDespesaTotal[mês],"&lt;="&amp;tblDespesaTotal[[#This Row],[mês]]),""))</f>
        <v>2801198.0200000005</v>
      </c>
      <c r="F9" s="3">
        <f>YEAR(tblDespesaTotal[[#This Row],[data_base]])</f>
        <v>2022</v>
      </c>
      <c r="G9" s="3">
        <f>MONTH(tblDespesaTotal[[#This Row],[data_base]])</f>
        <v>8</v>
      </c>
    </row>
    <row r="10" spans="1:7" x14ac:dyDescent="0.25">
      <c r="A10" s="1">
        <v>44834</v>
      </c>
      <c r="B10" s="2">
        <v>218182.19</v>
      </c>
      <c r="C10" s="2">
        <v>288200.66000000003</v>
      </c>
      <c r="D10" s="2">
        <f>IF(tblDespesaTotal[[#This Row],[mês]]=1,tblDespesaTotal[[#This Row],[emp_ant]],IF(tblDespesaTotal[[#This Row],[emp_ant]]&gt;0,SUMIFS(tblDespesaTotal[emp_ant],tblDespesaTotal[ano],tblDespesaTotal[[#This Row],[ano]],tblDespesaTotal[mês],"&lt;="&amp;tblDespesaTotal[[#This Row],[mês]]),""))</f>
        <v>1925985.59</v>
      </c>
      <c r="E10" s="2">
        <f>IF(tblDespesaTotal[[#This Row],[mês]]=1,tblDespesaTotal[[#This Row],[emp_atual]],IF(tblDespesaTotal[[#This Row],[emp_atual]]&gt;0,SUMIFS(tblDespesaTotal[emp_atual],tblDespesaTotal[ano],tblDespesaTotal[[#This Row],[ano]],tblDespesaTotal[mês],"&lt;="&amp;tblDespesaTotal[[#This Row],[mês]]),""))</f>
        <v>3089398.6800000006</v>
      </c>
      <c r="F10" s="3">
        <f>YEAR(tblDespesaTotal[[#This Row],[data_base]])</f>
        <v>2022</v>
      </c>
      <c r="G10" s="3">
        <f>MONTH(tblDespesaTotal[[#This Row],[data_base]])</f>
        <v>9</v>
      </c>
    </row>
    <row r="11" spans="1:7" x14ac:dyDescent="0.25">
      <c r="A11" s="1">
        <v>44865</v>
      </c>
      <c r="B11" s="2">
        <v>218832.19</v>
      </c>
      <c r="C11" s="2">
        <v>287920.39</v>
      </c>
      <c r="D11" s="2">
        <f>IF(tblDespesaTotal[[#This Row],[mês]]=1,tblDespesaTotal[[#This Row],[emp_ant]],IF(tblDespesaTotal[[#This Row],[emp_ant]]&gt;0,SUMIFS(tblDespesaTotal[emp_ant],tblDespesaTotal[ano],tblDespesaTotal[[#This Row],[ano]],tblDespesaTotal[mês],"&lt;="&amp;tblDespesaTotal[[#This Row],[mês]]),""))</f>
        <v>2144817.7800000003</v>
      </c>
      <c r="E11" s="2">
        <f>IF(tblDespesaTotal[[#This Row],[mês]]=1,tblDespesaTotal[[#This Row],[emp_atual]],IF(tblDespesaTotal[[#This Row],[emp_atual]]&gt;0,SUMIFS(tblDespesaTotal[emp_atual],tblDespesaTotal[ano],tblDespesaTotal[[#This Row],[ano]],tblDespesaTotal[mês],"&lt;="&amp;tblDespesaTotal[[#This Row],[mês]]),""))</f>
        <v>3377319.0700000008</v>
      </c>
      <c r="F11" s="3">
        <f>YEAR(tblDespesaTotal[[#This Row],[data_base]])</f>
        <v>2022</v>
      </c>
      <c r="G11" s="3">
        <f>MONTH(tblDespesaTotal[[#This Row],[data_base]])</f>
        <v>10</v>
      </c>
    </row>
    <row r="12" spans="1:7" x14ac:dyDescent="0.25">
      <c r="A12" s="1">
        <v>44895</v>
      </c>
      <c r="B12" s="2">
        <v>230980.39</v>
      </c>
      <c r="C12" s="2">
        <v>0</v>
      </c>
      <c r="D12" s="2">
        <f>IF(tblDespesaTotal[[#This Row],[mês]]=1,tblDespesaTotal[[#This Row],[emp_ant]],IF(tblDespesaTotal[[#This Row],[emp_ant]]&gt;0,SUMIFS(tblDespesaTotal[emp_ant],tblDespesaTotal[ano],tblDespesaTotal[[#This Row],[ano]],tblDespesaTotal[mês],"&lt;="&amp;tblDespesaTotal[[#This Row],[mês]]),""))</f>
        <v>2375798.1700000004</v>
      </c>
      <c r="E12" s="2" t="str">
        <f>IF(tblDespesaTotal[[#This Row],[mês]]=1,tblDespesaTotal[[#This Row],[emp_atual]],IF(tblDespesaTotal[[#This Row],[emp_atual]]&gt;0,SUMIFS(tblDespesaTotal[emp_atual],tblDespesaTotal[ano],tblDespesaTotal[[#This Row],[ano]],tblDespesaTotal[mês],"&lt;="&amp;tblDespesaTotal[[#This Row],[mês]]),""))</f>
        <v/>
      </c>
      <c r="F12" s="3">
        <f>YEAR(tblDespesaTotal[[#This Row],[data_base]])</f>
        <v>2022</v>
      </c>
      <c r="G12" s="3">
        <f>MONTH(tblDespesaTotal[[#This Row],[data_base]])</f>
        <v>11</v>
      </c>
    </row>
    <row r="13" spans="1:7" x14ac:dyDescent="0.25">
      <c r="A13" s="1">
        <v>44926</v>
      </c>
      <c r="B13" s="2">
        <v>447172.53</v>
      </c>
      <c r="C13" s="2">
        <v>0</v>
      </c>
      <c r="D13" s="2">
        <f>IF(tblDespesaTotal[[#This Row],[mês]]=1,tblDespesaTotal[[#This Row],[emp_ant]],IF(tblDespesaTotal[[#This Row],[emp_ant]]&gt;0,SUMIFS(tblDespesaTotal[emp_ant],tblDespesaTotal[ano],tblDespesaTotal[[#This Row],[ano]],tblDespesaTotal[mês],"&lt;="&amp;tblDespesaTotal[[#This Row],[mês]]),""))</f>
        <v>2822970.7</v>
      </c>
      <c r="E13" s="2" t="str">
        <f>IF(tblDespesaTotal[[#This Row],[mês]]=1,tblDespesaTotal[[#This Row],[emp_atual]],IF(tblDespesaTotal[[#This Row],[emp_atual]]&gt;0,SUMIFS(tblDespesaTotal[emp_atual],tblDespesaTotal[ano],tblDespesaTotal[[#This Row],[ano]],tblDespesaTotal[mês],"&lt;="&amp;tblDespesaTotal[[#This Row],[mês]]),""))</f>
        <v/>
      </c>
      <c r="F13" s="3">
        <f>YEAR(tblDespesaTotal[[#This Row],[data_base]])</f>
        <v>2022</v>
      </c>
      <c r="G13" s="3">
        <f>MONTH(tblDespesaTotal[[#This Row],[data_base]])</f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5681A-1C5A-4698-AB6D-76965FA813E4}">
  <dimension ref="A1:G13"/>
  <sheetViews>
    <sheetView workbookViewId="0">
      <selection activeCell="E2" sqref="E2"/>
    </sheetView>
  </sheetViews>
  <sheetFormatPr defaultRowHeight="15" x14ac:dyDescent="0.25"/>
  <cols>
    <col min="1" max="1" width="12.140625" customWidth="1"/>
    <col min="2" max="2" width="11.5703125" bestFit="1" customWidth="1"/>
    <col min="3" max="3" width="12.5703125" customWidth="1"/>
    <col min="4" max="4" width="16.7109375" customWidth="1"/>
    <col min="5" max="5" width="18.28515625" customWidth="1"/>
    <col min="6" max="6" width="9.5703125" bestFit="1" customWidth="1"/>
  </cols>
  <sheetData>
    <row r="1" spans="1:7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7</v>
      </c>
      <c r="G1" t="s">
        <v>8</v>
      </c>
    </row>
    <row r="2" spans="1:7" x14ac:dyDescent="0.25">
      <c r="A2" s="1">
        <v>44592</v>
      </c>
      <c r="B2" s="2">
        <v>178135.08</v>
      </c>
      <c r="C2" s="2">
        <v>226085.31999999998</v>
      </c>
      <c r="D2" s="2">
        <f>IF(tblInativPensRPPS[[#This Row],[mês]]=1,tblInativPensRPPS[[#This Row],[emp_ant]],IF(tblInativPensRPPS[[#This Row],[emp_ant]]&gt;0,SUMIFS(tblInativPensRPPS[emp_ant],tblInativPensRPPS[ano],tblInativPensRPPS[[#This Row],[ano]],tblInativPensRPPS[mês],"&lt;="&amp;tblInativPensRPPS[[#This Row],[mês]]),""))</f>
        <v>178135.08</v>
      </c>
      <c r="E2" s="2">
        <f>IF(tblInativPensRPPS[[#This Row],[mês]]=1,tblInativPensRPPS[[#This Row],[emp_atual]],IF(tblInativPensRPPS[[#This Row],[emp_atual]]&gt;0,SUMIFS(tblInativPensRPPS[emp_atual],tblInativPensRPPS[ano],tblInativPensRPPS[[#This Row],[ano]],tblInativPensRPPS[mês],"&lt;="&amp;tblInativPensRPPS[[#This Row],[mês]]),""))</f>
        <v>226085.31999999998</v>
      </c>
      <c r="F2" s="3">
        <f>YEAR(tblInativPensRPPS[[#This Row],[data_base]])</f>
        <v>2022</v>
      </c>
      <c r="G2" s="3">
        <f>MONTH(tblInativPensRPPS[[#This Row],[data_base]])</f>
        <v>1</v>
      </c>
    </row>
    <row r="3" spans="1:7" x14ac:dyDescent="0.25">
      <c r="A3" s="1">
        <v>44620</v>
      </c>
      <c r="B3" s="2">
        <v>178055.07</v>
      </c>
      <c r="C3" s="2">
        <v>233212.12000000002</v>
      </c>
      <c r="D3" s="2">
        <f>IF(tblInativPensRPPS[[#This Row],[mês]]=1,tblInativPensRPPS[[#This Row],[emp_ant]],IF(tblInativPensRPPS[[#This Row],[emp_ant]]&gt;0,SUMIFS(tblInativPensRPPS[emp_ant],tblInativPensRPPS[ano],tblInativPensRPPS[[#This Row],[ano]],tblInativPensRPPS[mês],"&lt;="&amp;tblInativPensRPPS[[#This Row],[mês]]),""))</f>
        <v>356190.15</v>
      </c>
      <c r="E3" s="2">
        <f>IF(tblInativPensRPPS[[#This Row],[mês]]=1,tblInativPensRPPS[[#This Row],[emp_atual]],IF(tblInativPensRPPS[[#This Row],[emp_atual]]&gt;0,SUMIFS(tblInativPensRPPS[emp_atual],tblInativPensRPPS[ano],tblInativPensRPPS[[#This Row],[ano]],tblInativPensRPPS[mês],"&lt;="&amp;tblInativPensRPPS[[#This Row],[mês]]),""))</f>
        <v>459297.44</v>
      </c>
      <c r="F3" s="3">
        <f>YEAR(tblInativPensRPPS[[#This Row],[data_base]])</f>
        <v>2022</v>
      </c>
      <c r="G3" s="3">
        <f>MONTH(tblInativPensRPPS[[#This Row],[data_base]])</f>
        <v>2</v>
      </c>
    </row>
    <row r="4" spans="1:7" x14ac:dyDescent="0.25">
      <c r="A4" s="1">
        <v>44651</v>
      </c>
      <c r="B4" s="2">
        <v>181281.61</v>
      </c>
      <c r="C4" s="2">
        <v>235993.21</v>
      </c>
      <c r="D4" s="2">
        <f>IF(tblInativPensRPPS[[#This Row],[mês]]=1,tblInativPensRPPS[[#This Row],[emp_ant]],IF(tblInativPensRPPS[[#This Row],[emp_ant]]&gt;0,SUMIFS(tblInativPensRPPS[emp_ant],tblInativPensRPPS[ano],tblInativPensRPPS[[#This Row],[ano]],tblInativPensRPPS[mês],"&lt;="&amp;tblInativPensRPPS[[#This Row],[mês]]),""))</f>
        <v>537471.76</v>
      </c>
      <c r="E4" s="2">
        <f>IF(tblInativPensRPPS[[#This Row],[mês]]=1,tblInativPensRPPS[[#This Row],[emp_atual]],IF(tblInativPensRPPS[[#This Row],[emp_atual]]&gt;0,SUMIFS(tblInativPensRPPS[emp_atual],tblInativPensRPPS[ano],tblInativPensRPPS[[#This Row],[ano]],tblInativPensRPPS[mês],"&lt;="&amp;tblInativPensRPPS[[#This Row],[mês]]),""))</f>
        <v>695290.65</v>
      </c>
      <c r="F4" s="3">
        <f>YEAR(tblInativPensRPPS[[#This Row],[data_base]])</f>
        <v>2022</v>
      </c>
      <c r="G4" s="3">
        <f>MONTH(tblInativPensRPPS[[#This Row],[data_base]])</f>
        <v>3</v>
      </c>
    </row>
    <row r="5" spans="1:7" x14ac:dyDescent="0.25">
      <c r="A5" s="1">
        <v>44681</v>
      </c>
      <c r="B5" s="2">
        <v>179273.95</v>
      </c>
      <c r="C5" s="2">
        <v>238968.75999999998</v>
      </c>
      <c r="D5" s="2">
        <f>IF(tblInativPensRPPS[[#This Row],[mês]]=1,tblInativPensRPPS[[#This Row],[emp_ant]],IF(tblInativPensRPPS[[#This Row],[emp_ant]]&gt;0,SUMIFS(tblInativPensRPPS[emp_ant],tblInativPensRPPS[ano],tblInativPensRPPS[[#This Row],[ano]],tblInativPensRPPS[mês],"&lt;="&amp;tblInativPensRPPS[[#This Row],[mês]]),""))</f>
        <v>716745.71</v>
      </c>
      <c r="E5" s="2">
        <f>IF(tblInativPensRPPS[[#This Row],[mês]]=1,tblInativPensRPPS[[#This Row],[emp_atual]],IF(tblInativPensRPPS[[#This Row],[emp_atual]]&gt;0,SUMIFS(tblInativPensRPPS[emp_atual],tblInativPensRPPS[ano],tblInativPensRPPS[[#This Row],[ano]],tblInativPensRPPS[mês],"&lt;="&amp;tblInativPensRPPS[[#This Row],[mês]]),""))</f>
        <v>934259.41</v>
      </c>
      <c r="F5" s="3">
        <f>YEAR(tblInativPensRPPS[[#This Row],[data_base]])</f>
        <v>2022</v>
      </c>
      <c r="G5" s="3">
        <f>MONTH(tblInativPensRPPS[[#This Row],[data_base]])</f>
        <v>4</v>
      </c>
    </row>
    <row r="6" spans="1:7" x14ac:dyDescent="0.25">
      <c r="A6" s="1">
        <v>44712</v>
      </c>
      <c r="B6" s="2">
        <v>183445.8</v>
      </c>
      <c r="C6" s="2">
        <v>248353.84</v>
      </c>
      <c r="D6" s="2">
        <f>IF(tblInativPensRPPS[[#This Row],[mês]]=1,tblInativPensRPPS[[#This Row],[emp_ant]],IF(tblInativPensRPPS[[#This Row],[emp_ant]]&gt;0,SUMIFS(tblInativPensRPPS[emp_ant],tblInativPensRPPS[ano],tblInativPensRPPS[[#This Row],[ano]],tblInativPensRPPS[mês],"&lt;="&amp;tblInativPensRPPS[[#This Row],[mês]]),""))</f>
        <v>900191.51</v>
      </c>
      <c r="E6" s="2">
        <f>IF(tblInativPensRPPS[[#This Row],[mês]]=1,tblInativPensRPPS[[#This Row],[emp_atual]],IF(tblInativPensRPPS[[#This Row],[emp_atual]]&gt;0,SUMIFS(tblInativPensRPPS[emp_atual],tblInativPensRPPS[ano],tblInativPensRPPS[[#This Row],[ano]],tblInativPensRPPS[mês],"&lt;="&amp;tblInativPensRPPS[[#This Row],[mês]]),""))</f>
        <v>1182613.25</v>
      </c>
      <c r="F6" s="3">
        <f>YEAR(tblInativPensRPPS[[#This Row],[data_base]])</f>
        <v>2022</v>
      </c>
      <c r="G6" s="3">
        <f>MONTH(tblInativPensRPPS[[#This Row],[data_base]])</f>
        <v>5</v>
      </c>
    </row>
    <row r="7" spans="1:7" x14ac:dyDescent="0.25">
      <c r="A7" s="1">
        <v>44742</v>
      </c>
      <c r="B7" s="2">
        <v>189980.61</v>
      </c>
      <c r="C7" s="2">
        <v>248353.84</v>
      </c>
      <c r="D7" s="2">
        <f>IF(tblInativPensRPPS[[#This Row],[mês]]=1,tblInativPensRPPS[[#This Row],[emp_ant]],IF(tblInativPensRPPS[[#This Row],[emp_ant]]&gt;0,SUMIFS(tblInativPensRPPS[emp_ant],tblInativPensRPPS[ano],tblInativPensRPPS[[#This Row],[ano]],tblInativPensRPPS[mês],"&lt;="&amp;tblInativPensRPPS[[#This Row],[mês]]),""))</f>
        <v>1090172.1200000001</v>
      </c>
      <c r="E7" s="2">
        <f>IF(tblInativPensRPPS[[#This Row],[mês]]=1,tblInativPensRPPS[[#This Row],[emp_atual]],IF(tblInativPensRPPS[[#This Row],[emp_atual]]&gt;0,SUMIFS(tblInativPensRPPS[emp_atual],tblInativPensRPPS[ano],tblInativPensRPPS[[#This Row],[ano]],tblInativPensRPPS[mês],"&lt;="&amp;tblInativPensRPPS[[#This Row],[mês]]),""))</f>
        <v>1430967.09</v>
      </c>
      <c r="F7" s="3">
        <f>YEAR(tblInativPensRPPS[[#This Row],[data_base]])</f>
        <v>2022</v>
      </c>
      <c r="G7" s="3">
        <f>MONTH(tblInativPensRPPS[[#This Row],[data_base]])</f>
        <v>6</v>
      </c>
    </row>
    <row r="8" spans="1:7" x14ac:dyDescent="0.25">
      <c r="A8" s="1">
        <v>44773</v>
      </c>
      <c r="B8" s="2">
        <v>192585.83</v>
      </c>
      <c r="C8" s="2">
        <v>248353.84</v>
      </c>
      <c r="D8" s="2">
        <f>IF(tblInativPensRPPS[[#This Row],[mês]]=1,tblInativPensRPPS[[#This Row],[emp_ant]],IF(tblInativPensRPPS[[#This Row],[emp_ant]]&gt;0,SUMIFS(tblInativPensRPPS[emp_ant],tblInativPensRPPS[ano],tblInativPensRPPS[[#This Row],[ano]],tblInativPensRPPS[mês],"&lt;="&amp;tblInativPensRPPS[[#This Row],[mês]]),""))</f>
        <v>1282757.9500000002</v>
      </c>
      <c r="E8" s="2">
        <f>IF(tblInativPensRPPS[[#This Row],[mês]]=1,tblInativPensRPPS[[#This Row],[emp_atual]],IF(tblInativPensRPPS[[#This Row],[emp_atual]]&gt;0,SUMIFS(tblInativPensRPPS[emp_atual],tblInativPensRPPS[ano],tblInativPensRPPS[[#This Row],[ano]],tblInativPensRPPS[mês],"&lt;="&amp;tblInativPensRPPS[[#This Row],[mês]]),""))</f>
        <v>1679320.9300000002</v>
      </c>
      <c r="F8" s="3">
        <f>YEAR(tblInativPensRPPS[[#This Row],[data_base]])</f>
        <v>2022</v>
      </c>
      <c r="G8" s="3">
        <f>MONTH(tblInativPensRPPS[[#This Row],[data_base]])</f>
        <v>7</v>
      </c>
    </row>
    <row r="9" spans="1:7" x14ac:dyDescent="0.25">
      <c r="A9" s="1">
        <v>44804</v>
      </c>
      <c r="B9" s="2">
        <v>191679.2</v>
      </c>
      <c r="C9" s="2">
        <v>255804.28000000003</v>
      </c>
      <c r="D9" s="2">
        <f>IF(tblInativPensRPPS[[#This Row],[mês]]=1,tblInativPensRPPS[[#This Row],[emp_ant]],IF(tblInativPensRPPS[[#This Row],[emp_ant]]&gt;0,SUMIFS(tblInativPensRPPS[emp_ant],tblInativPensRPPS[ano],tblInativPensRPPS[[#This Row],[ano]],tblInativPensRPPS[mês],"&lt;="&amp;tblInativPensRPPS[[#This Row],[mês]]),""))</f>
        <v>1474437.1500000001</v>
      </c>
      <c r="E9" s="2">
        <f>IF(tblInativPensRPPS[[#This Row],[mês]]=1,tblInativPensRPPS[[#This Row],[emp_atual]],IF(tblInativPensRPPS[[#This Row],[emp_atual]]&gt;0,SUMIFS(tblInativPensRPPS[emp_atual],tblInativPensRPPS[ano],tblInativPensRPPS[[#This Row],[ano]],tblInativPensRPPS[mês],"&lt;="&amp;tblInativPensRPPS[[#This Row],[mês]]),""))</f>
        <v>1935125.2100000002</v>
      </c>
      <c r="F9" s="3">
        <f>YEAR(tblInativPensRPPS[[#This Row],[data_base]])</f>
        <v>2022</v>
      </c>
      <c r="G9" s="3">
        <f>MONTH(tblInativPensRPPS[[#This Row],[data_base]])</f>
        <v>8</v>
      </c>
    </row>
    <row r="10" spans="1:7" x14ac:dyDescent="0.25">
      <c r="A10" s="1">
        <v>44834</v>
      </c>
      <c r="B10" s="2">
        <v>191679.2</v>
      </c>
      <c r="C10" s="2">
        <v>254739.94</v>
      </c>
      <c r="D10" s="2">
        <f>IF(tblInativPensRPPS[[#This Row],[mês]]=1,tblInativPensRPPS[[#This Row],[emp_ant]],IF(tblInativPensRPPS[[#This Row],[emp_ant]]&gt;0,SUMIFS(tblInativPensRPPS[emp_ant],tblInativPensRPPS[ano],tblInativPensRPPS[[#This Row],[ano]],tblInativPensRPPS[mês],"&lt;="&amp;tblInativPensRPPS[[#This Row],[mês]]),""))</f>
        <v>1666116.35</v>
      </c>
      <c r="E10" s="2">
        <f>IF(tblInativPensRPPS[[#This Row],[mês]]=1,tblInativPensRPPS[[#This Row],[emp_atual]],IF(tblInativPensRPPS[[#This Row],[emp_atual]]&gt;0,SUMIFS(tblInativPensRPPS[emp_atual],tblInativPensRPPS[ano],tblInativPensRPPS[[#This Row],[ano]],tblInativPensRPPS[mês],"&lt;="&amp;tblInativPensRPPS[[#This Row],[mês]]),""))</f>
        <v>2189865.1500000004</v>
      </c>
      <c r="F10" s="3">
        <f>YEAR(tblInativPensRPPS[[#This Row],[data_base]])</f>
        <v>2022</v>
      </c>
      <c r="G10" s="3">
        <f>MONTH(tblInativPensRPPS[[#This Row],[data_base]])</f>
        <v>9</v>
      </c>
    </row>
    <row r="11" spans="1:7" x14ac:dyDescent="0.25">
      <c r="A11" s="1">
        <v>44865</v>
      </c>
      <c r="B11" s="2">
        <v>191679.2</v>
      </c>
      <c r="C11" s="2">
        <v>254739.94</v>
      </c>
      <c r="D11" s="2">
        <f>IF(tblInativPensRPPS[[#This Row],[mês]]=1,tblInativPensRPPS[[#This Row],[emp_ant]],IF(tblInativPensRPPS[[#This Row],[emp_ant]]&gt;0,SUMIFS(tblInativPensRPPS[emp_ant],tblInativPensRPPS[ano],tblInativPensRPPS[[#This Row],[ano]],tblInativPensRPPS[mês],"&lt;="&amp;tblInativPensRPPS[[#This Row],[mês]]),""))</f>
        <v>1857795.55</v>
      </c>
      <c r="E11" s="2">
        <f>IF(tblInativPensRPPS[[#This Row],[mês]]=1,tblInativPensRPPS[[#This Row],[emp_atual]],IF(tblInativPensRPPS[[#This Row],[emp_atual]]&gt;0,SUMIFS(tblInativPensRPPS[emp_atual],tblInativPensRPPS[ano],tblInativPensRPPS[[#This Row],[ano]],tblInativPensRPPS[mês],"&lt;="&amp;tblInativPensRPPS[[#This Row],[mês]]),""))</f>
        <v>2444605.0900000003</v>
      </c>
      <c r="F11" s="3">
        <f>YEAR(tblInativPensRPPS[[#This Row],[data_base]])</f>
        <v>2022</v>
      </c>
      <c r="G11" s="3">
        <f>MONTH(tblInativPensRPPS[[#This Row],[data_base]])</f>
        <v>10</v>
      </c>
    </row>
    <row r="12" spans="1:7" x14ac:dyDescent="0.25">
      <c r="A12" s="1">
        <v>44895</v>
      </c>
      <c r="B12" s="2">
        <v>192622.1</v>
      </c>
      <c r="C12" s="2">
        <v>0</v>
      </c>
      <c r="D12" s="2">
        <f>IF(tblInativPensRPPS[[#This Row],[mês]]=1,tblInativPensRPPS[[#This Row],[emp_ant]],IF(tblInativPensRPPS[[#This Row],[emp_ant]]&gt;0,SUMIFS(tblInativPensRPPS[emp_ant],tblInativPensRPPS[ano],tblInativPensRPPS[[#This Row],[ano]],tblInativPensRPPS[mês],"&lt;="&amp;tblInativPensRPPS[[#This Row],[mês]]),""))</f>
        <v>2050417.6500000001</v>
      </c>
      <c r="E12" s="2" t="str">
        <f>IF(tblInativPensRPPS[[#This Row],[mês]]=1,tblInativPensRPPS[[#This Row],[emp_atual]],IF(tblInativPensRPPS[[#This Row],[emp_atual]]&gt;0,SUMIFS(tblInativPensRPPS[emp_atual],tblInativPensRPPS[ano],tblInativPensRPPS[[#This Row],[ano]],tblInativPensRPPS[mês],"&lt;="&amp;tblInativPensRPPS[[#This Row],[mês]]),""))</f>
        <v/>
      </c>
      <c r="F12" s="3">
        <f>YEAR(tblInativPensRPPS[[#This Row],[data_base]])</f>
        <v>2022</v>
      </c>
      <c r="G12" s="3">
        <f>MONTH(tblInativPensRPPS[[#This Row],[data_base]])</f>
        <v>11</v>
      </c>
    </row>
    <row r="13" spans="1:7" x14ac:dyDescent="0.25">
      <c r="A13" s="1">
        <v>44926</v>
      </c>
      <c r="B13" s="2">
        <v>380894.22</v>
      </c>
      <c r="C13" s="2">
        <v>0</v>
      </c>
      <c r="D13" s="2">
        <f>IF(tblInativPensRPPS[[#This Row],[mês]]=1,tblInativPensRPPS[[#This Row],[emp_ant]],IF(tblInativPensRPPS[[#This Row],[emp_ant]]&gt;0,SUMIFS(tblInativPensRPPS[emp_ant],tblInativPensRPPS[ano],tblInativPensRPPS[[#This Row],[ano]],tblInativPensRPPS[mês],"&lt;="&amp;tblInativPensRPPS[[#This Row],[mês]]),""))</f>
        <v>2431311.87</v>
      </c>
      <c r="E13" s="2" t="str">
        <f>IF(tblInativPensRPPS[[#This Row],[mês]]=1,tblInativPensRPPS[[#This Row],[emp_atual]],IF(tblInativPensRPPS[[#This Row],[emp_atual]]&gt;0,SUMIFS(tblInativPensRPPS[emp_atual],tblInativPensRPPS[ano],tblInativPensRPPS[[#This Row],[ano]],tblInativPensRPPS[mês],"&lt;="&amp;tblInativPensRPPS[[#This Row],[mês]]),""))</f>
        <v/>
      </c>
      <c r="F13" s="3">
        <f>YEAR(tblInativPensRPPS[[#This Row],[data_base]])</f>
        <v>2022</v>
      </c>
      <c r="G13" s="3">
        <f>MONTH(tblInativPensRPPS[[#This Row],[data_base]])</f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137BB-FBBB-4176-9ABB-390209427ED9}">
  <dimension ref="A1:G13"/>
  <sheetViews>
    <sheetView workbookViewId="0">
      <selection activeCell="E2" sqref="E2"/>
    </sheetView>
  </sheetViews>
  <sheetFormatPr defaultRowHeight="15" x14ac:dyDescent="0.25"/>
  <cols>
    <col min="1" max="1" width="12.140625" customWidth="1"/>
    <col min="2" max="2" width="11" customWidth="1"/>
    <col min="3" max="3" width="12.5703125" customWidth="1"/>
    <col min="4" max="4" width="16.7109375" customWidth="1"/>
    <col min="5" max="5" width="18.28515625" customWidth="1"/>
    <col min="6" max="6" width="9.5703125" bestFit="1" customWidth="1"/>
  </cols>
  <sheetData>
    <row r="1" spans="1:7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7</v>
      </c>
      <c r="G1" t="s">
        <v>8</v>
      </c>
    </row>
    <row r="2" spans="1:7" x14ac:dyDescent="0.25">
      <c r="A2" s="1">
        <v>44592</v>
      </c>
      <c r="B2" s="2">
        <v>24370.06</v>
      </c>
      <c r="C2" s="2">
        <v>28270.83</v>
      </c>
      <c r="D2" s="2">
        <f>IF(tblInativPensTesouro[[#This Row],[mês]]=1,tblInativPensTesouro[[#This Row],[emp_ant]],IF(tblInativPensTesouro[[#This Row],[emp_ant]]&gt;0,SUMIFS(tblInativPensTesouro[emp_ant],tblInativPensTesouro[ano],tblInativPensTesouro[[#This Row],[ano]],tblInativPensTesouro[mês],"&lt;="&amp;tblInativPensTesouro[[#This Row],[mês]]),""))</f>
        <v>24370.06</v>
      </c>
      <c r="E2" s="2">
        <f>IF(tblInativPensTesouro[[#This Row],[mês]]=1,tblInativPensTesouro[[#This Row],[emp_atual]],IF(tblInativPensTesouro[[#This Row],[emp_atual]]&gt;0,SUMIFS(tblInativPensTesouro[emp_atual],tblInativPensTesouro[ano],tblInativPensTesouro[[#This Row],[ano]],tblInativPensTesouro[mês],"&lt;="&amp;tblInativPensTesouro[[#This Row],[mês]]),""))</f>
        <v>28270.83</v>
      </c>
      <c r="F2" s="3">
        <f>YEAR(tblInativPensTesouro[[#This Row],[data_base]])</f>
        <v>2022</v>
      </c>
      <c r="G2" s="3">
        <f>MONTH(tblInativPensTesouro[[#This Row],[data_base]])</f>
        <v>1</v>
      </c>
    </row>
    <row r="3" spans="1:7" x14ac:dyDescent="0.25">
      <c r="A3" s="1">
        <v>44620</v>
      </c>
      <c r="B3" s="2">
        <v>24370.06</v>
      </c>
      <c r="C3" s="2">
        <v>27058.83</v>
      </c>
      <c r="D3" s="2">
        <f>IF(tblInativPensTesouro[[#This Row],[mês]]=1,tblInativPensTesouro[[#This Row],[emp_ant]],IF(tblInativPensTesouro[[#This Row],[emp_ant]]&gt;0,SUMIFS(tblInativPensTesouro[emp_ant],tblInativPensTesouro[ano],tblInativPensTesouro[[#This Row],[ano]],tblInativPensTesouro[mês],"&lt;="&amp;tblInativPensTesouro[[#This Row],[mês]]),""))</f>
        <v>48740.12</v>
      </c>
      <c r="E3" s="2">
        <f>IF(tblInativPensTesouro[[#This Row],[mês]]=1,tblInativPensTesouro[[#This Row],[emp_atual]],IF(tblInativPensTesouro[[#This Row],[emp_atual]]&gt;0,SUMIFS(tblInativPensTesouro[emp_atual],tblInativPensTesouro[ano],tblInativPensTesouro[[#This Row],[ano]],tblInativPensTesouro[mês],"&lt;="&amp;tblInativPensTesouro[[#This Row],[mês]]),""))</f>
        <v>55329.66</v>
      </c>
      <c r="F3" s="3">
        <f>YEAR(tblInativPensTesouro[[#This Row],[data_base]])</f>
        <v>2022</v>
      </c>
      <c r="G3" s="3">
        <f>MONTH(tblInativPensTesouro[[#This Row],[data_base]])</f>
        <v>2</v>
      </c>
    </row>
    <row r="4" spans="1:7" x14ac:dyDescent="0.25">
      <c r="A4" s="1">
        <v>44651</v>
      </c>
      <c r="B4" s="2">
        <v>24370.06</v>
      </c>
      <c r="C4" s="2">
        <v>27058.83</v>
      </c>
      <c r="D4" s="2">
        <f>IF(tblInativPensTesouro[[#This Row],[mês]]=1,tblInativPensTesouro[[#This Row],[emp_ant]],IF(tblInativPensTesouro[[#This Row],[emp_ant]]&gt;0,SUMIFS(tblInativPensTesouro[emp_ant],tblInativPensTesouro[ano],tblInativPensTesouro[[#This Row],[ano]],tblInativPensTesouro[mês],"&lt;="&amp;tblInativPensTesouro[[#This Row],[mês]]),""))</f>
        <v>73110.180000000008</v>
      </c>
      <c r="E4" s="2">
        <f>IF(tblInativPensTesouro[[#This Row],[mês]]=1,tblInativPensTesouro[[#This Row],[emp_atual]],IF(tblInativPensTesouro[[#This Row],[emp_atual]]&gt;0,SUMIFS(tblInativPensTesouro[emp_atual],tblInativPensTesouro[ano],tblInativPensTesouro[[#This Row],[ano]],tblInativPensTesouro[mês],"&lt;="&amp;tblInativPensTesouro[[#This Row],[mês]]),""))</f>
        <v>82388.490000000005</v>
      </c>
      <c r="F4" s="3">
        <f>YEAR(tblInativPensTesouro[[#This Row],[data_base]])</f>
        <v>2022</v>
      </c>
      <c r="G4" s="3">
        <f>MONTH(tblInativPensTesouro[[#This Row],[data_base]])</f>
        <v>3</v>
      </c>
    </row>
    <row r="5" spans="1:7" x14ac:dyDescent="0.25">
      <c r="A5" s="1">
        <v>44681</v>
      </c>
      <c r="B5" s="2">
        <v>24370.06</v>
      </c>
      <c r="C5" s="2">
        <v>27058.83</v>
      </c>
      <c r="D5" s="2">
        <f>IF(tblInativPensTesouro[[#This Row],[mês]]=1,tblInativPensTesouro[[#This Row],[emp_ant]],IF(tblInativPensTesouro[[#This Row],[emp_ant]]&gt;0,SUMIFS(tblInativPensTesouro[emp_ant],tblInativPensTesouro[ano],tblInativPensTesouro[[#This Row],[ano]],tblInativPensTesouro[mês],"&lt;="&amp;tblInativPensTesouro[[#This Row],[mês]]),""))</f>
        <v>97480.24</v>
      </c>
      <c r="E5" s="2">
        <f>IF(tblInativPensTesouro[[#This Row],[mês]]=1,tblInativPensTesouro[[#This Row],[emp_atual]],IF(tblInativPensTesouro[[#This Row],[emp_atual]]&gt;0,SUMIFS(tblInativPensTesouro[emp_atual],tblInativPensTesouro[ano],tblInativPensTesouro[[#This Row],[ano]],tblInativPensTesouro[mês],"&lt;="&amp;tblInativPensTesouro[[#This Row],[mês]]),""))</f>
        <v>109447.32</v>
      </c>
      <c r="F5" s="3">
        <f>YEAR(tblInativPensTesouro[[#This Row],[data_base]])</f>
        <v>2022</v>
      </c>
      <c r="G5" s="3">
        <f>MONTH(tblInativPensTesouro[[#This Row],[data_base]])</f>
        <v>4</v>
      </c>
    </row>
    <row r="6" spans="1:7" x14ac:dyDescent="0.25">
      <c r="A6" s="1">
        <v>44712</v>
      </c>
      <c r="B6" s="2">
        <v>24370.06</v>
      </c>
      <c r="C6" s="2">
        <v>27835.03</v>
      </c>
      <c r="D6" s="2">
        <f>IF(tblInativPensTesouro[[#This Row],[mês]]=1,tblInativPensTesouro[[#This Row],[emp_ant]],IF(tblInativPensTesouro[[#This Row],[emp_ant]]&gt;0,SUMIFS(tblInativPensTesouro[emp_ant],tblInativPensTesouro[ano],tblInativPensTesouro[[#This Row],[ano]],tblInativPensTesouro[mês],"&lt;="&amp;tblInativPensTesouro[[#This Row],[mês]]),""))</f>
        <v>121850.3</v>
      </c>
      <c r="E6" s="2">
        <f>IF(tblInativPensTesouro[[#This Row],[mês]]=1,tblInativPensTesouro[[#This Row],[emp_atual]],IF(tblInativPensTesouro[[#This Row],[emp_atual]]&gt;0,SUMIFS(tblInativPensTesouro[emp_atual],tblInativPensTesouro[ano],tblInativPensTesouro[[#This Row],[ano]],tblInativPensTesouro[mês],"&lt;="&amp;tblInativPensTesouro[[#This Row],[mês]]),""))</f>
        <v>137282.35</v>
      </c>
      <c r="F6" s="3">
        <f>YEAR(tblInativPensTesouro[[#This Row],[data_base]])</f>
        <v>2022</v>
      </c>
      <c r="G6" s="3">
        <f>MONTH(tblInativPensTesouro[[#This Row],[data_base]])</f>
        <v>5</v>
      </c>
    </row>
    <row r="7" spans="1:7" x14ac:dyDescent="0.25">
      <c r="A7" s="1">
        <v>44742</v>
      </c>
      <c r="B7" s="2">
        <v>24370.06</v>
      </c>
      <c r="C7" s="2">
        <v>27835.03</v>
      </c>
      <c r="D7" s="2">
        <f>IF(tblInativPensTesouro[[#This Row],[mês]]=1,tblInativPensTesouro[[#This Row],[emp_ant]],IF(tblInativPensTesouro[[#This Row],[emp_ant]]&gt;0,SUMIFS(tblInativPensTesouro[emp_ant],tblInativPensTesouro[ano],tblInativPensTesouro[[#This Row],[ano]],tblInativPensTesouro[mês],"&lt;="&amp;tblInativPensTesouro[[#This Row],[mês]]),""))</f>
        <v>146220.36000000002</v>
      </c>
      <c r="E7" s="2">
        <f>IF(tblInativPensTesouro[[#This Row],[mês]]=1,tblInativPensTesouro[[#This Row],[emp_atual]],IF(tblInativPensTesouro[[#This Row],[emp_atual]]&gt;0,SUMIFS(tblInativPensTesouro[emp_atual],tblInativPensTesouro[ano],tblInativPensTesouro[[#This Row],[ano]],tblInativPensTesouro[mês],"&lt;="&amp;tblInativPensTesouro[[#This Row],[mês]]),""))</f>
        <v>165117.38</v>
      </c>
      <c r="F7" s="3">
        <f>YEAR(tblInativPensTesouro[[#This Row],[data_base]])</f>
        <v>2022</v>
      </c>
      <c r="G7" s="3">
        <f>MONTH(tblInativPensTesouro[[#This Row],[data_base]])</f>
        <v>6</v>
      </c>
    </row>
    <row r="8" spans="1:7" x14ac:dyDescent="0.25">
      <c r="A8" s="1">
        <v>44773</v>
      </c>
      <c r="B8" s="2">
        <v>24370.06</v>
      </c>
      <c r="C8" s="2">
        <v>27835.03</v>
      </c>
      <c r="D8" s="2">
        <f>IF(tblInativPensTesouro[[#This Row],[mês]]=1,tblInativPensTesouro[[#This Row],[emp_ant]],IF(tblInativPensTesouro[[#This Row],[emp_ant]]&gt;0,SUMIFS(tblInativPensTesouro[emp_ant],tblInativPensTesouro[ano],tblInativPensTesouro[[#This Row],[ano]],tblInativPensTesouro[mês],"&lt;="&amp;tblInativPensTesouro[[#This Row],[mês]]),""))</f>
        <v>170590.42</v>
      </c>
      <c r="E8" s="2">
        <f>IF(tblInativPensTesouro[[#This Row],[mês]]=1,tblInativPensTesouro[[#This Row],[emp_atual]],IF(tblInativPensTesouro[[#This Row],[emp_atual]]&gt;0,SUMIFS(tblInativPensTesouro[emp_atual],tblInativPensTesouro[ano],tblInativPensTesouro[[#This Row],[ano]],tblInativPensTesouro[mês],"&lt;="&amp;tblInativPensTesouro[[#This Row],[mês]]),""))</f>
        <v>192952.41</v>
      </c>
      <c r="F8" s="3">
        <f>YEAR(tblInativPensTesouro[[#This Row],[data_base]])</f>
        <v>2022</v>
      </c>
      <c r="G8" s="3">
        <f>MONTH(tblInativPensTesouro[[#This Row],[data_base]])</f>
        <v>7</v>
      </c>
    </row>
    <row r="9" spans="1:7" x14ac:dyDescent="0.25">
      <c r="A9" s="1">
        <v>44804</v>
      </c>
      <c r="B9" s="2">
        <v>24370.06</v>
      </c>
      <c r="C9" s="2">
        <v>27835.03</v>
      </c>
      <c r="D9" s="2">
        <f>IF(tblInativPensTesouro[[#This Row],[mês]]=1,tblInativPensTesouro[[#This Row],[emp_ant]],IF(tblInativPensTesouro[[#This Row],[emp_ant]]&gt;0,SUMIFS(tblInativPensTesouro[emp_ant],tblInativPensTesouro[ano],tblInativPensTesouro[[#This Row],[ano]],tblInativPensTesouro[mês],"&lt;="&amp;tblInativPensTesouro[[#This Row],[mês]]),""))</f>
        <v>194960.48</v>
      </c>
      <c r="E9" s="2">
        <f>IF(tblInativPensTesouro[[#This Row],[mês]]=1,tblInativPensTesouro[[#This Row],[emp_atual]],IF(tblInativPensTesouro[[#This Row],[emp_atual]]&gt;0,SUMIFS(tblInativPensTesouro[emp_atual],tblInativPensTesouro[ano],tblInativPensTesouro[[#This Row],[ano]],tblInativPensTesouro[mês],"&lt;="&amp;tblInativPensTesouro[[#This Row],[mês]]),""))</f>
        <v>220787.44</v>
      </c>
      <c r="F9" s="3">
        <f>YEAR(tblInativPensTesouro[[#This Row],[data_base]])</f>
        <v>2022</v>
      </c>
      <c r="G9" s="3">
        <f>MONTH(tblInativPensTesouro[[#This Row],[data_base]])</f>
        <v>8</v>
      </c>
    </row>
    <row r="10" spans="1:7" x14ac:dyDescent="0.25">
      <c r="A10" s="1">
        <v>44834</v>
      </c>
      <c r="B10" s="2">
        <v>24370.06</v>
      </c>
      <c r="C10" s="2">
        <v>27835.03</v>
      </c>
      <c r="D10" s="2">
        <f>IF(tblInativPensTesouro[[#This Row],[mês]]=1,tblInativPensTesouro[[#This Row],[emp_ant]],IF(tblInativPensTesouro[[#This Row],[emp_ant]]&gt;0,SUMIFS(tblInativPensTesouro[emp_ant],tblInativPensTesouro[ano],tblInativPensTesouro[[#This Row],[ano]],tblInativPensTesouro[mês],"&lt;="&amp;tblInativPensTesouro[[#This Row],[mês]]),""))</f>
        <v>219330.54</v>
      </c>
      <c r="E10" s="2">
        <f>IF(tblInativPensTesouro[[#This Row],[mês]]=1,tblInativPensTesouro[[#This Row],[emp_atual]],IF(tblInativPensTesouro[[#This Row],[emp_atual]]&gt;0,SUMIFS(tblInativPensTesouro[emp_atual],tblInativPensTesouro[ano],tblInativPensTesouro[[#This Row],[ano]],tblInativPensTesouro[mês],"&lt;="&amp;tblInativPensTesouro[[#This Row],[mês]]),""))</f>
        <v>248622.47</v>
      </c>
      <c r="F10" s="3">
        <f>YEAR(tblInativPensTesouro[[#This Row],[data_base]])</f>
        <v>2022</v>
      </c>
      <c r="G10" s="3">
        <f>MONTH(tblInativPensTesouro[[#This Row],[data_base]])</f>
        <v>9</v>
      </c>
    </row>
    <row r="11" spans="1:7" x14ac:dyDescent="0.25">
      <c r="A11" s="1">
        <v>44865</v>
      </c>
      <c r="B11" s="2">
        <v>24370.06</v>
      </c>
      <c r="C11" s="2">
        <v>27835.03</v>
      </c>
      <c r="D11" s="2">
        <f>IF(tblInativPensTesouro[[#This Row],[mês]]=1,tblInativPensTesouro[[#This Row],[emp_ant]],IF(tblInativPensTesouro[[#This Row],[emp_ant]]&gt;0,SUMIFS(tblInativPensTesouro[emp_ant],tblInativPensTesouro[ano],tblInativPensTesouro[[#This Row],[ano]],tblInativPensTesouro[mês],"&lt;="&amp;tblInativPensTesouro[[#This Row],[mês]]),""))</f>
        <v>243700.6</v>
      </c>
      <c r="E11" s="2">
        <f>IF(tblInativPensTesouro[[#This Row],[mês]]=1,tblInativPensTesouro[[#This Row],[emp_atual]],IF(tblInativPensTesouro[[#This Row],[emp_atual]]&gt;0,SUMIFS(tblInativPensTesouro[emp_atual],tblInativPensTesouro[ano],tblInativPensTesouro[[#This Row],[ano]],tblInativPensTesouro[mês],"&lt;="&amp;tblInativPensTesouro[[#This Row],[mês]]),""))</f>
        <v>276457.5</v>
      </c>
      <c r="F11" s="3">
        <f>YEAR(tblInativPensTesouro[[#This Row],[data_base]])</f>
        <v>2022</v>
      </c>
      <c r="G11" s="3">
        <f>MONTH(tblInativPensTesouro[[#This Row],[data_base]])</f>
        <v>10</v>
      </c>
    </row>
    <row r="12" spans="1:7" x14ac:dyDescent="0.25">
      <c r="A12" s="1">
        <v>44895</v>
      </c>
      <c r="B12" s="2">
        <v>24370.06</v>
      </c>
      <c r="C12" s="2">
        <v>0</v>
      </c>
      <c r="D12" s="2">
        <f>IF(tblInativPensTesouro[[#This Row],[mês]]=1,tblInativPensTesouro[[#This Row],[emp_ant]],IF(tblInativPensTesouro[[#This Row],[emp_ant]]&gt;0,SUMIFS(tblInativPensTesouro[emp_ant],tblInativPensTesouro[ano],tblInativPensTesouro[[#This Row],[ano]],tblInativPensTesouro[mês],"&lt;="&amp;tblInativPensTesouro[[#This Row],[mês]]),""))</f>
        <v>268070.66000000003</v>
      </c>
      <c r="E12" s="2" t="str">
        <f>IF(tblInativPensTesouro[[#This Row],[mês]]=1,tblInativPensTesouro[[#This Row],[emp_atual]],IF(tblInativPensTesouro[[#This Row],[emp_atual]]&gt;0,SUMIFS(tblInativPensTesouro[emp_atual],tblInativPensTesouro[ano],tblInativPensTesouro[[#This Row],[ano]],tblInativPensTesouro[mês],"&lt;="&amp;tblInativPensTesouro[[#This Row],[mês]]),""))</f>
        <v/>
      </c>
      <c r="F12" s="3">
        <f>YEAR(tblInativPensTesouro[[#This Row],[data_base]])</f>
        <v>2022</v>
      </c>
      <c r="G12" s="3">
        <f>MONTH(tblInativPensTesouro[[#This Row],[data_base]])</f>
        <v>11</v>
      </c>
    </row>
    <row r="13" spans="1:7" x14ac:dyDescent="0.25">
      <c r="A13" s="1">
        <v>44926</v>
      </c>
      <c r="B13" s="2">
        <v>48740.12</v>
      </c>
      <c r="C13" s="2">
        <v>0</v>
      </c>
      <c r="D13" s="2">
        <f>IF(tblInativPensTesouro[[#This Row],[mês]]=1,tblInativPensTesouro[[#This Row],[emp_ant]],IF(tblInativPensTesouro[[#This Row],[emp_ant]]&gt;0,SUMIFS(tblInativPensTesouro[emp_ant],tblInativPensTesouro[ano],tblInativPensTesouro[[#This Row],[ano]],tblInativPensTesouro[mês],"&lt;="&amp;tblInativPensTesouro[[#This Row],[mês]]),""))</f>
        <v>316810.78000000003</v>
      </c>
      <c r="E13" s="2" t="str">
        <f>IF(tblInativPensTesouro[[#This Row],[mês]]=1,tblInativPensTesouro[[#This Row],[emp_atual]],IF(tblInativPensTesouro[[#This Row],[emp_atual]]&gt;0,SUMIFS(tblInativPensTesouro[emp_atual],tblInativPensTesouro[ano],tblInativPensTesouro[[#This Row],[ano]],tblInativPensTesouro[mês],"&lt;="&amp;tblInativPensTesouro[[#This Row],[mês]]),""))</f>
        <v/>
      </c>
      <c r="F13" s="3">
        <f>YEAR(tblInativPensTesouro[[#This Row],[data_base]])</f>
        <v>2022</v>
      </c>
      <c r="G13" s="3">
        <f>MONTH(tblInativPensTesouro[[#This Row],[data_base]])</f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ReceitaTotal</vt:lpstr>
      <vt:lpstr>ContribServ</vt:lpstr>
      <vt:lpstr>PatronalNormal</vt:lpstr>
      <vt:lpstr>PatronalSuplementar</vt:lpstr>
      <vt:lpstr>CaixaProjetado</vt:lpstr>
      <vt:lpstr>GanhoPerdasRend</vt:lpstr>
      <vt:lpstr>DespesaTotal</vt:lpstr>
      <vt:lpstr>InativPensRPPS</vt:lpstr>
      <vt:lpstr>InativPensTesouro</vt:lpstr>
      <vt:lpstr>Manut</vt:lpstr>
      <vt:lpstr>Aposentadorias</vt:lpstr>
      <vt:lpstr>Pensoes</vt:lpstr>
      <vt:lpstr>Comprev</vt:lpstr>
      <vt:lpstr>LimiteDespesaAdm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da Rosa</dc:creator>
  <cp:lastModifiedBy>Everton da Rosa</cp:lastModifiedBy>
  <dcterms:created xsi:type="dcterms:W3CDTF">2015-06-05T18:17:20Z</dcterms:created>
  <dcterms:modified xsi:type="dcterms:W3CDTF">2022-11-25T14:35:30Z</dcterms:modified>
</cp:coreProperties>
</file>