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mes.Mokgothadi\Desktop\Project\Projects\SIS Project\Process docs\New Process Charts\Main Flow Charts\1. Retail,Key Acc &amp; PCD\1. Deals Creation\6. Costing\"/>
    </mc:Choice>
  </mc:AlternateContent>
  <bookViews>
    <workbookView xWindow="0" yWindow="0" windowWidth="17280" windowHeight="7812" tabRatio="685" firstSheet="3" activeTab="4"/>
  </bookViews>
  <sheets>
    <sheet name="TGS 19.400 " sheetId="14" state="hidden" r:id="rId1"/>
    <sheet name="TGS - CKD" sheetId="13" r:id="rId2"/>
    <sheet name="TGM CKD" sheetId="2" r:id="rId3"/>
    <sheet name=" CLA CKD" sheetId="3" r:id="rId4"/>
    <sheet name="VW Trucks - CKD" sheetId="8" r:id="rId5"/>
    <sheet name="TGX CBU" sheetId="11" r:id="rId6"/>
    <sheet name="MAN Bus Chassis" sheetId="9" r:id="rId7"/>
    <sheet name="VW Bus Chassis " sheetId="7" r:id="rId8"/>
  </sheets>
  <definedNames>
    <definedName name="_xlnm.Print_Area" localSheetId="3">' CLA CKD'!#REF!</definedName>
    <definedName name="_xlnm.Print_Area" localSheetId="6">'MAN Bus Chassis'!#REF!</definedName>
    <definedName name="_xlnm.Print_Area" localSheetId="2">'TGM CKD'!#REF!</definedName>
    <definedName name="_xlnm.Print_Area" localSheetId="1">'TGS - CKD'!#REF!</definedName>
    <definedName name="_xlnm.Print_Area" localSheetId="5">'TGX CBU'!#REF!</definedName>
    <definedName name="_xlnm.Print_Area" localSheetId="4">'VW Trucks - CKD'!#REF!</definedName>
  </definedNames>
  <calcPr calcId="152511"/>
</workbook>
</file>

<file path=xl/calcChain.xml><?xml version="1.0" encoding="utf-8"?>
<calcChain xmlns="http://schemas.openxmlformats.org/spreadsheetml/2006/main">
  <c r="D39" i="7" l="1"/>
  <c r="C39" i="7"/>
  <c r="C46" i="11"/>
  <c r="D49" i="8"/>
  <c r="C49" i="8"/>
  <c r="K59" i="13"/>
  <c r="J59" i="13"/>
  <c r="I59" i="13"/>
  <c r="H59" i="13"/>
  <c r="G59" i="13"/>
  <c r="F59" i="13"/>
  <c r="E59" i="13"/>
  <c r="D59" i="13"/>
  <c r="C59" i="13"/>
  <c r="C58" i="2" l="1"/>
  <c r="C60" i="2" s="1"/>
  <c r="C52" i="2"/>
  <c r="C56" i="2" s="1"/>
  <c r="C41" i="2"/>
  <c r="C42" i="2" s="1"/>
  <c r="C37" i="2"/>
  <c r="C34" i="2"/>
  <c r="B29" i="2"/>
  <c r="C29" i="2" s="1"/>
  <c r="B28" i="2"/>
  <c r="C28" i="2" s="1"/>
  <c r="C17" i="2"/>
  <c r="C15" i="2"/>
  <c r="C18" i="2" s="1"/>
  <c r="K63" i="13"/>
  <c r="K65" i="13" s="1"/>
  <c r="J63" i="13"/>
  <c r="J65" i="13" s="1"/>
  <c r="I63" i="13"/>
  <c r="I65" i="13" s="1"/>
  <c r="H63" i="13"/>
  <c r="H65" i="13" s="1"/>
  <c r="G63" i="13"/>
  <c r="G65" i="13" s="1"/>
  <c r="F63" i="13"/>
  <c r="F65" i="13" s="1"/>
  <c r="E63" i="13"/>
  <c r="E65" i="13" s="1"/>
  <c r="D63" i="13"/>
  <c r="D65" i="13" s="1"/>
  <c r="C63" i="13"/>
  <c r="C65" i="13" s="1"/>
  <c r="K58" i="13"/>
  <c r="J58" i="13"/>
  <c r="I58" i="13"/>
  <c r="H58" i="13"/>
  <c r="G58" i="13"/>
  <c r="F58" i="13"/>
  <c r="E58" i="13"/>
  <c r="D58" i="13"/>
  <c r="C58" i="13"/>
  <c r="K44" i="13"/>
  <c r="K45" i="13" s="1"/>
  <c r="J44" i="13"/>
  <c r="J45" i="13" s="1"/>
  <c r="I44" i="13"/>
  <c r="I45" i="13" s="1"/>
  <c r="H44" i="13"/>
  <c r="H45" i="13" s="1"/>
  <c r="G44" i="13"/>
  <c r="G45" i="13" s="1"/>
  <c r="F44" i="13"/>
  <c r="F45" i="13" s="1"/>
  <c r="E44" i="13"/>
  <c r="E45" i="13" s="1"/>
  <c r="D44" i="13"/>
  <c r="D45" i="13" s="1"/>
  <c r="C44" i="13"/>
  <c r="C45" i="13" s="1"/>
  <c r="K40" i="13"/>
  <c r="J40" i="13"/>
  <c r="I40" i="13"/>
  <c r="H40" i="13"/>
  <c r="G40" i="13"/>
  <c r="F40" i="13"/>
  <c r="E40" i="13"/>
  <c r="D40" i="13"/>
  <c r="C40" i="13"/>
  <c r="K37" i="13"/>
  <c r="J37" i="13"/>
  <c r="I37" i="13"/>
  <c r="H37" i="13"/>
  <c r="G37" i="13"/>
  <c r="F37" i="13"/>
  <c r="E37" i="13"/>
  <c r="D37" i="13"/>
  <c r="C37" i="13"/>
  <c r="B32" i="13"/>
  <c r="K32" i="13" s="1"/>
  <c r="B31" i="13"/>
  <c r="J31" i="13" s="1"/>
  <c r="K20" i="13"/>
  <c r="J20" i="13"/>
  <c r="I20" i="13"/>
  <c r="G20" i="13"/>
  <c r="E20" i="13"/>
  <c r="D20" i="13"/>
  <c r="C20" i="13"/>
  <c r="C19" i="13"/>
  <c r="K18" i="13"/>
  <c r="K21" i="13" s="1"/>
  <c r="J18" i="13"/>
  <c r="I18" i="13"/>
  <c r="I21" i="13" s="1"/>
  <c r="I22" i="13" s="1"/>
  <c r="I24" i="13" s="1"/>
  <c r="I25" i="13" s="1"/>
  <c r="I29" i="13" s="1"/>
  <c r="H18" i="13"/>
  <c r="H21" i="13" s="1"/>
  <c r="G18" i="13"/>
  <c r="G19" i="13" s="1"/>
  <c r="F18" i="13"/>
  <c r="F21" i="13" s="1"/>
  <c r="E18" i="13"/>
  <c r="E21" i="13" s="1"/>
  <c r="D18" i="13"/>
  <c r="D21" i="13" s="1"/>
  <c r="C18" i="13"/>
  <c r="C21" i="13" s="1"/>
  <c r="H17" i="13"/>
  <c r="H20" i="13" s="1"/>
  <c r="F17" i="13"/>
  <c r="F19" i="13" s="1"/>
  <c r="C16" i="2" l="1"/>
  <c r="C19" i="2"/>
  <c r="C21" i="2" s="1"/>
  <c r="C22" i="2" s="1"/>
  <c r="C26" i="2" s="1"/>
  <c r="C43" i="2" s="1"/>
  <c r="C57" i="2" s="1"/>
  <c r="F31" i="13"/>
  <c r="E31" i="13"/>
  <c r="E22" i="13"/>
  <c r="E24" i="13" s="1"/>
  <c r="E25" i="13" s="1"/>
  <c r="E29" i="13" s="1"/>
  <c r="D22" i="13"/>
  <c r="D24" i="13" s="1"/>
  <c r="D25" i="13" s="1"/>
  <c r="D29" i="13" s="1"/>
  <c r="G21" i="13"/>
  <c r="D19" i="13"/>
  <c r="C30" i="2"/>
  <c r="K22" i="13"/>
  <c r="K24" i="13" s="1"/>
  <c r="K25" i="13" s="1"/>
  <c r="K29" i="13" s="1"/>
  <c r="G22" i="13"/>
  <c r="G24" i="13" s="1"/>
  <c r="G25" i="13" s="1"/>
  <c r="G29" i="13" s="1"/>
  <c r="F32" i="13"/>
  <c r="F33" i="13" s="1"/>
  <c r="C61" i="13"/>
  <c r="G61" i="13"/>
  <c r="K61" i="13"/>
  <c r="H19" i="13"/>
  <c r="C22" i="13"/>
  <c r="C24" i="13" s="1"/>
  <c r="C25" i="13" s="1"/>
  <c r="C29" i="13" s="1"/>
  <c r="D61" i="13"/>
  <c r="H61" i="13"/>
  <c r="H32" i="13"/>
  <c r="D32" i="13"/>
  <c r="G32" i="13"/>
  <c r="H22" i="13"/>
  <c r="H24" i="13" s="1"/>
  <c r="H25" i="13" s="1"/>
  <c r="H29" i="13" s="1"/>
  <c r="J21" i="13"/>
  <c r="J22" i="13" s="1"/>
  <c r="J24" i="13" s="1"/>
  <c r="J25" i="13" s="1"/>
  <c r="J29" i="13" s="1"/>
  <c r="J19" i="13"/>
  <c r="I19" i="13"/>
  <c r="K31" i="13"/>
  <c r="K33" i="13" s="1"/>
  <c r="K46" i="13" s="1"/>
  <c r="G31" i="13"/>
  <c r="C31" i="13"/>
  <c r="H31" i="13"/>
  <c r="C32" i="13"/>
  <c r="I32" i="13"/>
  <c r="E61" i="13"/>
  <c r="I61" i="13"/>
  <c r="E19" i="13"/>
  <c r="K19" i="13"/>
  <c r="F20" i="13"/>
  <c r="F22" i="13" s="1"/>
  <c r="F24" i="13" s="1"/>
  <c r="F25" i="13" s="1"/>
  <c r="F29" i="13" s="1"/>
  <c r="D31" i="13"/>
  <c r="I31" i="13"/>
  <c r="E32" i="13"/>
  <c r="E33" i="13" s="1"/>
  <c r="J32" i="13"/>
  <c r="J33" i="13" s="1"/>
  <c r="F61" i="13"/>
  <c r="J61" i="13"/>
  <c r="H33" i="13" l="1"/>
  <c r="C61" i="2"/>
  <c r="C62" i="2"/>
  <c r="C33" i="13"/>
  <c r="C46" i="13" s="1"/>
  <c r="C62" i="13" s="1"/>
  <c r="C67" i="13" s="1"/>
  <c r="E46" i="13"/>
  <c r="E62" i="13" s="1"/>
  <c r="K62" i="13"/>
  <c r="K67" i="13" s="1"/>
  <c r="J46" i="13"/>
  <c r="J62" i="13" s="1"/>
  <c r="F46" i="13"/>
  <c r="F62" i="13" s="1"/>
  <c r="F66" i="13" s="1"/>
  <c r="G33" i="13"/>
  <c r="G46" i="13" s="1"/>
  <c r="G62" i="13" s="1"/>
  <c r="G66" i="13" s="1"/>
  <c r="H46" i="13"/>
  <c r="H62" i="13" s="1"/>
  <c r="I33" i="13"/>
  <c r="I46" i="13" s="1"/>
  <c r="I62" i="13" s="1"/>
  <c r="D33" i="13"/>
  <c r="D46" i="13" s="1"/>
  <c r="D62" i="13" s="1"/>
  <c r="K66" i="13" l="1"/>
  <c r="E67" i="13"/>
  <c r="E66" i="13"/>
  <c r="H66" i="13"/>
  <c r="H67" i="13"/>
  <c r="G67" i="13"/>
  <c r="C66" i="13"/>
  <c r="F67" i="13"/>
  <c r="D67" i="13"/>
  <c r="D66" i="13"/>
  <c r="I67" i="13"/>
  <c r="I66" i="13"/>
  <c r="J67" i="13"/>
  <c r="J66" i="13"/>
  <c r="J49" i="9" l="1"/>
  <c r="K47" i="9"/>
  <c r="K49" i="9" s="1"/>
  <c r="J47" i="9"/>
  <c r="I47" i="9"/>
  <c r="I49" i="9" s="1"/>
  <c r="H47" i="9"/>
  <c r="H49" i="9" s="1"/>
  <c r="G47" i="9"/>
  <c r="G49" i="9" s="1"/>
  <c r="F47" i="9"/>
  <c r="F49" i="9" s="1"/>
  <c r="E47" i="9"/>
  <c r="E49" i="9" s="1"/>
  <c r="D47" i="9"/>
  <c r="D49" i="9" s="1"/>
  <c r="C47" i="9"/>
  <c r="C49" i="9" s="1"/>
  <c r="K45" i="9"/>
  <c r="J45" i="9"/>
  <c r="I45" i="9"/>
  <c r="H45" i="9"/>
  <c r="G45" i="9"/>
  <c r="F45" i="9"/>
  <c r="E45" i="9"/>
  <c r="D45" i="9"/>
  <c r="C45" i="9"/>
  <c r="K37" i="9"/>
  <c r="K36" i="9"/>
  <c r="J36" i="9"/>
  <c r="J37" i="9" s="1"/>
  <c r="I36" i="9"/>
  <c r="I37" i="9" s="1"/>
  <c r="H36" i="9"/>
  <c r="H37" i="9" s="1"/>
  <c r="G36" i="9"/>
  <c r="G37" i="9" s="1"/>
  <c r="F36" i="9"/>
  <c r="F37" i="9" s="1"/>
  <c r="E36" i="9"/>
  <c r="E37" i="9" s="1"/>
  <c r="D36" i="9"/>
  <c r="D37" i="9" s="1"/>
  <c r="C36" i="9"/>
  <c r="C37" i="9" s="1"/>
  <c r="K32" i="9"/>
  <c r="J32" i="9"/>
  <c r="I32" i="9"/>
  <c r="H32" i="9"/>
  <c r="G32" i="9"/>
  <c r="F32" i="9"/>
  <c r="E32" i="9"/>
  <c r="D32" i="9"/>
  <c r="C32" i="9"/>
  <c r="K29" i="9"/>
  <c r="J29" i="9"/>
  <c r="I29" i="9"/>
  <c r="H29" i="9"/>
  <c r="G29" i="9"/>
  <c r="F29" i="9"/>
  <c r="E29" i="9"/>
  <c r="D29" i="9"/>
  <c r="C29" i="9"/>
  <c r="H23" i="9"/>
  <c r="E23" i="9"/>
  <c r="B23" i="9"/>
  <c r="K23" i="9" s="1"/>
  <c r="B22" i="9"/>
  <c r="K11" i="9"/>
  <c r="K13" i="9" s="1"/>
  <c r="K14" i="9" s="1"/>
  <c r="K15" i="9" s="1"/>
  <c r="K16" i="9" s="1"/>
  <c r="K20" i="9" s="1"/>
  <c r="J11" i="9"/>
  <c r="J13" i="9" s="1"/>
  <c r="J14" i="9" s="1"/>
  <c r="I11" i="9"/>
  <c r="I10" i="9" s="1"/>
  <c r="H11" i="9"/>
  <c r="H13" i="9" s="1"/>
  <c r="G11" i="9"/>
  <c r="G13" i="9" s="1"/>
  <c r="F11" i="9"/>
  <c r="F13" i="9" s="1"/>
  <c r="F14" i="9" s="1"/>
  <c r="E11" i="9"/>
  <c r="E10" i="9" s="1"/>
  <c r="D11" i="9"/>
  <c r="D10" i="9" s="1"/>
  <c r="C11" i="9"/>
  <c r="C13" i="9" s="1"/>
  <c r="C14" i="9" s="1"/>
  <c r="C15" i="9" s="1"/>
  <c r="C16" i="9" s="1"/>
  <c r="C20" i="9" s="1"/>
  <c r="J10" i="9"/>
  <c r="H10" i="9"/>
  <c r="G10" i="9"/>
  <c r="F10" i="9"/>
  <c r="D13" i="9" l="1"/>
  <c r="D14" i="9" s="1"/>
  <c r="K10" i="9"/>
  <c r="D23" i="9"/>
  <c r="G15" i="9"/>
  <c r="G16" i="9" s="1"/>
  <c r="G20" i="9" s="1"/>
  <c r="G14" i="9"/>
  <c r="C10" i="9"/>
  <c r="I23" i="9"/>
  <c r="E13" i="9"/>
  <c r="I22" i="9"/>
  <c r="E22" i="9"/>
  <c r="E24" i="9" s="1"/>
  <c r="H22" i="9"/>
  <c r="H24" i="9" s="1"/>
  <c r="D22" i="9"/>
  <c r="D24" i="9" s="1"/>
  <c r="K22" i="9"/>
  <c r="K24" i="9" s="1"/>
  <c r="K38" i="9" s="1"/>
  <c r="K46" i="9" s="1"/>
  <c r="G22" i="9"/>
  <c r="C22" i="9"/>
  <c r="F15" i="9"/>
  <c r="F16" i="9" s="1"/>
  <c r="F20" i="9" s="1"/>
  <c r="F22" i="9"/>
  <c r="I13" i="9"/>
  <c r="H14" i="9"/>
  <c r="H15" i="9" s="1"/>
  <c r="H16" i="9" s="1"/>
  <c r="H20" i="9" s="1"/>
  <c r="H38" i="9" s="1"/>
  <c r="H46" i="9" s="1"/>
  <c r="J22" i="9"/>
  <c r="D15" i="9"/>
  <c r="D16" i="9" s="1"/>
  <c r="D20" i="9" s="1"/>
  <c r="J15" i="9"/>
  <c r="J16" i="9" s="1"/>
  <c r="J20" i="9" s="1"/>
  <c r="F23" i="9"/>
  <c r="J23" i="9"/>
  <c r="C23" i="9"/>
  <c r="G23" i="9"/>
  <c r="C49" i="11"/>
  <c r="C51" i="11" s="1"/>
  <c r="C44" i="11"/>
  <c r="C40" i="11"/>
  <c r="C27" i="11"/>
  <c r="C21" i="11"/>
  <c r="C19" i="11"/>
  <c r="C18" i="11"/>
  <c r="C20" i="11" s="1"/>
  <c r="C17" i="11"/>
  <c r="C16" i="11"/>
  <c r="I24" i="9" l="1"/>
  <c r="H51" i="9"/>
  <c r="H50" i="9"/>
  <c r="K51" i="9"/>
  <c r="K50" i="9"/>
  <c r="I14" i="9"/>
  <c r="I15" i="9" s="1"/>
  <c r="I16" i="9" s="1"/>
  <c r="I20" i="9" s="1"/>
  <c r="I38" i="9" s="1"/>
  <c r="I46" i="9" s="1"/>
  <c r="E14" i="9"/>
  <c r="E15" i="9" s="1"/>
  <c r="E16" i="9" s="1"/>
  <c r="E20" i="9" s="1"/>
  <c r="E38" i="9" s="1"/>
  <c r="E46" i="9" s="1"/>
  <c r="C24" i="9"/>
  <c r="C38" i="9" s="1"/>
  <c r="C46" i="9" s="1"/>
  <c r="D38" i="9"/>
  <c r="D46" i="9" s="1"/>
  <c r="J24" i="9"/>
  <c r="J38" i="9" s="1"/>
  <c r="J46" i="9" s="1"/>
  <c r="F24" i="9"/>
  <c r="F38" i="9" s="1"/>
  <c r="F46" i="9" s="1"/>
  <c r="G24" i="9"/>
  <c r="G38" i="9" s="1"/>
  <c r="G46" i="9" s="1"/>
  <c r="C22" i="11"/>
  <c r="C23" i="11"/>
  <c r="C24" i="11" s="1"/>
  <c r="C28" i="11" s="1"/>
  <c r="C48" i="11" s="1"/>
  <c r="C53" i="11" s="1"/>
  <c r="C52" i="11" l="1"/>
  <c r="E50" i="9"/>
  <c r="E51" i="9"/>
  <c r="J51" i="9"/>
  <c r="J50" i="9"/>
  <c r="I51" i="9"/>
  <c r="I50" i="9"/>
  <c r="F51" i="9"/>
  <c r="F50" i="9"/>
  <c r="D50" i="9"/>
  <c r="D51" i="9"/>
  <c r="G50" i="9"/>
  <c r="G51" i="9"/>
  <c r="C51" i="9"/>
  <c r="C50" i="9"/>
  <c r="E58" i="3" l="1"/>
  <c r="E60" i="3" s="1"/>
  <c r="D58" i="3"/>
  <c r="D60" i="3" s="1"/>
  <c r="C58" i="3"/>
  <c r="C60" i="3" s="1"/>
  <c r="C56" i="3"/>
  <c r="E53" i="3"/>
  <c r="E56" i="3" s="1"/>
  <c r="D53" i="3"/>
  <c r="D56" i="3" s="1"/>
  <c r="C53" i="3"/>
  <c r="E40" i="3"/>
  <c r="E41" i="3" s="1"/>
  <c r="D40" i="3"/>
  <c r="D41" i="3" s="1"/>
  <c r="C40" i="3"/>
  <c r="C41" i="3" s="1"/>
  <c r="E36" i="3"/>
  <c r="D36" i="3"/>
  <c r="C36" i="3"/>
  <c r="E33" i="3"/>
  <c r="D33" i="3"/>
  <c r="C33" i="3"/>
  <c r="B28" i="3"/>
  <c r="C28" i="3" s="1"/>
  <c r="E27" i="3"/>
  <c r="B27" i="3"/>
  <c r="C27" i="3" s="1"/>
  <c r="E18" i="3"/>
  <c r="D18" i="3"/>
  <c r="C18" i="3"/>
  <c r="E17" i="3"/>
  <c r="D17" i="3"/>
  <c r="C17" i="3"/>
  <c r="E16" i="3"/>
  <c r="D16" i="3"/>
  <c r="C16" i="3"/>
  <c r="E19" i="3" l="1"/>
  <c r="E21" i="3" s="1"/>
  <c r="E22" i="3" s="1"/>
  <c r="E25" i="3" s="1"/>
  <c r="C29" i="3"/>
  <c r="D28" i="3"/>
  <c r="D27" i="3"/>
  <c r="E28" i="3"/>
  <c r="E29" i="3" s="1"/>
  <c r="D19" i="3"/>
  <c r="D21" i="3" s="1"/>
  <c r="D22" i="3" s="1"/>
  <c r="D25" i="3" s="1"/>
  <c r="C19" i="3"/>
  <c r="C21" i="3" s="1"/>
  <c r="C22" i="3" s="1"/>
  <c r="C25" i="3" s="1"/>
  <c r="E42" i="3" l="1"/>
  <c r="E57" i="3" s="1"/>
  <c r="D42" i="3"/>
  <c r="D57" i="3" s="1"/>
  <c r="D61" i="3" s="1"/>
  <c r="C42" i="3"/>
  <c r="C57" i="3" s="1"/>
  <c r="C61" i="3" s="1"/>
  <c r="D29" i="3"/>
  <c r="C62" i="3" l="1"/>
  <c r="D62" i="3"/>
  <c r="E61" i="3"/>
  <c r="E62" i="3"/>
  <c r="B19" i="7" l="1"/>
  <c r="B18" i="7"/>
  <c r="B23" i="8"/>
  <c r="B22" i="8"/>
  <c r="C9" i="7"/>
  <c r="D8" i="7"/>
  <c r="D9" i="7" s="1"/>
  <c r="C8" i="7"/>
  <c r="D11" i="7" l="1"/>
  <c r="C11" i="7"/>
  <c r="D42" i="7" l="1"/>
  <c r="D44" i="7" s="1"/>
  <c r="C42" i="7"/>
  <c r="C44" i="7" s="1"/>
  <c r="D38" i="7"/>
  <c r="D40" i="7" s="1"/>
  <c r="C38" i="7"/>
  <c r="C40" i="7" s="1"/>
  <c r="D31" i="7"/>
  <c r="D32" i="7" s="1"/>
  <c r="C31" i="7"/>
  <c r="C32" i="7" s="1"/>
  <c r="D27" i="7"/>
  <c r="C27" i="7"/>
  <c r="D24" i="7"/>
  <c r="C24" i="7"/>
  <c r="D19" i="7"/>
  <c r="C19" i="7"/>
  <c r="D18" i="7"/>
  <c r="C18" i="7"/>
  <c r="C20" i="7" s="1"/>
  <c r="D12" i="7"/>
  <c r="D13" i="7" s="1"/>
  <c r="D16" i="7" s="1"/>
  <c r="C12" i="7"/>
  <c r="C13" i="7" s="1"/>
  <c r="C16" i="7" s="1"/>
  <c r="D52" i="8"/>
  <c r="D54" i="8" s="1"/>
  <c r="C52" i="8"/>
  <c r="C54" i="8" s="1"/>
  <c r="D48" i="8"/>
  <c r="C48" i="8"/>
  <c r="D46" i="8"/>
  <c r="C46" i="8"/>
  <c r="D35" i="8"/>
  <c r="D36" i="8" s="1"/>
  <c r="C35" i="8"/>
  <c r="C36" i="8" s="1"/>
  <c r="D31" i="8"/>
  <c r="C31" i="8"/>
  <c r="D28" i="8"/>
  <c r="C28" i="8"/>
  <c r="D23" i="8"/>
  <c r="C23" i="8"/>
  <c r="D22" i="8"/>
  <c r="C22" i="8"/>
  <c r="D15" i="8"/>
  <c r="C15" i="8"/>
  <c r="D12" i="8"/>
  <c r="D13" i="8" s="1"/>
  <c r="D16" i="8" s="1"/>
  <c r="D17" i="8" s="1"/>
  <c r="D20" i="8" s="1"/>
  <c r="C12" i="8"/>
  <c r="C13" i="8" s="1"/>
  <c r="C16" i="8" s="1"/>
  <c r="C17" i="8" s="1"/>
  <c r="C20" i="8" s="1"/>
  <c r="C50" i="8" l="1"/>
  <c r="D24" i="8"/>
  <c r="D37" i="8" s="1"/>
  <c r="C24" i="8"/>
  <c r="D20" i="7"/>
  <c r="D33" i="7" s="1"/>
  <c r="D41" i="7" s="1"/>
  <c r="D46" i="7" s="1"/>
  <c r="C33" i="7"/>
  <c r="C41" i="7" s="1"/>
  <c r="C45" i="7" s="1"/>
  <c r="C37" i="8"/>
  <c r="D50" i="8"/>
  <c r="C46" i="7" l="1"/>
  <c r="C51" i="8"/>
  <c r="C55" i="8" s="1"/>
  <c r="D45" i="7"/>
  <c r="C56" i="8"/>
  <c r="D51" i="8"/>
  <c r="D56" i="8" s="1"/>
  <c r="D55" i="8" l="1"/>
  <c r="C14" i="14" l="1"/>
  <c r="D14" i="14"/>
  <c r="E14" i="14"/>
  <c r="F54" i="14"/>
  <c r="F52" i="14"/>
  <c r="F14" i="14"/>
  <c r="F13" i="14"/>
  <c r="F15" i="14" s="1"/>
  <c r="F58" i="14"/>
  <c r="F60" i="14" s="1"/>
  <c r="F38" i="14"/>
  <c r="F39" i="14" s="1"/>
  <c r="F34" i="14"/>
  <c r="F31" i="14"/>
  <c r="F26" i="14"/>
  <c r="F25" i="14"/>
  <c r="F27" i="14" s="1"/>
  <c r="F56" i="14" l="1"/>
  <c r="F16" i="14"/>
  <c r="F18" i="14" s="1"/>
  <c r="F19" i="14" s="1"/>
  <c r="F23" i="14" s="1"/>
  <c r="F40" i="14" s="1"/>
  <c r="E58" i="14"/>
  <c r="E60" i="14" s="1"/>
  <c r="D58" i="14"/>
  <c r="D60" i="14" s="1"/>
  <c r="C58" i="14"/>
  <c r="E54" i="14"/>
  <c r="D54" i="14"/>
  <c r="C54" i="14"/>
  <c r="E52" i="14"/>
  <c r="D52" i="14"/>
  <c r="D56" i="14" s="1"/>
  <c r="C52" i="14"/>
  <c r="E38" i="14"/>
  <c r="E39" i="14" s="1"/>
  <c r="D38" i="14"/>
  <c r="D39" i="14" s="1"/>
  <c r="C38" i="14"/>
  <c r="C39" i="14" s="1"/>
  <c r="E34" i="14"/>
  <c r="D34" i="14"/>
  <c r="C34" i="14"/>
  <c r="E31" i="14"/>
  <c r="D31" i="14"/>
  <c r="C31" i="14"/>
  <c r="E26" i="14"/>
  <c r="D26" i="14"/>
  <c r="C26" i="14"/>
  <c r="E25" i="14"/>
  <c r="D25" i="14"/>
  <c r="C25" i="14"/>
  <c r="E13" i="14"/>
  <c r="E15" i="14" s="1"/>
  <c r="D13" i="14"/>
  <c r="D15" i="14" s="1"/>
  <c r="C13" i="14"/>
  <c r="D27" i="14" l="1"/>
  <c r="E16" i="14"/>
  <c r="E18" i="14" s="1"/>
  <c r="E19" i="14" s="1"/>
  <c r="E23" i="14" s="1"/>
  <c r="C27" i="14"/>
  <c r="C56" i="14"/>
  <c r="F57" i="14"/>
  <c r="C15" i="14"/>
  <c r="C16" i="14" s="1"/>
  <c r="C18" i="14" s="1"/>
  <c r="C19" i="14" s="1"/>
  <c r="E27" i="14"/>
  <c r="E56" i="14"/>
  <c r="D16" i="14"/>
  <c r="D18" i="14" s="1"/>
  <c r="C60" i="14"/>
  <c r="E40" i="14" l="1"/>
  <c r="E57" i="14" s="1"/>
  <c r="E62" i="14" s="1"/>
  <c r="D19" i="14"/>
  <c r="F61" i="14"/>
  <c r="F62" i="14"/>
  <c r="E61" i="14"/>
  <c r="C23" i="14"/>
  <c r="C40" i="14" s="1"/>
  <c r="C57" i="14" s="1"/>
  <c r="D23" i="14" l="1"/>
  <c r="D40" i="14" s="1"/>
  <c r="D57" i="14" s="1"/>
  <c r="D61" i="14" s="1"/>
  <c r="C61" i="14"/>
  <c r="C62" i="14"/>
  <c r="D62" i="14" l="1"/>
</calcChain>
</file>

<file path=xl/comments1.xml><?xml version="1.0" encoding="utf-8"?>
<comments xmlns="http://schemas.openxmlformats.org/spreadsheetml/2006/main">
  <authors>
    <author>Siphamandla Sithole</author>
    <author>Johan Wilmans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Siphamandla Sithole:</t>
        </r>
        <r>
          <rPr>
            <sz val="9"/>
            <color indexed="81"/>
            <rFont val="Tahoma"/>
            <family val="2"/>
          </rPr>
          <t xml:space="preserve">
Coming with KIT - Cut off date ?</t>
        </r>
      </text>
    </comment>
    <comment ref="E180" authorId="1" shapeId="0">
      <text>
        <r>
          <rPr>
            <b/>
            <sz val="9"/>
            <color indexed="81"/>
            <rFont val="Tahoma"/>
            <family val="2"/>
          </rPr>
          <t>Johan Wilmans:</t>
        </r>
        <r>
          <rPr>
            <sz val="9"/>
            <color indexed="81"/>
            <rFont val="Tahoma"/>
            <family val="2"/>
          </rPr>
          <t xml:space="preserve">
tyres -155
 euru as per order conf.
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Johan Wilmans:</t>
        </r>
        <r>
          <rPr>
            <sz val="9"/>
            <color indexed="81"/>
            <rFont val="Tahoma"/>
            <family val="2"/>
          </rPr>
          <t xml:space="preserve">
tyres -155
 euru as per order conf.
</t>
        </r>
      </text>
    </comment>
    <comment ref="E313" authorId="1" shapeId="0">
      <text>
        <r>
          <rPr>
            <b/>
            <sz val="9"/>
            <color indexed="81"/>
            <rFont val="Tahoma"/>
            <family val="2"/>
          </rPr>
          <t>Johan Wilmans:</t>
        </r>
        <r>
          <rPr>
            <sz val="9"/>
            <color indexed="81"/>
            <rFont val="Tahoma"/>
            <family val="2"/>
          </rPr>
          <t xml:space="preserve">
tyres -155
 euru as per order conf.
</t>
        </r>
      </text>
    </comment>
    <comment ref="E379" authorId="1" shapeId="0">
      <text>
        <r>
          <rPr>
            <b/>
            <sz val="9"/>
            <color indexed="81"/>
            <rFont val="Tahoma"/>
            <family val="2"/>
          </rPr>
          <t>Johan Wilmans:</t>
        </r>
        <r>
          <rPr>
            <sz val="9"/>
            <color indexed="81"/>
            <rFont val="Tahoma"/>
            <family val="2"/>
          </rPr>
          <t xml:space="preserve">
tyres -155
 euru as per order conf.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Johan Wilmans:</t>
        </r>
        <r>
          <rPr>
            <sz val="9"/>
            <color indexed="81"/>
            <rFont val="Tahoma"/>
            <family val="2"/>
          </rPr>
          <t xml:space="preserve">
tyres -155
 euru as per order conf.
</t>
        </r>
      </text>
    </comment>
    <comment ref="E511" authorId="1" shapeId="0">
      <text>
        <r>
          <rPr>
            <b/>
            <sz val="9"/>
            <color indexed="81"/>
            <rFont val="Tahoma"/>
            <family val="2"/>
          </rPr>
          <t>Johan Wilmans:</t>
        </r>
        <r>
          <rPr>
            <sz val="9"/>
            <color indexed="81"/>
            <rFont val="Tahoma"/>
            <family val="2"/>
          </rPr>
          <t xml:space="preserve">
tyres -155
 euru as per order conf.
</t>
        </r>
      </text>
    </comment>
  </commentList>
</comments>
</file>

<file path=xl/comments2.xml><?xml version="1.0" encoding="utf-8"?>
<comments xmlns="http://schemas.openxmlformats.org/spreadsheetml/2006/main">
  <authors>
    <author>Siphamandla.sithole</author>
  </authors>
  <commentList>
    <comment ref="H52" authorId="0" shapeId="0">
      <text>
        <r>
          <rPr>
            <b/>
            <sz val="9"/>
            <color indexed="81"/>
            <rFont val="Tahoma"/>
            <family val="2"/>
          </rPr>
          <t>Siphamandla.sithole:</t>
        </r>
        <r>
          <rPr>
            <sz val="9"/>
            <color indexed="81"/>
            <rFont val="Tahoma"/>
            <family val="2"/>
          </rPr>
          <t xml:space="preserve">
Chassis &amp; Body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Siphamandla.sithole:</t>
        </r>
        <r>
          <rPr>
            <sz val="9"/>
            <color indexed="81"/>
            <rFont val="Tahoma"/>
            <family val="2"/>
          </rPr>
          <t xml:space="preserve">
Chassis &amp; Body</t>
        </r>
      </text>
    </comment>
  </commentList>
</comments>
</file>

<file path=xl/sharedStrings.xml><?xml version="1.0" encoding="utf-8"?>
<sst xmlns="http://schemas.openxmlformats.org/spreadsheetml/2006/main" count="739" uniqueCount="275">
  <si>
    <t>Tractor</t>
  </si>
  <si>
    <t>Rigid Traction</t>
  </si>
  <si>
    <t>Orders placed on Germany</t>
  </si>
  <si>
    <t>Alum. Rims</t>
  </si>
  <si>
    <t>4 x 2</t>
  </si>
  <si>
    <t>6 x 4</t>
  </si>
  <si>
    <t>T/T</t>
  </si>
  <si>
    <t xml:space="preserve">T/T </t>
  </si>
  <si>
    <t xml:space="preserve">MAN Model  </t>
  </si>
  <si>
    <t>Spec No.</t>
  </si>
  <si>
    <t>Cab</t>
  </si>
  <si>
    <t>"L" Cab</t>
  </si>
  <si>
    <t>MAN chassis cost calculation :-</t>
  </si>
  <si>
    <t>CKD Price (Euro)</t>
  </si>
  <si>
    <t>Additional transfer price rebate</t>
  </si>
  <si>
    <t>FOB Value</t>
  </si>
  <si>
    <t>Shipping &amp; Clearing</t>
  </si>
  <si>
    <t>Landed cost in Euro</t>
  </si>
  <si>
    <t>Total Landed cost in Rand</t>
  </si>
  <si>
    <t xml:space="preserve">Tyres </t>
  </si>
  <si>
    <t xml:space="preserve">Other Local Material </t>
  </si>
  <si>
    <t>Total Material Cost</t>
  </si>
  <si>
    <t xml:space="preserve">Labour / Direct Overheads Assy </t>
  </si>
  <si>
    <t xml:space="preserve">Total Labour / Direct Overheads Assy </t>
  </si>
  <si>
    <t>Sales &amp; Distribution Provisions</t>
  </si>
  <si>
    <t>Pre - delivery service</t>
  </si>
  <si>
    <t>Total Sales &amp; Distribution Provisions</t>
  </si>
  <si>
    <t>Sundries</t>
  </si>
  <si>
    <t>Fluids (Coolant)</t>
  </si>
  <si>
    <t>Total Sundries</t>
  </si>
  <si>
    <t xml:space="preserve">Other </t>
  </si>
  <si>
    <t>SABS Levy</t>
  </si>
  <si>
    <t>Anti Highjack Device - Cartrack</t>
  </si>
  <si>
    <t>Total Other</t>
  </si>
  <si>
    <t>Total Standard Cost (Plant Transfer)</t>
  </si>
  <si>
    <t>Provision - Distribution cost</t>
  </si>
  <si>
    <t>Provision - General Warranty</t>
  </si>
  <si>
    <t xml:space="preserve">Ready for Sales Cost </t>
  </si>
  <si>
    <t xml:space="preserve">MTB Gross Profit   </t>
  </si>
  <si>
    <t>% GP</t>
  </si>
  <si>
    <t>Hours</t>
  </si>
  <si>
    <t>Non- traction</t>
  </si>
  <si>
    <t>ZF 12 AS 1210</t>
  </si>
  <si>
    <t>Dual (6 x 2)</t>
  </si>
  <si>
    <t>F/C</t>
  </si>
  <si>
    <t xml:space="preserve">F/C </t>
  </si>
  <si>
    <t>MAN Model</t>
  </si>
  <si>
    <t>25.280BLL</t>
  </si>
  <si>
    <t>Spec no</t>
  </si>
  <si>
    <t>"C" Cab</t>
  </si>
  <si>
    <t>Wheelbase</t>
  </si>
  <si>
    <t xml:space="preserve">CKD Price (Euro) </t>
  </si>
  <si>
    <t>Axle</t>
  </si>
  <si>
    <t xml:space="preserve">                                                    </t>
  </si>
  <si>
    <t>Provision - General  Warranty</t>
  </si>
  <si>
    <t>2-axis</t>
  </si>
  <si>
    <t>4 X 2</t>
  </si>
  <si>
    <t>6 X 4</t>
  </si>
  <si>
    <t>MA6</t>
  </si>
  <si>
    <t>MC6</t>
  </si>
  <si>
    <t>CS01</t>
  </si>
  <si>
    <t>CS31</t>
  </si>
  <si>
    <t>CS30</t>
  </si>
  <si>
    <t>Mixer</t>
  </si>
  <si>
    <t>15.220BB</t>
  </si>
  <si>
    <t>26.280BBL</t>
  </si>
  <si>
    <t>26.280BBM</t>
  </si>
  <si>
    <t>LMA6AA03</t>
  </si>
  <si>
    <t>LMC6AC04</t>
  </si>
  <si>
    <t>LMC6AB03</t>
  </si>
  <si>
    <t>Model</t>
  </si>
  <si>
    <t>24EBN4</t>
  </si>
  <si>
    <t>Chassis cost calculation :-</t>
  </si>
  <si>
    <t xml:space="preserve">CKD Price USD </t>
  </si>
  <si>
    <t xml:space="preserve">Packing &amp; Loading </t>
  </si>
  <si>
    <t>Landed cost in USD</t>
  </si>
  <si>
    <t xml:space="preserve">Total Landed cost in Rand                                  </t>
  </si>
  <si>
    <t>Rims &amp; Tyres</t>
  </si>
  <si>
    <t>Volksbus</t>
  </si>
  <si>
    <t>9.150  OD</t>
  </si>
  <si>
    <t>17.210 OD</t>
  </si>
  <si>
    <t>2R2ND1</t>
  </si>
  <si>
    <t>2WXKF1</t>
  </si>
  <si>
    <t>List Price Less Discount (Customer Price Chassis/Cab)</t>
  </si>
  <si>
    <t>Customer Price - Extras</t>
  </si>
  <si>
    <t>Total Vehicle Price - Customer</t>
  </si>
  <si>
    <t>Provision - Buy Back Provisions</t>
  </si>
  <si>
    <t>Provision - Over Allowance</t>
  </si>
  <si>
    <t>Provision - Cost of Extras</t>
  </si>
  <si>
    <t>Provision - Volume Rebate</t>
  </si>
  <si>
    <t>Wheel Alignment</t>
  </si>
  <si>
    <t>Chassis Movement Cost from Pinetown to Olifantsfontein</t>
  </si>
  <si>
    <t>Over Allowance - Maintenance Contract Contribution</t>
  </si>
  <si>
    <t>Over Allowance - Buy Back / Trade back</t>
  </si>
  <si>
    <t>Provision - Cost of Diff Ratio Change</t>
  </si>
  <si>
    <t>Standard Discount</t>
  </si>
  <si>
    <t>Provision - Transaction Fee (5000 for PE Dealer Only)</t>
  </si>
  <si>
    <t>Internal Movement &amp; Storage Cost</t>
  </si>
  <si>
    <t>KP000489</t>
  </si>
  <si>
    <t>Provision - 3rd Seat</t>
  </si>
  <si>
    <t>X-LWB</t>
  </si>
  <si>
    <t xml:space="preserve"> LWB</t>
  </si>
  <si>
    <t xml:space="preserve"> </t>
  </si>
  <si>
    <t>Solo</t>
  </si>
  <si>
    <t>Steel Rims</t>
  </si>
  <si>
    <t>Bustrain</t>
  </si>
  <si>
    <t>Bi-Articulated</t>
  </si>
  <si>
    <t>HB1</t>
  </si>
  <si>
    <t>HB2</t>
  </si>
  <si>
    <t>HB4</t>
  </si>
  <si>
    <t>A84</t>
  </si>
  <si>
    <t>HB3</t>
  </si>
  <si>
    <t>18.240 BB FOCR</t>
  </si>
  <si>
    <t>18.240 BB FOCRA</t>
  </si>
  <si>
    <t>26.310 LL FOCNR</t>
  </si>
  <si>
    <t>26.350 LL FOCNR</t>
  </si>
  <si>
    <t>18.290HOC</t>
  </si>
  <si>
    <t>26.390 LL FOCR</t>
  </si>
  <si>
    <t>GFZ no</t>
  </si>
  <si>
    <t>LHB1AB01</t>
  </si>
  <si>
    <t>LHB2AB01</t>
  </si>
  <si>
    <t>LHB4AB01</t>
  </si>
  <si>
    <t>LHB4AD01</t>
  </si>
  <si>
    <t>BA84R 02</t>
  </si>
  <si>
    <t>HB3 AF 01</t>
  </si>
  <si>
    <t>Gearbox</t>
  </si>
  <si>
    <t>6S1200 BD</t>
  </si>
  <si>
    <t>VOITH D854.5</t>
  </si>
  <si>
    <t>12AS2131 DD</t>
  </si>
  <si>
    <t>ZF 6 AP 1200</t>
  </si>
  <si>
    <t>Retarder</t>
  </si>
  <si>
    <t>6 x 2</t>
  </si>
  <si>
    <t>Total Standard Cost (Plant transfer)</t>
  </si>
  <si>
    <t>KP000413</t>
  </si>
  <si>
    <t>KP000350</t>
  </si>
  <si>
    <t>KP000345</t>
  </si>
  <si>
    <t>KP000421</t>
  </si>
  <si>
    <t>KP000465</t>
  </si>
  <si>
    <t>KP000700</t>
  </si>
  <si>
    <t>KP000714</t>
  </si>
  <si>
    <t>KP000589</t>
  </si>
  <si>
    <t>KP000564</t>
  </si>
  <si>
    <t>KP000590</t>
  </si>
  <si>
    <t>Provision - Dealer Floor Plan Cost MFS</t>
  </si>
  <si>
    <t>Provision - Distribution cost to dealer or Body Builder</t>
  </si>
  <si>
    <t>3-axis</t>
  </si>
  <si>
    <t>Provision - ASR (Anti Slip Regulation)</t>
  </si>
  <si>
    <t>LN65EK32</t>
  </si>
  <si>
    <t>Provision - Distribution cost - to Customer</t>
  </si>
  <si>
    <t>Aircon prep &amp;Trailer-brake</t>
  </si>
  <si>
    <t>Document fee and Terminal Handling US$</t>
  </si>
  <si>
    <t>Ocean Freight and Transport in Brazil US$</t>
  </si>
  <si>
    <t>Local Clearing Charges ,Transport and Documentation</t>
  </si>
  <si>
    <t>Total Sales Provisions</t>
  </si>
  <si>
    <t>Sales Provisions</t>
  </si>
  <si>
    <t>Distribution Cost</t>
  </si>
  <si>
    <t>Total Distribution Cost</t>
  </si>
  <si>
    <t>KP000603</t>
  </si>
  <si>
    <t>Tyres</t>
  </si>
  <si>
    <t>Aluminium Rims</t>
  </si>
  <si>
    <t>Provision - Tyre Swop Good year to Michelin</t>
  </si>
  <si>
    <t>Provision - ServiceCare (12 Months/ 36 Months @ 117 PM)</t>
  </si>
  <si>
    <t>CBU</t>
  </si>
  <si>
    <t>26.540BLS</t>
  </si>
  <si>
    <t>L30XKK31</t>
  </si>
  <si>
    <t>"XLX" Cab</t>
  </si>
  <si>
    <t>EURO5</t>
  </si>
  <si>
    <t>AeroKit</t>
  </si>
  <si>
    <t xml:space="preserve">Customs Duty </t>
  </si>
  <si>
    <t>Local Material 560i + 100 Combi Tank + additional material + assembly</t>
  </si>
  <si>
    <t>Consumables (incl. diesel)</t>
  </si>
  <si>
    <t>Provision - Maintenance Contract Contribution</t>
  </si>
  <si>
    <t>REQUESTED</t>
  </si>
  <si>
    <t>Provision - Sales Commission</t>
  </si>
  <si>
    <t xml:space="preserve">Provision - Cost of Extras </t>
  </si>
  <si>
    <t>Overheads @ R 294.40 per hour</t>
  </si>
  <si>
    <t>Labour @ R 123.59 per hour</t>
  </si>
  <si>
    <t>Consumables</t>
  </si>
  <si>
    <t>Intarder</t>
  </si>
  <si>
    <t>26.440BLS-WW</t>
  </si>
  <si>
    <t>27.440BBS-WW</t>
  </si>
  <si>
    <t>27.480BBS-WW</t>
  </si>
  <si>
    <t>26.480BLS-WW</t>
  </si>
  <si>
    <t>L72WAF31</t>
  </si>
  <si>
    <t>L78WAK61</t>
  </si>
  <si>
    <t>L76WAK31</t>
  </si>
  <si>
    <t>L76WAK61</t>
  </si>
  <si>
    <t>"LX" Cab</t>
  </si>
  <si>
    <t>KP000666</t>
  </si>
  <si>
    <t>KP000637</t>
  </si>
  <si>
    <t>KP000718</t>
  </si>
  <si>
    <t>KP000659</t>
  </si>
  <si>
    <t>EL with AeroKit</t>
  </si>
  <si>
    <t>Steel. Rims</t>
  </si>
  <si>
    <t>KP000707</t>
  </si>
  <si>
    <t>KP000753</t>
  </si>
  <si>
    <t>KP000709</t>
  </si>
  <si>
    <t>MANLINE Spec</t>
  </si>
  <si>
    <t>Steel Bumper &amp; PTO</t>
  </si>
  <si>
    <t>TGS Costs Qtr 1 2016:-</t>
  </si>
  <si>
    <t>Distribution &amp; Consumables Cost</t>
  </si>
  <si>
    <t>Total Distribution &amp; Consumables Cost</t>
  </si>
  <si>
    <t>Manec 1604</t>
  </si>
  <si>
    <t>"LR Sleeper" Cab</t>
  </si>
  <si>
    <t>Provision - Bumper-to-Bumper Warranty of 3yrs / 450 000km Euro 8400</t>
  </si>
  <si>
    <t>Provision - Conversion Cost to TT</t>
  </si>
  <si>
    <t>Local Clearing Charges ,Documentation, Transport and Storage</t>
  </si>
  <si>
    <t>KP000766</t>
  </si>
  <si>
    <t>List Price 01 June 2016</t>
  </si>
  <si>
    <t>24ALN4/24JLN4</t>
  </si>
  <si>
    <t>KP000765</t>
  </si>
  <si>
    <t xml:space="preserve">TipMatic </t>
  </si>
  <si>
    <t>WITH PTO &amp; ADR</t>
  </si>
  <si>
    <t>NO PTO &amp; ADR</t>
  </si>
  <si>
    <t xml:space="preserve">From Order no  to </t>
  </si>
  <si>
    <t>19.400BLS-WW</t>
  </si>
  <si>
    <t>Provision - MAN Ext Warranty ( Driveline 4 yrs/ 600,000km) - Euro  2250 4 X 2</t>
  </si>
  <si>
    <t>Provision - MAN Ext Warranty (Entire Veh 2 yrs.) Euro 950 4 X 2</t>
  </si>
  <si>
    <t>List Price 04 January 2016</t>
  </si>
  <si>
    <t>No Alum. Rims</t>
  </si>
  <si>
    <t>L72WAF61</t>
  </si>
  <si>
    <t>Provision - 24 Months EV 300 000KM and 48 Months DL 600 000KM Combination</t>
  </si>
  <si>
    <t>Provision - 36 Months EV 450 000KM and 48 Months DL 600 000KM Combination</t>
  </si>
  <si>
    <t>Lane Guard System</t>
  </si>
  <si>
    <t>Alum. Rim</t>
  </si>
  <si>
    <t>Michelin</t>
  </si>
  <si>
    <t>Goodyear</t>
  </si>
  <si>
    <t>Plastic Bumper &amp; PTO</t>
  </si>
  <si>
    <t>Plastic Bumper &amp; GCM</t>
  </si>
  <si>
    <t>KP000602</t>
  </si>
  <si>
    <t>Provision - Profidrive</t>
  </si>
  <si>
    <t>26.360 LL FOCNR</t>
  </si>
  <si>
    <t>LHB4DB01</t>
  </si>
  <si>
    <t>TRP Discount - Options</t>
  </si>
  <si>
    <t>TRP Discount - Basic Vehicle</t>
  </si>
  <si>
    <t>CKD Price (Euro) - Basic Vehicle</t>
  </si>
  <si>
    <t>CKD Price (Euro) - Options</t>
  </si>
  <si>
    <t>Net CKD Price (Euro) - Basic Vehicle</t>
  </si>
  <si>
    <t>Net CKD Price (Euro) - Options</t>
  </si>
  <si>
    <t>Net Total CKD Cost  - "After Discount" - FOB</t>
  </si>
  <si>
    <t>Total CKD Cost</t>
  </si>
  <si>
    <t>Overheads @ R 320.80 per hour</t>
  </si>
  <si>
    <t>Labour @ R 131.11 per hour</t>
  </si>
  <si>
    <t>CBU Price (Euro) - Basic Vehicle</t>
  </si>
  <si>
    <t>CBU Price (Euro) - Options</t>
  </si>
  <si>
    <t>Total CBU Cost</t>
  </si>
  <si>
    <t>Net CBU Price (Euro) - Basic Vehicle</t>
  </si>
  <si>
    <t>Net CBU Price (Euro) - Options</t>
  </si>
  <si>
    <t>Net Total CBU Cost  - "After Discount" - FOB</t>
  </si>
  <si>
    <t>Tail board and Reflective tape</t>
  </si>
  <si>
    <t>Provision - ServiceCare (3 Months @ 117 PM)</t>
  </si>
  <si>
    <t>Dura Bright Rims</t>
  </si>
  <si>
    <t>List Price 01 October 2017</t>
  </si>
  <si>
    <r>
      <t xml:space="preserve">From Order no </t>
    </r>
    <r>
      <rPr>
        <b/>
        <sz val="16"/>
        <color rgb="FFFF0000"/>
        <rFont val="Calibri"/>
        <family val="2"/>
        <scheme val="minor"/>
      </rPr>
      <t xml:space="preserve"> 48552 - </t>
    </r>
  </si>
  <si>
    <t>KP000804</t>
  </si>
  <si>
    <t>KP000805</t>
  </si>
  <si>
    <t>ACC</t>
  </si>
  <si>
    <t>Non ACC</t>
  </si>
  <si>
    <t>Provision - EV 12 Months /Unlimited KM and DL 36 Months / 450 000 KM</t>
  </si>
  <si>
    <t>EV 12 Months /Unlimited KM and DL 24 Months / Unlimited KM</t>
  </si>
  <si>
    <t>Manec 1801 - Jan 18 ( NEW TRP)</t>
  </si>
  <si>
    <t>List Price 01 January 2018</t>
  </si>
  <si>
    <t>TGS Costs Qtr 1 2018:-</t>
  </si>
  <si>
    <t>SS 25/01/2018</t>
  </si>
  <si>
    <t>Manec 1801</t>
  </si>
  <si>
    <t>TGX Costs Qtr 1 2018</t>
  </si>
  <si>
    <t>MAN Bus Chassis Costs Qtr 1 2018:-</t>
  </si>
  <si>
    <r>
      <t xml:space="preserve">From Order no </t>
    </r>
    <r>
      <rPr>
        <b/>
        <sz val="16"/>
        <color rgb="FFFF0000"/>
        <rFont val="Calibri"/>
        <family val="2"/>
        <scheme val="minor"/>
      </rPr>
      <t xml:space="preserve"> </t>
    </r>
  </si>
  <si>
    <t>Manec 1801 - Feb 18 ( NEW TRP)</t>
  </si>
  <si>
    <r>
      <t xml:space="preserve">From Order no </t>
    </r>
    <r>
      <rPr>
        <b/>
        <sz val="16"/>
        <color rgb="FFFF0000"/>
        <rFont val="Calibri"/>
        <family val="2"/>
        <scheme val="minor"/>
      </rPr>
      <t xml:space="preserve">  </t>
    </r>
  </si>
  <si>
    <t xml:space="preserve">CUSTOMER: </t>
  </si>
  <si>
    <t>VW Truck Costs Qtr 1 2018:-</t>
  </si>
  <si>
    <t>VW Bus Chassis Costs Qtr 1 2018:-</t>
  </si>
  <si>
    <t>We will Give you a master file which will be uploaded on SIS as a Back office update which Sipha will update quarterly</t>
  </si>
  <si>
    <t>Over Allowance - Buy Back / Trade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</si>
</sst>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-* #,##0_-;\-* #,##0_-;_-* &quot;-&quot;_-;_-@_-"/>
    <numFmt numFmtId="166" formatCode="0.0%"/>
    <numFmt numFmtId="167" formatCode="&quot;R&quot;\ #,##0.00"/>
    <numFmt numFmtId="168" formatCode="0.0000"/>
    <numFmt numFmtId="169" formatCode="&quot;R&quot;\ #,##0.0000;&quot;R&quot;\ \-#,##0.0000"/>
    <numFmt numFmtId="170" formatCode="0.000"/>
    <numFmt numFmtId="171" formatCode="_-* #,##0.00\ &quot;€&quot;_-;\-* #,##0.00\ &quot;€&quot;_-;_-* &quot;-&quot;??\ &quot;€&quot;_-;_-@_-"/>
  </numFmts>
  <fonts count="59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b/>
      <sz val="16"/>
      <color theme="3"/>
      <name val="Cambria"/>
      <family val="2"/>
      <scheme val="maj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b/>
      <sz val="16"/>
      <name val="Calibri"/>
      <family val="2"/>
      <scheme val="minor"/>
    </font>
    <font>
      <b/>
      <u/>
      <sz val="16"/>
      <name val="Arial"/>
      <family val="2"/>
    </font>
    <font>
      <b/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24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4"/>
      <name val="Cambria"/>
      <family val="2"/>
      <scheme val="major"/>
    </font>
    <font>
      <b/>
      <sz val="16"/>
      <name val="Cambria"/>
      <family val="2"/>
      <scheme val="major"/>
    </font>
    <font>
      <b/>
      <sz val="16"/>
      <name val="Cambria"/>
      <family val="1"/>
      <scheme val="major"/>
    </font>
    <font>
      <b/>
      <sz val="18"/>
      <name val="Arial"/>
      <family val="2"/>
    </font>
    <font>
      <sz val="16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theme="7" tint="-0.249977111117893"/>
      <name val="Arial"/>
      <family val="2"/>
    </font>
    <font>
      <b/>
      <sz val="14"/>
      <color theme="7" tint="-0.249977111117893"/>
      <name val="Arial"/>
      <family val="2"/>
    </font>
    <font>
      <sz val="14"/>
      <color theme="7" tint="-0.249977111117893"/>
      <name val="Calibri"/>
      <family val="2"/>
      <scheme val="minor"/>
    </font>
    <font>
      <b/>
      <u/>
      <sz val="14"/>
      <color theme="7" tint="-0.249977111117893"/>
      <name val="Arial"/>
      <family val="2"/>
    </font>
    <font>
      <b/>
      <sz val="12"/>
      <color theme="7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8764000366222"/>
      </right>
      <top/>
      <bottom/>
      <diagonal/>
    </border>
    <border>
      <left/>
      <right/>
      <top/>
      <bottom style="thin">
        <color theme="0" tint="-0.1498764000366222"/>
      </bottom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165" fontId="9" fillId="4" borderId="9">
      <alignment horizontal="center" vertical="center"/>
    </xf>
    <xf numFmtId="0" fontId="6" fillId="0" borderId="0" applyProtection="0"/>
    <xf numFmtId="0" fontId="7" fillId="0" borderId="0"/>
    <xf numFmtId="0" fontId="6" fillId="0" borderId="0"/>
    <xf numFmtId="171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7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575">
    <xf numFmtId="0" fontId="0" fillId="0" borderId="0" xfId="0"/>
    <xf numFmtId="0" fontId="8" fillId="2" borderId="0" xfId="2" applyFill="1" applyBorder="1"/>
    <xf numFmtId="3" fontId="13" fillId="4" borderId="0" xfId="3" applyNumberFormat="1" applyFont="1" applyBorder="1" applyAlignment="1" applyProtection="1">
      <alignment horizontal="left"/>
    </xf>
    <xf numFmtId="0" fontId="9" fillId="4" borderId="11" xfId="3" applyBorder="1" applyProtection="1"/>
    <xf numFmtId="0" fontId="9" fillId="4" borderId="14" xfId="3" applyBorder="1" applyAlignment="1" applyProtection="1">
      <alignment horizontal="center"/>
    </xf>
    <xf numFmtId="0" fontId="9" fillId="4" borderId="12" xfId="3" applyBorder="1" applyProtection="1"/>
    <xf numFmtId="0" fontId="9" fillId="4" borderId="15" xfId="3" applyBorder="1" applyAlignment="1" applyProtection="1">
      <alignment horizontal="center"/>
    </xf>
    <xf numFmtId="0" fontId="9" fillId="4" borderId="16" xfId="3" applyBorder="1" applyProtection="1"/>
    <xf numFmtId="0" fontId="9" fillId="4" borderId="17" xfId="3" applyBorder="1" applyAlignment="1" applyProtection="1">
      <alignment horizontal="center"/>
    </xf>
    <xf numFmtId="3" fontId="13" fillId="4" borderId="9" xfId="3" applyNumberFormat="1" applyFont="1" applyBorder="1" applyAlignment="1" applyProtection="1">
      <alignment horizontal="left"/>
    </xf>
    <xf numFmtId="0" fontId="8" fillId="3" borderId="0" xfId="2" applyFill="1" applyBorder="1"/>
    <xf numFmtId="0" fontId="2" fillId="3" borderId="0" xfId="0" applyFont="1" applyFill="1" applyBorder="1"/>
    <xf numFmtId="0" fontId="12" fillId="3" borderId="0" xfId="3" applyFont="1" applyFill="1" applyBorder="1" applyAlignment="1" applyProtection="1">
      <alignment horizontal="center"/>
    </xf>
    <xf numFmtId="0" fontId="12" fillId="3" borderId="15" xfId="3" applyFont="1" applyFill="1" applyBorder="1" applyAlignment="1" applyProtection="1">
      <alignment horizontal="center"/>
    </xf>
    <xf numFmtId="3" fontId="13" fillId="4" borderId="8" xfId="3" applyNumberFormat="1" applyFont="1" applyBorder="1" applyAlignment="1" applyProtection="1">
      <alignment horizontal="left"/>
    </xf>
    <xf numFmtId="37" fontId="3" fillId="5" borderId="8" xfId="0" applyNumberFormat="1" applyFont="1" applyFill="1" applyBorder="1" applyAlignment="1" applyProtection="1">
      <alignment horizontal="left" vertical="center"/>
    </xf>
    <xf numFmtId="10" fontId="2" fillId="3" borderId="14" xfId="0" applyNumberFormat="1" applyFont="1" applyFill="1" applyBorder="1" applyAlignment="1">
      <alignment horizontal="center"/>
    </xf>
    <xf numFmtId="37" fontId="3" fillId="5" borderId="17" xfId="0" applyNumberFormat="1" applyFont="1" applyFill="1" applyBorder="1" applyAlignment="1" applyProtection="1">
      <alignment horizontal="center" vertical="center"/>
    </xf>
    <xf numFmtId="3" fontId="13" fillId="4" borderId="7" xfId="3" applyNumberFormat="1" applyFont="1" applyBorder="1" applyAlignment="1" applyProtection="1">
      <alignment horizontal="left"/>
    </xf>
    <xf numFmtId="10" fontId="3" fillId="0" borderId="9" xfId="1" applyNumberFormat="1" applyFont="1" applyFill="1" applyBorder="1" applyAlignment="1" applyProtection="1">
      <alignment horizontal="center"/>
    </xf>
    <xf numFmtId="3" fontId="13" fillId="4" borderId="17" xfId="3" applyNumberFormat="1" applyFont="1" applyBorder="1" applyAlignment="1" applyProtection="1">
      <alignment horizontal="center"/>
    </xf>
    <xf numFmtId="10" fontId="3" fillId="0" borderId="19" xfId="1" applyNumberFormat="1" applyFont="1" applyFill="1" applyBorder="1" applyAlignment="1" applyProtection="1">
      <alignment horizontal="center"/>
    </xf>
    <xf numFmtId="3" fontId="3" fillId="0" borderId="9" xfId="3" applyNumberFormat="1" applyFont="1" applyFill="1" applyBorder="1" applyAlignment="1" applyProtection="1">
      <alignment horizontal="left"/>
    </xf>
    <xf numFmtId="37" fontId="3" fillId="5" borderId="9" xfId="0" applyNumberFormat="1" applyFont="1" applyFill="1" applyBorder="1" applyAlignment="1" applyProtection="1">
      <alignment horizontal="left" vertical="center"/>
    </xf>
    <xf numFmtId="14" fontId="5" fillId="6" borderId="0" xfId="0" applyNumberFormat="1" applyFont="1" applyFill="1" applyAlignment="1">
      <alignment horizontal="left"/>
    </xf>
    <xf numFmtId="3" fontId="2" fillId="6" borderId="0" xfId="0" applyNumberFormat="1" applyFont="1" applyFill="1" applyAlignment="1">
      <alignment horizontal="center"/>
    </xf>
    <xf numFmtId="37" fontId="2" fillId="0" borderId="7" xfId="0" applyNumberFormat="1" applyFont="1" applyFill="1" applyBorder="1" applyAlignment="1" applyProtection="1">
      <alignment horizontal="center"/>
    </xf>
    <xf numFmtId="0" fontId="11" fillId="3" borderId="0" xfId="0" applyFont="1" applyFill="1"/>
    <xf numFmtId="0" fontId="10" fillId="2" borderId="0" xfId="2" applyFont="1" applyFill="1" applyBorder="1" applyAlignment="1">
      <alignment horizontal="center"/>
    </xf>
    <xf numFmtId="0" fontId="0" fillId="6" borderId="0" xfId="0" applyFill="1" applyBorder="1"/>
    <xf numFmtId="0" fontId="10" fillId="3" borderId="0" xfId="2" applyFont="1" applyFill="1" applyBorder="1" applyAlignment="1">
      <alignment horizontal="center"/>
    </xf>
    <xf numFmtId="0" fontId="9" fillId="4" borderId="5" xfId="3" applyBorder="1" applyAlignment="1" applyProtection="1">
      <alignment horizontal="center"/>
    </xf>
    <xf numFmtId="0" fontId="9" fillId="4" borderId="7" xfId="3" applyBorder="1" applyAlignment="1" applyProtection="1">
      <alignment horizontal="center"/>
    </xf>
    <xf numFmtId="0" fontId="9" fillId="4" borderId="8" xfId="3" applyBorder="1" applyAlignment="1" applyProtection="1">
      <alignment horizontal="center"/>
    </xf>
    <xf numFmtId="37" fontId="2" fillId="3" borderId="7" xfId="0" applyNumberFormat="1" applyFont="1" applyFill="1" applyBorder="1" applyAlignment="1" applyProtection="1">
      <alignment horizontal="center"/>
    </xf>
    <xf numFmtId="3" fontId="13" fillId="4" borderId="9" xfId="3" applyNumberFormat="1" applyFont="1" applyBorder="1" applyAlignment="1" applyProtection="1">
      <alignment horizontal="center"/>
    </xf>
    <xf numFmtId="9" fontId="13" fillId="4" borderId="0" xfId="1" applyFont="1" applyFill="1" applyBorder="1" applyAlignment="1" applyProtection="1">
      <alignment horizontal="center"/>
    </xf>
    <xf numFmtId="10" fontId="1" fillId="6" borderId="0" xfId="0" applyNumberFormat="1" applyFont="1" applyFill="1" applyBorder="1" applyAlignment="1" applyProtection="1">
      <alignment horizontal="center"/>
    </xf>
    <xf numFmtId="0" fontId="0" fillId="6" borderId="0" xfId="0" applyFill="1"/>
    <xf numFmtId="37" fontId="2" fillId="0" borderId="3" xfId="0" applyNumberFormat="1" applyFont="1" applyFill="1" applyBorder="1" applyAlignment="1" applyProtection="1">
      <alignment horizontal="center"/>
    </xf>
    <xf numFmtId="0" fontId="0" fillId="0" borderId="0" xfId="0" applyFill="1"/>
    <xf numFmtId="0" fontId="2" fillId="0" borderId="7" xfId="0" applyFont="1" applyFill="1" applyBorder="1" applyAlignment="1" applyProtection="1">
      <alignment horizontal="center"/>
    </xf>
    <xf numFmtId="0" fontId="12" fillId="0" borderId="9" xfId="3" applyFont="1" applyFill="1" applyBorder="1" applyAlignment="1" applyProtection="1">
      <alignment horizontal="center"/>
    </xf>
    <xf numFmtId="0" fontId="12" fillId="0" borderId="0" xfId="3" applyFont="1" applyFill="1" applyBorder="1" applyAlignment="1" applyProtection="1">
      <alignment horizontal="center"/>
    </xf>
    <xf numFmtId="14" fontId="5" fillId="0" borderId="0" xfId="0" applyNumberFormat="1" applyFont="1" applyFill="1" applyAlignment="1">
      <alignment horizontal="left"/>
    </xf>
    <xf numFmtId="37" fontId="16" fillId="0" borderId="7" xfId="0" applyNumberFormat="1" applyFont="1" applyFill="1" applyBorder="1" applyAlignment="1" applyProtection="1">
      <alignment horizontal="center"/>
    </xf>
    <xf numFmtId="37" fontId="16" fillId="3" borderId="7" xfId="0" applyNumberFormat="1" applyFont="1" applyFill="1" applyBorder="1" applyAlignment="1" applyProtection="1">
      <alignment horizontal="center"/>
    </xf>
    <xf numFmtId="37" fontId="16" fillId="0" borderId="3" xfId="0" applyNumberFormat="1" applyFont="1" applyFill="1" applyBorder="1" applyAlignment="1" applyProtection="1">
      <alignment horizontal="center"/>
    </xf>
    <xf numFmtId="0" fontId="15" fillId="0" borderId="5" xfId="3" applyFont="1" applyFill="1" applyBorder="1" applyAlignment="1" applyProtection="1">
      <alignment horizontal="center"/>
    </xf>
    <xf numFmtId="0" fontId="15" fillId="0" borderId="8" xfId="3" applyFont="1" applyFill="1" applyBorder="1" applyAlignment="1" applyProtection="1">
      <alignment horizontal="center"/>
    </xf>
    <xf numFmtId="3" fontId="3" fillId="0" borderId="9" xfId="3" applyNumberFormat="1" applyFont="1" applyFill="1" applyBorder="1" applyAlignment="1" applyProtection="1">
      <alignment horizontal="center"/>
    </xf>
    <xf numFmtId="0" fontId="16" fillId="3" borderId="12" xfId="0" applyFont="1" applyFill="1" applyBorder="1"/>
    <xf numFmtId="0" fontId="16" fillId="3" borderId="12" xfId="0" applyFont="1" applyFill="1" applyBorder="1" applyProtection="1"/>
    <xf numFmtId="166" fontId="16" fillId="3" borderId="7" xfId="0" applyNumberFormat="1" applyFont="1" applyFill="1" applyBorder="1" applyAlignment="1" applyProtection="1">
      <alignment horizontal="center"/>
    </xf>
    <xf numFmtId="0" fontId="16" fillId="3" borderId="7" xfId="0" applyFont="1" applyFill="1" applyBorder="1" applyAlignment="1" applyProtection="1">
      <alignment horizontal="center"/>
    </xf>
    <xf numFmtId="3" fontId="3" fillId="0" borderId="18" xfId="3" applyNumberFormat="1" applyFont="1" applyFill="1" applyBorder="1" applyAlignment="1" applyProtection="1">
      <alignment horizontal="left"/>
    </xf>
    <xf numFmtId="3" fontId="16" fillId="0" borderId="18" xfId="3" applyNumberFormat="1" applyFont="1" applyFill="1" applyBorder="1" applyAlignment="1" applyProtection="1">
      <alignment horizontal="left"/>
    </xf>
    <xf numFmtId="0" fontId="15" fillId="0" borderId="9" xfId="3" applyFont="1" applyFill="1" applyBorder="1" applyAlignment="1" applyProtection="1">
      <alignment horizontal="center"/>
    </xf>
    <xf numFmtId="3" fontId="18" fillId="0" borderId="9" xfId="3" applyNumberFormat="1" applyFont="1" applyFill="1" applyBorder="1" applyAlignment="1" applyProtection="1">
      <alignment horizontal="center"/>
    </xf>
    <xf numFmtId="3" fontId="16" fillId="0" borderId="16" xfId="3" applyNumberFormat="1" applyFont="1" applyFill="1" applyBorder="1" applyAlignment="1" applyProtection="1">
      <alignment horizontal="left"/>
    </xf>
    <xf numFmtId="10" fontId="16" fillId="3" borderId="7" xfId="0" applyNumberFormat="1" applyFont="1" applyFill="1" applyBorder="1" applyAlignment="1">
      <alignment horizontal="center"/>
    </xf>
    <xf numFmtId="2" fontId="16" fillId="3" borderId="7" xfId="0" applyNumberFormat="1" applyFont="1" applyFill="1" applyBorder="1" applyAlignment="1">
      <alignment horizontal="center" vertical="center"/>
    </xf>
    <xf numFmtId="37" fontId="16" fillId="3" borderId="7" xfId="0" applyNumberFormat="1" applyFont="1" applyFill="1" applyBorder="1" applyAlignment="1" applyProtection="1">
      <alignment horizontal="center" vertical="center"/>
    </xf>
    <xf numFmtId="0" fontId="12" fillId="3" borderId="5" xfId="3" applyFont="1" applyFill="1" applyBorder="1" applyAlignment="1" applyProtection="1">
      <alignment horizontal="center"/>
    </xf>
    <xf numFmtId="3" fontId="18" fillId="0" borderId="19" xfId="3" applyNumberFormat="1" applyFont="1" applyFill="1" applyBorder="1" applyAlignment="1" applyProtection="1">
      <alignment horizontal="center"/>
    </xf>
    <xf numFmtId="3" fontId="18" fillId="0" borderId="17" xfId="3" applyNumberFormat="1" applyFont="1" applyFill="1" applyBorder="1" applyAlignment="1" applyProtection="1">
      <alignment horizontal="center"/>
    </xf>
    <xf numFmtId="3" fontId="18" fillId="0" borderId="8" xfId="3" applyNumberFormat="1" applyFont="1" applyFill="1" applyBorder="1" applyAlignment="1" applyProtection="1">
      <alignment horizontal="center"/>
    </xf>
    <xf numFmtId="10" fontId="18" fillId="0" borderId="19" xfId="1" applyNumberFormat="1" applyFont="1" applyFill="1" applyBorder="1" applyAlignment="1" applyProtection="1">
      <alignment horizontal="center"/>
    </xf>
    <xf numFmtId="3" fontId="3" fillId="0" borderId="0" xfId="3" applyNumberFormat="1" applyFont="1" applyFill="1" applyBorder="1" applyAlignment="1" applyProtection="1">
      <alignment horizontal="left"/>
    </xf>
    <xf numFmtId="0" fontId="15" fillId="0" borderId="0" xfId="3" applyFont="1" applyFill="1" applyBorder="1" applyAlignment="1" applyProtection="1">
      <alignment horizontal="center"/>
    </xf>
    <xf numFmtId="9" fontId="3" fillId="0" borderId="0" xfId="1" applyFont="1" applyFill="1" applyBorder="1" applyAlignment="1" applyProtection="1">
      <alignment horizontal="center"/>
    </xf>
    <xf numFmtId="2" fontId="19" fillId="0" borderId="9" xfId="3" applyNumberFormat="1" applyFont="1" applyFill="1" applyBorder="1" applyAlignment="1" applyProtection="1">
      <alignment horizontal="center"/>
    </xf>
    <xf numFmtId="3" fontId="18" fillId="0" borderId="18" xfId="3" applyNumberFormat="1" applyFont="1" applyFill="1" applyBorder="1" applyAlignment="1" applyProtection="1">
      <alignment horizontal="left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167" fontId="3" fillId="3" borderId="7" xfId="0" applyNumberFormat="1" applyFont="1" applyFill="1" applyBorder="1" applyAlignment="1" applyProtection="1">
      <alignment horizontal="center"/>
    </xf>
    <xf numFmtId="0" fontId="0" fillId="0" borderId="0" xfId="0" applyFill="1" applyBorder="1"/>
    <xf numFmtId="0" fontId="16" fillId="0" borderId="7" xfId="0" applyFont="1" applyFill="1" applyBorder="1"/>
    <xf numFmtId="0" fontId="16" fillId="0" borderId="12" xfId="0" applyFont="1" applyFill="1" applyBorder="1"/>
    <xf numFmtId="3" fontId="18" fillId="0" borderId="9" xfId="3" applyNumberFormat="1" applyFont="1" applyFill="1" applyBorder="1" applyAlignment="1" applyProtection="1">
      <alignment horizontal="left"/>
    </xf>
    <xf numFmtId="37" fontId="18" fillId="7" borderId="8" xfId="0" applyNumberFormat="1" applyFont="1" applyFill="1" applyBorder="1" applyAlignment="1" applyProtection="1">
      <alignment horizontal="left" vertical="center"/>
    </xf>
    <xf numFmtId="0" fontId="16" fillId="0" borderId="7" xfId="0" applyFont="1" applyFill="1" applyBorder="1" applyAlignment="1" applyProtection="1">
      <alignment horizontal="center"/>
    </xf>
    <xf numFmtId="0" fontId="16" fillId="0" borderId="12" xfId="0" applyFont="1" applyFill="1" applyBorder="1" applyProtection="1"/>
    <xf numFmtId="3" fontId="18" fillId="0" borderId="16" xfId="3" applyNumberFormat="1" applyFont="1" applyFill="1" applyBorder="1" applyAlignment="1" applyProtection="1">
      <alignment horizontal="left"/>
    </xf>
    <xf numFmtId="0" fontId="16" fillId="0" borderId="5" xfId="0" applyFont="1" applyFill="1" applyBorder="1" applyAlignment="1" applyProtection="1">
      <alignment horizontal="center"/>
    </xf>
    <xf numFmtId="10" fontId="16" fillId="0" borderId="7" xfId="0" applyNumberFormat="1" applyFont="1" applyFill="1" applyBorder="1" applyAlignment="1" applyProtection="1">
      <alignment horizontal="center"/>
    </xf>
    <xf numFmtId="166" fontId="16" fillId="0" borderId="7" xfId="0" applyNumberFormat="1" applyFont="1" applyFill="1" applyBorder="1" applyAlignment="1" applyProtection="1">
      <alignment horizontal="center"/>
    </xf>
    <xf numFmtId="3" fontId="18" fillId="0" borderId="12" xfId="3" applyNumberFormat="1" applyFont="1" applyFill="1" applyBorder="1" applyAlignment="1" applyProtection="1">
      <alignment horizontal="left"/>
    </xf>
    <xf numFmtId="0" fontId="2" fillId="0" borderId="2" xfId="0" applyFont="1" applyFill="1" applyBorder="1" applyAlignment="1" applyProtection="1">
      <alignment horizontal="center"/>
    </xf>
    <xf numFmtId="37" fontId="3" fillId="0" borderId="9" xfId="0" applyNumberFormat="1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/>
    </xf>
    <xf numFmtId="37" fontId="16" fillId="0" borderId="6" xfId="0" applyNumberFormat="1" applyFont="1" applyFill="1" applyBorder="1" applyAlignment="1" applyProtection="1">
      <alignment horizontal="center"/>
    </xf>
    <xf numFmtId="10" fontId="16" fillId="0" borderId="3" xfId="0" applyNumberFormat="1" applyFont="1" applyFill="1" applyBorder="1" applyAlignment="1" applyProtection="1">
      <alignment horizontal="center"/>
    </xf>
    <xf numFmtId="0" fontId="16" fillId="0" borderId="6" xfId="0" applyFont="1" applyFill="1" applyBorder="1" applyAlignment="1" applyProtection="1">
      <alignment horizontal="center"/>
    </xf>
    <xf numFmtId="0" fontId="16" fillId="0" borderId="2" xfId="0" applyFont="1" applyFill="1" applyBorder="1" applyAlignment="1" applyProtection="1">
      <alignment horizontal="center"/>
    </xf>
    <xf numFmtId="10" fontId="16" fillId="0" borderId="2" xfId="0" applyNumberFormat="1" applyFont="1" applyFill="1" applyBorder="1" applyAlignment="1" applyProtection="1">
      <alignment horizontal="center"/>
    </xf>
    <xf numFmtId="166" fontId="16" fillId="0" borderId="2" xfId="0" applyNumberFormat="1" applyFont="1" applyFill="1" applyBorder="1" applyAlignment="1" applyProtection="1">
      <alignment horizontal="center"/>
    </xf>
    <xf numFmtId="0" fontId="16" fillId="0" borderId="3" xfId="0" applyFont="1" applyFill="1" applyBorder="1"/>
    <xf numFmtId="0" fontId="16" fillId="0" borderId="1" xfId="0" applyFont="1" applyFill="1" applyBorder="1"/>
    <xf numFmtId="0" fontId="16" fillId="0" borderId="1" xfId="0" applyFont="1" applyFill="1" applyBorder="1" applyProtection="1"/>
    <xf numFmtId="10" fontId="3" fillId="0" borderId="7" xfId="0" applyNumberFormat="1" applyFont="1" applyFill="1" applyBorder="1" applyAlignment="1" applyProtection="1">
      <alignment horizontal="center"/>
    </xf>
    <xf numFmtId="0" fontId="16" fillId="3" borderId="8" xfId="0" applyFont="1" applyFill="1" applyBorder="1" applyAlignment="1" applyProtection="1">
      <alignment horizontal="center"/>
    </xf>
    <xf numFmtId="16" fontId="1" fillId="0" borderId="0" xfId="0" applyNumberFormat="1" applyFont="1" applyFill="1" applyBorder="1" applyAlignment="1" applyProtection="1">
      <alignment horizontal="center"/>
    </xf>
    <xf numFmtId="37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6" fillId="0" borderId="3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 applyProtection="1">
      <alignment horizontal="center"/>
    </xf>
    <xf numFmtId="10" fontId="3" fillId="0" borderId="2" xfId="0" applyNumberFormat="1" applyFont="1" applyFill="1" applyBorder="1" applyAlignment="1" applyProtection="1">
      <alignment horizontal="center"/>
    </xf>
    <xf numFmtId="10" fontId="16" fillId="0" borderId="6" xfId="0" applyNumberFormat="1" applyFont="1" applyFill="1" applyBorder="1" applyAlignment="1" applyProtection="1">
      <alignment horizontal="center"/>
    </xf>
    <xf numFmtId="10" fontId="16" fillId="0" borderId="7" xfId="0" applyNumberFormat="1" applyFont="1" applyFill="1" applyBorder="1" applyAlignment="1">
      <alignment horizontal="center"/>
    </xf>
    <xf numFmtId="0" fontId="25" fillId="0" borderId="6" xfId="0" applyFont="1" applyFill="1" applyBorder="1" applyAlignment="1" applyProtection="1">
      <alignment horizontal="center"/>
    </xf>
    <xf numFmtId="167" fontId="25" fillId="0" borderId="7" xfId="0" applyNumberFormat="1" applyFont="1" applyFill="1" applyBorder="1" applyAlignment="1" applyProtection="1">
      <alignment horizontal="center"/>
    </xf>
    <xf numFmtId="0" fontId="26" fillId="0" borderId="7" xfId="0" applyFont="1" applyFill="1" applyBorder="1"/>
    <xf numFmtId="0" fontId="25" fillId="0" borderId="7" xfId="0" applyFont="1" applyFill="1" applyBorder="1" applyAlignment="1" applyProtection="1">
      <alignment horizontal="center"/>
    </xf>
    <xf numFmtId="0" fontId="14" fillId="0" borderId="0" xfId="3" applyFont="1" applyFill="1" applyBorder="1" applyAlignment="1" applyProtection="1">
      <alignment horizontal="center"/>
    </xf>
    <xf numFmtId="3" fontId="23" fillId="0" borderId="0" xfId="3" applyNumberFormat="1" applyFont="1" applyFill="1" applyBorder="1" applyAlignment="1" applyProtection="1">
      <alignment horizontal="left"/>
    </xf>
    <xf numFmtId="9" fontId="23" fillId="0" borderId="0" xfId="1" applyFont="1" applyFill="1" applyBorder="1" applyAlignment="1" applyProtection="1">
      <alignment horizontal="center"/>
    </xf>
    <xf numFmtId="0" fontId="24" fillId="0" borderId="5" xfId="0" applyFont="1" applyFill="1" applyBorder="1" applyAlignment="1" applyProtection="1">
      <alignment horizontal="center"/>
    </xf>
    <xf numFmtId="0" fontId="28" fillId="0" borderId="11" xfId="0" applyFont="1" applyFill="1" applyBorder="1" applyProtection="1"/>
    <xf numFmtId="0" fontId="29" fillId="0" borderId="12" xfId="0" applyFont="1" applyFill="1" applyBorder="1"/>
    <xf numFmtId="0" fontId="29" fillId="0" borderId="7" xfId="0" applyFont="1" applyFill="1" applyBorder="1" applyAlignment="1" applyProtection="1">
      <alignment horizontal="center"/>
    </xf>
    <xf numFmtId="0" fontId="29" fillId="0" borderId="12" xfId="0" applyFont="1" applyFill="1" applyBorder="1" applyProtection="1"/>
    <xf numFmtId="166" fontId="29" fillId="0" borderId="7" xfId="0" applyNumberFormat="1" applyFont="1" applyFill="1" applyBorder="1" applyAlignment="1" applyProtection="1">
      <alignment horizontal="center"/>
    </xf>
    <xf numFmtId="10" fontId="29" fillId="0" borderId="7" xfId="0" applyNumberFormat="1" applyFont="1" applyFill="1" applyBorder="1" applyAlignment="1" applyProtection="1">
      <alignment horizontal="center"/>
    </xf>
    <xf numFmtId="3" fontId="28" fillId="0" borderId="18" xfId="3" applyNumberFormat="1" applyFont="1" applyFill="1" applyBorder="1" applyAlignment="1" applyProtection="1">
      <alignment horizontal="left"/>
    </xf>
    <xf numFmtId="3" fontId="28" fillId="0" borderId="9" xfId="3" applyNumberFormat="1" applyFont="1" applyFill="1" applyBorder="1" applyAlignment="1" applyProtection="1">
      <alignment horizontal="center"/>
    </xf>
    <xf numFmtId="168" fontId="29" fillId="0" borderId="7" xfId="0" applyNumberFormat="1" applyFont="1" applyFill="1" applyBorder="1" applyAlignment="1" applyProtection="1">
      <alignment horizontal="center"/>
    </xf>
    <xf numFmtId="3" fontId="28" fillId="0" borderId="16" xfId="3" applyNumberFormat="1" applyFont="1" applyFill="1" applyBorder="1" applyAlignment="1" applyProtection="1">
      <alignment horizontal="left"/>
    </xf>
    <xf numFmtId="0" fontId="22" fillId="0" borderId="8" xfId="3" applyFont="1" applyFill="1" applyBorder="1" applyAlignment="1" applyProtection="1">
      <alignment horizontal="center"/>
    </xf>
    <xf numFmtId="3" fontId="28" fillId="0" borderId="8" xfId="3" applyNumberFormat="1" applyFont="1" applyFill="1" applyBorder="1" applyAlignment="1" applyProtection="1">
      <alignment horizontal="center"/>
    </xf>
    <xf numFmtId="0" fontId="31" fillId="0" borderId="12" xfId="0" applyFont="1" applyFill="1" applyBorder="1" applyProtection="1"/>
    <xf numFmtId="0" fontId="31" fillId="0" borderId="7" xfId="0" applyFont="1" applyFill="1" applyBorder="1"/>
    <xf numFmtId="37" fontId="29" fillId="0" borderId="7" xfId="0" applyNumberFormat="1" applyFont="1" applyFill="1" applyBorder="1" applyAlignment="1" applyProtection="1">
      <alignment horizontal="center"/>
    </xf>
    <xf numFmtId="0" fontId="29" fillId="0" borderId="7" xfId="0" applyFont="1" applyFill="1" applyBorder="1"/>
    <xf numFmtId="0" fontId="29" fillId="0" borderId="6" xfId="0" applyFont="1" applyFill="1" applyBorder="1" applyAlignment="1" applyProtection="1">
      <alignment horizontal="center"/>
    </xf>
    <xf numFmtId="10" fontId="29" fillId="0" borderId="6" xfId="0" applyNumberFormat="1" applyFont="1" applyFill="1" applyBorder="1" applyAlignment="1" applyProtection="1">
      <alignment horizontal="center"/>
    </xf>
    <xf numFmtId="0" fontId="29" fillId="0" borderId="1" xfId="0" applyFont="1" applyFill="1" applyBorder="1"/>
    <xf numFmtId="10" fontId="29" fillId="0" borderId="3" xfId="0" applyNumberFormat="1" applyFont="1" applyFill="1" applyBorder="1" applyAlignment="1" applyProtection="1">
      <alignment horizontal="center"/>
    </xf>
    <xf numFmtId="0" fontId="29" fillId="0" borderId="3" xfId="0" applyFont="1" applyFill="1" applyBorder="1"/>
    <xf numFmtId="0" fontId="22" fillId="0" borderId="9" xfId="3" applyFont="1" applyFill="1" applyBorder="1" applyAlignment="1" applyProtection="1">
      <alignment horizontal="center"/>
    </xf>
    <xf numFmtId="10" fontId="29" fillId="0" borderId="7" xfId="0" applyNumberFormat="1" applyFont="1" applyFill="1" applyBorder="1" applyAlignment="1">
      <alignment horizontal="center"/>
    </xf>
    <xf numFmtId="10" fontId="30" fillId="0" borderId="9" xfId="0" applyNumberFormat="1" applyFont="1" applyFill="1" applyBorder="1" applyAlignment="1">
      <alignment horizontal="center"/>
    </xf>
    <xf numFmtId="3" fontId="28" fillId="0" borderId="12" xfId="3" applyNumberFormat="1" applyFont="1" applyFill="1" applyBorder="1" applyAlignment="1" applyProtection="1">
      <alignment horizontal="left"/>
    </xf>
    <xf numFmtId="10" fontId="28" fillId="0" borderId="9" xfId="1" applyNumberFormat="1" applyFont="1" applyFill="1" applyBorder="1" applyAlignment="1" applyProtection="1">
      <alignment horizontal="center"/>
    </xf>
    <xf numFmtId="37" fontId="28" fillId="0" borderId="16" xfId="0" applyNumberFormat="1" applyFont="1" applyFill="1" applyBorder="1" applyAlignment="1" applyProtection="1">
      <alignment horizontal="left" vertical="center"/>
    </xf>
    <xf numFmtId="37" fontId="28" fillId="0" borderId="9" xfId="0" applyNumberFormat="1" applyFont="1" applyFill="1" applyBorder="1" applyAlignment="1" applyProtection="1">
      <alignment horizontal="left" vertical="center"/>
    </xf>
    <xf numFmtId="37" fontId="28" fillId="0" borderId="8" xfId="0" applyNumberFormat="1" applyFont="1" applyFill="1" applyBorder="1" applyAlignment="1" applyProtection="1">
      <alignment horizontal="center" vertical="center"/>
    </xf>
    <xf numFmtId="0" fontId="29" fillId="0" borderId="0" xfId="0" applyFont="1" applyFill="1" applyBorder="1"/>
    <xf numFmtId="0" fontId="23" fillId="0" borderId="0" xfId="0" applyFont="1" applyFill="1" applyBorder="1" applyAlignment="1" applyProtection="1">
      <alignment horizontal="center"/>
    </xf>
    <xf numFmtId="0" fontId="29" fillId="0" borderId="0" xfId="0" applyFont="1" applyFill="1" applyBorder="1" applyAlignment="1">
      <alignment horizontal="center"/>
    </xf>
    <xf numFmtId="3" fontId="3" fillId="0" borderId="0" xfId="0" applyNumberFormat="1" applyFont="1" applyFill="1" applyAlignment="1">
      <alignment horizontal="center"/>
    </xf>
    <xf numFmtId="37" fontId="16" fillId="0" borderId="0" xfId="0" applyNumberFormat="1" applyFont="1" applyFill="1" applyBorder="1" applyAlignment="1" applyProtection="1">
      <alignment horizontal="center"/>
    </xf>
    <xf numFmtId="0" fontId="18" fillId="0" borderId="23" xfId="0" applyFont="1" applyFill="1" applyBorder="1"/>
    <xf numFmtId="10" fontId="16" fillId="0" borderId="9" xfId="0" applyNumberFormat="1" applyFont="1" applyFill="1" applyBorder="1" applyAlignment="1">
      <alignment horizontal="center"/>
    </xf>
    <xf numFmtId="37" fontId="16" fillId="0" borderId="1" xfId="0" applyNumberFormat="1" applyFont="1" applyFill="1" applyBorder="1" applyAlignment="1" applyProtection="1">
      <alignment horizontal="center"/>
    </xf>
    <xf numFmtId="3" fontId="20" fillId="0" borderId="0" xfId="3" applyNumberFormat="1" applyFont="1" applyFill="1" applyBorder="1" applyAlignment="1" applyProtection="1">
      <alignment horizontal="left"/>
    </xf>
    <xf numFmtId="0" fontId="15" fillId="0" borderId="7" xfId="3" applyFont="1" applyFill="1" applyBorder="1" applyAlignment="1" applyProtection="1">
      <alignment horizontal="center"/>
    </xf>
    <xf numFmtId="3" fontId="18" fillId="0" borderId="7" xfId="3" applyNumberFormat="1" applyFont="1" applyFill="1" applyBorder="1" applyAlignment="1" applyProtection="1">
      <alignment horizontal="center"/>
    </xf>
    <xf numFmtId="37" fontId="29" fillId="0" borderId="0" xfId="0" applyNumberFormat="1" applyFont="1" applyFill="1" applyBorder="1" applyAlignment="1" applyProtection="1">
      <alignment horizontal="center"/>
    </xf>
    <xf numFmtId="0" fontId="22" fillId="0" borderId="5" xfId="3" applyFont="1" applyFill="1" applyBorder="1" applyAlignment="1" applyProtection="1">
      <alignment horizontal="center"/>
    </xf>
    <xf numFmtId="3" fontId="28" fillId="0" borderId="13" xfId="3" applyNumberFormat="1" applyFont="1" applyFill="1" applyBorder="1" applyAlignment="1" applyProtection="1">
      <alignment horizontal="center"/>
    </xf>
    <xf numFmtId="10" fontId="29" fillId="0" borderId="9" xfId="0" applyNumberFormat="1" applyFont="1" applyFill="1" applyBorder="1" applyAlignment="1">
      <alignment horizontal="center"/>
    </xf>
    <xf numFmtId="37" fontId="28" fillId="0" borderId="23" xfId="0" applyNumberFormat="1" applyFont="1" applyFill="1" applyBorder="1" applyAlignment="1" applyProtection="1">
      <alignment horizontal="center"/>
    </xf>
    <xf numFmtId="37" fontId="29" fillId="0" borderId="1" xfId="0" applyNumberFormat="1" applyFont="1" applyFill="1" applyBorder="1" applyAlignment="1" applyProtection="1">
      <alignment horizontal="center"/>
    </xf>
    <xf numFmtId="3" fontId="28" fillId="0" borderId="23" xfId="3" applyNumberFormat="1" applyFont="1" applyFill="1" applyBorder="1" applyAlignment="1" applyProtection="1">
      <alignment horizontal="center"/>
    </xf>
    <xf numFmtId="3" fontId="28" fillId="0" borderId="18" xfId="3" applyNumberFormat="1" applyFont="1" applyFill="1" applyBorder="1" applyAlignment="1" applyProtection="1">
      <alignment horizontal="center"/>
    </xf>
    <xf numFmtId="3" fontId="28" fillId="0" borderId="16" xfId="3" applyNumberFormat="1" applyFont="1" applyFill="1" applyBorder="1" applyAlignment="1" applyProtection="1">
      <alignment horizontal="center"/>
    </xf>
    <xf numFmtId="3" fontId="28" fillId="0" borderId="10" xfId="3" applyNumberFormat="1" applyFont="1" applyFill="1" applyBorder="1" applyAlignment="1" applyProtection="1">
      <alignment horizontal="center"/>
    </xf>
    <xf numFmtId="10" fontId="28" fillId="0" borderId="23" xfId="1" applyNumberFormat="1" applyFont="1" applyFill="1" applyBorder="1" applyAlignment="1" applyProtection="1">
      <alignment horizontal="center"/>
    </xf>
    <xf numFmtId="37" fontId="28" fillId="0" borderId="10" xfId="0" applyNumberFormat="1" applyFont="1" applyFill="1" applyBorder="1" applyAlignment="1" applyProtection="1">
      <alignment horizontal="center" vertical="center"/>
    </xf>
    <xf numFmtId="3" fontId="28" fillId="0" borderId="5" xfId="3" applyNumberFormat="1" applyFont="1" applyFill="1" applyBorder="1" applyAlignment="1" applyProtection="1">
      <alignment horizontal="center"/>
    </xf>
    <xf numFmtId="37" fontId="28" fillId="0" borderId="9" xfId="0" applyNumberFormat="1" applyFont="1" applyFill="1" applyBorder="1" applyAlignment="1" applyProtection="1">
      <alignment horizontal="center"/>
    </xf>
    <xf numFmtId="3" fontId="20" fillId="0" borderId="13" xfId="3" applyNumberFormat="1" applyFont="1" applyFill="1" applyBorder="1" applyAlignment="1" applyProtection="1">
      <alignment horizontal="left"/>
    </xf>
    <xf numFmtId="10" fontId="16" fillId="0" borderId="5" xfId="0" applyNumberFormat="1" applyFont="1" applyFill="1" applyBorder="1" applyAlignment="1">
      <alignment horizontal="center"/>
    </xf>
    <xf numFmtId="10" fontId="16" fillId="3" borderId="9" xfId="0" applyNumberFormat="1" applyFont="1" applyFill="1" applyBorder="1" applyAlignment="1">
      <alignment horizontal="center"/>
    </xf>
    <xf numFmtId="0" fontId="28" fillId="0" borderId="11" xfId="3" applyFont="1" applyFill="1" applyBorder="1" applyProtection="1"/>
    <xf numFmtId="0" fontId="28" fillId="0" borderId="5" xfId="3" applyFont="1" applyFill="1" applyBorder="1" applyAlignment="1" applyProtection="1">
      <alignment horizontal="center"/>
    </xf>
    <xf numFmtId="0" fontId="28" fillId="0" borderId="14" xfId="3" applyFont="1" applyFill="1" applyBorder="1" applyAlignment="1" applyProtection="1">
      <alignment horizontal="center"/>
    </xf>
    <xf numFmtId="0" fontId="28" fillId="0" borderId="12" xfId="3" applyFont="1" applyFill="1" applyBorder="1" applyProtection="1"/>
    <xf numFmtId="0" fontId="28" fillId="0" borderId="7" xfId="3" applyFont="1" applyFill="1" applyBorder="1" applyAlignment="1" applyProtection="1">
      <alignment horizontal="center"/>
    </xf>
    <xf numFmtId="0" fontId="28" fillId="0" borderId="15" xfId="3" applyFont="1" applyFill="1" applyBorder="1" applyAlignment="1" applyProtection="1">
      <alignment horizontal="center"/>
    </xf>
    <xf numFmtId="0" fontId="19" fillId="0" borderId="9" xfId="3" applyFont="1" applyFill="1" applyBorder="1" applyProtection="1"/>
    <xf numFmtId="0" fontId="19" fillId="0" borderId="9" xfId="3" applyFont="1" applyFill="1" applyBorder="1" applyAlignment="1" applyProtection="1">
      <alignment horizontal="center"/>
    </xf>
    <xf numFmtId="0" fontId="0" fillId="0" borderId="35" xfId="0" applyFill="1" applyBorder="1"/>
    <xf numFmtId="0" fontId="11" fillId="3" borderId="0" xfId="0" applyFont="1" applyFill="1" applyBorder="1"/>
    <xf numFmtId="0" fontId="11" fillId="3" borderId="36" xfId="0" applyFont="1" applyFill="1" applyBorder="1"/>
    <xf numFmtId="0" fontId="0" fillId="0" borderId="36" xfId="0" applyFill="1" applyBorder="1"/>
    <xf numFmtId="0" fontId="11" fillId="3" borderId="39" xfId="0" applyFont="1" applyFill="1" applyBorder="1"/>
    <xf numFmtId="0" fontId="11" fillId="3" borderId="40" xfId="0" applyFont="1" applyFill="1" applyBorder="1"/>
    <xf numFmtId="0" fontId="0" fillId="0" borderId="41" xfId="0" applyFill="1" applyBorder="1"/>
    <xf numFmtId="0" fontId="0" fillId="0" borderId="42" xfId="0" applyFill="1" applyBorder="1"/>
    <xf numFmtId="0" fontId="27" fillId="3" borderId="35" xfId="0" applyFont="1" applyFill="1" applyBorder="1" applyAlignment="1">
      <alignment horizontal="center"/>
    </xf>
    <xf numFmtId="0" fontId="25" fillId="3" borderId="35" xfId="0" applyFont="1" applyFill="1" applyBorder="1"/>
    <xf numFmtId="0" fontId="11" fillId="3" borderId="35" xfId="0" applyFont="1" applyFill="1" applyBorder="1"/>
    <xf numFmtId="0" fontId="17" fillId="3" borderId="35" xfId="0" applyFont="1" applyFill="1" applyBorder="1" applyAlignment="1">
      <alignment horizontal="center"/>
    </xf>
    <xf numFmtId="0" fontId="32" fillId="0" borderId="37" xfId="2" applyFont="1" applyFill="1" applyBorder="1"/>
    <xf numFmtId="0" fontId="33" fillId="3" borderId="37" xfId="0" applyFont="1" applyFill="1" applyBorder="1" applyProtection="1"/>
    <xf numFmtId="0" fontId="28" fillId="3" borderId="37" xfId="2" applyFont="1" applyFill="1" applyBorder="1" applyAlignment="1">
      <alignment horizontal="center"/>
    </xf>
    <xf numFmtId="0" fontId="10" fillId="8" borderId="0" xfId="2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3" fontId="3" fillId="2" borderId="9" xfId="3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3" fontId="16" fillId="0" borderId="17" xfId="3" applyNumberFormat="1" applyFont="1" applyFill="1" applyBorder="1" applyAlignment="1" applyProtection="1">
      <alignment horizontal="center"/>
    </xf>
    <xf numFmtId="14" fontId="16" fillId="0" borderId="0" xfId="0" applyNumberFormat="1" applyFont="1" applyFill="1" applyAlignment="1">
      <alignment horizontal="left"/>
    </xf>
    <xf numFmtId="0" fontId="15" fillId="0" borderId="0" xfId="0" applyFont="1" applyFill="1"/>
    <xf numFmtId="0" fontId="3" fillId="0" borderId="0" xfId="2" applyFont="1" applyFill="1" applyBorder="1"/>
    <xf numFmtId="0" fontId="37" fillId="0" borderId="0" xfId="2" applyFont="1" applyFill="1" applyBorder="1"/>
    <xf numFmtId="0" fontId="3" fillId="0" borderId="35" xfId="2" applyFont="1" applyFill="1" applyBorder="1"/>
    <xf numFmtId="0" fontId="17" fillId="0" borderId="11" xfId="3" applyFont="1" applyFill="1" applyBorder="1" applyProtection="1"/>
    <xf numFmtId="0" fontId="17" fillId="0" borderId="12" xfId="3" applyFont="1" applyFill="1" applyBorder="1" applyProtection="1"/>
    <xf numFmtId="0" fontId="17" fillId="0" borderId="16" xfId="3" applyFont="1" applyFill="1" applyBorder="1" applyProtection="1"/>
    <xf numFmtId="0" fontId="3" fillId="0" borderId="11" xfId="0" applyFont="1" applyFill="1" applyBorder="1" applyProtection="1"/>
    <xf numFmtId="3" fontId="3" fillId="0" borderId="16" xfId="3" applyNumberFormat="1" applyFont="1" applyFill="1" applyBorder="1" applyAlignment="1" applyProtection="1">
      <alignment horizontal="left"/>
    </xf>
    <xf numFmtId="0" fontId="4" fillId="0" borderId="12" xfId="0" applyFont="1" applyFill="1" applyBorder="1" applyProtection="1"/>
    <xf numFmtId="3" fontId="4" fillId="0" borderId="0" xfId="3" applyNumberFormat="1" applyFont="1" applyFill="1" applyBorder="1" applyAlignment="1" applyProtection="1">
      <alignment horizontal="left"/>
    </xf>
    <xf numFmtId="0" fontId="4" fillId="0" borderId="7" xfId="0" applyFont="1" applyFill="1" applyBorder="1"/>
    <xf numFmtId="3" fontId="4" fillId="0" borderId="5" xfId="3" applyNumberFormat="1" applyFont="1" applyFill="1" applyBorder="1" applyAlignment="1" applyProtection="1">
      <alignment horizontal="left"/>
    </xf>
    <xf numFmtId="0" fontId="3" fillId="0" borderId="18" xfId="0" applyFont="1" applyFill="1" applyBorder="1"/>
    <xf numFmtId="3" fontId="3" fillId="0" borderId="8" xfId="3" applyNumberFormat="1" applyFont="1" applyFill="1" applyBorder="1" applyAlignment="1" applyProtection="1">
      <alignment horizontal="left"/>
    </xf>
    <xf numFmtId="3" fontId="3" fillId="0" borderId="7" xfId="3" applyNumberFormat="1" applyFont="1" applyFill="1" applyBorder="1" applyAlignment="1" applyProtection="1">
      <alignment horizontal="left"/>
    </xf>
    <xf numFmtId="37" fontId="3" fillId="0" borderId="8" xfId="0" applyNumberFormat="1" applyFont="1" applyFill="1" applyBorder="1" applyAlignment="1" applyProtection="1">
      <alignment horizontal="left" vertical="center"/>
    </xf>
    <xf numFmtId="0" fontId="14" fillId="0" borderId="0" xfId="0" applyFont="1" applyFill="1"/>
    <xf numFmtId="0" fontId="37" fillId="0" borderId="0" xfId="2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37" fillId="0" borderId="0" xfId="2" applyFont="1" applyFill="1" applyBorder="1" applyAlignment="1">
      <alignment horizontal="center" wrapText="1"/>
    </xf>
    <xf numFmtId="0" fontId="15" fillId="0" borderId="0" xfId="0" applyFont="1" applyFill="1" applyBorder="1" applyProtection="1"/>
    <xf numFmtId="0" fontId="17" fillId="0" borderId="11" xfId="3" applyFont="1" applyFill="1" applyBorder="1" applyAlignment="1" applyProtection="1">
      <alignment horizontal="center"/>
    </xf>
    <xf numFmtId="0" fontId="17" fillId="0" borderId="5" xfId="3" applyFont="1" applyFill="1" applyBorder="1" applyAlignment="1" applyProtection="1">
      <alignment horizontal="center"/>
    </xf>
    <xf numFmtId="0" fontId="17" fillId="0" borderId="12" xfId="3" applyFont="1" applyFill="1" applyBorder="1" applyAlignment="1" applyProtection="1">
      <alignment horizontal="center"/>
    </xf>
    <xf numFmtId="0" fontId="17" fillId="0" borderId="7" xfId="3" applyFont="1" applyFill="1" applyBorder="1" applyAlignment="1" applyProtection="1">
      <alignment horizontal="center"/>
    </xf>
    <xf numFmtId="0" fontId="17" fillId="0" borderId="8" xfId="3" applyFont="1" applyFill="1" applyBorder="1" applyAlignment="1" applyProtection="1">
      <alignment horizontal="center"/>
    </xf>
    <xf numFmtId="2" fontId="17" fillId="0" borderId="9" xfId="3" applyNumberFormat="1" applyFont="1" applyFill="1" applyBorder="1" applyAlignment="1" applyProtection="1">
      <alignment horizontal="center"/>
    </xf>
    <xf numFmtId="3" fontId="3" fillId="0" borderId="8" xfId="3" applyNumberFormat="1" applyFont="1" applyFill="1" applyBorder="1" applyAlignment="1" applyProtection="1">
      <alignment horizontal="center"/>
    </xf>
    <xf numFmtId="167" fontId="16" fillId="0" borderId="2" xfId="0" applyNumberFormat="1" applyFont="1" applyFill="1" applyBorder="1" applyAlignment="1" applyProtection="1">
      <alignment horizontal="center"/>
    </xf>
    <xf numFmtId="37" fontId="16" fillId="0" borderId="5" xfId="0" applyNumberFormat="1" applyFont="1" applyFill="1" applyBorder="1" applyAlignment="1" applyProtection="1">
      <alignment horizontal="center"/>
    </xf>
    <xf numFmtId="3" fontId="3" fillId="0" borderId="0" xfId="3" applyNumberFormat="1" applyFont="1" applyFill="1" applyBorder="1" applyAlignment="1" applyProtection="1">
      <alignment horizontal="center"/>
    </xf>
    <xf numFmtId="3" fontId="3" fillId="0" borderId="5" xfId="3" applyNumberFormat="1" applyFont="1" applyFill="1" applyBorder="1" applyAlignment="1" applyProtection="1">
      <alignment horizontal="center"/>
    </xf>
    <xf numFmtId="37" fontId="3" fillId="0" borderId="18" xfId="0" applyNumberFormat="1" applyFont="1" applyFill="1" applyBorder="1" applyAlignment="1" applyProtection="1">
      <alignment horizontal="center"/>
    </xf>
    <xf numFmtId="37" fontId="3" fillId="0" borderId="9" xfId="0" applyNumberFormat="1" applyFont="1" applyFill="1" applyBorder="1" applyAlignment="1" applyProtection="1">
      <alignment horizontal="center"/>
    </xf>
    <xf numFmtId="3" fontId="3" fillId="0" borderId="18" xfId="3" applyNumberFormat="1" applyFont="1" applyFill="1" applyBorder="1" applyAlignment="1" applyProtection="1">
      <alignment horizontal="center"/>
    </xf>
    <xf numFmtId="37" fontId="3" fillId="0" borderId="8" xfId="0" applyNumberFormat="1" applyFont="1" applyFill="1" applyBorder="1" applyAlignment="1" applyProtection="1">
      <alignment horizontal="center" vertical="center"/>
    </xf>
    <xf numFmtId="16" fontId="3" fillId="0" borderId="0" xfId="0" applyNumberFormat="1" applyFont="1" applyFill="1" applyBorder="1" applyAlignment="1" applyProtection="1">
      <alignment horizontal="center"/>
    </xf>
    <xf numFmtId="169" fontId="25" fillId="0" borderId="13" xfId="0" applyNumberFormat="1" applyFont="1" applyFill="1" applyBorder="1" applyAlignment="1" applyProtection="1">
      <alignment horizontal="center"/>
    </xf>
    <xf numFmtId="37" fontId="25" fillId="0" borderId="0" xfId="0" applyNumberFormat="1" applyFont="1" applyFill="1" applyBorder="1" applyAlignment="1" applyProtection="1">
      <alignment horizontal="center"/>
    </xf>
    <xf numFmtId="37" fontId="29" fillId="0" borderId="12" xfId="0" applyNumberFormat="1" applyFont="1" applyFill="1" applyBorder="1" applyAlignment="1" applyProtection="1">
      <alignment horizontal="center"/>
    </xf>
    <xf numFmtId="37" fontId="25" fillId="0" borderId="1" xfId="0" applyNumberFormat="1" applyFont="1" applyFill="1" applyBorder="1" applyAlignment="1" applyProtection="1">
      <alignment horizontal="center"/>
    </xf>
    <xf numFmtId="169" fontId="25" fillId="0" borderId="5" xfId="0" applyNumberFormat="1" applyFont="1" applyFill="1" applyBorder="1" applyAlignment="1" applyProtection="1">
      <alignment horizontal="center"/>
    </xf>
    <xf numFmtId="37" fontId="25" fillId="0" borderId="7" xfId="0" applyNumberFormat="1" applyFont="1" applyFill="1" applyBorder="1" applyAlignment="1" applyProtection="1">
      <alignment horizontal="center"/>
    </xf>
    <xf numFmtId="0" fontId="38" fillId="0" borderId="0" xfId="2" applyFont="1" applyFill="1" applyBorder="1"/>
    <xf numFmtId="0" fontId="10" fillId="0" borderId="35" xfId="2" applyFont="1" applyFill="1" applyBorder="1" applyAlignment="1">
      <alignment horizontal="center"/>
    </xf>
    <xf numFmtId="0" fontId="8" fillId="0" borderId="35" xfId="2" applyFill="1" applyBorder="1"/>
    <xf numFmtId="0" fontId="2" fillId="0" borderId="35" xfId="0" applyFont="1" applyFill="1" applyBorder="1"/>
    <xf numFmtId="0" fontId="39" fillId="0" borderId="35" xfId="2" applyFont="1" applyFill="1" applyBorder="1" applyAlignment="1">
      <alignment horizontal="center"/>
    </xf>
    <xf numFmtId="0" fontId="39" fillId="2" borderId="35" xfId="2" applyFont="1" applyFill="1" applyBorder="1" applyAlignment="1">
      <alignment horizontal="center"/>
    </xf>
    <xf numFmtId="0" fontId="40" fillId="0" borderId="35" xfId="2" applyFont="1" applyFill="1" applyBorder="1"/>
    <xf numFmtId="0" fontId="32" fillId="0" borderId="38" xfId="2" applyFont="1" applyFill="1" applyBorder="1"/>
    <xf numFmtId="0" fontId="39" fillId="0" borderId="34" xfId="2" applyFont="1" applyFill="1" applyBorder="1" applyAlignment="1">
      <alignment horizontal="center"/>
    </xf>
    <xf numFmtId="0" fontId="21" fillId="0" borderId="18" xfId="3" applyFont="1" applyFill="1" applyBorder="1" applyProtection="1"/>
    <xf numFmtId="0" fontId="41" fillId="0" borderId="9" xfId="3" applyFont="1" applyFill="1" applyBorder="1" applyAlignment="1" applyProtection="1">
      <alignment horizontal="center"/>
    </xf>
    <xf numFmtId="0" fontId="21" fillId="0" borderId="9" xfId="3" applyFont="1" applyFill="1" applyBorder="1" applyAlignment="1" applyProtection="1">
      <alignment horizontal="center"/>
    </xf>
    <xf numFmtId="0" fontId="21" fillId="0" borderId="16" xfId="3" applyFont="1" applyFill="1" applyBorder="1" applyProtection="1"/>
    <xf numFmtId="0" fontId="41" fillId="0" borderId="8" xfId="3" applyFont="1" applyFill="1" applyBorder="1" applyAlignment="1" applyProtection="1">
      <alignment horizontal="center"/>
    </xf>
    <xf numFmtId="0" fontId="21" fillId="0" borderId="8" xfId="3" applyFont="1" applyFill="1" applyBorder="1" applyAlignment="1" applyProtection="1">
      <alignment horizontal="center"/>
    </xf>
    <xf numFmtId="0" fontId="18" fillId="0" borderId="12" xfId="0" applyFont="1" applyFill="1" applyBorder="1" applyProtection="1"/>
    <xf numFmtId="2" fontId="21" fillId="0" borderId="9" xfId="3" applyNumberFormat="1" applyFont="1" applyFill="1" applyBorder="1" applyAlignment="1" applyProtection="1">
      <alignment horizontal="center"/>
    </xf>
    <xf numFmtId="0" fontId="16" fillId="3" borderId="11" xfId="0" applyFont="1" applyFill="1" applyBorder="1" applyProtection="1"/>
    <xf numFmtId="166" fontId="16" fillId="3" borderId="5" xfId="0" applyNumberFormat="1" applyFont="1" applyFill="1" applyBorder="1" applyAlignment="1" applyProtection="1">
      <alignment horizontal="center"/>
    </xf>
    <xf numFmtId="0" fontId="20" fillId="3" borderId="12" xfId="0" applyFont="1" applyFill="1" applyBorder="1" applyProtection="1"/>
    <xf numFmtId="167" fontId="2" fillId="3" borderId="7" xfId="0" applyNumberFormat="1" applyFont="1" applyFill="1" applyBorder="1" applyAlignment="1" applyProtection="1">
      <alignment horizontal="center"/>
    </xf>
    <xf numFmtId="0" fontId="20" fillId="0" borderId="12" xfId="0" applyFont="1" applyFill="1" applyBorder="1"/>
    <xf numFmtId="0" fontId="20" fillId="3" borderId="12" xfId="0" applyFont="1" applyFill="1" applyBorder="1"/>
    <xf numFmtId="0" fontId="2" fillId="3" borderId="7" xfId="0" applyFont="1" applyFill="1" applyBorder="1" applyAlignment="1" applyProtection="1">
      <alignment horizontal="center"/>
    </xf>
    <xf numFmtId="0" fontId="2" fillId="3" borderId="12" xfId="0" applyFont="1" applyFill="1" applyBorder="1"/>
    <xf numFmtId="10" fontId="2" fillId="3" borderId="7" xfId="0" applyNumberFormat="1" applyFont="1" applyFill="1" applyBorder="1" applyAlignment="1" applyProtection="1">
      <alignment horizontal="center"/>
    </xf>
    <xf numFmtId="37" fontId="18" fillId="3" borderId="19" xfId="0" applyNumberFormat="1" applyFont="1" applyFill="1" applyBorder="1" applyAlignment="1" applyProtection="1">
      <alignment horizontal="center" vertical="center"/>
    </xf>
    <xf numFmtId="37" fontId="18" fillId="7" borderId="9" xfId="0" applyNumberFormat="1" applyFont="1" applyFill="1" applyBorder="1" applyAlignment="1" applyProtection="1">
      <alignment horizontal="left" vertical="center"/>
    </xf>
    <xf numFmtId="37" fontId="18" fillId="7" borderId="17" xfId="0" applyNumberFormat="1" applyFont="1" applyFill="1" applyBorder="1" applyAlignment="1" applyProtection="1">
      <alignment horizontal="center" vertical="center"/>
    </xf>
    <xf numFmtId="3" fontId="18" fillId="0" borderId="0" xfId="3" applyNumberFormat="1" applyFont="1" applyFill="1" applyBorder="1" applyAlignment="1" applyProtection="1">
      <alignment horizontal="left"/>
    </xf>
    <xf numFmtId="9" fontId="18" fillId="0" borderId="0" xfId="1" applyFont="1" applyFill="1" applyBorder="1" applyAlignment="1" applyProtection="1">
      <alignment horizontal="center"/>
    </xf>
    <xf numFmtId="10" fontId="1" fillId="0" borderId="0" xfId="0" applyNumberFormat="1" applyFont="1" applyFill="1" applyBorder="1" applyAlignment="1" applyProtection="1">
      <alignment horizontal="center"/>
    </xf>
    <xf numFmtId="37" fontId="18" fillId="7" borderId="9" xfId="0" applyNumberFormat="1" applyFont="1" applyFill="1" applyBorder="1" applyAlignment="1" applyProtection="1">
      <alignment horizontal="center" vertical="center"/>
    </xf>
    <xf numFmtId="37" fontId="18" fillId="7" borderId="19" xfId="0" applyNumberFormat="1" applyFont="1" applyFill="1" applyBorder="1" applyAlignment="1" applyProtection="1">
      <alignment horizontal="center" vertical="center"/>
    </xf>
    <xf numFmtId="0" fontId="19" fillId="0" borderId="18" xfId="3" applyFont="1" applyFill="1" applyBorder="1" applyAlignment="1" applyProtection="1">
      <alignment horizontal="center"/>
    </xf>
    <xf numFmtId="0" fontId="19" fillId="0" borderId="18" xfId="3" applyFont="1" applyFill="1" applyBorder="1" applyProtection="1"/>
    <xf numFmtId="0" fontId="19" fillId="0" borderId="0" xfId="2" applyFont="1" applyFill="1" applyBorder="1"/>
    <xf numFmtId="0" fontId="22" fillId="0" borderId="0" xfId="0" applyFont="1" applyFill="1" applyBorder="1"/>
    <xf numFmtId="0" fontId="19" fillId="0" borderId="0" xfId="0" applyFont="1" applyFill="1" applyAlignment="1">
      <alignment horizontal="center"/>
    </xf>
    <xf numFmtId="0" fontId="22" fillId="0" borderId="0" xfId="0" applyFont="1" applyFill="1"/>
    <xf numFmtId="0" fontId="22" fillId="0" borderId="35" xfId="0" applyFont="1" applyFill="1" applyBorder="1"/>
    <xf numFmtId="0" fontId="42" fillId="0" borderId="35" xfId="2" applyFont="1" applyFill="1" applyBorder="1" applyAlignment="1">
      <alignment horizontal="center"/>
    </xf>
    <xf numFmtId="0" fontId="43" fillId="0" borderId="35" xfId="0" applyFont="1" applyFill="1" applyBorder="1"/>
    <xf numFmtId="10" fontId="42" fillId="0" borderId="35" xfId="1" applyNumberFormat="1" applyFont="1" applyFill="1" applyBorder="1" applyAlignment="1">
      <alignment horizontal="center"/>
    </xf>
    <xf numFmtId="0" fontId="43" fillId="0" borderId="0" xfId="0" applyFont="1" applyFill="1"/>
    <xf numFmtId="0" fontId="19" fillId="0" borderId="35" xfId="2" applyFont="1" applyFill="1" applyBorder="1" applyAlignment="1">
      <alignment horizontal="center" wrapText="1"/>
    </xf>
    <xf numFmtId="0" fontId="19" fillId="0" borderId="35" xfId="2" applyFont="1" applyFill="1" applyBorder="1" applyAlignment="1">
      <alignment horizontal="center"/>
    </xf>
    <xf numFmtId="0" fontId="19" fillId="0" borderId="35" xfId="2" applyFont="1" applyFill="1" applyBorder="1"/>
    <xf numFmtId="0" fontId="42" fillId="0" borderId="35" xfId="2" applyFont="1" applyFill="1" applyBorder="1"/>
    <xf numFmtId="0" fontId="41" fillId="0" borderId="35" xfId="0" applyFont="1" applyFill="1" applyBorder="1"/>
    <xf numFmtId="0" fontId="19" fillId="0" borderId="38" xfId="2" applyFont="1" applyFill="1" applyBorder="1"/>
    <xf numFmtId="0" fontId="22" fillId="0" borderId="36" xfId="0" applyFont="1" applyFill="1" applyBorder="1"/>
    <xf numFmtId="0" fontId="19" fillId="0" borderId="34" xfId="2" applyFont="1" applyFill="1" applyBorder="1" applyAlignment="1">
      <alignment horizontal="center"/>
    </xf>
    <xf numFmtId="0" fontId="19" fillId="0" borderId="16" xfId="3" applyFont="1" applyFill="1" applyBorder="1" applyProtection="1"/>
    <xf numFmtId="0" fontId="19" fillId="0" borderId="8" xfId="3" applyFont="1" applyFill="1" applyBorder="1" applyAlignment="1" applyProtection="1">
      <alignment horizontal="center"/>
    </xf>
    <xf numFmtId="0" fontId="41" fillId="0" borderId="11" xfId="0" applyFont="1" applyFill="1" applyBorder="1"/>
    <xf numFmtId="0" fontId="41" fillId="0" borderId="5" xfId="0" applyFont="1" applyFill="1" applyBorder="1" applyAlignment="1" applyProtection="1">
      <alignment horizontal="center"/>
    </xf>
    <xf numFmtId="37" fontId="41" fillId="0" borderId="5" xfId="0" applyNumberFormat="1" applyFont="1" applyFill="1" applyBorder="1" applyAlignment="1" applyProtection="1">
      <alignment horizontal="center"/>
    </xf>
    <xf numFmtId="0" fontId="41" fillId="0" borderId="16" xfId="0" applyFont="1" applyFill="1" applyBorder="1"/>
    <xf numFmtId="0" fontId="41" fillId="0" borderId="8" xfId="0" applyFont="1" applyFill="1" applyBorder="1" applyAlignment="1" applyProtection="1">
      <alignment horizontal="center"/>
    </xf>
    <xf numFmtId="37" fontId="41" fillId="0" borderId="8" xfId="0" applyNumberFormat="1" applyFont="1" applyFill="1" applyBorder="1" applyAlignment="1" applyProtection="1">
      <alignment horizontal="center"/>
    </xf>
    <xf numFmtId="0" fontId="19" fillId="0" borderId="12" xfId="0" applyFont="1" applyFill="1" applyBorder="1" applyProtection="1"/>
    <xf numFmtId="0" fontId="41" fillId="0" borderId="7" xfId="0" applyFont="1" applyFill="1" applyBorder="1" applyAlignment="1" applyProtection="1">
      <alignment horizontal="center"/>
    </xf>
    <xf numFmtId="0" fontId="41" fillId="0" borderId="12" xfId="0" applyFont="1" applyFill="1" applyBorder="1" applyProtection="1"/>
    <xf numFmtId="37" fontId="41" fillId="0" borderId="7" xfId="0" applyNumberFormat="1" applyFont="1" applyFill="1" applyBorder="1" applyAlignment="1" applyProtection="1">
      <alignment horizontal="center"/>
    </xf>
    <xf numFmtId="3" fontId="19" fillId="0" borderId="18" xfId="3" applyNumberFormat="1" applyFont="1" applyFill="1" applyBorder="1" applyAlignment="1" applyProtection="1">
      <alignment horizontal="left"/>
    </xf>
    <xf numFmtId="3" fontId="19" fillId="0" borderId="9" xfId="3" applyNumberFormat="1" applyFont="1" applyFill="1" applyBorder="1" applyAlignment="1" applyProtection="1">
      <alignment horizontal="center"/>
    </xf>
    <xf numFmtId="0" fontId="41" fillId="0" borderId="12" xfId="0" applyFont="1" applyFill="1" applyBorder="1"/>
    <xf numFmtId="0" fontId="46" fillId="0" borderId="12" xfId="0" applyFont="1" applyFill="1" applyBorder="1" applyProtection="1"/>
    <xf numFmtId="167" fontId="19" fillId="3" borderId="7" xfId="0" applyNumberFormat="1" applyFont="1" applyFill="1" applyBorder="1" applyAlignment="1" applyProtection="1">
      <alignment horizontal="center"/>
    </xf>
    <xf numFmtId="0" fontId="46" fillId="0" borderId="0" xfId="0" applyFont="1" applyFill="1" applyBorder="1" applyProtection="1"/>
    <xf numFmtId="0" fontId="41" fillId="0" borderId="2" xfId="0" applyFont="1" applyFill="1" applyBorder="1" applyAlignment="1" applyProtection="1">
      <alignment horizontal="center"/>
    </xf>
    <xf numFmtId="37" fontId="41" fillId="0" borderId="3" xfId="0" applyNumberFormat="1" applyFont="1" applyFill="1" applyBorder="1" applyAlignment="1" applyProtection="1">
      <alignment horizontal="center"/>
    </xf>
    <xf numFmtId="0" fontId="22" fillId="6" borderId="0" xfId="0" applyFont="1" applyFill="1"/>
    <xf numFmtId="0" fontId="46" fillId="0" borderId="12" xfId="0" applyFont="1" applyFill="1" applyBorder="1"/>
    <xf numFmtId="3" fontId="41" fillId="0" borderId="18" xfId="3" applyNumberFormat="1" applyFont="1" applyFill="1" applyBorder="1" applyAlignment="1" applyProtection="1">
      <alignment horizontal="left"/>
    </xf>
    <xf numFmtId="3" fontId="19" fillId="0" borderId="16" xfId="3" applyNumberFormat="1" applyFont="1" applyFill="1" applyBorder="1" applyAlignment="1" applyProtection="1">
      <alignment horizontal="left"/>
    </xf>
    <xf numFmtId="3" fontId="19" fillId="0" borderId="8" xfId="3" applyNumberFormat="1" applyFont="1" applyFill="1" applyBorder="1" applyAlignment="1" applyProtection="1">
      <alignment horizontal="center"/>
    </xf>
    <xf numFmtId="3" fontId="46" fillId="0" borderId="13" xfId="3" applyNumberFormat="1" applyFont="1" applyFill="1" applyBorder="1" applyAlignment="1" applyProtection="1">
      <alignment horizontal="left"/>
    </xf>
    <xf numFmtId="0" fontId="41" fillId="0" borderId="5" xfId="3" applyFont="1" applyFill="1" applyBorder="1" applyAlignment="1" applyProtection="1">
      <alignment horizontal="center"/>
    </xf>
    <xf numFmtId="3" fontId="19" fillId="0" borderId="7" xfId="3" applyNumberFormat="1" applyFont="1" applyFill="1" applyBorder="1" applyAlignment="1" applyProtection="1">
      <alignment horizontal="center"/>
    </xf>
    <xf numFmtId="0" fontId="41" fillId="3" borderId="12" xfId="0" applyFont="1" applyFill="1" applyBorder="1" applyProtection="1"/>
    <xf numFmtId="0" fontId="41" fillId="0" borderId="0" xfId="0" applyFont="1" applyFill="1" applyBorder="1"/>
    <xf numFmtId="0" fontId="19" fillId="0" borderId="23" xfId="0" applyFont="1" applyFill="1" applyBorder="1"/>
    <xf numFmtId="10" fontId="41" fillId="3" borderId="9" xfId="0" applyNumberFormat="1" applyFont="1" applyFill="1" applyBorder="1" applyAlignment="1">
      <alignment horizontal="center"/>
    </xf>
    <xf numFmtId="37" fontId="19" fillId="3" borderId="19" xfId="0" applyNumberFormat="1" applyFont="1" applyFill="1" applyBorder="1" applyAlignment="1" applyProtection="1">
      <alignment horizontal="center" vertical="center"/>
    </xf>
    <xf numFmtId="10" fontId="41" fillId="0" borderId="5" xfId="0" applyNumberFormat="1" applyFont="1" applyFill="1" applyBorder="1" applyAlignment="1">
      <alignment horizontal="center"/>
    </xf>
    <xf numFmtId="3" fontId="19" fillId="0" borderId="19" xfId="3" applyNumberFormat="1" applyFont="1" applyFill="1" applyBorder="1" applyAlignment="1" applyProtection="1">
      <alignment horizontal="center"/>
    </xf>
    <xf numFmtId="3" fontId="41" fillId="0" borderId="16" xfId="3" applyNumberFormat="1" applyFont="1" applyFill="1" applyBorder="1" applyAlignment="1" applyProtection="1">
      <alignment horizontal="left"/>
    </xf>
    <xf numFmtId="3" fontId="41" fillId="0" borderId="8" xfId="3" applyNumberFormat="1" applyFont="1" applyFill="1" applyBorder="1" applyAlignment="1" applyProtection="1">
      <alignment horizontal="center"/>
    </xf>
    <xf numFmtId="3" fontId="19" fillId="0" borderId="12" xfId="3" applyNumberFormat="1" applyFont="1" applyFill="1" applyBorder="1" applyAlignment="1" applyProtection="1">
      <alignment horizontal="left"/>
    </xf>
    <xf numFmtId="3" fontId="19" fillId="0" borderId="9" xfId="3" applyNumberFormat="1" applyFont="1" applyFill="1" applyBorder="1" applyAlignment="1" applyProtection="1">
      <alignment horizontal="left"/>
    </xf>
    <xf numFmtId="0" fontId="45" fillId="3" borderId="5" xfId="3" applyFont="1" applyFill="1" applyBorder="1" applyAlignment="1" applyProtection="1">
      <alignment horizontal="center"/>
    </xf>
    <xf numFmtId="10" fontId="19" fillId="0" borderId="8" xfId="1" applyNumberFormat="1" applyFont="1" applyFill="1" applyBorder="1" applyAlignment="1" applyProtection="1">
      <alignment horizontal="center"/>
    </xf>
    <xf numFmtId="37" fontId="19" fillId="7" borderId="8" xfId="0" applyNumberFormat="1" applyFont="1" applyFill="1" applyBorder="1" applyAlignment="1" applyProtection="1">
      <alignment horizontal="left" vertical="center"/>
    </xf>
    <xf numFmtId="37" fontId="19" fillId="7" borderId="9" xfId="0" applyNumberFormat="1" applyFont="1" applyFill="1" applyBorder="1" applyAlignment="1" applyProtection="1">
      <alignment horizontal="left" vertical="center"/>
    </xf>
    <xf numFmtId="37" fontId="19" fillId="7" borderId="8" xfId="0" applyNumberFormat="1" applyFont="1" applyFill="1" applyBorder="1" applyAlignment="1" applyProtection="1">
      <alignment horizontal="center" vertical="center"/>
    </xf>
    <xf numFmtId="0" fontId="45" fillId="0" borderId="0" xfId="3" applyFont="1" applyFill="1" applyBorder="1" applyAlignment="1" applyProtection="1">
      <alignment horizontal="center"/>
    </xf>
    <xf numFmtId="0" fontId="41" fillId="0" borderId="0" xfId="0" applyFont="1" applyFill="1" applyBorder="1" applyAlignment="1">
      <alignment horizontal="center"/>
    </xf>
    <xf numFmtId="3" fontId="19" fillId="0" borderId="0" xfId="3" applyNumberFormat="1" applyFont="1" applyFill="1" applyBorder="1" applyAlignment="1" applyProtection="1">
      <alignment horizontal="left"/>
    </xf>
    <xf numFmtId="0" fontId="41" fillId="0" borderId="0" xfId="3" applyFont="1" applyFill="1" applyBorder="1" applyAlignment="1" applyProtection="1">
      <alignment horizontal="center"/>
    </xf>
    <xf numFmtId="9" fontId="19" fillId="0" borderId="0" xfId="1" applyFont="1" applyFill="1" applyBorder="1" applyAlignment="1" applyProtection="1">
      <alignment horizontal="center"/>
    </xf>
    <xf numFmtId="14" fontId="41" fillId="0" borderId="0" xfId="0" applyNumberFormat="1" applyFont="1" applyFill="1" applyAlignment="1">
      <alignment horizontal="left"/>
    </xf>
    <xf numFmtId="10" fontId="19" fillId="0" borderId="7" xfId="0" applyNumberFormat="1" applyFont="1" applyFill="1" applyBorder="1" applyAlignment="1" applyProtection="1">
      <alignment horizontal="center"/>
    </xf>
    <xf numFmtId="10" fontId="41" fillId="0" borderId="5" xfId="0" applyNumberFormat="1" applyFont="1" applyFill="1" applyBorder="1" applyAlignment="1" applyProtection="1">
      <alignment horizontal="center"/>
    </xf>
    <xf numFmtId="10" fontId="41" fillId="0" borderId="8" xfId="0" applyNumberFormat="1" applyFont="1" applyFill="1" applyBorder="1" applyAlignment="1" applyProtection="1">
      <alignment horizontal="center"/>
    </xf>
    <xf numFmtId="0" fontId="19" fillId="0" borderId="5" xfId="3" applyFont="1" applyFill="1" applyBorder="1" applyAlignment="1" applyProtection="1">
      <alignment horizontal="center"/>
    </xf>
    <xf numFmtId="0" fontId="41" fillId="0" borderId="12" xfId="3" applyFont="1" applyFill="1" applyBorder="1" applyAlignment="1" applyProtection="1">
      <alignment horizontal="center"/>
    </xf>
    <xf numFmtId="0" fontId="19" fillId="0" borderId="7" xfId="3" applyFont="1" applyFill="1" applyBorder="1" applyAlignment="1" applyProtection="1">
      <alignment horizontal="center"/>
    </xf>
    <xf numFmtId="0" fontId="41" fillId="0" borderId="16" xfId="3" applyFont="1" applyFill="1" applyBorder="1" applyAlignment="1" applyProtection="1">
      <alignment horizontal="center"/>
    </xf>
    <xf numFmtId="37" fontId="41" fillId="0" borderId="11" xfId="0" applyNumberFormat="1" applyFont="1" applyFill="1" applyBorder="1" applyAlignment="1" applyProtection="1">
      <alignment horizontal="center"/>
    </xf>
    <xf numFmtId="37" fontId="41" fillId="0" borderId="14" xfId="0" applyNumberFormat="1" applyFont="1" applyFill="1" applyBorder="1" applyAlignment="1" applyProtection="1">
      <alignment horizontal="center"/>
    </xf>
    <xf numFmtId="37" fontId="41" fillId="0" borderId="12" xfId="0" applyNumberFormat="1" applyFont="1" applyFill="1" applyBorder="1" applyAlignment="1" applyProtection="1">
      <alignment horizontal="center"/>
    </xf>
    <xf numFmtId="37" fontId="41" fillId="0" borderId="15" xfId="0" applyNumberFormat="1" applyFont="1" applyFill="1" applyBorder="1" applyAlignment="1" applyProtection="1">
      <alignment horizontal="center"/>
    </xf>
    <xf numFmtId="37" fontId="41" fillId="0" borderId="17" xfId="0" applyNumberFormat="1" applyFont="1" applyFill="1" applyBorder="1" applyAlignment="1" applyProtection="1">
      <alignment horizontal="center"/>
    </xf>
    <xf numFmtId="0" fontId="19" fillId="0" borderId="18" xfId="0" applyFont="1" applyFill="1" applyBorder="1" applyProtection="1"/>
    <xf numFmtId="3" fontId="19" fillId="0" borderId="17" xfId="3" applyNumberFormat="1" applyFont="1" applyFill="1" applyBorder="1" applyAlignment="1" applyProtection="1">
      <alignment horizontal="center"/>
    </xf>
    <xf numFmtId="10" fontId="19" fillId="0" borderId="19" xfId="1" applyNumberFormat="1" applyFont="1" applyFill="1" applyBorder="1" applyAlignment="1" applyProtection="1">
      <alignment horizontal="center"/>
    </xf>
    <xf numFmtId="37" fontId="19" fillId="7" borderId="17" xfId="0" applyNumberFormat="1" applyFont="1" applyFill="1" applyBorder="1" applyAlignment="1" applyProtection="1">
      <alignment horizontal="center" vertical="center"/>
    </xf>
    <xf numFmtId="0" fontId="41" fillId="0" borderId="0" xfId="0" applyFont="1" applyFill="1"/>
    <xf numFmtId="0" fontId="43" fillId="0" borderId="0" xfId="0" applyFont="1" applyFill="1" applyAlignment="1">
      <alignment horizontal="center"/>
    </xf>
    <xf numFmtId="0" fontId="19" fillId="0" borderId="0" xfId="2" applyFont="1" applyFill="1" applyBorder="1" applyAlignment="1">
      <alignment horizontal="center"/>
    </xf>
    <xf numFmtId="0" fontId="19" fillId="3" borderId="35" xfId="2" applyFont="1" applyFill="1" applyBorder="1"/>
    <xf numFmtId="0" fontId="41" fillId="0" borderId="0" xfId="0" applyFont="1" applyFill="1" applyProtection="1"/>
    <xf numFmtId="0" fontId="19" fillId="0" borderId="11" xfId="3" applyFont="1" applyFill="1" applyBorder="1" applyProtection="1"/>
    <xf numFmtId="0" fontId="19" fillId="0" borderId="11" xfId="3" applyFont="1" applyFill="1" applyBorder="1" applyAlignment="1" applyProtection="1">
      <alignment horizontal="center"/>
    </xf>
    <xf numFmtId="0" fontId="19" fillId="0" borderId="14" xfId="3" applyFont="1" applyFill="1" applyBorder="1" applyAlignment="1" applyProtection="1">
      <alignment horizontal="center"/>
    </xf>
    <xf numFmtId="0" fontId="19" fillId="0" borderId="12" xfId="3" applyFont="1" applyFill="1" applyBorder="1" applyProtection="1"/>
    <xf numFmtId="0" fontId="19" fillId="0" borderId="12" xfId="3" applyFont="1" applyFill="1" applyBorder="1" applyAlignment="1" applyProtection="1">
      <alignment horizontal="center"/>
    </xf>
    <xf numFmtId="0" fontId="19" fillId="0" borderId="15" xfId="3" applyFont="1" applyFill="1" applyBorder="1" applyAlignment="1" applyProtection="1">
      <alignment horizontal="center"/>
    </xf>
    <xf numFmtId="0" fontId="19" fillId="0" borderId="17" xfId="3" applyFont="1" applyFill="1" applyBorder="1" applyAlignment="1" applyProtection="1">
      <alignment horizontal="center"/>
    </xf>
    <xf numFmtId="0" fontId="19" fillId="0" borderId="7" xfId="0" applyFont="1" applyFill="1" applyBorder="1" applyAlignment="1" applyProtection="1">
      <alignment horizontal="center"/>
    </xf>
    <xf numFmtId="10" fontId="41" fillId="0" borderId="7" xfId="0" applyNumberFormat="1" applyFont="1" applyFill="1" applyBorder="1" applyAlignment="1">
      <alignment horizontal="center"/>
    </xf>
    <xf numFmtId="0" fontId="19" fillId="0" borderId="18" xfId="0" applyFont="1" applyFill="1" applyBorder="1"/>
    <xf numFmtId="10" fontId="41" fillId="0" borderId="9" xfId="0" applyNumberFormat="1" applyFont="1" applyFill="1" applyBorder="1" applyAlignment="1">
      <alignment horizontal="center"/>
    </xf>
    <xf numFmtId="37" fontId="19" fillId="0" borderId="9" xfId="0" applyNumberFormat="1" applyFont="1" applyFill="1" applyBorder="1" applyAlignment="1" applyProtection="1">
      <alignment horizontal="center"/>
    </xf>
    <xf numFmtId="37" fontId="19" fillId="7" borderId="16" xfId="0" applyNumberFormat="1" applyFont="1" applyFill="1" applyBorder="1" applyAlignment="1" applyProtection="1">
      <alignment horizontal="left" vertical="center"/>
    </xf>
    <xf numFmtId="10" fontId="19" fillId="0" borderId="0" xfId="1" applyNumberFormat="1" applyFont="1" applyFill="1" applyBorder="1" applyAlignment="1">
      <alignment horizontal="center"/>
    </xf>
    <xf numFmtId="0" fontId="41" fillId="0" borderId="7" xfId="3" applyFont="1" applyFill="1" applyBorder="1" applyAlignment="1" applyProtection="1">
      <alignment horizontal="center"/>
    </xf>
    <xf numFmtId="0" fontId="41" fillId="0" borderId="0" xfId="0" applyFont="1" applyFill="1" applyBorder="1" applyProtection="1"/>
    <xf numFmtId="10" fontId="19" fillId="0" borderId="9" xfId="1" applyNumberFormat="1" applyFont="1" applyFill="1" applyBorder="1" applyAlignment="1" applyProtection="1">
      <alignment horizontal="center"/>
    </xf>
    <xf numFmtId="0" fontId="42" fillId="6" borderId="0" xfId="2" applyFont="1" applyFill="1" applyBorder="1" applyAlignment="1">
      <alignment horizontal="center"/>
    </xf>
    <xf numFmtId="0" fontId="41" fillId="0" borderId="2" xfId="0" applyFont="1" applyFill="1" applyBorder="1" applyProtection="1"/>
    <xf numFmtId="37" fontId="41" fillId="0" borderId="3" xfId="0" applyNumberFormat="1" applyFont="1" applyFill="1" applyBorder="1" applyAlignment="1" applyProtection="1">
      <alignment horizontal="center" vertical="center"/>
    </xf>
    <xf numFmtId="37" fontId="41" fillId="0" borderId="7" xfId="0" applyNumberFormat="1" applyFont="1" applyFill="1" applyBorder="1" applyAlignment="1" applyProtection="1">
      <alignment horizontal="center" vertical="center"/>
    </xf>
    <xf numFmtId="37" fontId="41" fillId="0" borderId="20" xfId="0" applyNumberFormat="1" applyFont="1" applyFill="1" applyBorder="1" applyAlignment="1" applyProtection="1">
      <alignment horizontal="center" vertical="center"/>
    </xf>
    <xf numFmtId="0" fontId="41" fillId="0" borderId="48" xfId="0" applyFont="1" applyFill="1" applyBorder="1" applyAlignment="1" applyProtection="1">
      <alignment horizontal="center"/>
    </xf>
    <xf numFmtId="0" fontId="41" fillId="0" borderId="24" xfId="0" applyFont="1" applyFill="1" applyBorder="1" applyAlignment="1" applyProtection="1">
      <alignment horizontal="center"/>
    </xf>
    <xf numFmtId="166" fontId="41" fillId="0" borderId="2" xfId="0" applyNumberFormat="1" applyFont="1" applyFill="1" applyBorder="1" applyAlignment="1" applyProtection="1">
      <alignment horizontal="center"/>
    </xf>
    <xf numFmtId="37" fontId="41" fillId="0" borderId="20" xfId="0" applyNumberFormat="1" applyFont="1" applyFill="1" applyBorder="1" applyAlignment="1" applyProtection="1">
      <alignment horizontal="center"/>
    </xf>
    <xf numFmtId="0" fontId="41" fillId="0" borderId="21" xfId="0" applyFont="1" applyFill="1" applyBorder="1" applyProtection="1"/>
    <xf numFmtId="166" fontId="41" fillId="0" borderId="4" xfId="0" applyNumberFormat="1" applyFont="1" applyFill="1" applyBorder="1" applyAlignment="1" applyProtection="1">
      <alignment horizontal="center"/>
    </xf>
    <xf numFmtId="167" fontId="41" fillId="0" borderId="2" xfId="0" applyNumberFormat="1" applyFont="1" applyFill="1" applyBorder="1" applyAlignment="1" applyProtection="1">
      <alignment horizontal="center"/>
    </xf>
    <xf numFmtId="10" fontId="41" fillId="0" borderId="2" xfId="0" applyNumberFormat="1" applyFont="1" applyFill="1" applyBorder="1" applyAlignment="1" applyProtection="1">
      <alignment horizontal="center"/>
    </xf>
    <xf numFmtId="3" fontId="19" fillId="0" borderId="11" xfId="3" applyNumberFormat="1" applyFont="1" applyFill="1" applyBorder="1" applyAlignment="1" applyProtection="1">
      <alignment horizontal="center"/>
    </xf>
    <xf numFmtId="3" fontId="19" fillId="0" borderId="5" xfId="3" applyNumberFormat="1" applyFont="1" applyFill="1" applyBorder="1" applyAlignment="1" applyProtection="1">
      <alignment horizontal="center"/>
    </xf>
    <xf numFmtId="37" fontId="19" fillId="0" borderId="18" xfId="0" applyNumberFormat="1" applyFont="1" applyFill="1" applyBorder="1" applyAlignment="1" applyProtection="1">
      <alignment horizontal="center"/>
    </xf>
    <xf numFmtId="3" fontId="19" fillId="0" borderId="18" xfId="3" applyNumberFormat="1" applyFont="1" applyFill="1" applyBorder="1" applyAlignment="1" applyProtection="1">
      <alignment horizontal="center"/>
    </xf>
    <xf numFmtId="3" fontId="41" fillId="0" borderId="9" xfId="3" applyNumberFormat="1" applyFont="1" applyFill="1" applyBorder="1" applyAlignment="1" applyProtection="1">
      <alignment horizontal="center"/>
    </xf>
    <xf numFmtId="0" fontId="41" fillId="3" borderId="9" xfId="3" applyFont="1" applyFill="1" applyBorder="1" applyAlignment="1" applyProtection="1">
      <alignment horizontal="center"/>
    </xf>
    <xf numFmtId="0" fontId="19" fillId="0" borderId="0" xfId="0" applyFont="1" applyFill="1" applyBorder="1" applyAlignment="1" applyProtection="1">
      <alignment horizontal="center"/>
    </xf>
    <xf numFmtId="0" fontId="41" fillId="0" borderId="0" xfId="0" applyFont="1" applyAlignment="1">
      <alignment horizontal="center"/>
    </xf>
    <xf numFmtId="3" fontId="41" fillId="0" borderId="0" xfId="0" applyNumberFormat="1" applyFont="1" applyFill="1" applyAlignment="1">
      <alignment horizontal="center"/>
    </xf>
    <xf numFmtId="3" fontId="41" fillId="0" borderId="3" xfId="0" applyNumberFormat="1" applyFont="1" applyFill="1" applyBorder="1" applyAlignment="1" applyProtection="1">
      <alignment horizontal="center" vertical="center"/>
    </xf>
    <xf numFmtId="3" fontId="41" fillId="0" borderId="7" xfId="0" applyNumberFormat="1" applyFont="1" applyFill="1" applyBorder="1" applyAlignment="1" applyProtection="1">
      <alignment horizontal="center" vertical="center"/>
    </xf>
    <xf numFmtId="3" fontId="41" fillId="0" borderId="20" xfId="0" applyNumberFormat="1" applyFont="1" applyFill="1" applyBorder="1" applyAlignment="1" applyProtection="1">
      <alignment horizontal="center" vertical="center"/>
    </xf>
    <xf numFmtId="0" fontId="41" fillId="0" borderId="11" xfId="0" applyFont="1" applyFill="1" applyBorder="1" applyAlignment="1" applyProtection="1">
      <alignment horizontal="center"/>
    </xf>
    <xf numFmtId="0" fontId="41" fillId="0" borderId="12" xfId="0" applyFont="1" applyFill="1" applyBorder="1" applyAlignment="1" applyProtection="1">
      <alignment horizontal="center"/>
    </xf>
    <xf numFmtId="166" fontId="41" fillId="0" borderId="12" xfId="0" applyNumberFormat="1" applyFont="1" applyFill="1" applyBorder="1" applyAlignment="1" applyProtection="1">
      <alignment horizontal="center"/>
    </xf>
    <xf numFmtId="37" fontId="22" fillId="0" borderId="0" xfId="0" applyNumberFormat="1" applyFont="1" applyFill="1"/>
    <xf numFmtId="0" fontId="43" fillId="0" borderId="45" xfId="2" applyFont="1" applyFill="1" applyBorder="1" applyAlignment="1">
      <alignment horizontal="center" vertical="top"/>
    </xf>
    <xf numFmtId="0" fontId="43" fillId="3" borderId="33" xfId="2" applyFont="1" applyFill="1" applyBorder="1" applyAlignment="1">
      <alignment horizontal="center"/>
    </xf>
    <xf numFmtId="0" fontId="43" fillId="3" borderId="43" xfId="2" applyFont="1" applyFill="1" applyBorder="1" applyAlignment="1">
      <alignment horizontal="center"/>
    </xf>
    <xf numFmtId="170" fontId="19" fillId="0" borderId="9" xfId="3" applyNumberFormat="1" applyFont="1" applyFill="1" applyBorder="1" applyAlignment="1" applyProtection="1">
      <alignment horizontal="center"/>
    </xf>
    <xf numFmtId="3" fontId="19" fillId="0" borderId="25" xfId="3" applyNumberFormat="1" applyFont="1" applyFill="1" applyBorder="1" applyAlignment="1" applyProtection="1">
      <alignment horizontal="left"/>
    </xf>
    <xf numFmtId="3" fontId="19" fillId="0" borderId="25" xfId="3" applyNumberFormat="1" applyFont="1" applyFill="1" applyBorder="1" applyAlignment="1" applyProtection="1">
      <alignment horizontal="center"/>
    </xf>
    <xf numFmtId="3" fontId="19" fillId="0" borderId="26" xfId="3" applyNumberFormat="1" applyFont="1" applyFill="1" applyBorder="1" applyAlignment="1" applyProtection="1">
      <alignment horizontal="center"/>
    </xf>
    <xf numFmtId="0" fontId="46" fillId="0" borderId="1" xfId="0" applyFont="1" applyFill="1" applyBorder="1" applyProtection="1"/>
    <xf numFmtId="3" fontId="19" fillId="0" borderId="12" xfId="3" applyNumberFormat="1" applyFont="1" applyFill="1" applyBorder="1" applyAlignment="1" applyProtection="1">
      <alignment horizontal="center"/>
    </xf>
    <xf numFmtId="0" fontId="46" fillId="0" borderId="1" xfId="0" applyFont="1" applyFill="1" applyBorder="1"/>
    <xf numFmtId="0" fontId="46" fillId="0" borderId="22" xfId="0" applyFont="1" applyFill="1" applyBorder="1"/>
    <xf numFmtId="3" fontId="46" fillId="0" borderId="0" xfId="3" applyNumberFormat="1" applyFont="1" applyFill="1" applyBorder="1" applyAlignment="1" applyProtection="1">
      <alignment horizontal="left"/>
    </xf>
    <xf numFmtId="3" fontId="19" fillId="0" borderId="16" xfId="3" applyNumberFormat="1" applyFont="1" applyFill="1" applyBorder="1" applyAlignment="1" applyProtection="1">
      <alignment horizontal="center"/>
    </xf>
    <xf numFmtId="170" fontId="19" fillId="0" borderId="18" xfId="3" applyNumberFormat="1" applyFont="1" applyFill="1" applyBorder="1" applyAlignment="1" applyProtection="1">
      <alignment horizontal="center"/>
    </xf>
    <xf numFmtId="10" fontId="19" fillId="0" borderId="18" xfId="1" applyNumberFormat="1" applyFont="1" applyFill="1" applyBorder="1" applyAlignment="1" applyProtection="1">
      <alignment horizontal="center"/>
    </xf>
    <xf numFmtId="37" fontId="19" fillId="7" borderId="16" xfId="0" applyNumberFormat="1" applyFont="1" applyFill="1" applyBorder="1" applyAlignment="1" applyProtection="1">
      <alignment horizontal="center" vertical="center"/>
    </xf>
    <xf numFmtId="0" fontId="22" fillId="0" borderId="34" xfId="0" applyFont="1" applyFill="1" applyBorder="1"/>
    <xf numFmtId="0" fontId="43" fillId="0" borderId="34" xfId="0" applyFont="1" applyFill="1" applyBorder="1" applyAlignment="1">
      <alignment horizontal="center" vertical="top"/>
    </xf>
    <xf numFmtId="0" fontId="22" fillId="0" borderId="44" xfId="0" applyFont="1" applyFill="1" applyBorder="1"/>
    <xf numFmtId="0" fontId="22" fillId="0" borderId="45" xfId="0" applyFont="1" applyFill="1" applyBorder="1"/>
    <xf numFmtId="0" fontId="22" fillId="3" borderId="46" xfId="0" applyFont="1" applyFill="1" applyBorder="1"/>
    <xf numFmtId="0" fontId="22" fillId="3" borderId="32" xfId="0" applyFont="1" applyFill="1" applyBorder="1"/>
    <xf numFmtId="3" fontId="22" fillId="3" borderId="32" xfId="0" applyNumberFormat="1" applyFont="1" applyFill="1" applyBorder="1" applyAlignment="1">
      <alignment horizontal="center"/>
    </xf>
    <xf numFmtId="0" fontId="43" fillId="3" borderId="47" xfId="2" applyFont="1" applyFill="1" applyBorder="1"/>
    <xf numFmtId="0" fontId="22" fillId="3" borderId="33" xfId="0" applyFont="1" applyFill="1" applyBorder="1"/>
    <xf numFmtId="0" fontId="46" fillId="0" borderId="43" xfId="2" applyFont="1" applyFill="1" applyBorder="1"/>
    <xf numFmtId="0" fontId="22" fillId="3" borderId="43" xfId="0" applyFont="1" applyFill="1" applyBorder="1" applyProtection="1"/>
    <xf numFmtId="0" fontId="41" fillId="6" borderId="0" xfId="0" applyFont="1" applyFill="1"/>
    <xf numFmtId="0" fontId="19" fillId="0" borderId="1" xfId="0" applyFont="1" applyFill="1" applyBorder="1" applyProtection="1"/>
    <xf numFmtId="0" fontId="41" fillId="0" borderId="1" xfId="0" applyFont="1" applyFill="1" applyBorder="1"/>
    <xf numFmtId="0" fontId="41" fillId="0" borderId="1" xfId="0" applyFont="1" applyFill="1" applyBorder="1" applyProtection="1"/>
    <xf numFmtId="0" fontId="41" fillId="0" borderId="28" xfId="0" applyFont="1" applyFill="1" applyBorder="1" applyProtection="1"/>
    <xf numFmtId="37" fontId="41" fillId="0" borderId="21" xfId="0" applyNumberFormat="1" applyFont="1" applyFill="1" applyBorder="1" applyAlignment="1" applyProtection="1">
      <alignment horizontal="center"/>
    </xf>
    <xf numFmtId="37" fontId="41" fillId="0" borderId="29" xfId="0" applyNumberFormat="1" applyFont="1" applyFill="1" applyBorder="1" applyAlignment="1" applyProtection="1">
      <alignment horizontal="center"/>
    </xf>
    <xf numFmtId="0" fontId="41" fillId="0" borderId="30" xfId="0" applyFont="1" applyFill="1" applyBorder="1" applyProtection="1"/>
    <xf numFmtId="37" fontId="41" fillId="0" borderId="49" xfId="0" applyNumberFormat="1" applyFont="1" applyFill="1" applyBorder="1" applyAlignment="1" applyProtection="1">
      <alignment horizontal="center"/>
    </xf>
    <xf numFmtId="37" fontId="41" fillId="0" borderId="31" xfId="0" applyNumberFormat="1" applyFont="1" applyFill="1" applyBorder="1" applyAlignment="1" applyProtection="1">
      <alignment horizontal="center"/>
    </xf>
    <xf numFmtId="0" fontId="41" fillId="0" borderId="3" xfId="0" applyFont="1" applyFill="1" applyBorder="1"/>
    <xf numFmtId="0" fontId="41" fillId="0" borderId="0" xfId="0" applyFont="1" applyBorder="1"/>
    <xf numFmtId="0" fontId="19" fillId="0" borderId="0" xfId="0" applyFont="1" applyBorder="1" applyAlignment="1" applyProtection="1">
      <alignment horizontal="center"/>
    </xf>
    <xf numFmtId="10" fontId="19" fillId="0" borderId="12" xfId="0" applyNumberFormat="1" applyFont="1" applyFill="1" applyBorder="1" applyAlignment="1" applyProtection="1">
      <alignment horizontal="center"/>
    </xf>
    <xf numFmtId="0" fontId="19" fillId="0" borderId="12" xfId="0" applyFont="1" applyFill="1" applyBorder="1" applyAlignment="1" applyProtection="1">
      <alignment horizontal="center"/>
    </xf>
    <xf numFmtId="2" fontId="19" fillId="0" borderId="12" xfId="3" applyNumberFormat="1" applyFont="1" applyFill="1" applyBorder="1" applyAlignment="1" applyProtection="1">
      <alignment horizontal="center"/>
    </xf>
    <xf numFmtId="10" fontId="19" fillId="0" borderId="21" xfId="0" applyNumberFormat="1" applyFont="1" applyFill="1" applyBorder="1" applyAlignment="1" applyProtection="1">
      <alignment horizontal="center"/>
    </xf>
    <xf numFmtId="10" fontId="19" fillId="0" borderId="49" xfId="0" applyNumberFormat="1" applyFont="1" applyFill="1" applyBorder="1" applyAlignment="1" applyProtection="1">
      <alignment horizontal="center"/>
    </xf>
    <xf numFmtId="0" fontId="19" fillId="0" borderId="25" xfId="3" applyFont="1" applyFill="1" applyBorder="1" applyAlignment="1" applyProtection="1">
      <alignment horizontal="center"/>
    </xf>
    <xf numFmtId="167" fontId="19" fillId="0" borderId="12" xfId="0" applyNumberFormat="1" applyFont="1" applyFill="1" applyBorder="1" applyAlignment="1" applyProtection="1">
      <alignment horizontal="center"/>
    </xf>
    <xf numFmtId="0" fontId="41" fillId="0" borderId="18" xfId="3" applyFont="1" applyFill="1" applyBorder="1" applyAlignment="1" applyProtection="1">
      <alignment horizontal="center"/>
    </xf>
    <xf numFmtId="0" fontId="41" fillId="0" borderId="27" xfId="0" applyFont="1" applyFill="1" applyBorder="1" applyAlignment="1" applyProtection="1">
      <alignment horizontal="center"/>
    </xf>
    <xf numFmtId="10" fontId="41" fillId="0" borderId="1" xfId="0" applyNumberFormat="1" applyFont="1" applyFill="1" applyBorder="1" applyAlignment="1" applyProtection="1">
      <alignment horizontal="center"/>
    </xf>
    <xf numFmtId="10" fontId="41" fillId="0" borderId="12" xfId="0" applyNumberFormat="1" applyFont="1" applyFill="1" applyBorder="1" applyAlignment="1">
      <alignment horizontal="center"/>
    </xf>
    <xf numFmtId="10" fontId="41" fillId="0" borderId="12" xfId="0" applyNumberFormat="1" applyFont="1" applyFill="1" applyBorder="1" applyAlignment="1" applyProtection="1">
      <alignment horizontal="center"/>
    </xf>
    <xf numFmtId="10" fontId="41" fillId="0" borderId="18" xfId="0" applyNumberFormat="1" applyFont="1" applyFill="1" applyBorder="1" applyAlignment="1">
      <alignment horizontal="center"/>
    </xf>
    <xf numFmtId="0" fontId="41" fillId="3" borderId="18" xfId="3" applyFont="1" applyFill="1" applyBorder="1" applyAlignment="1" applyProtection="1">
      <alignment horizontal="center"/>
    </xf>
    <xf numFmtId="37" fontId="19" fillId="7" borderId="18" xfId="0" applyNumberFormat="1" applyFont="1" applyFill="1" applyBorder="1" applyAlignment="1" applyProtection="1">
      <alignment horizontal="left" vertical="center"/>
    </xf>
    <xf numFmtId="169" fontId="41" fillId="0" borderId="12" xfId="0" applyNumberFormat="1" applyFont="1" applyFill="1" applyBorder="1" applyAlignment="1" applyProtection="1">
      <alignment horizontal="center"/>
    </xf>
    <xf numFmtId="169" fontId="41" fillId="0" borderId="7" xfId="0" applyNumberFormat="1" applyFont="1" applyFill="1" applyBorder="1" applyAlignment="1" applyProtection="1">
      <alignment horizontal="center"/>
    </xf>
    <xf numFmtId="37" fontId="19" fillId="0" borderId="7" xfId="0" applyNumberFormat="1" applyFont="1" applyFill="1" applyBorder="1" applyAlignment="1" applyProtection="1">
      <alignment horizontal="center"/>
    </xf>
    <xf numFmtId="37" fontId="19" fillId="0" borderId="19" xfId="0" applyNumberFormat="1" applyFont="1" applyFill="1" applyBorder="1" applyAlignment="1" applyProtection="1">
      <alignment horizontal="center"/>
    </xf>
    <xf numFmtId="37" fontId="19" fillId="0" borderId="15" xfId="0" applyNumberFormat="1" applyFont="1" applyFill="1" applyBorder="1" applyAlignment="1" applyProtection="1">
      <alignment horizontal="center"/>
    </xf>
    <xf numFmtId="37" fontId="19" fillId="0" borderId="22" xfId="0" applyNumberFormat="1" applyFont="1" applyFill="1" applyBorder="1" applyAlignment="1" applyProtection="1">
      <alignment horizontal="center" vertical="center"/>
    </xf>
    <xf numFmtId="37" fontId="41" fillId="0" borderId="50" xfId="0" applyNumberFormat="1" applyFont="1" applyFill="1" applyBorder="1" applyAlignment="1" applyProtection="1">
      <alignment horizontal="center" vertical="center"/>
    </xf>
    <xf numFmtId="37" fontId="41" fillId="0" borderId="51" xfId="0" applyNumberFormat="1" applyFont="1" applyFill="1" applyBorder="1" applyAlignment="1" applyProtection="1">
      <alignment horizontal="center" vertical="center"/>
    </xf>
    <xf numFmtId="166" fontId="10" fillId="3" borderId="0" xfId="1" applyNumberFormat="1" applyFont="1" applyFill="1" applyBorder="1" applyAlignment="1">
      <alignment horizontal="center"/>
    </xf>
    <xf numFmtId="2" fontId="41" fillId="0" borderId="7" xfId="0" applyNumberFormat="1" applyFont="1" applyFill="1" applyBorder="1" applyAlignment="1">
      <alignment horizontal="center"/>
    </xf>
    <xf numFmtId="0" fontId="47" fillId="0" borderId="0" xfId="0" applyFont="1" applyFill="1" applyAlignment="1">
      <alignment horizontal="center"/>
    </xf>
    <xf numFmtId="0" fontId="41" fillId="9" borderId="12" xfId="0" applyFont="1" applyFill="1" applyBorder="1"/>
    <xf numFmtId="10" fontId="41" fillId="9" borderId="7" xfId="0" applyNumberFormat="1" applyFont="1" applyFill="1" applyBorder="1" applyAlignment="1" applyProtection="1">
      <alignment horizontal="center"/>
    </xf>
    <xf numFmtId="37" fontId="41" fillId="9" borderId="7" xfId="0" applyNumberFormat="1" applyFont="1" applyFill="1" applyBorder="1" applyAlignment="1" applyProtection="1">
      <alignment horizontal="center"/>
    </xf>
    <xf numFmtId="0" fontId="22" fillId="9" borderId="0" xfId="0" applyFont="1" applyFill="1" applyBorder="1"/>
    <xf numFmtId="3" fontId="19" fillId="9" borderId="18" xfId="3" applyNumberFormat="1" applyFont="1" applyFill="1" applyBorder="1" applyAlignment="1" applyProtection="1">
      <alignment horizontal="left"/>
    </xf>
    <xf numFmtId="0" fontId="45" fillId="9" borderId="9" xfId="3" applyFont="1" applyFill="1" applyBorder="1" applyAlignment="1" applyProtection="1">
      <alignment horizontal="center"/>
    </xf>
    <xf numFmtId="3" fontId="19" fillId="9" borderId="9" xfId="3" applyNumberFormat="1" applyFont="1" applyFill="1" applyBorder="1" applyAlignment="1" applyProtection="1">
      <alignment horizontal="center"/>
    </xf>
    <xf numFmtId="0" fontId="22" fillId="9" borderId="0" xfId="0" applyFont="1" applyFill="1"/>
    <xf numFmtId="0" fontId="46" fillId="9" borderId="12" xfId="0" applyFont="1" applyFill="1" applyBorder="1" applyProtection="1"/>
    <xf numFmtId="167" fontId="41" fillId="9" borderId="7" xfId="0" applyNumberFormat="1" applyFont="1" applyFill="1" applyBorder="1" applyAlignment="1" applyProtection="1">
      <alignment horizontal="center"/>
    </xf>
    <xf numFmtId="0" fontId="41" fillId="9" borderId="12" xfId="0" applyFont="1" applyFill="1" applyBorder="1" applyProtection="1"/>
    <xf numFmtId="167" fontId="19" fillId="9" borderId="7" xfId="0" applyNumberFormat="1" applyFont="1" applyFill="1" applyBorder="1" applyAlignment="1" applyProtection="1">
      <alignment horizontal="center"/>
    </xf>
    <xf numFmtId="0" fontId="41" fillId="9" borderId="9" xfId="3" applyFont="1" applyFill="1" applyBorder="1" applyAlignment="1" applyProtection="1">
      <alignment horizontal="center"/>
    </xf>
    <xf numFmtId="0" fontId="46" fillId="9" borderId="0" xfId="0" applyFont="1" applyFill="1" applyBorder="1" applyProtection="1"/>
    <xf numFmtId="0" fontId="41" fillId="9" borderId="2" xfId="0" applyFont="1" applyFill="1" applyBorder="1" applyAlignment="1" applyProtection="1">
      <alignment horizontal="center"/>
    </xf>
    <xf numFmtId="37" fontId="41" fillId="9" borderId="3" xfId="0" applyNumberFormat="1" applyFont="1" applyFill="1" applyBorder="1" applyAlignment="1" applyProtection="1">
      <alignment horizontal="center"/>
    </xf>
    <xf numFmtId="0" fontId="46" fillId="9" borderId="12" xfId="0" applyFont="1" applyFill="1" applyBorder="1"/>
    <xf numFmtId="0" fontId="41" fillId="9" borderId="7" xfId="0" applyFont="1" applyFill="1" applyBorder="1" applyAlignment="1" applyProtection="1">
      <alignment horizontal="center"/>
    </xf>
    <xf numFmtId="3" fontId="41" fillId="9" borderId="18" xfId="3" applyNumberFormat="1" applyFont="1" applyFill="1" applyBorder="1" applyAlignment="1" applyProtection="1">
      <alignment horizontal="left"/>
    </xf>
    <xf numFmtId="3" fontId="19" fillId="9" borderId="16" xfId="3" applyNumberFormat="1" applyFont="1" applyFill="1" applyBorder="1" applyAlignment="1" applyProtection="1">
      <alignment horizontal="left"/>
    </xf>
    <xf numFmtId="0" fontId="41" fillId="9" borderId="8" xfId="3" applyFont="1" applyFill="1" applyBorder="1" applyAlignment="1" applyProtection="1">
      <alignment horizontal="center"/>
    </xf>
    <xf numFmtId="3" fontId="19" fillId="9" borderId="8" xfId="3" applyNumberFormat="1" applyFont="1" applyFill="1" applyBorder="1" applyAlignment="1" applyProtection="1">
      <alignment horizontal="center"/>
    </xf>
    <xf numFmtId="3" fontId="46" fillId="5" borderId="13" xfId="3" applyNumberFormat="1" applyFont="1" applyFill="1" applyBorder="1" applyAlignment="1" applyProtection="1">
      <alignment horizontal="left"/>
    </xf>
    <xf numFmtId="0" fontId="41" fillId="5" borderId="5" xfId="3" applyFont="1" applyFill="1" applyBorder="1" applyAlignment="1" applyProtection="1">
      <alignment horizontal="center"/>
    </xf>
    <xf numFmtId="3" fontId="19" fillId="5" borderId="7" xfId="3" applyNumberFormat="1" applyFont="1" applyFill="1" applyBorder="1" applyAlignment="1" applyProtection="1">
      <alignment horizontal="center"/>
    </xf>
    <xf numFmtId="0" fontId="22" fillId="5" borderId="0" xfId="0" applyFont="1" applyFill="1"/>
    <xf numFmtId="0" fontId="41" fillId="5" borderId="12" xfId="0" applyFont="1" applyFill="1" applyBorder="1"/>
    <xf numFmtId="0" fontId="41" fillId="5" borderId="7" xfId="0" applyFont="1" applyFill="1" applyBorder="1" applyAlignment="1" applyProtection="1">
      <alignment horizontal="center"/>
    </xf>
    <xf numFmtId="37" fontId="41" fillId="5" borderId="7" xfId="0" applyNumberFormat="1" applyFont="1" applyFill="1" applyBorder="1" applyAlignment="1" applyProtection="1">
      <alignment horizontal="center"/>
    </xf>
    <xf numFmtId="0" fontId="41" fillId="5" borderId="12" xfId="0" applyFont="1" applyFill="1" applyBorder="1" applyProtection="1"/>
    <xf numFmtId="10" fontId="41" fillId="5" borderId="7" xfId="0" applyNumberFormat="1" applyFont="1" applyFill="1" applyBorder="1" applyAlignment="1">
      <alignment horizontal="center"/>
    </xf>
    <xf numFmtId="0" fontId="41" fillId="5" borderId="0" xfId="0" applyFont="1" applyFill="1" applyBorder="1"/>
    <xf numFmtId="0" fontId="50" fillId="0" borderId="11" xfId="0" applyFont="1" applyFill="1" applyBorder="1"/>
    <xf numFmtId="0" fontId="51" fillId="6" borderId="3" xfId="0" applyFont="1" applyFill="1" applyBorder="1" applyProtection="1"/>
    <xf numFmtId="37" fontId="52" fillId="6" borderId="20" xfId="0" applyNumberFormat="1" applyFont="1" applyFill="1" applyBorder="1" applyAlignment="1" applyProtection="1">
      <alignment horizontal="center"/>
    </xf>
    <xf numFmtId="0" fontId="48" fillId="6" borderId="0" xfId="0" applyFont="1" applyFill="1" applyBorder="1" applyAlignment="1">
      <alignment horizontal="center"/>
    </xf>
    <xf numFmtId="0" fontId="48" fillId="6" borderId="0" xfId="0" applyFont="1" applyFill="1" applyBorder="1"/>
    <xf numFmtId="0" fontId="48" fillId="6" borderId="0" xfId="0" applyFont="1" applyFill="1"/>
    <xf numFmtId="0" fontId="50" fillId="0" borderId="12" xfId="0" applyFont="1" applyFill="1" applyBorder="1"/>
    <xf numFmtId="0" fontId="52" fillId="6" borderId="3" xfId="0" applyFont="1" applyFill="1" applyBorder="1" applyAlignment="1" applyProtection="1">
      <alignment horizontal="center"/>
    </xf>
    <xf numFmtId="0" fontId="44" fillId="0" borderId="18" xfId="0" applyFont="1" applyFill="1" applyBorder="1" applyProtection="1"/>
    <xf numFmtId="37" fontId="53" fillId="6" borderId="19" xfId="0" applyNumberFormat="1" applyFont="1" applyFill="1" applyBorder="1" applyAlignment="1" applyProtection="1">
      <alignment horizontal="center"/>
    </xf>
    <xf numFmtId="37" fontId="52" fillId="6" borderId="15" xfId="0" applyNumberFormat="1" applyFont="1" applyFill="1" applyBorder="1" applyAlignment="1" applyProtection="1">
      <alignment horizontal="center"/>
    </xf>
    <xf numFmtId="0" fontId="50" fillId="0" borderId="16" xfId="0" applyFont="1" applyFill="1" applyBorder="1"/>
    <xf numFmtId="0" fontId="44" fillId="0" borderId="12" xfId="0" applyFont="1" applyFill="1" applyBorder="1" applyProtection="1"/>
    <xf numFmtId="37" fontId="52" fillId="6" borderId="14" xfId="0" applyNumberFormat="1" applyFont="1" applyFill="1" applyBorder="1" applyAlignment="1" applyProtection="1">
      <alignment horizontal="center"/>
    </xf>
    <xf numFmtId="0" fontId="50" fillId="0" borderId="12" xfId="0" applyFont="1" applyFill="1" applyBorder="1" applyProtection="1"/>
    <xf numFmtId="0" fontId="54" fillId="6" borderId="2" xfId="0" applyFont="1" applyFill="1" applyBorder="1" applyProtection="1"/>
    <xf numFmtId="166" fontId="54" fillId="6" borderId="3" xfId="0" applyNumberFormat="1" applyFont="1" applyFill="1" applyBorder="1" applyAlignment="1" applyProtection="1">
      <alignment horizontal="center"/>
    </xf>
    <xf numFmtId="37" fontId="54" fillId="6" borderId="15" xfId="0" applyNumberFormat="1" applyFont="1" applyFill="1" applyBorder="1" applyAlignment="1" applyProtection="1">
      <alignment horizontal="center"/>
    </xf>
    <xf numFmtId="0" fontId="54" fillId="6" borderId="3" xfId="0" applyFont="1" applyFill="1" applyBorder="1" applyAlignment="1" applyProtection="1">
      <alignment horizontal="center"/>
    </xf>
    <xf numFmtId="37" fontId="54" fillId="6" borderId="20" xfId="0" applyNumberFormat="1" applyFont="1" applyFill="1" applyBorder="1" applyAlignment="1" applyProtection="1">
      <alignment horizontal="center"/>
    </xf>
    <xf numFmtId="3" fontId="55" fillId="4" borderId="18" xfId="3" applyNumberFormat="1" applyFont="1" applyBorder="1" applyAlignment="1" applyProtection="1">
      <alignment horizontal="left"/>
    </xf>
    <xf numFmtId="2" fontId="56" fillId="8" borderId="9" xfId="3" applyNumberFormat="1" applyFont="1" applyFill="1" applyBorder="1" applyAlignment="1" applyProtection="1">
      <alignment horizontal="center"/>
    </xf>
    <xf numFmtId="3" fontId="55" fillId="4" borderId="9" xfId="3" applyNumberFormat="1" applyFont="1" applyBorder="1" applyAlignment="1" applyProtection="1">
      <alignment horizontal="center"/>
    </xf>
    <xf numFmtId="0" fontId="57" fillId="6" borderId="7" xfId="0" applyFont="1" applyFill="1" applyBorder="1"/>
    <xf numFmtId="0" fontId="54" fillId="6" borderId="6" xfId="0" applyFont="1" applyFill="1" applyBorder="1" applyAlignment="1" applyProtection="1">
      <alignment horizontal="center"/>
    </xf>
    <xf numFmtId="37" fontId="54" fillId="6" borderId="3" xfId="0" applyNumberFormat="1" applyFont="1" applyFill="1" applyBorder="1" applyAlignment="1" applyProtection="1">
      <alignment horizontal="center"/>
    </xf>
    <xf numFmtId="0" fontId="54" fillId="6" borderId="12" xfId="0" applyFont="1" applyFill="1" applyBorder="1"/>
    <xf numFmtId="0" fontId="54" fillId="6" borderId="7" xfId="0" applyFont="1" applyFill="1" applyBorder="1" applyAlignment="1" applyProtection="1">
      <alignment horizontal="center"/>
    </xf>
    <xf numFmtId="0" fontId="56" fillId="4" borderId="9" xfId="3" applyFont="1" applyBorder="1" applyAlignment="1" applyProtection="1">
      <alignment horizontal="center"/>
    </xf>
    <xf numFmtId="0" fontId="54" fillId="6" borderId="2" xfId="0" applyFont="1" applyFill="1" applyBorder="1" applyAlignment="1" applyProtection="1">
      <alignment horizontal="center"/>
    </xf>
    <xf numFmtId="37" fontId="54" fillId="3" borderId="7" xfId="0" applyNumberFormat="1" applyFont="1" applyFill="1" applyBorder="1" applyAlignment="1" applyProtection="1">
      <alignment horizontal="center"/>
    </xf>
    <xf numFmtId="10" fontId="54" fillId="6" borderId="2" xfId="0" applyNumberFormat="1" applyFont="1" applyFill="1" applyBorder="1" applyAlignment="1">
      <alignment horizontal="center"/>
    </xf>
    <xf numFmtId="0" fontId="54" fillId="6" borderId="7" xfId="0" applyFont="1" applyFill="1" applyBorder="1" applyProtection="1"/>
    <xf numFmtId="166" fontId="54" fillId="6" borderId="6" xfId="0" applyNumberFormat="1" applyFont="1" applyFill="1" applyBorder="1" applyAlignment="1" applyProtection="1">
      <alignment horizontal="center"/>
    </xf>
    <xf numFmtId="166" fontId="58" fillId="6" borderId="6" xfId="0" applyNumberFormat="1" applyFont="1" applyFill="1" applyBorder="1" applyAlignment="1" applyProtection="1">
      <alignment horizontal="center"/>
    </xf>
    <xf numFmtId="10" fontId="54" fillId="6" borderId="1" xfId="0" applyNumberFormat="1" applyFont="1" applyFill="1" applyBorder="1" applyProtection="1"/>
    <xf numFmtId="37" fontId="54" fillId="6" borderId="7" xfId="0" applyNumberFormat="1" applyFont="1" applyFill="1" applyBorder="1" applyAlignment="1" applyProtection="1">
      <alignment horizontal="center"/>
    </xf>
    <xf numFmtId="10" fontId="54" fillId="6" borderId="3" xfId="0" applyNumberFormat="1" applyFont="1" applyFill="1" applyBorder="1" applyProtection="1"/>
    <xf numFmtId="0" fontId="54" fillId="6" borderId="2" xfId="0" applyFont="1" applyFill="1" applyBorder="1"/>
    <xf numFmtId="10" fontId="54" fillId="6" borderId="3" xfId="0" applyNumberFormat="1" applyFont="1" applyFill="1" applyBorder="1" applyAlignment="1" applyProtection="1">
      <alignment horizontal="center"/>
    </xf>
    <xf numFmtId="2" fontId="54" fillId="3" borderId="7" xfId="0" applyNumberFormat="1" applyFont="1" applyFill="1" applyBorder="1" applyAlignment="1">
      <alignment horizontal="center" vertical="center"/>
    </xf>
    <xf numFmtId="37" fontId="54" fillId="6" borderId="20" xfId="0" applyNumberFormat="1" applyFont="1" applyFill="1" applyBorder="1" applyAlignment="1" applyProtection="1">
      <alignment horizontal="center" vertical="center"/>
    </xf>
    <xf numFmtId="0" fontId="49" fillId="5" borderId="12" xfId="0" applyFont="1" applyFill="1" applyBorder="1"/>
    <xf numFmtId="0" fontId="49" fillId="5" borderId="7" xfId="0" applyFont="1" applyFill="1" applyBorder="1" applyAlignment="1" applyProtection="1">
      <alignment horizontal="center"/>
    </xf>
    <xf numFmtId="37" fontId="49" fillId="5" borderId="7" xfId="0" applyNumberFormat="1" applyFont="1" applyFill="1" applyBorder="1" applyAlignment="1" applyProtection="1">
      <alignment horizontal="center"/>
    </xf>
    <xf numFmtId="0" fontId="49" fillId="5" borderId="0" xfId="0" applyFont="1" applyFill="1"/>
    <xf numFmtId="37" fontId="41" fillId="9" borderId="15" xfId="0" applyNumberFormat="1" applyFont="1" applyFill="1" applyBorder="1" applyAlignment="1" applyProtection="1">
      <alignment horizontal="center"/>
    </xf>
    <xf numFmtId="0" fontId="46" fillId="9" borderId="0" xfId="0" applyFont="1" applyFill="1" applyBorder="1"/>
    <xf numFmtId="0" fontId="41" fillId="9" borderId="0" xfId="0" applyFont="1" applyFill="1" applyBorder="1"/>
    <xf numFmtId="3" fontId="19" fillId="3" borderId="18" xfId="3" applyNumberFormat="1" applyFont="1" applyFill="1" applyBorder="1" applyAlignment="1" applyProtection="1">
      <alignment horizontal="left"/>
    </xf>
    <xf numFmtId="2" fontId="19" fillId="3" borderId="8" xfId="3" applyNumberFormat="1" applyFont="1" applyFill="1" applyBorder="1" applyAlignment="1" applyProtection="1">
      <alignment horizontal="center"/>
    </xf>
    <xf numFmtId="3" fontId="19" fillId="3" borderId="9" xfId="3" applyNumberFormat="1" applyFont="1" applyFill="1" applyBorder="1" applyAlignment="1" applyProtection="1">
      <alignment horizontal="center"/>
    </xf>
    <xf numFmtId="0" fontId="43" fillId="3" borderId="0" xfId="0" applyFont="1" applyFill="1"/>
    <xf numFmtId="2" fontId="41" fillId="5" borderId="7" xfId="0" applyNumberFormat="1" applyFont="1" applyFill="1" applyBorder="1" applyAlignment="1">
      <alignment horizontal="center"/>
    </xf>
    <xf numFmtId="0" fontId="19" fillId="3" borderId="18" xfId="0" applyFont="1" applyFill="1" applyBorder="1"/>
    <xf numFmtId="37" fontId="19" fillId="3" borderId="9" xfId="0" applyNumberFormat="1" applyFont="1" applyFill="1" applyBorder="1" applyAlignment="1" applyProtection="1">
      <alignment horizontal="center"/>
    </xf>
    <xf numFmtId="0" fontId="22" fillId="3" borderId="0" xfId="0" applyFont="1" applyFill="1"/>
  </cellXfs>
  <cellStyles count="21">
    <cellStyle name="Accent1" xfId="3" builtinId="29"/>
    <cellStyle name="Comma 2" xfId="19"/>
    <cellStyle name="Euro" xfId="8"/>
    <cellStyle name="Normal" xfId="0" builtinId="0"/>
    <cellStyle name="Normal 2 2" xfId="6"/>
    <cellStyle name="Normal 4" xfId="5"/>
    <cellStyle name="Percent" xfId="1" builtinId="5"/>
    <cellStyle name="Prozent 2" xfId="9"/>
    <cellStyle name="Prozent 3" xfId="10"/>
    <cellStyle name="Prozent 4" xfId="11"/>
    <cellStyle name="Prozent 5" xfId="20"/>
    <cellStyle name="Standard 2" xfId="12"/>
    <cellStyle name="Standard 2 2" xfId="7"/>
    <cellStyle name="Standard 3" xfId="13"/>
    <cellStyle name="Standard 4" xfId="14"/>
    <cellStyle name="Standard 5" xfId="15"/>
    <cellStyle name="Standard 5 2" xfId="16"/>
    <cellStyle name="Standard 6" xfId="17"/>
    <cellStyle name="Style 1" xfId="4"/>
    <cellStyle name="Title" xfId="2" builtinId="15"/>
    <cellStyle name="Währung 2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/>
  </sheetViews>
  <sheetFormatPr defaultColWidth="9.109375" defaultRowHeight="14.4" x14ac:dyDescent="0.3"/>
  <cols>
    <col min="1" max="1" width="88.44140625" style="38" customWidth="1"/>
    <col min="2" max="2" width="12.5546875" style="38" bestFit="1" customWidth="1"/>
    <col min="3" max="6" width="24.5546875" style="38" customWidth="1"/>
    <col min="7" max="16384" width="9.109375" style="38"/>
  </cols>
  <sheetData>
    <row r="1" spans="1:6" s="40" customFormat="1" ht="20.399999999999999" x14ac:dyDescent="0.35">
      <c r="A1" s="250" t="s">
        <v>202</v>
      </c>
      <c r="B1" s="184"/>
      <c r="C1" s="251" t="s">
        <v>0</v>
      </c>
      <c r="D1" s="251" t="s">
        <v>0</v>
      </c>
      <c r="E1" s="251" t="s">
        <v>0</v>
      </c>
      <c r="F1" s="251" t="s">
        <v>0</v>
      </c>
    </row>
    <row r="2" spans="1:6" s="40" customFormat="1" ht="20.399999999999999" x14ac:dyDescent="0.35">
      <c r="A2" s="184"/>
      <c r="B2" s="184"/>
      <c r="C2" s="251"/>
      <c r="D2" s="251"/>
      <c r="E2" s="251"/>
      <c r="F2" s="251"/>
    </row>
    <row r="3" spans="1:6" s="40" customFormat="1" ht="22.8" x14ac:dyDescent="0.4">
      <c r="A3" s="252"/>
      <c r="B3" s="253"/>
      <c r="C3" s="254" t="s">
        <v>3</v>
      </c>
      <c r="D3" s="254" t="s">
        <v>3</v>
      </c>
      <c r="E3" s="254" t="s">
        <v>3</v>
      </c>
      <c r="F3" s="254" t="s">
        <v>219</v>
      </c>
    </row>
    <row r="4" spans="1:6" s="40" customFormat="1" ht="22.8" x14ac:dyDescent="0.4">
      <c r="A4" s="252"/>
      <c r="B4" s="253"/>
      <c r="C4" s="254" t="s">
        <v>211</v>
      </c>
      <c r="D4" s="254" t="s">
        <v>211</v>
      </c>
      <c r="E4" s="254" t="s">
        <v>211</v>
      </c>
      <c r="F4" s="254" t="s">
        <v>211</v>
      </c>
    </row>
    <row r="5" spans="1:6" s="40" customFormat="1" ht="22.8" x14ac:dyDescent="0.4">
      <c r="A5" s="252"/>
      <c r="B5" s="253"/>
      <c r="C5" s="254" t="s">
        <v>178</v>
      </c>
      <c r="D5" s="254" t="s">
        <v>178</v>
      </c>
      <c r="E5" s="254" t="s">
        <v>178</v>
      </c>
      <c r="F5" s="254" t="s">
        <v>178</v>
      </c>
    </row>
    <row r="6" spans="1:6" s="40" customFormat="1" ht="22.8" x14ac:dyDescent="0.4">
      <c r="A6" s="252"/>
      <c r="B6" s="253"/>
      <c r="C6" s="255" t="s">
        <v>212</v>
      </c>
      <c r="D6" s="255" t="s">
        <v>213</v>
      </c>
      <c r="E6" s="255" t="s">
        <v>213</v>
      </c>
      <c r="F6" s="255" t="s">
        <v>213</v>
      </c>
    </row>
    <row r="7" spans="1:6" s="40" customFormat="1" ht="22.8" x14ac:dyDescent="0.4">
      <c r="A7" s="256" t="s">
        <v>2</v>
      </c>
      <c r="B7" s="184"/>
      <c r="C7" s="254"/>
      <c r="D7" s="254"/>
      <c r="E7" s="254"/>
      <c r="F7" s="254"/>
    </row>
    <row r="8" spans="1:6" s="40" customFormat="1" ht="22.8" x14ac:dyDescent="0.4">
      <c r="A8" s="256" t="s">
        <v>214</v>
      </c>
      <c r="B8" s="184"/>
      <c r="C8" s="254" t="s">
        <v>4</v>
      </c>
      <c r="D8" s="254" t="s">
        <v>4</v>
      </c>
      <c r="E8" s="254" t="s">
        <v>4</v>
      </c>
      <c r="F8" s="254" t="s">
        <v>4</v>
      </c>
    </row>
    <row r="9" spans="1:6" s="40" customFormat="1" ht="30" x14ac:dyDescent="0.5">
      <c r="A9" s="257" t="s">
        <v>199</v>
      </c>
      <c r="B9" s="187"/>
      <c r="C9" s="258" t="s">
        <v>6</v>
      </c>
      <c r="D9" s="258" t="s">
        <v>6</v>
      </c>
      <c r="E9" s="258" t="s">
        <v>6</v>
      </c>
      <c r="F9" s="258" t="s">
        <v>6</v>
      </c>
    </row>
    <row r="10" spans="1:6" s="40" customFormat="1" ht="24.9" customHeight="1" x14ac:dyDescent="0.45">
      <c r="A10" s="259" t="s">
        <v>8</v>
      </c>
      <c r="B10" s="260"/>
      <c r="C10" s="261" t="s">
        <v>215</v>
      </c>
      <c r="D10" s="261" t="s">
        <v>215</v>
      </c>
      <c r="E10" s="261" t="s">
        <v>215</v>
      </c>
      <c r="F10" s="261" t="s">
        <v>215</v>
      </c>
    </row>
    <row r="11" spans="1:6" s="40" customFormat="1" ht="23.4" x14ac:dyDescent="0.45">
      <c r="A11" s="259" t="s">
        <v>9</v>
      </c>
      <c r="B11" s="260"/>
      <c r="C11" s="261" t="s">
        <v>183</v>
      </c>
      <c r="D11" s="261" t="s">
        <v>183</v>
      </c>
      <c r="E11" s="261" t="s">
        <v>183</v>
      </c>
      <c r="F11" s="261" t="s">
        <v>220</v>
      </c>
    </row>
    <row r="12" spans="1:6" s="40" customFormat="1" ht="23.4" x14ac:dyDescent="0.45">
      <c r="A12" s="262" t="s">
        <v>10</v>
      </c>
      <c r="B12" s="263"/>
      <c r="C12" s="264" t="s">
        <v>11</v>
      </c>
      <c r="D12" s="264" t="s">
        <v>11</v>
      </c>
      <c r="E12" s="264" t="s">
        <v>11</v>
      </c>
      <c r="F12" s="264" t="s">
        <v>187</v>
      </c>
    </row>
    <row r="13" spans="1:6" s="40" customFormat="1" ht="21" x14ac:dyDescent="0.4">
      <c r="A13" s="265" t="s">
        <v>12</v>
      </c>
      <c r="B13" s="41"/>
      <c r="C13" s="45">
        <f>90225+29415+155</f>
        <v>119795</v>
      </c>
      <c r="D13" s="45">
        <f>90225+26581+157</f>
        <v>116963</v>
      </c>
      <c r="E13" s="45">
        <f>90225+26581+157</f>
        <v>116963</v>
      </c>
      <c r="F13" s="45">
        <f>93720+25474+157</f>
        <v>119351</v>
      </c>
    </row>
    <row r="14" spans="1:6" s="40" customFormat="1" ht="17.399999999999999" x14ac:dyDescent="0.3">
      <c r="A14" s="78" t="s">
        <v>13</v>
      </c>
      <c r="B14" s="85"/>
      <c r="C14" s="45">
        <f>(90225)*0.441+(29415+155)*0.391</f>
        <v>51351.095000000001</v>
      </c>
      <c r="D14" s="45">
        <f>(90225)*0.441+(26581+157)*0.391</f>
        <v>50243.782999999996</v>
      </c>
      <c r="E14" s="45">
        <f>(90225)*0.441+(26581+157)*0.391</f>
        <v>50243.782999999996</v>
      </c>
      <c r="F14" s="45">
        <f>(93720)*0.441+(25474+157)*0.391</f>
        <v>51352.240999999995</v>
      </c>
    </row>
    <row r="15" spans="1:6" s="40" customFormat="1" ht="17.399999999999999" x14ac:dyDescent="0.3">
      <c r="A15" s="82" t="s">
        <v>14</v>
      </c>
      <c r="B15" s="85">
        <v>0</v>
      </c>
      <c r="C15" s="45">
        <f>C13*$B15</f>
        <v>0</v>
      </c>
      <c r="D15" s="45">
        <f>D13*$B15</f>
        <v>0</v>
      </c>
      <c r="E15" s="45">
        <f>E13*$B15</f>
        <v>0</v>
      </c>
      <c r="F15" s="45">
        <f>F13*$B15</f>
        <v>0</v>
      </c>
    </row>
    <row r="16" spans="1:6" s="40" customFormat="1" ht="17.399999999999999" x14ac:dyDescent="0.3">
      <c r="A16" s="82" t="s">
        <v>15</v>
      </c>
      <c r="B16" s="86"/>
      <c r="C16" s="45">
        <f>SUM(C14:C15)</f>
        <v>51351.095000000001</v>
      </c>
      <c r="D16" s="45">
        <f>SUM(D14:D15)</f>
        <v>50243.782999999996</v>
      </c>
      <c r="E16" s="45">
        <f>SUM(E14:E15)</f>
        <v>50243.782999999996</v>
      </c>
      <c r="F16" s="45">
        <f>SUM(F14:F15)</f>
        <v>51352.240999999995</v>
      </c>
    </row>
    <row r="17" spans="1:6" s="40" customFormat="1" ht="17.399999999999999" x14ac:dyDescent="0.3">
      <c r="A17" s="82" t="s">
        <v>16</v>
      </c>
      <c r="B17" s="85"/>
      <c r="C17" s="45">
        <v>1939</v>
      </c>
      <c r="D17" s="45">
        <v>1939</v>
      </c>
      <c r="E17" s="45">
        <v>1939</v>
      </c>
      <c r="F17" s="45">
        <v>1939</v>
      </c>
    </row>
    <row r="18" spans="1:6" ht="17.399999999999999" x14ac:dyDescent="0.3">
      <c r="A18" s="52" t="s">
        <v>17</v>
      </c>
      <c r="B18" s="101"/>
      <c r="C18" s="46">
        <f>SUM(C16:C17)</f>
        <v>53290.095000000001</v>
      </c>
      <c r="D18" s="46">
        <f>SUM(D16:D17)</f>
        <v>52182.782999999996</v>
      </c>
      <c r="E18" s="46">
        <f>SUM(E16:E17)</f>
        <v>52182.782999999996</v>
      </c>
      <c r="F18" s="46">
        <f>SUM(F16:F17)</f>
        <v>53291.240999999995</v>
      </c>
    </row>
    <row r="19" spans="1:6" ht="23.4" x14ac:dyDescent="0.45">
      <c r="A19" s="72" t="s">
        <v>18</v>
      </c>
      <c r="B19" s="266">
        <v>16</v>
      </c>
      <c r="C19" s="58">
        <f>C18*$B19</f>
        <v>852641.52</v>
      </c>
      <c r="D19" s="58">
        <f>D18*$B19</f>
        <v>834924.52799999993</v>
      </c>
      <c r="E19" s="58">
        <f>E18*$B19</f>
        <v>834924.52799999993</v>
      </c>
      <c r="F19" s="58">
        <f>F18*$B19</f>
        <v>852659.85599999991</v>
      </c>
    </row>
    <row r="20" spans="1:6" ht="17.399999999999999" x14ac:dyDescent="0.3">
      <c r="A20" s="267" t="s">
        <v>158</v>
      </c>
      <c r="B20" s="268"/>
      <c r="C20" s="45">
        <v>23463</v>
      </c>
      <c r="D20" s="45">
        <v>23463</v>
      </c>
      <c r="E20" s="45">
        <v>23463</v>
      </c>
      <c r="F20" s="45">
        <v>23463</v>
      </c>
    </row>
    <row r="21" spans="1:6" ht="17.399999999999999" x14ac:dyDescent="0.3">
      <c r="A21" s="52" t="s">
        <v>159</v>
      </c>
      <c r="B21" s="53"/>
      <c r="C21" s="45">
        <v>0</v>
      </c>
      <c r="D21" s="45">
        <v>0</v>
      </c>
      <c r="E21" s="45">
        <v>0</v>
      </c>
      <c r="F21" s="45">
        <v>0</v>
      </c>
    </row>
    <row r="22" spans="1:6" ht="17.399999999999999" x14ac:dyDescent="0.3">
      <c r="A22" s="52" t="s">
        <v>20</v>
      </c>
      <c r="B22" s="53"/>
      <c r="C22" s="45">
        <v>31631</v>
      </c>
      <c r="D22" s="45">
        <v>31631</v>
      </c>
      <c r="E22" s="45">
        <v>31631</v>
      </c>
      <c r="F22" s="45">
        <v>31631</v>
      </c>
    </row>
    <row r="23" spans="1:6" ht="21" x14ac:dyDescent="0.4">
      <c r="A23" s="55" t="s">
        <v>21</v>
      </c>
      <c r="B23" s="42"/>
      <c r="C23" s="58">
        <f>SUM(C19:C22)</f>
        <v>907735.52</v>
      </c>
      <c r="D23" s="58">
        <f>SUM(D19:D22)</f>
        <v>890018.52799999993</v>
      </c>
      <c r="E23" s="58">
        <f>SUM(E19:E22)</f>
        <v>890018.52799999993</v>
      </c>
      <c r="F23" s="58">
        <f>SUM(F19:F22)</f>
        <v>907753.85599999991</v>
      </c>
    </row>
    <row r="24" spans="1:6" ht="21" x14ac:dyDescent="0.4">
      <c r="A24" s="269" t="s">
        <v>22</v>
      </c>
      <c r="B24" s="270"/>
      <c r="C24" s="34"/>
      <c r="D24" s="34"/>
      <c r="E24" s="34"/>
      <c r="F24" s="34"/>
    </row>
    <row r="25" spans="1:6" ht="17.399999999999999" x14ac:dyDescent="0.3">
      <c r="A25" s="52" t="s">
        <v>175</v>
      </c>
      <c r="B25" s="75">
        <v>320.8</v>
      </c>
      <c r="C25" s="46">
        <f>C64*$B25</f>
        <v>26305.600000000002</v>
      </c>
      <c r="D25" s="46">
        <f>D64*$B25</f>
        <v>26305.600000000002</v>
      </c>
      <c r="E25" s="46">
        <f>E64*$B25</f>
        <v>26305.600000000002</v>
      </c>
      <c r="F25" s="46">
        <f>F64*$B25</f>
        <v>26305.600000000002</v>
      </c>
    </row>
    <row r="26" spans="1:6" ht="17.399999999999999" x14ac:dyDescent="0.3">
      <c r="A26" s="52" t="s">
        <v>176</v>
      </c>
      <c r="B26" s="75">
        <v>131.11000000000001</v>
      </c>
      <c r="C26" s="46">
        <f>C64*$B26</f>
        <v>10751.02</v>
      </c>
      <c r="D26" s="46">
        <f>D64*$B26</f>
        <v>10751.02</v>
      </c>
      <c r="E26" s="46">
        <f>E64*$B26</f>
        <v>10751.02</v>
      </c>
      <c r="F26" s="46">
        <f>F64*$B26</f>
        <v>10751.02</v>
      </c>
    </row>
    <row r="27" spans="1:6" ht="21" x14ac:dyDescent="0.4">
      <c r="A27" s="72" t="s">
        <v>23</v>
      </c>
      <c r="B27" s="57"/>
      <c r="C27" s="58">
        <f>SUM(C25:C26)</f>
        <v>37056.620000000003</v>
      </c>
      <c r="D27" s="58">
        <f>SUM(D25:D26)</f>
        <v>37056.620000000003</v>
      </c>
      <c r="E27" s="58">
        <f>SUM(E25:E26)</f>
        <v>37056.620000000003</v>
      </c>
      <c r="F27" s="58">
        <f>SUM(F25:F26)</f>
        <v>37056.620000000003</v>
      </c>
    </row>
    <row r="28" spans="1:6" ht="21" x14ac:dyDescent="0.4">
      <c r="A28" s="156" t="s">
        <v>155</v>
      </c>
      <c r="B28" s="88"/>
      <c r="C28" s="39"/>
      <c r="D28" s="39"/>
      <c r="E28" s="39"/>
      <c r="F28" s="39"/>
    </row>
    <row r="29" spans="1:6" ht="17.399999999999999" x14ac:dyDescent="0.3">
      <c r="A29" s="78" t="s">
        <v>177</v>
      </c>
      <c r="B29" s="88"/>
      <c r="C29" s="47">
        <v>1000</v>
      </c>
      <c r="D29" s="47">
        <v>1000</v>
      </c>
      <c r="E29" s="47">
        <v>1000</v>
      </c>
      <c r="F29" s="47">
        <v>1000</v>
      </c>
    </row>
    <row r="30" spans="1:6" ht="17.399999999999999" x14ac:dyDescent="0.3">
      <c r="A30" s="78" t="s">
        <v>97</v>
      </c>
      <c r="B30" s="88"/>
      <c r="C30" s="47">
        <v>10560</v>
      </c>
      <c r="D30" s="47">
        <v>10560</v>
      </c>
      <c r="E30" s="47">
        <v>10560</v>
      </c>
      <c r="F30" s="47">
        <v>10560</v>
      </c>
    </row>
    <row r="31" spans="1:6" ht="24.75" customHeight="1" x14ac:dyDescent="0.4">
      <c r="A31" s="72" t="s">
        <v>156</v>
      </c>
      <c r="B31" s="57"/>
      <c r="C31" s="58">
        <f>SUM(C29:C30)</f>
        <v>11560</v>
      </c>
      <c r="D31" s="58">
        <f>SUM(D29:D30)</f>
        <v>11560</v>
      </c>
      <c r="E31" s="58">
        <f>SUM(E29:E30)</f>
        <v>11560</v>
      </c>
      <c r="F31" s="58">
        <f>SUM(F29:F30)</f>
        <v>11560</v>
      </c>
    </row>
    <row r="32" spans="1:6" ht="21" x14ac:dyDescent="0.4">
      <c r="A32" s="271" t="s">
        <v>27</v>
      </c>
      <c r="B32" s="41"/>
      <c r="C32" s="26"/>
      <c r="D32" s="26"/>
      <c r="E32" s="26"/>
      <c r="F32" s="26"/>
    </row>
    <row r="33" spans="1:6" ht="17.399999999999999" x14ac:dyDescent="0.3">
      <c r="A33" s="78" t="s">
        <v>28</v>
      </c>
      <c r="B33" s="41"/>
      <c r="C33" s="45">
        <v>1141.6199999999999</v>
      </c>
      <c r="D33" s="45">
        <v>1141.6199999999999</v>
      </c>
      <c r="E33" s="45">
        <v>1141.6199999999999</v>
      </c>
      <c r="F33" s="45">
        <v>1141.6199999999999</v>
      </c>
    </row>
    <row r="34" spans="1:6" ht="21" x14ac:dyDescent="0.4">
      <c r="A34" s="56" t="s">
        <v>29</v>
      </c>
      <c r="B34" s="57"/>
      <c r="C34" s="58">
        <f>SUM(C33:C33)</f>
        <v>1141.6199999999999</v>
      </c>
      <c r="D34" s="58">
        <f>SUM(D33:D33)</f>
        <v>1141.6199999999999</v>
      </c>
      <c r="E34" s="58">
        <f>SUM(E33:E33)</f>
        <v>1141.6199999999999</v>
      </c>
      <c r="F34" s="58">
        <f>SUM(F33:F33)</f>
        <v>1141.6199999999999</v>
      </c>
    </row>
    <row r="35" spans="1:6" ht="21" x14ac:dyDescent="0.4">
      <c r="A35" s="272" t="s">
        <v>30</v>
      </c>
      <c r="B35" s="273"/>
      <c r="C35" s="34"/>
      <c r="D35" s="34"/>
      <c r="E35" s="34"/>
      <c r="F35" s="34"/>
    </row>
    <row r="36" spans="1:6" ht="17.399999999999999" x14ac:dyDescent="0.3">
      <c r="A36" s="274" t="s">
        <v>31</v>
      </c>
      <c r="B36" s="275"/>
      <c r="C36" s="46">
        <v>269.48</v>
      </c>
      <c r="D36" s="46">
        <v>269.48</v>
      </c>
      <c r="E36" s="46">
        <v>269.48</v>
      </c>
      <c r="F36" s="46">
        <v>269.48</v>
      </c>
    </row>
    <row r="37" spans="1:6" ht="17.399999999999999" x14ac:dyDescent="0.3">
      <c r="A37" s="274" t="s">
        <v>90</v>
      </c>
      <c r="B37" s="275"/>
      <c r="C37" s="46">
        <v>424</v>
      </c>
      <c r="D37" s="46">
        <v>424</v>
      </c>
      <c r="E37" s="46">
        <v>424</v>
      </c>
      <c r="F37" s="46">
        <v>424</v>
      </c>
    </row>
    <row r="38" spans="1:6" ht="17.399999999999999" x14ac:dyDescent="0.3">
      <c r="A38" s="274" t="s">
        <v>32</v>
      </c>
      <c r="B38" s="275"/>
      <c r="C38" s="46">
        <f>1900+(104*3)</f>
        <v>2212</v>
      </c>
      <c r="D38" s="46">
        <f>1900+(104*3)</f>
        <v>2212</v>
      </c>
      <c r="E38" s="46">
        <f>1900+(104*3)</f>
        <v>2212</v>
      </c>
      <c r="F38" s="46">
        <f>1900+(104*3)</f>
        <v>2212</v>
      </c>
    </row>
    <row r="39" spans="1:6" ht="21" x14ac:dyDescent="0.4">
      <c r="A39" s="72" t="s">
        <v>33</v>
      </c>
      <c r="B39" s="57"/>
      <c r="C39" s="58">
        <f>SUM(C36:C38)</f>
        <v>2905.48</v>
      </c>
      <c r="D39" s="58">
        <f>SUM(D36:D38)</f>
        <v>2905.48</v>
      </c>
      <c r="E39" s="58">
        <f>SUM(E36:E38)</f>
        <v>2905.48</v>
      </c>
      <c r="F39" s="58">
        <f>SUM(F36:F38)</f>
        <v>2905.48</v>
      </c>
    </row>
    <row r="40" spans="1:6" ht="21" x14ac:dyDescent="0.4">
      <c r="A40" s="83" t="s">
        <v>34</v>
      </c>
      <c r="B40" s="49"/>
      <c r="C40" s="66">
        <f>C23+C27+C31+C34+C39</f>
        <v>960399.24</v>
      </c>
      <c r="D40" s="66">
        <f>D23+D27+D31+D34+D39</f>
        <v>942682.24799999991</v>
      </c>
      <c r="E40" s="66">
        <f>E23+E27+E31+E34+E39</f>
        <v>942682.24799999991</v>
      </c>
      <c r="F40" s="66">
        <f>F23+F27+F31+F34+F39</f>
        <v>960417.57599999988</v>
      </c>
    </row>
    <row r="41" spans="1:6" ht="21" x14ac:dyDescent="0.4">
      <c r="A41" s="173" t="s">
        <v>154</v>
      </c>
      <c r="B41" s="48"/>
      <c r="C41" s="158"/>
      <c r="D41" s="158"/>
      <c r="E41" s="158"/>
      <c r="F41" s="158"/>
    </row>
    <row r="42" spans="1:6" ht="17.399999999999999" x14ac:dyDescent="0.3">
      <c r="A42" s="51" t="s">
        <v>25</v>
      </c>
      <c r="B42" s="54"/>
      <c r="C42" s="46">
        <v>3319.25</v>
      </c>
      <c r="D42" s="46">
        <v>3319.25</v>
      </c>
      <c r="E42" s="46">
        <v>3319.25</v>
      </c>
      <c r="F42" s="46">
        <v>3319.25</v>
      </c>
    </row>
    <row r="43" spans="1:6" ht="17.399999999999999" x14ac:dyDescent="0.3">
      <c r="A43" s="52" t="s">
        <v>146</v>
      </c>
      <c r="B43" s="54"/>
      <c r="C43" s="46">
        <v>0</v>
      </c>
      <c r="D43" s="46">
        <v>0</v>
      </c>
      <c r="E43" s="46">
        <v>0</v>
      </c>
      <c r="F43" s="46">
        <v>0</v>
      </c>
    </row>
    <row r="44" spans="1:6" ht="17.399999999999999" x14ac:dyDescent="0.3">
      <c r="A44" s="52" t="s">
        <v>35</v>
      </c>
      <c r="B44" s="60"/>
      <c r="C44" s="46">
        <v>5000</v>
      </c>
      <c r="D44" s="46">
        <v>5000</v>
      </c>
      <c r="E44" s="46">
        <v>5000</v>
      </c>
      <c r="F44" s="46">
        <v>5000</v>
      </c>
    </row>
    <row r="45" spans="1:6" ht="17.399999999999999" x14ac:dyDescent="0.3">
      <c r="A45" s="52" t="s">
        <v>92</v>
      </c>
      <c r="B45" s="60"/>
      <c r="C45" s="46">
        <v>0</v>
      </c>
      <c r="D45" s="46">
        <v>0</v>
      </c>
      <c r="E45" s="46">
        <v>0</v>
      </c>
      <c r="F45" s="46">
        <v>0</v>
      </c>
    </row>
    <row r="46" spans="1:6" ht="17.399999999999999" x14ac:dyDescent="0.3">
      <c r="A46" s="52" t="s">
        <v>93</v>
      </c>
      <c r="B46" s="60"/>
      <c r="C46" s="46">
        <v>0</v>
      </c>
      <c r="D46" s="46">
        <v>0</v>
      </c>
      <c r="E46" s="46">
        <v>0</v>
      </c>
      <c r="F46" s="46">
        <v>0</v>
      </c>
    </row>
    <row r="47" spans="1:6" ht="17.399999999999999" x14ac:dyDescent="0.3">
      <c r="A47" s="51" t="s">
        <v>173</v>
      </c>
      <c r="B47" s="60"/>
      <c r="C47" s="46">
        <v>1500</v>
      </c>
      <c r="D47" s="46">
        <v>1500</v>
      </c>
      <c r="E47" s="46">
        <v>1500</v>
      </c>
      <c r="F47" s="46">
        <v>1500</v>
      </c>
    </row>
    <row r="48" spans="1:6" ht="17.399999999999999" x14ac:dyDescent="0.3">
      <c r="A48" s="51" t="s">
        <v>88</v>
      </c>
      <c r="B48" s="60"/>
      <c r="C48" s="46">
        <v>0</v>
      </c>
      <c r="D48" s="46">
        <v>0</v>
      </c>
      <c r="E48" s="46">
        <v>0</v>
      </c>
      <c r="F48" s="46">
        <v>0</v>
      </c>
    </row>
    <row r="49" spans="1:6" ht="17.399999999999999" x14ac:dyDescent="0.3">
      <c r="A49" s="51" t="s">
        <v>160</v>
      </c>
      <c r="B49" s="60"/>
      <c r="C49" s="46">
        <v>0</v>
      </c>
      <c r="D49" s="46">
        <v>0</v>
      </c>
      <c r="E49" s="46">
        <v>0</v>
      </c>
      <c r="F49" s="46">
        <v>0</v>
      </c>
    </row>
    <row r="50" spans="1:6" ht="17.399999999999999" x14ac:dyDescent="0.3">
      <c r="A50" s="52" t="s">
        <v>89</v>
      </c>
      <c r="B50" s="60"/>
      <c r="C50" s="46">
        <v>0</v>
      </c>
      <c r="D50" s="46">
        <v>0</v>
      </c>
      <c r="E50" s="46">
        <v>0</v>
      </c>
      <c r="F50" s="46">
        <v>0</v>
      </c>
    </row>
    <row r="51" spans="1:6" ht="17.399999999999999" x14ac:dyDescent="0.3">
      <c r="A51" s="52" t="s">
        <v>161</v>
      </c>
      <c r="B51" s="60"/>
      <c r="C51" s="46">
        <v>0</v>
      </c>
      <c r="D51" s="46">
        <v>0</v>
      </c>
      <c r="E51" s="46">
        <v>0</v>
      </c>
      <c r="F51" s="46">
        <v>0</v>
      </c>
    </row>
    <row r="52" spans="1:6" ht="17.399999999999999" x14ac:dyDescent="0.3">
      <c r="A52" s="52" t="s">
        <v>216</v>
      </c>
      <c r="B52" s="61">
        <v>16</v>
      </c>
      <c r="C52" s="62">
        <f>2250*B52</f>
        <v>36000</v>
      </c>
      <c r="D52" s="62">
        <f>2250*B52</f>
        <v>36000</v>
      </c>
      <c r="E52" s="62">
        <f>2250*B52</f>
        <v>36000</v>
      </c>
      <c r="F52" s="62">
        <f>2250*B52</f>
        <v>36000</v>
      </c>
    </row>
    <row r="53" spans="1:6" ht="17.399999999999999" x14ac:dyDescent="0.3">
      <c r="A53" s="52" t="s">
        <v>204</v>
      </c>
      <c r="B53" s="61">
        <v>16</v>
      </c>
      <c r="C53" s="62"/>
      <c r="D53" s="62"/>
      <c r="E53" s="62"/>
      <c r="F53" s="62"/>
    </row>
    <row r="54" spans="1:6" ht="17.399999999999999" x14ac:dyDescent="0.3">
      <c r="A54" s="52" t="s">
        <v>217</v>
      </c>
      <c r="B54" s="61">
        <v>16</v>
      </c>
      <c r="C54" s="62">
        <f>950*B54</f>
        <v>15200</v>
      </c>
      <c r="D54" s="62">
        <f>950*B54</f>
        <v>15200</v>
      </c>
      <c r="E54" s="62">
        <f>950*B54</f>
        <v>15200</v>
      </c>
      <c r="F54" s="62">
        <f>950*B54</f>
        <v>15200</v>
      </c>
    </row>
    <row r="55" spans="1:6" ht="17.399999999999999" x14ac:dyDescent="0.3">
      <c r="A55" s="52" t="s">
        <v>36</v>
      </c>
      <c r="B55" s="60"/>
      <c r="C55" s="62">
        <v>5111.43</v>
      </c>
      <c r="D55" s="62">
        <v>5111.43</v>
      </c>
      <c r="E55" s="62">
        <v>5111.43</v>
      </c>
      <c r="F55" s="62">
        <v>5111.43</v>
      </c>
    </row>
    <row r="56" spans="1:6" ht="21" x14ac:dyDescent="0.4">
      <c r="A56" s="153" t="s">
        <v>153</v>
      </c>
      <c r="B56" s="175"/>
      <c r="C56" s="276">
        <f>SUM(C42:C55)</f>
        <v>66130.679999999993</v>
      </c>
      <c r="D56" s="276">
        <f>SUM(D42:D55)</f>
        <v>66130.679999999993</v>
      </c>
      <c r="E56" s="276">
        <f>SUM(E42:E55)</f>
        <v>66130.679999999993</v>
      </c>
      <c r="F56" s="276">
        <f>SUM(F42:F55)</f>
        <v>66130.679999999993</v>
      </c>
    </row>
    <row r="57" spans="1:6" ht="21" x14ac:dyDescent="0.4">
      <c r="A57" s="72" t="s">
        <v>37</v>
      </c>
      <c r="B57" s="174"/>
      <c r="C57" s="64">
        <f>SUM(C40+C56)</f>
        <v>1026529.9199999999</v>
      </c>
      <c r="D57" s="64">
        <f>SUM(D40+D56)</f>
        <v>1008812.9279999998</v>
      </c>
      <c r="E57" s="64">
        <f>SUM(E40+E56)</f>
        <v>1008812.9279999998</v>
      </c>
      <c r="F57" s="64">
        <f>SUM(F40+F56)</f>
        <v>1026548.2559999998</v>
      </c>
    </row>
    <row r="58" spans="1:6" ht="21" x14ac:dyDescent="0.4">
      <c r="A58" s="72" t="s">
        <v>83</v>
      </c>
      <c r="B58" s="48"/>
      <c r="C58" s="58">
        <f>(C63*(1-C65))</f>
        <v>1157850</v>
      </c>
      <c r="D58" s="58">
        <f>(D63*(1-D65))</f>
        <v>1137100</v>
      </c>
      <c r="E58" s="58">
        <f>(E63*(1-E65))</f>
        <v>1137100</v>
      </c>
      <c r="F58" s="58">
        <f>(F63*(1-F65))</f>
        <v>1137100</v>
      </c>
    </row>
    <row r="59" spans="1:6" ht="18" x14ac:dyDescent="0.35">
      <c r="A59" s="59" t="s">
        <v>84</v>
      </c>
      <c r="B59" s="48"/>
      <c r="C59" s="204">
        <v>0</v>
      </c>
      <c r="D59" s="204">
        <v>0</v>
      </c>
      <c r="E59" s="204">
        <v>0</v>
      </c>
      <c r="F59" s="204">
        <v>0</v>
      </c>
    </row>
    <row r="60" spans="1:6" ht="21" x14ac:dyDescent="0.4">
      <c r="A60" s="83" t="s">
        <v>85</v>
      </c>
      <c r="B60" s="48"/>
      <c r="C60" s="65">
        <f>+C58+C59</f>
        <v>1157850</v>
      </c>
      <c r="D60" s="65">
        <f>+D58+D59</f>
        <v>1137100</v>
      </c>
      <c r="E60" s="65">
        <f>+E58+E59</f>
        <v>1137100</v>
      </c>
      <c r="F60" s="65">
        <f>+F58+F59</f>
        <v>1137100</v>
      </c>
    </row>
    <row r="61" spans="1:6" ht="21" x14ac:dyDescent="0.4">
      <c r="A61" s="87" t="s">
        <v>38</v>
      </c>
      <c r="B61" s="57"/>
      <c r="C61" s="65">
        <f>C60-C57</f>
        <v>131320.08000000007</v>
      </c>
      <c r="D61" s="65">
        <f>D60-D57</f>
        <v>128287.07200000016</v>
      </c>
      <c r="E61" s="65">
        <f>E60-E57</f>
        <v>128287.07200000016</v>
      </c>
      <c r="F61" s="65">
        <f>F60-F57</f>
        <v>110551.74400000018</v>
      </c>
    </row>
    <row r="62" spans="1:6" ht="21" x14ac:dyDescent="0.4">
      <c r="A62" s="79" t="s">
        <v>39</v>
      </c>
      <c r="B62" s="63"/>
      <c r="C62" s="67">
        <f>(C60-C57)/C60</f>
        <v>0.11341717839098335</v>
      </c>
      <c r="D62" s="67">
        <f>(D60-D57)/D60</f>
        <v>0.11281951631342904</v>
      </c>
      <c r="E62" s="67">
        <f>(E60-E57)/E60</f>
        <v>0.11281951631342904</v>
      </c>
      <c r="F62" s="67">
        <f>(F60-F57)/F60</f>
        <v>9.7222534517632728E-2</v>
      </c>
    </row>
    <row r="63" spans="1:6" ht="21" x14ac:dyDescent="0.3">
      <c r="A63" s="80" t="s">
        <v>218</v>
      </c>
      <c r="B63" s="277"/>
      <c r="C63" s="278">
        <v>1395000</v>
      </c>
      <c r="D63" s="278">
        <v>1370000</v>
      </c>
      <c r="E63" s="278">
        <v>1370000</v>
      </c>
      <c r="F63" s="278">
        <v>1370000</v>
      </c>
    </row>
    <row r="64" spans="1:6" ht="18" x14ac:dyDescent="0.35">
      <c r="A64" s="73" t="s">
        <v>40</v>
      </c>
      <c r="B64" s="43"/>
      <c r="C64" s="74">
        <v>82</v>
      </c>
      <c r="D64" s="74">
        <v>82</v>
      </c>
      <c r="E64" s="74">
        <v>82</v>
      </c>
      <c r="F64" s="74">
        <v>82</v>
      </c>
    </row>
    <row r="65" spans="1:6" ht="21" x14ac:dyDescent="0.4">
      <c r="A65" s="279" t="s">
        <v>95</v>
      </c>
      <c r="B65" s="69"/>
      <c r="C65" s="280">
        <v>0.17</v>
      </c>
      <c r="D65" s="280">
        <v>0.17</v>
      </c>
      <c r="E65" s="280">
        <v>0.17</v>
      </c>
      <c r="F65" s="280">
        <v>0.17</v>
      </c>
    </row>
    <row r="66" spans="1:6" ht="15.6" x14ac:dyDescent="0.3">
      <c r="A66" s="44"/>
      <c r="B66" s="40"/>
      <c r="C66" s="281"/>
      <c r="D66" s="281"/>
      <c r="E66" s="281"/>
      <c r="F66" s="281"/>
    </row>
    <row r="67" spans="1:6" ht="36.6" customHeight="1" x14ac:dyDescent="0.3">
      <c r="A67" s="277" t="s">
        <v>208</v>
      </c>
      <c r="C67" s="282">
        <v>1420000</v>
      </c>
      <c r="D67" s="283">
        <v>1395000</v>
      </c>
      <c r="E67" s="283">
        <v>1395000</v>
      </c>
      <c r="F67" s="283">
        <v>1395000</v>
      </c>
    </row>
  </sheetData>
  <pageMargins left="0.70866141732283505" right="0.70866141732283505" top="0.74803149606299202" bottom="0.74803149606299202" header="0.31496062992126" footer="0.3149606299212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0.39997558519241921"/>
  </sheetPr>
  <dimension ref="A1:K511"/>
  <sheetViews>
    <sheetView topLeftCell="B1" zoomScale="40" zoomScaleNormal="40" workbookViewId="0">
      <selection activeCell="E44" sqref="E44"/>
    </sheetView>
  </sheetViews>
  <sheetFormatPr defaultColWidth="9.109375" defaultRowHeight="21" x14ac:dyDescent="0.4"/>
  <cols>
    <col min="1" max="1" width="113.33203125" style="323" customWidth="1"/>
    <col min="2" max="2" width="14.88671875" style="323" bestFit="1" customWidth="1"/>
    <col min="3" max="11" width="28.88671875" style="323" customWidth="1"/>
    <col min="12" max="16384" width="9.109375" style="323"/>
  </cols>
  <sheetData>
    <row r="1" spans="1:11" s="289" customFormat="1" ht="24.9" customHeight="1" x14ac:dyDescent="0.4">
      <c r="A1" s="286" t="s">
        <v>268</v>
      </c>
      <c r="B1" s="287"/>
      <c r="C1" s="288" t="s">
        <v>194</v>
      </c>
      <c r="D1" s="288" t="s">
        <v>194</v>
      </c>
      <c r="E1" s="288" t="s">
        <v>188</v>
      </c>
      <c r="F1" s="288" t="s">
        <v>189</v>
      </c>
      <c r="G1" s="288" t="s">
        <v>195</v>
      </c>
      <c r="H1" s="288" t="s">
        <v>190</v>
      </c>
      <c r="I1" s="288" t="s">
        <v>191</v>
      </c>
      <c r="J1" s="288" t="s">
        <v>196</v>
      </c>
      <c r="K1" s="288" t="s">
        <v>196</v>
      </c>
    </row>
    <row r="2" spans="1:11" s="289" customFormat="1" x14ac:dyDescent="0.4">
      <c r="A2" s="290"/>
      <c r="B2" s="290"/>
      <c r="C2" s="291" t="s">
        <v>0</v>
      </c>
      <c r="D2" s="291" t="s">
        <v>0</v>
      </c>
      <c r="E2" s="291" t="s">
        <v>0</v>
      </c>
      <c r="F2" s="291" t="s">
        <v>0</v>
      </c>
      <c r="G2" s="291" t="s">
        <v>0</v>
      </c>
      <c r="H2" s="291" t="s">
        <v>0</v>
      </c>
      <c r="I2" s="291" t="s">
        <v>0</v>
      </c>
      <c r="J2" s="291" t="s">
        <v>0</v>
      </c>
      <c r="K2" s="291" t="s">
        <v>0</v>
      </c>
    </row>
    <row r="3" spans="1:11" s="289" customFormat="1" x14ac:dyDescent="0.4">
      <c r="A3" s="290"/>
      <c r="B3" s="290"/>
      <c r="C3" s="291"/>
      <c r="D3" s="291"/>
      <c r="E3" s="291"/>
      <c r="F3" s="291"/>
      <c r="G3" s="291"/>
      <c r="H3" s="291"/>
      <c r="I3" s="291"/>
      <c r="J3" s="291"/>
      <c r="K3" s="291"/>
    </row>
    <row r="4" spans="1:11" s="294" customFormat="1" x14ac:dyDescent="0.4">
      <c r="A4" s="292" t="s">
        <v>234</v>
      </c>
      <c r="B4" s="292"/>
      <c r="C4" s="293">
        <v>0.56599999999999995</v>
      </c>
      <c r="D4" s="293">
        <v>0.56599999999999995</v>
      </c>
      <c r="E4" s="293">
        <v>0.56599999999999995</v>
      </c>
      <c r="F4" s="293">
        <v>0.56599999999999995</v>
      </c>
      <c r="G4" s="293">
        <v>0.56599999999999995</v>
      </c>
      <c r="H4" s="293">
        <v>0.56599999999999995</v>
      </c>
      <c r="I4" s="293">
        <v>0.56599999999999995</v>
      </c>
      <c r="J4" s="293">
        <v>0.56599999999999995</v>
      </c>
      <c r="K4" s="293">
        <v>0.56599999999999995</v>
      </c>
    </row>
    <row r="5" spans="1:11" s="294" customFormat="1" x14ac:dyDescent="0.4">
      <c r="A5" s="292" t="s">
        <v>233</v>
      </c>
      <c r="B5" s="292"/>
      <c r="C5" s="293">
        <v>0.66600000000000004</v>
      </c>
      <c r="D5" s="293">
        <v>0.66600000000000004</v>
      </c>
      <c r="E5" s="293">
        <v>0.66600000000000004</v>
      </c>
      <c r="F5" s="293">
        <v>0.66600000000000004</v>
      </c>
      <c r="G5" s="293">
        <v>0.66600000000000004</v>
      </c>
      <c r="H5" s="293">
        <v>0.66600000000000004</v>
      </c>
      <c r="I5" s="293">
        <v>0.66600000000000004</v>
      </c>
      <c r="J5" s="293">
        <v>0.66600000000000004</v>
      </c>
      <c r="K5" s="293">
        <v>0.66600000000000004</v>
      </c>
    </row>
    <row r="6" spans="1:11" s="294" customFormat="1" x14ac:dyDescent="0.4">
      <c r="A6" s="292"/>
      <c r="B6" s="292"/>
      <c r="C6" s="293"/>
      <c r="D6" s="293"/>
      <c r="E6" s="293"/>
      <c r="F6" s="293"/>
      <c r="G6" s="293"/>
      <c r="H6" s="293"/>
      <c r="I6" s="293"/>
      <c r="J6" s="293"/>
      <c r="K6" s="293"/>
    </row>
    <row r="7" spans="1:11" s="289" customFormat="1" x14ac:dyDescent="0.4">
      <c r="A7" s="290"/>
      <c r="B7" s="290"/>
      <c r="C7" s="295" t="s">
        <v>257</v>
      </c>
      <c r="D7" s="295" t="s">
        <v>256</v>
      </c>
      <c r="E7" s="291"/>
      <c r="F7" s="291"/>
      <c r="G7" s="291"/>
      <c r="H7" s="291"/>
      <c r="I7" s="291"/>
      <c r="J7" s="295" t="s">
        <v>257</v>
      </c>
      <c r="K7" s="295" t="s">
        <v>256</v>
      </c>
    </row>
    <row r="8" spans="1:11" s="289" customFormat="1" x14ac:dyDescent="0.4">
      <c r="A8" s="298"/>
      <c r="B8" s="299"/>
      <c r="C8" s="295" t="s">
        <v>192</v>
      </c>
      <c r="D8" s="295" t="s">
        <v>192</v>
      </c>
      <c r="E8" s="296" t="s">
        <v>197</v>
      </c>
      <c r="F8" s="296" t="s">
        <v>227</v>
      </c>
      <c r="G8" s="296" t="s">
        <v>227</v>
      </c>
      <c r="H8" s="296" t="s">
        <v>198</v>
      </c>
      <c r="I8" s="296" t="s">
        <v>228</v>
      </c>
      <c r="J8" s="295" t="s">
        <v>192</v>
      </c>
      <c r="K8" s="295" t="s">
        <v>192</v>
      </c>
    </row>
    <row r="9" spans="1:11" s="289" customFormat="1" x14ac:dyDescent="0.4">
      <c r="A9" s="298"/>
      <c r="B9" s="299"/>
      <c r="C9" s="295" t="s">
        <v>224</v>
      </c>
      <c r="D9" s="295" t="s">
        <v>224</v>
      </c>
      <c r="E9" s="296" t="s">
        <v>3</v>
      </c>
      <c r="F9" s="296" t="s">
        <v>104</v>
      </c>
      <c r="G9" s="296" t="s">
        <v>104</v>
      </c>
      <c r="H9" s="296" t="s">
        <v>104</v>
      </c>
      <c r="I9" s="296" t="s">
        <v>104</v>
      </c>
      <c r="J9" s="295" t="s">
        <v>224</v>
      </c>
      <c r="K9" s="295" t="s">
        <v>224</v>
      </c>
    </row>
    <row r="10" spans="1:11" s="289" customFormat="1" x14ac:dyDescent="0.4">
      <c r="A10" s="297" t="s">
        <v>2</v>
      </c>
      <c r="B10" s="290"/>
      <c r="C10" s="296" t="s">
        <v>225</v>
      </c>
      <c r="D10" s="296" t="s">
        <v>225</v>
      </c>
      <c r="E10" s="296" t="s">
        <v>226</v>
      </c>
      <c r="F10" s="296" t="s">
        <v>226</v>
      </c>
      <c r="G10" s="296" t="s">
        <v>226</v>
      </c>
      <c r="H10" s="296" t="s">
        <v>226</v>
      </c>
      <c r="I10" s="296" t="s">
        <v>226</v>
      </c>
      <c r="J10" s="296" t="s">
        <v>225</v>
      </c>
      <c r="K10" s="296" t="s">
        <v>225</v>
      </c>
    </row>
    <row r="11" spans="1:11" s="289" customFormat="1" x14ac:dyDescent="0.4">
      <c r="A11" s="297"/>
      <c r="B11" s="290"/>
      <c r="C11" s="296" t="s">
        <v>223</v>
      </c>
      <c r="D11" s="296" t="s">
        <v>223</v>
      </c>
      <c r="E11" s="296" t="s">
        <v>223</v>
      </c>
      <c r="F11" s="296" t="s">
        <v>223</v>
      </c>
      <c r="G11" s="296" t="s">
        <v>223</v>
      </c>
      <c r="H11" s="296" t="s">
        <v>223</v>
      </c>
      <c r="I11" s="296" t="s">
        <v>223</v>
      </c>
      <c r="J11" s="296" t="s">
        <v>223</v>
      </c>
      <c r="K11" s="296" t="s">
        <v>223</v>
      </c>
    </row>
    <row r="12" spans="1:11" s="289" customFormat="1" x14ac:dyDescent="0.4">
      <c r="A12" s="297" t="s">
        <v>269</v>
      </c>
      <c r="B12" s="290"/>
      <c r="C12" s="296" t="s">
        <v>5</v>
      </c>
      <c r="D12" s="296" t="s">
        <v>5</v>
      </c>
      <c r="E12" s="296" t="s">
        <v>5</v>
      </c>
      <c r="F12" s="296" t="s">
        <v>5</v>
      </c>
      <c r="G12" s="296" t="s">
        <v>5</v>
      </c>
      <c r="H12" s="296" t="s">
        <v>5</v>
      </c>
      <c r="I12" s="296" t="s">
        <v>5</v>
      </c>
      <c r="J12" s="296" t="s">
        <v>5</v>
      </c>
      <c r="K12" s="296" t="s">
        <v>5</v>
      </c>
    </row>
    <row r="13" spans="1:11" s="289" customFormat="1" x14ac:dyDescent="0.4">
      <c r="A13" s="300" t="s">
        <v>262</v>
      </c>
      <c r="B13" s="301"/>
      <c r="C13" s="302" t="s">
        <v>6</v>
      </c>
      <c r="D13" s="302" t="s">
        <v>6</v>
      </c>
      <c r="E13" s="302" t="s">
        <v>6</v>
      </c>
      <c r="F13" s="302" t="s">
        <v>6</v>
      </c>
      <c r="G13" s="302" t="s">
        <v>6</v>
      </c>
      <c r="H13" s="302" t="s">
        <v>6</v>
      </c>
      <c r="I13" s="302" t="s">
        <v>6</v>
      </c>
      <c r="J13" s="302" t="s">
        <v>7</v>
      </c>
      <c r="K13" s="302" t="s">
        <v>7</v>
      </c>
    </row>
    <row r="14" spans="1:11" s="289" customFormat="1" ht="24.9" customHeight="1" x14ac:dyDescent="0.4">
      <c r="A14" s="285" t="s">
        <v>8</v>
      </c>
      <c r="B14" s="260"/>
      <c r="C14" s="183" t="s">
        <v>179</v>
      </c>
      <c r="D14" s="183" t="s">
        <v>179</v>
      </c>
      <c r="E14" s="183" t="s">
        <v>179</v>
      </c>
      <c r="F14" s="183" t="s">
        <v>180</v>
      </c>
      <c r="G14" s="183" t="s">
        <v>180</v>
      </c>
      <c r="H14" s="183" t="s">
        <v>180</v>
      </c>
      <c r="I14" s="183" t="s">
        <v>181</v>
      </c>
      <c r="J14" s="183" t="s">
        <v>182</v>
      </c>
      <c r="K14" s="183" t="s">
        <v>182</v>
      </c>
    </row>
    <row r="15" spans="1:11" s="289" customFormat="1" x14ac:dyDescent="0.4">
      <c r="A15" s="285" t="s">
        <v>9</v>
      </c>
      <c r="B15" s="260"/>
      <c r="C15" s="183" t="s">
        <v>184</v>
      </c>
      <c r="D15" s="183" t="s">
        <v>184</v>
      </c>
      <c r="E15" s="183" t="s">
        <v>184</v>
      </c>
      <c r="F15" s="183" t="s">
        <v>185</v>
      </c>
      <c r="G15" s="183" t="s">
        <v>186</v>
      </c>
      <c r="H15" s="183" t="s">
        <v>185</v>
      </c>
      <c r="I15" s="183" t="s">
        <v>186</v>
      </c>
      <c r="J15" s="183" t="s">
        <v>184</v>
      </c>
      <c r="K15" s="183" t="s">
        <v>184</v>
      </c>
    </row>
    <row r="16" spans="1:11" s="289" customFormat="1" x14ac:dyDescent="0.4">
      <c r="A16" s="303" t="s">
        <v>10</v>
      </c>
      <c r="B16" s="263"/>
      <c r="C16" s="304" t="s">
        <v>187</v>
      </c>
      <c r="D16" s="304" t="s">
        <v>187</v>
      </c>
      <c r="E16" s="304" t="s">
        <v>187</v>
      </c>
      <c r="F16" s="304" t="s">
        <v>11</v>
      </c>
      <c r="G16" s="304" t="s">
        <v>187</v>
      </c>
      <c r="H16" s="304" t="s">
        <v>11</v>
      </c>
      <c r="I16" s="304" t="s">
        <v>187</v>
      </c>
      <c r="J16" s="304" t="s">
        <v>187</v>
      </c>
      <c r="K16" s="304" t="s">
        <v>187</v>
      </c>
    </row>
    <row r="17" spans="1:11" s="289" customFormat="1" x14ac:dyDescent="0.4">
      <c r="A17" s="305" t="s">
        <v>235</v>
      </c>
      <c r="B17" s="354"/>
      <c r="C17" s="307">
        <v>113440</v>
      </c>
      <c r="D17" s="307">
        <v>113440</v>
      </c>
      <c r="E17" s="307">
        <v>111360</v>
      </c>
      <c r="F17" s="307">
        <f>109215*1.01</f>
        <v>110307.15</v>
      </c>
      <c r="G17" s="307">
        <v>110845</v>
      </c>
      <c r="H17" s="307">
        <f>109215*1.01</f>
        <v>110307.15</v>
      </c>
      <c r="I17" s="307">
        <v>110845</v>
      </c>
      <c r="J17" s="307">
        <v>111360</v>
      </c>
      <c r="K17" s="307">
        <v>111360</v>
      </c>
    </row>
    <row r="18" spans="1:11" s="289" customFormat="1" x14ac:dyDescent="0.4">
      <c r="A18" s="308" t="s">
        <v>236</v>
      </c>
      <c r="B18" s="355"/>
      <c r="C18" s="310">
        <f>37069+7155+1666</f>
        <v>45890</v>
      </c>
      <c r="D18" s="310">
        <f>37069+7155+1666</f>
        <v>45890</v>
      </c>
      <c r="E18" s="310">
        <f>38297+349</f>
        <v>38646</v>
      </c>
      <c r="F18" s="310">
        <f>25356*1.01</f>
        <v>25609.56</v>
      </c>
      <c r="G18" s="310">
        <f>26286+231</f>
        <v>26517</v>
      </c>
      <c r="H18" s="310">
        <f>26971*1.01</f>
        <v>27240.71</v>
      </c>
      <c r="I18" s="310">
        <f>29326+231</f>
        <v>29557</v>
      </c>
      <c r="J18" s="310">
        <f>40489+7075+1648</f>
        <v>49212</v>
      </c>
      <c r="K18" s="310">
        <f>40489+7075+1648</f>
        <v>49212</v>
      </c>
    </row>
    <row r="19" spans="1:11" s="294" customFormat="1" x14ac:dyDescent="0.4">
      <c r="A19" s="311" t="s">
        <v>240</v>
      </c>
      <c r="B19" s="353"/>
      <c r="C19" s="477">
        <f>SUM(C17:C18)</f>
        <v>159330</v>
      </c>
      <c r="D19" s="477">
        <f>SUM(D17:D18)</f>
        <v>159330</v>
      </c>
      <c r="E19" s="477">
        <f t="shared" ref="E19:K19" si="0">SUM(E17:E18)</f>
        <v>150006</v>
      </c>
      <c r="F19" s="477">
        <f t="shared" si="0"/>
        <v>135916.71</v>
      </c>
      <c r="G19" s="477">
        <f t="shared" si="0"/>
        <v>137362</v>
      </c>
      <c r="H19" s="477">
        <f t="shared" si="0"/>
        <v>137547.85999999999</v>
      </c>
      <c r="I19" s="477">
        <f t="shared" si="0"/>
        <v>140402</v>
      </c>
      <c r="J19" s="477">
        <f t="shared" si="0"/>
        <v>160572</v>
      </c>
      <c r="K19" s="477">
        <f t="shared" si="0"/>
        <v>160572</v>
      </c>
    </row>
    <row r="20" spans="1:11" s="289" customFormat="1" x14ac:dyDescent="0.4">
      <c r="A20" s="305" t="s">
        <v>237</v>
      </c>
      <c r="B20" s="354"/>
      <c r="C20" s="307">
        <f t="shared" ref="C20:K20" si="1">C17*(1-C4)</f>
        <v>49232.960000000006</v>
      </c>
      <c r="D20" s="307">
        <f t="shared" si="1"/>
        <v>49232.960000000006</v>
      </c>
      <c r="E20" s="307">
        <f t="shared" si="1"/>
        <v>48330.240000000005</v>
      </c>
      <c r="F20" s="307">
        <f t="shared" si="1"/>
        <v>47873.303100000005</v>
      </c>
      <c r="G20" s="307">
        <f t="shared" si="1"/>
        <v>48106.73</v>
      </c>
      <c r="H20" s="307">
        <f t="shared" si="1"/>
        <v>47873.303100000005</v>
      </c>
      <c r="I20" s="307">
        <f t="shared" si="1"/>
        <v>48106.73</v>
      </c>
      <c r="J20" s="307">
        <f t="shared" si="1"/>
        <v>48330.240000000005</v>
      </c>
      <c r="K20" s="307">
        <f t="shared" si="1"/>
        <v>48330.240000000005</v>
      </c>
    </row>
    <row r="21" spans="1:11" s="289" customFormat="1" x14ac:dyDescent="0.4">
      <c r="A21" s="308" t="s">
        <v>238</v>
      </c>
      <c r="B21" s="355"/>
      <c r="C21" s="310">
        <f t="shared" ref="C21:K21" si="2">C18*(1-C5)</f>
        <v>15327.259999999998</v>
      </c>
      <c r="D21" s="310">
        <f t="shared" si="2"/>
        <v>15327.259999999998</v>
      </c>
      <c r="E21" s="310">
        <f t="shared" si="2"/>
        <v>12907.763999999999</v>
      </c>
      <c r="F21" s="310">
        <f t="shared" si="2"/>
        <v>8553.5930399999997</v>
      </c>
      <c r="G21" s="310">
        <f t="shared" si="2"/>
        <v>8856.6779999999999</v>
      </c>
      <c r="H21" s="310">
        <f t="shared" si="2"/>
        <v>9098.3971399999991</v>
      </c>
      <c r="I21" s="310">
        <f t="shared" si="2"/>
        <v>9872.0379999999986</v>
      </c>
      <c r="J21" s="310">
        <f t="shared" si="2"/>
        <v>16436.807999999997</v>
      </c>
      <c r="K21" s="310">
        <f t="shared" si="2"/>
        <v>16436.807999999997</v>
      </c>
    </row>
    <row r="22" spans="1:11" s="294" customFormat="1" x14ac:dyDescent="0.4">
      <c r="A22" s="311" t="s">
        <v>239</v>
      </c>
      <c r="B22" s="353"/>
      <c r="C22" s="477">
        <f>SUM(C20:C21)</f>
        <v>64560.22</v>
      </c>
      <c r="D22" s="477">
        <f>SUM(D20:D21)</f>
        <v>64560.22</v>
      </c>
      <c r="E22" s="477">
        <f>SUM(E20:E21)</f>
        <v>61238.004000000001</v>
      </c>
      <c r="F22" s="477">
        <f t="shared" ref="F22:K22" si="3">SUM(F20:F21)</f>
        <v>56426.896140000004</v>
      </c>
      <c r="G22" s="477">
        <f t="shared" si="3"/>
        <v>56963.408000000003</v>
      </c>
      <c r="H22" s="477">
        <f t="shared" si="3"/>
        <v>56971.700240000006</v>
      </c>
      <c r="I22" s="477">
        <f t="shared" si="3"/>
        <v>57978.768000000004</v>
      </c>
      <c r="J22" s="477">
        <f t="shared" si="3"/>
        <v>64767.048000000003</v>
      </c>
      <c r="K22" s="477">
        <f t="shared" si="3"/>
        <v>64767.048000000003</v>
      </c>
    </row>
    <row r="23" spans="1:11" s="493" customFormat="1" x14ac:dyDescent="0.4">
      <c r="A23" s="496" t="s">
        <v>16</v>
      </c>
      <c r="B23" s="487"/>
      <c r="C23" s="488">
        <v>2201</v>
      </c>
      <c r="D23" s="488">
        <v>2201</v>
      </c>
      <c r="E23" s="488">
        <v>1651</v>
      </c>
      <c r="F23" s="488">
        <v>1651</v>
      </c>
      <c r="G23" s="488">
        <v>1651</v>
      </c>
      <c r="H23" s="488">
        <v>1651</v>
      </c>
      <c r="I23" s="488">
        <v>1651</v>
      </c>
      <c r="J23" s="488">
        <v>2201</v>
      </c>
      <c r="K23" s="488">
        <v>2201</v>
      </c>
    </row>
    <row r="24" spans="1:11" x14ac:dyDescent="0.4">
      <c r="A24" s="331" t="s">
        <v>17</v>
      </c>
      <c r="B24" s="309"/>
      <c r="C24" s="310">
        <f>SUM(C22:C23)</f>
        <v>66761.22</v>
      </c>
      <c r="D24" s="310">
        <f>SUM(D22:D23)</f>
        <v>66761.22</v>
      </c>
      <c r="E24" s="310">
        <f t="shared" ref="E24:K24" si="4">SUM(E22:E23)</f>
        <v>62889.004000000001</v>
      </c>
      <c r="F24" s="310">
        <f t="shared" si="4"/>
        <v>58077.896140000004</v>
      </c>
      <c r="G24" s="310">
        <f t="shared" si="4"/>
        <v>58614.408000000003</v>
      </c>
      <c r="H24" s="310">
        <f t="shared" si="4"/>
        <v>58622.700240000006</v>
      </c>
      <c r="I24" s="310">
        <f t="shared" si="4"/>
        <v>59629.768000000004</v>
      </c>
      <c r="J24" s="310">
        <f t="shared" si="4"/>
        <v>66968.04800000001</v>
      </c>
      <c r="K24" s="310">
        <f t="shared" si="4"/>
        <v>66968.04800000001</v>
      </c>
    </row>
    <row r="25" spans="1:11" x14ac:dyDescent="0.4">
      <c r="A25" s="315" t="s">
        <v>18</v>
      </c>
      <c r="B25" s="71">
        <v>15.8</v>
      </c>
      <c r="C25" s="316">
        <f t="shared" ref="C25:I25" si="5">C24*$B25</f>
        <v>1054827.2760000001</v>
      </c>
      <c r="D25" s="316">
        <f t="shared" si="5"/>
        <v>1054827.2760000001</v>
      </c>
      <c r="E25" s="316">
        <f t="shared" si="5"/>
        <v>993646.26320000004</v>
      </c>
      <c r="F25" s="316">
        <f t="shared" si="5"/>
        <v>917630.75901200005</v>
      </c>
      <c r="G25" s="316">
        <f t="shared" si="5"/>
        <v>926107.64640000009</v>
      </c>
      <c r="H25" s="316">
        <f t="shared" si="5"/>
        <v>926238.66379200015</v>
      </c>
      <c r="I25" s="316">
        <f t="shared" si="5"/>
        <v>942150.33440000005</v>
      </c>
      <c r="J25" s="316">
        <f>J24*$B25</f>
        <v>1058095.1584000003</v>
      </c>
      <c r="K25" s="316">
        <f>K24*$B25</f>
        <v>1058095.1584000003</v>
      </c>
    </row>
    <row r="26" spans="1:11" s="489" customFormat="1" x14ac:dyDescent="0.4">
      <c r="A26" s="486" t="s">
        <v>158</v>
      </c>
      <c r="B26" s="487"/>
      <c r="C26" s="488">
        <v>0</v>
      </c>
      <c r="D26" s="488">
        <v>0</v>
      </c>
      <c r="E26" s="488">
        <v>39724</v>
      </c>
      <c r="F26" s="488">
        <v>39724</v>
      </c>
      <c r="G26" s="488">
        <v>39724</v>
      </c>
      <c r="H26" s="488">
        <v>39724</v>
      </c>
      <c r="I26" s="488">
        <v>39724</v>
      </c>
      <c r="J26" s="488">
        <v>0</v>
      </c>
      <c r="K26" s="488">
        <v>0</v>
      </c>
    </row>
    <row r="27" spans="1:11" s="489" customFormat="1" x14ac:dyDescent="0.4">
      <c r="A27" s="486" t="s">
        <v>159</v>
      </c>
      <c r="B27" s="487"/>
      <c r="C27" s="488">
        <v>0</v>
      </c>
      <c r="D27" s="488">
        <v>0</v>
      </c>
      <c r="E27" s="488">
        <v>0</v>
      </c>
      <c r="F27" s="488">
        <v>0</v>
      </c>
      <c r="G27" s="488">
        <v>0</v>
      </c>
      <c r="H27" s="488">
        <v>0</v>
      </c>
      <c r="I27" s="488">
        <v>0</v>
      </c>
      <c r="J27" s="488">
        <v>0</v>
      </c>
      <c r="K27" s="488">
        <v>0</v>
      </c>
    </row>
    <row r="28" spans="1:11" s="489" customFormat="1" x14ac:dyDescent="0.4">
      <c r="A28" s="486" t="s">
        <v>20</v>
      </c>
      <c r="B28" s="487"/>
      <c r="C28" s="488">
        <v>24531</v>
      </c>
      <c r="D28" s="488">
        <v>24531</v>
      </c>
      <c r="E28" s="488">
        <v>25325</v>
      </c>
      <c r="F28" s="488">
        <v>25577</v>
      </c>
      <c r="G28" s="488">
        <v>25577</v>
      </c>
      <c r="H28" s="488">
        <v>37272</v>
      </c>
      <c r="I28" s="488">
        <v>25577</v>
      </c>
      <c r="J28" s="488">
        <v>24531</v>
      </c>
      <c r="K28" s="488">
        <v>24531</v>
      </c>
    </row>
    <row r="29" spans="1:11" s="493" customFormat="1" x14ac:dyDescent="0.4">
      <c r="A29" s="490" t="s">
        <v>21</v>
      </c>
      <c r="B29" s="491"/>
      <c r="C29" s="492">
        <f>SUM(C25:C28)</f>
        <v>1079358.2760000001</v>
      </c>
      <c r="D29" s="492">
        <f>SUM(D25:D28)</f>
        <v>1079358.2760000001</v>
      </c>
      <c r="E29" s="492">
        <f>SUM(E25:E28)</f>
        <v>1058695.2631999999</v>
      </c>
      <c r="F29" s="492">
        <f t="shared" ref="F29:K29" si="6">SUM(F25:F28)</f>
        <v>982931.75901200005</v>
      </c>
      <c r="G29" s="492">
        <f t="shared" si="6"/>
        <v>991408.64640000009</v>
      </c>
      <c r="H29" s="492">
        <f t="shared" si="6"/>
        <v>1003234.6637920002</v>
      </c>
      <c r="I29" s="492">
        <f t="shared" si="6"/>
        <v>1007451.3344000001</v>
      </c>
      <c r="J29" s="492">
        <f t="shared" si="6"/>
        <v>1082626.1584000003</v>
      </c>
      <c r="K29" s="492">
        <f t="shared" si="6"/>
        <v>1082626.1584000003</v>
      </c>
    </row>
    <row r="30" spans="1:11" s="493" customFormat="1" x14ac:dyDescent="0.4">
      <c r="A30" s="494" t="s">
        <v>22</v>
      </c>
      <c r="B30" s="495"/>
      <c r="C30" s="488"/>
      <c r="D30" s="488"/>
      <c r="E30" s="488"/>
      <c r="F30" s="488"/>
      <c r="G30" s="488"/>
      <c r="H30" s="488"/>
      <c r="I30" s="488"/>
      <c r="J30" s="488"/>
      <c r="K30" s="488"/>
    </row>
    <row r="31" spans="1:11" s="493" customFormat="1" x14ac:dyDescent="0.4">
      <c r="A31" s="496" t="s">
        <v>241</v>
      </c>
      <c r="B31" s="497">
        <f>320.8*1.05</f>
        <v>336.84000000000003</v>
      </c>
      <c r="C31" s="488">
        <f t="shared" ref="C31:K31" si="7">C69*$B31</f>
        <v>27957.72</v>
      </c>
      <c r="D31" s="488">
        <f t="shared" si="7"/>
        <v>27957.72</v>
      </c>
      <c r="E31" s="488">
        <f t="shared" si="7"/>
        <v>27957.72</v>
      </c>
      <c r="F31" s="488">
        <f t="shared" si="7"/>
        <v>27957.72</v>
      </c>
      <c r="G31" s="488">
        <f t="shared" si="7"/>
        <v>27957.72</v>
      </c>
      <c r="H31" s="488">
        <f t="shared" si="7"/>
        <v>27957.72</v>
      </c>
      <c r="I31" s="488">
        <f t="shared" si="7"/>
        <v>27957.72</v>
      </c>
      <c r="J31" s="488">
        <f t="shared" si="7"/>
        <v>27957.72</v>
      </c>
      <c r="K31" s="488">
        <f t="shared" si="7"/>
        <v>27957.72</v>
      </c>
    </row>
    <row r="32" spans="1:11" s="493" customFormat="1" x14ac:dyDescent="0.4">
      <c r="A32" s="496" t="s">
        <v>242</v>
      </c>
      <c r="B32" s="497">
        <f>131.11*1.06</f>
        <v>138.97660000000002</v>
      </c>
      <c r="C32" s="488">
        <f t="shared" ref="C32:K32" si="8">C69*$B32</f>
        <v>11535.057800000002</v>
      </c>
      <c r="D32" s="488">
        <f t="shared" si="8"/>
        <v>11535.057800000002</v>
      </c>
      <c r="E32" s="488">
        <f t="shared" si="8"/>
        <v>11535.057800000002</v>
      </c>
      <c r="F32" s="488">
        <f t="shared" si="8"/>
        <v>11535.057800000002</v>
      </c>
      <c r="G32" s="488">
        <f t="shared" si="8"/>
        <v>11535.057800000002</v>
      </c>
      <c r="H32" s="488">
        <f t="shared" si="8"/>
        <v>11535.057800000002</v>
      </c>
      <c r="I32" s="488">
        <f t="shared" si="8"/>
        <v>11535.057800000002</v>
      </c>
      <c r="J32" s="488">
        <f t="shared" si="8"/>
        <v>11535.057800000002</v>
      </c>
      <c r="K32" s="488">
        <f t="shared" si="8"/>
        <v>11535.057800000002</v>
      </c>
    </row>
    <row r="33" spans="1:11" s="493" customFormat="1" x14ac:dyDescent="0.4">
      <c r="A33" s="490" t="s">
        <v>23</v>
      </c>
      <c r="B33" s="498"/>
      <c r="C33" s="492">
        <f t="shared" ref="C33:K33" si="9">SUM(C31:C32)</f>
        <v>39492.777800000003</v>
      </c>
      <c r="D33" s="492">
        <f t="shared" si="9"/>
        <v>39492.777800000003</v>
      </c>
      <c r="E33" s="492">
        <f t="shared" si="9"/>
        <v>39492.777800000003</v>
      </c>
      <c r="F33" s="492">
        <f t="shared" si="9"/>
        <v>39492.777800000003</v>
      </c>
      <c r="G33" s="492">
        <f t="shared" si="9"/>
        <v>39492.777800000003</v>
      </c>
      <c r="H33" s="492">
        <f t="shared" si="9"/>
        <v>39492.777800000003</v>
      </c>
      <c r="I33" s="492">
        <f t="shared" si="9"/>
        <v>39492.777800000003</v>
      </c>
      <c r="J33" s="492">
        <f t="shared" si="9"/>
        <v>39492.777800000003</v>
      </c>
      <c r="K33" s="492">
        <f t="shared" si="9"/>
        <v>39492.777800000003</v>
      </c>
    </row>
    <row r="34" spans="1:11" s="493" customFormat="1" x14ac:dyDescent="0.4">
      <c r="A34" s="499" t="s">
        <v>200</v>
      </c>
      <c r="B34" s="500"/>
      <c r="C34" s="501"/>
      <c r="D34" s="501"/>
      <c r="E34" s="501"/>
      <c r="F34" s="501"/>
      <c r="G34" s="501"/>
      <c r="H34" s="501"/>
      <c r="I34" s="501"/>
      <c r="J34" s="501"/>
      <c r="K34" s="501"/>
    </row>
    <row r="35" spans="1:11" s="493" customFormat="1" x14ac:dyDescent="0.4">
      <c r="A35" s="486" t="s">
        <v>177</v>
      </c>
      <c r="B35" s="500"/>
      <c r="C35" s="501">
        <v>1000</v>
      </c>
      <c r="D35" s="501">
        <v>1000</v>
      </c>
      <c r="E35" s="501">
        <v>1000</v>
      </c>
      <c r="F35" s="501">
        <v>1000</v>
      </c>
      <c r="G35" s="501">
        <v>1000</v>
      </c>
      <c r="H35" s="501">
        <v>1000</v>
      </c>
      <c r="I35" s="501">
        <v>1000</v>
      </c>
      <c r="J35" s="501">
        <v>1000</v>
      </c>
      <c r="K35" s="501">
        <v>1000</v>
      </c>
    </row>
    <row r="36" spans="1:11" s="493" customFormat="1" x14ac:dyDescent="0.4">
      <c r="A36" s="486" t="s">
        <v>97</v>
      </c>
      <c r="B36" s="500"/>
      <c r="C36" s="501">
        <v>10560</v>
      </c>
      <c r="D36" s="501">
        <v>10560</v>
      </c>
      <c r="E36" s="501">
        <v>10560</v>
      </c>
      <c r="F36" s="501">
        <v>10560</v>
      </c>
      <c r="G36" s="501">
        <v>10560</v>
      </c>
      <c r="H36" s="501">
        <v>10560</v>
      </c>
      <c r="I36" s="501">
        <v>10560</v>
      </c>
      <c r="J36" s="501">
        <v>10560</v>
      </c>
      <c r="K36" s="501">
        <v>10560</v>
      </c>
    </row>
    <row r="37" spans="1:11" s="493" customFormat="1" ht="24.75" customHeight="1" x14ac:dyDescent="0.4">
      <c r="A37" s="490" t="s">
        <v>201</v>
      </c>
      <c r="B37" s="498"/>
      <c r="C37" s="492">
        <f t="shared" ref="C37:K37" si="10">SUM(C35:C36)</f>
        <v>11560</v>
      </c>
      <c r="D37" s="492">
        <f t="shared" si="10"/>
        <v>11560</v>
      </c>
      <c r="E37" s="492">
        <f t="shared" si="10"/>
        <v>11560</v>
      </c>
      <c r="F37" s="492">
        <f t="shared" si="10"/>
        <v>11560</v>
      </c>
      <c r="G37" s="492">
        <f t="shared" si="10"/>
        <v>11560</v>
      </c>
      <c r="H37" s="492">
        <f t="shared" si="10"/>
        <v>11560</v>
      </c>
      <c r="I37" s="492">
        <f t="shared" si="10"/>
        <v>11560</v>
      </c>
      <c r="J37" s="492">
        <f t="shared" si="10"/>
        <v>11560</v>
      </c>
      <c r="K37" s="492">
        <f t="shared" si="10"/>
        <v>11560</v>
      </c>
    </row>
    <row r="38" spans="1:11" s="493" customFormat="1" x14ac:dyDescent="0.4">
      <c r="A38" s="502" t="s">
        <v>27</v>
      </c>
      <c r="B38" s="503"/>
      <c r="C38" s="488"/>
      <c r="D38" s="488"/>
      <c r="E38" s="488"/>
      <c r="F38" s="488"/>
      <c r="G38" s="488"/>
      <c r="H38" s="488"/>
      <c r="I38" s="488"/>
      <c r="J38" s="488"/>
      <c r="K38" s="488"/>
    </row>
    <row r="39" spans="1:11" s="493" customFormat="1" x14ac:dyDescent="0.4">
      <c r="A39" s="486" t="s">
        <v>28</v>
      </c>
      <c r="B39" s="503"/>
      <c r="C39" s="488">
        <v>1141.6199999999999</v>
      </c>
      <c r="D39" s="488">
        <v>1141.6199999999999</v>
      </c>
      <c r="E39" s="488">
        <v>1141.6199999999999</v>
      </c>
      <c r="F39" s="488">
        <v>1141.6199999999999</v>
      </c>
      <c r="G39" s="488">
        <v>1141.6199999999999</v>
      </c>
      <c r="H39" s="488">
        <v>1141.6199999999999</v>
      </c>
      <c r="I39" s="488">
        <v>1141.6199999999999</v>
      </c>
      <c r="J39" s="488">
        <v>1141.6199999999999</v>
      </c>
      <c r="K39" s="488">
        <v>1141.6199999999999</v>
      </c>
    </row>
    <row r="40" spans="1:11" s="493" customFormat="1" x14ac:dyDescent="0.4">
      <c r="A40" s="504" t="s">
        <v>29</v>
      </c>
      <c r="B40" s="498"/>
      <c r="C40" s="492">
        <f t="shared" ref="C40:K40" si="11">SUM(C39:C39)</f>
        <v>1141.6199999999999</v>
      </c>
      <c r="D40" s="492">
        <f t="shared" si="11"/>
        <v>1141.6199999999999</v>
      </c>
      <c r="E40" s="492">
        <f t="shared" si="11"/>
        <v>1141.6199999999999</v>
      </c>
      <c r="F40" s="492">
        <f t="shared" si="11"/>
        <v>1141.6199999999999</v>
      </c>
      <c r="G40" s="492">
        <f t="shared" si="11"/>
        <v>1141.6199999999999</v>
      </c>
      <c r="H40" s="492">
        <f t="shared" si="11"/>
        <v>1141.6199999999999</v>
      </c>
      <c r="I40" s="492">
        <f t="shared" si="11"/>
        <v>1141.6199999999999</v>
      </c>
      <c r="J40" s="492">
        <f t="shared" si="11"/>
        <v>1141.6199999999999</v>
      </c>
      <c r="K40" s="492">
        <f t="shared" si="11"/>
        <v>1141.6199999999999</v>
      </c>
    </row>
    <row r="41" spans="1:11" s="493" customFormat="1" x14ac:dyDescent="0.4">
      <c r="A41" s="502" t="s">
        <v>30</v>
      </c>
      <c r="B41" s="503"/>
      <c r="C41" s="488"/>
      <c r="D41" s="488"/>
      <c r="E41" s="488"/>
      <c r="F41" s="488"/>
      <c r="G41" s="488"/>
      <c r="H41" s="488"/>
      <c r="I41" s="488"/>
      <c r="J41" s="488"/>
      <c r="K41" s="488"/>
    </row>
    <row r="42" spans="1:11" s="493" customFormat="1" x14ac:dyDescent="0.4">
      <c r="A42" s="486" t="s">
        <v>31</v>
      </c>
      <c r="B42" s="487"/>
      <c r="C42" s="488">
        <v>285.64999999999998</v>
      </c>
      <c r="D42" s="488">
        <v>285.64999999999998</v>
      </c>
      <c r="E42" s="488">
        <v>285.64999999999998</v>
      </c>
      <c r="F42" s="488">
        <v>285.64999999999998</v>
      </c>
      <c r="G42" s="488">
        <v>285.64999999999998</v>
      </c>
      <c r="H42" s="488">
        <v>285.64999999999998</v>
      </c>
      <c r="I42" s="488">
        <v>285.64999999999998</v>
      </c>
      <c r="J42" s="488">
        <v>285.64999999999998</v>
      </c>
      <c r="K42" s="488">
        <v>285.64999999999998</v>
      </c>
    </row>
    <row r="43" spans="1:11" s="493" customFormat="1" x14ac:dyDescent="0.4">
      <c r="A43" s="486" t="s">
        <v>90</v>
      </c>
      <c r="B43" s="487"/>
      <c r="C43" s="488">
        <v>0</v>
      </c>
      <c r="D43" s="488">
        <v>0</v>
      </c>
      <c r="E43" s="488">
        <v>0</v>
      </c>
      <c r="F43" s="488">
        <v>0</v>
      </c>
      <c r="G43" s="488">
        <v>0</v>
      </c>
      <c r="H43" s="488">
        <v>0</v>
      </c>
      <c r="I43" s="488">
        <v>0</v>
      </c>
      <c r="J43" s="488">
        <v>0</v>
      </c>
      <c r="K43" s="488">
        <v>0</v>
      </c>
    </row>
    <row r="44" spans="1:11" s="493" customFormat="1" x14ac:dyDescent="0.4">
      <c r="A44" s="486" t="s">
        <v>32</v>
      </c>
      <c r="B44" s="487"/>
      <c r="C44" s="488">
        <f t="shared" ref="C44:K44" si="12">1900+(104*3)</f>
        <v>2212</v>
      </c>
      <c r="D44" s="488">
        <f t="shared" si="12"/>
        <v>2212</v>
      </c>
      <c r="E44" s="488">
        <f t="shared" si="12"/>
        <v>2212</v>
      </c>
      <c r="F44" s="488">
        <f t="shared" si="12"/>
        <v>2212</v>
      </c>
      <c r="G44" s="488">
        <f t="shared" si="12"/>
        <v>2212</v>
      </c>
      <c r="H44" s="488">
        <f t="shared" si="12"/>
        <v>2212</v>
      </c>
      <c r="I44" s="488">
        <f t="shared" si="12"/>
        <v>2212</v>
      </c>
      <c r="J44" s="488">
        <f t="shared" si="12"/>
        <v>2212</v>
      </c>
      <c r="K44" s="488">
        <f t="shared" si="12"/>
        <v>2212</v>
      </c>
    </row>
    <row r="45" spans="1:11" s="493" customFormat="1" x14ac:dyDescent="0.4">
      <c r="A45" s="490" t="s">
        <v>33</v>
      </c>
      <c r="B45" s="498"/>
      <c r="C45" s="492">
        <f t="shared" ref="C45:K45" si="13">SUM(C42:C44)</f>
        <v>2497.65</v>
      </c>
      <c r="D45" s="492">
        <f t="shared" si="13"/>
        <v>2497.65</v>
      </c>
      <c r="E45" s="492">
        <f t="shared" si="13"/>
        <v>2497.65</v>
      </c>
      <c r="F45" s="492">
        <f t="shared" si="13"/>
        <v>2497.65</v>
      </c>
      <c r="G45" s="492">
        <f t="shared" si="13"/>
        <v>2497.65</v>
      </c>
      <c r="H45" s="492">
        <f t="shared" si="13"/>
        <v>2497.65</v>
      </c>
      <c r="I45" s="492">
        <f t="shared" si="13"/>
        <v>2497.65</v>
      </c>
      <c r="J45" s="492">
        <f t="shared" si="13"/>
        <v>2497.65</v>
      </c>
      <c r="K45" s="492">
        <f t="shared" si="13"/>
        <v>2497.65</v>
      </c>
    </row>
    <row r="46" spans="1:11" s="493" customFormat="1" x14ac:dyDescent="0.4">
      <c r="A46" s="505" t="s">
        <v>34</v>
      </c>
      <c r="B46" s="506"/>
      <c r="C46" s="507">
        <f t="shared" ref="C46:K46" si="14">C29+C33+C37+C40+C45</f>
        <v>1134050.3238000001</v>
      </c>
      <c r="D46" s="507">
        <f t="shared" si="14"/>
        <v>1134050.3238000001</v>
      </c>
      <c r="E46" s="507">
        <f t="shared" si="14"/>
        <v>1113387.311</v>
      </c>
      <c r="F46" s="507">
        <f t="shared" si="14"/>
        <v>1037623.8068120001</v>
      </c>
      <c r="G46" s="507">
        <f t="shared" si="14"/>
        <v>1046100.6942000001</v>
      </c>
      <c r="H46" s="507">
        <f t="shared" si="14"/>
        <v>1057926.7115920002</v>
      </c>
      <c r="I46" s="507">
        <f t="shared" si="14"/>
        <v>1062143.3822000001</v>
      </c>
      <c r="J46" s="507">
        <f t="shared" si="14"/>
        <v>1137318.2062000004</v>
      </c>
      <c r="K46" s="507">
        <f t="shared" si="14"/>
        <v>1137318.2062000004</v>
      </c>
    </row>
    <row r="47" spans="1:11" s="511" customFormat="1" x14ac:dyDescent="0.4">
      <c r="A47" s="508" t="s">
        <v>154</v>
      </c>
      <c r="B47" s="509"/>
      <c r="C47" s="510"/>
      <c r="D47" s="510"/>
      <c r="E47" s="510"/>
      <c r="F47" s="510"/>
      <c r="G47" s="510"/>
      <c r="H47" s="510"/>
      <c r="I47" s="510"/>
      <c r="J47" s="510"/>
      <c r="K47" s="510"/>
    </row>
    <row r="48" spans="1:11" s="563" customFormat="1" x14ac:dyDescent="0.4">
      <c r="A48" s="560" t="s">
        <v>25</v>
      </c>
      <c r="B48" s="561"/>
      <c r="C48" s="562">
        <v>3319.25</v>
      </c>
      <c r="D48" s="562">
        <v>3319.25</v>
      </c>
      <c r="E48" s="562">
        <v>3319.25</v>
      </c>
      <c r="F48" s="562">
        <v>3319.25</v>
      </c>
      <c r="G48" s="562">
        <v>3319.25</v>
      </c>
      <c r="H48" s="562">
        <v>3319.25</v>
      </c>
      <c r="I48" s="562">
        <v>3319.25</v>
      </c>
      <c r="J48" s="562">
        <v>3319.25</v>
      </c>
      <c r="K48" s="562">
        <v>3319.25</v>
      </c>
    </row>
    <row r="49" spans="1:11" s="563" customFormat="1" x14ac:dyDescent="0.4">
      <c r="A49" s="560" t="s">
        <v>146</v>
      </c>
      <c r="B49" s="561"/>
      <c r="C49" s="562">
        <v>0</v>
      </c>
      <c r="D49" s="562">
        <v>0</v>
      </c>
      <c r="E49" s="562">
        <v>0</v>
      </c>
      <c r="F49" s="562">
        <v>0</v>
      </c>
      <c r="G49" s="562">
        <v>0</v>
      </c>
      <c r="H49" s="562">
        <v>0</v>
      </c>
      <c r="I49" s="562">
        <v>0</v>
      </c>
      <c r="J49" s="562">
        <v>0</v>
      </c>
      <c r="K49" s="562">
        <v>0</v>
      </c>
    </row>
    <row r="50" spans="1:11" s="563" customFormat="1" x14ac:dyDescent="0.4">
      <c r="A50" s="560" t="s">
        <v>35</v>
      </c>
      <c r="B50" s="561"/>
      <c r="C50" s="562">
        <v>6600</v>
      </c>
      <c r="D50" s="562">
        <v>6600</v>
      </c>
      <c r="E50" s="562">
        <v>6600</v>
      </c>
      <c r="F50" s="562">
        <v>6600</v>
      </c>
      <c r="G50" s="562">
        <v>6600</v>
      </c>
      <c r="H50" s="562">
        <v>6600</v>
      </c>
      <c r="I50" s="562">
        <v>6600</v>
      </c>
      <c r="J50" s="562">
        <v>6600</v>
      </c>
      <c r="K50" s="562">
        <v>6600</v>
      </c>
    </row>
    <row r="51" spans="1:11" s="511" customFormat="1" x14ac:dyDescent="0.4">
      <c r="A51" s="515" t="s">
        <v>92</v>
      </c>
      <c r="B51" s="516"/>
      <c r="C51" s="514">
        <v>0</v>
      </c>
      <c r="D51" s="514">
        <v>0</v>
      </c>
      <c r="E51" s="514">
        <v>0</v>
      </c>
      <c r="F51" s="514">
        <v>0</v>
      </c>
      <c r="G51" s="514">
        <v>0</v>
      </c>
      <c r="H51" s="514">
        <v>0</v>
      </c>
      <c r="I51" s="514">
        <v>0</v>
      </c>
      <c r="J51" s="514">
        <v>0</v>
      </c>
      <c r="K51" s="514">
        <v>0</v>
      </c>
    </row>
    <row r="52" spans="1:11" s="511" customFormat="1" x14ac:dyDescent="0.4">
      <c r="A52" s="515" t="s">
        <v>274</v>
      </c>
      <c r="B52" s="516"/>
      <c r="C52" s="514">
        <v>0</v>
      </c>
      <c r="D52" s="514">
        <v>0</v>
      </c>
      <c r="E52" s="514">
        <v>0</v>
      </c>
      <c r="F52" s="514">
        <v>0</v>
      </c>
      <c r="G52" s="514">
        <v>0</v>
      </c>
      <c r="H52" s="514">
        <v>0</v>
      </c>
      <c r="I52" s="514">
        <v>0</v>
      </c>
      <c r="J52" s="514">
        <v>0</v>
      </c>
      <c r="K52" s="514">
        <v>0</v>
      </c>
    </row>
    <row r="53" spans="1:11" s="563" customFormat="1" x14ac:dyDescent="0.4">
      <c r="A53" s="560" t="s">
        <v>173</v>
      </c>
      <c r="B53" s="561"/>
      <c r="C53" s="562">
        <v>15000</v>
      </c>
      <c r="D53" s="562">
        <v>15000</v>
      </c>
      <c r="E53" s="562">
        <v>15000</v>
      </c>
      <c r="F53" s="562">
        <v>15000</v>
      </c>
      <c r="G53" s="562">
        <v>15000</v>
      </c>
      <c r="H53" s="562">
        <v>15000</v>
      </c>
      <c r="I53" s="562">
        <v>15000</v>
      </c>
      <c r="J53" s="562">
        <v>15000</v>
      </c>
      <c r="K53" s="562">
        <v>15000</v>
      </c>
    </row>
    <row r="54" spans="1:11" s="511" customFormat="1" x14ac:dyDescent="0.4">
      <c r="A54" s="512" t="s">
        <v>88</v>
      </c>
      <c r="B54" s="516"/>
      <c r="C54" s="514">
        <v>0</v>
      </c>
      <c r="D54" s="514">
        <v>0</v>
      </c>
      <c r="E54" s="514">
        <v>0</v>
      </c>
      <c r="F54" s="514">
        <v>0</v>
      </c>
      <c r="G54" s="514">
        <v>0</v>
      </c>
      <c r="H54" s="514">
        <v>0</v>
      </c>
      <c r="I54" s="514">
        <v>0</v>
      </c>
      <c r="J54" s="514">
        <v>0</v>
      </c>
      <c r="K54" s="514">
        <v>0</v>
      </c>
    </row>
    <row r="55" spans="1:11" s="563" customFormat="1" x14ac:dyDescent="0.4">
      <c r="A55" s="560" t="s">
        <v>230</v>
      </c>
      <c r="B55" s="561"/>
      <c r="C55" s="562">
        <v>3500</v>
      </c>
      <c r="D55" s="562">
        <v>3500</v>
      </c>
      <c r="E55" s="562">
        <v>3500</v>
      </c>
      <c r="F55" s="562">
        <v>3500</v>
      </c>
      <c r="G55" s="562">
        <v>3500</v>
      </c>
      <c r="H55" s="562">
        <v>3500</v>
      </c>
      <c r="I55" s="562">
        <v>3500</v>
      </c>
      <c r="J55" s="562">
        <v>3500</v>
      </c>
      <c r="K55" s="562">
        <v>3500</v>
      </c>
    </row>
    <row r="56" spans="1:11" s="511" customFormat="1" x14ac:dyDescent="0.4">
      <c r="A56" s="512" t="s">
        <v>160</v>
      </c>
      <c r="B56" s="516"/>
      <c r="C56" s="514">
        <v>0</v>
      </c>
      <c r="D56" s="514">
        <v>0</v>
      </c>
      <c r="E56" s="514">
        <v>0</v>
      </c>
      <c r="F56" s="514">
        <v>0</v>
      </c>
      <c r="G56" s="514">
        <v>0</v>
      </c>
      <c r="H56" s="514">
        <v>0</v>
      </c>
      <c r="I56" s="514">
        <v>0</v>
      </c>
      <c r="J56" s="514">
        <v>0</v>
      </c>
      <c r="K56" s="514">
        <v>0</v>
      </c>
    </row>
    <row r="57" spans="1:11" s="511" customFormat="1" x14ac:dyDescent="0.4">
      <c r="A57" s="515" t="s">
        <v>89</v>
      </c>
      <c r="B57" s="516"/>
      <c r="C57" s="514">
        <v>0</v>
      </c>
      <c r="D57" s="514">
        <v>0</v>
      </c>
      <c r="E57" s="514">
        <v>0</v>
      </c>
      <c r="F57" s="514">
        <v>0</v>
      </c>
      <c r="G57" s="514">
        <v>0</v>
      </c>
      <c r="H57" s="514">
        <v>0</v>
      </c>
      <c r="I57" s="514">
        <v>0</v>
      </c>
      <c r="J57" s="514">
        <v>0</v>
      </c>
      <c r="K57" s="514">
        <v>0</v>
      </c>
    </row>
    <row r="58" spans="1:11" s="563" customFormat="1" x14ac:dyDescent="0.4">
      <c r="A58" s="560" t="s">
        <v>250</v>
      </c>
      <c r="B58" s="561"/>
      <c r="C58" s="562">
        <f t="shared" ref="C58:K58" si="15">3*117</f>
        <v>351</v>
      </c>
      <c r="D58" s="562">
        <f t="shared" si="15"/>
        <v>351</v>
      </c>
      <c r="E58" s="562">
        <f t="shared" si="15"/>
        <v>351</v>
      </c>
      <c r="F58" s="562">
        <f t="shared" si="15"/>
        <v>351</v>
      </c>
      <c r="G58" s="562">
        <f t="shared" si="15"/>
        <v>351</v>
      </c>
      <c r="H58" s="562">
        <f t="shared" si="15"/>
        <v>351</v>
      </c>
      <c r="I58" s="562">
        <f t="shared" si="15"/>
        <v>351</v>
      </c>
      <c r="J58" s="562">
        <f t="shared" si="15"/>
        <v>351</v>
      </c>
      <c r="K58" s="562">
        <f t="shared" si="15"/>
        <v>351</v>
      </c>
    </row>
    <row r="59" spans="1:11" s="563" customFormat="1" x14ac:dyDescent="0.4">
      <c r="A59" s="560" t="s">
        <v>258</v>
      </c>
      <c r="B59" s="561">
        <v>15.8</v>
      </c>
      <c r="C59" s="562">
        <f>1800*$B$59</f>
        <v>28440</v>
      </c>
      <c r="D59" s="562">
        <f>1800*B59</f>
        <v>28440</v>
      </c>
      <c r="E59" s="562">
        <f>1800*B59</f>
        <v>28440</v>
      </c>
      <c r="F59" s="562">
        <f>1800*B59</f>
        <v>28440</v>
      </c>
      <c r="G59" s="562">
        <f>1800*B59</f>
        <v>28440</v>
      </c>
      <c r="H59" s="562">
        <f>1800*B59</f>
        <v>28440</v>
      </c>
      <c r="I59" s="562">
        <f>1800*B59</f>
        <v>28440</v>
      </c>
      <c r="J59" s="562">
        <f>1800*B59</f>
        <v>28440</v>
      </c>
      <c r="K59" s="562">
        <f>1800*B59</f>
        <v>28440</v>
      </c>
    </row>
    <row r="60" spans="1:11" s="563" customFormat="1" x14ac:dyDescent="0.4">
      <c r="A60" s="560" t="s">
        <v>36</v>
      </c>
      <c r="B60" s="561"/>
      <c r="C60" s="562">
        <v>5036.6899999999996</v>
      </c>
      <c r="D60" s="562">
        <v>5036.6899999999996</v>
      </c>
      <c r="E60" s="562">
        <v>5036.6899999999996</v>
      </c>
      <c r="F60" s="562">
        <v>5052.03</v>
      </c>
      <c r="G60" s="562">
        <v>5052.03</v>
      </c>
      <c r="H60" s="562">
        <v>5052.03</v>
      </c>
      <c r="I60" s="562">
        <v>5052.03</v>
      </c>
      <c r="J60" s="562">
        <v>5036.6899999999996</v>
      </c>
      <c r="K60" s="562">
        <v>5036.6899999999996</v>
      </c>
    </row>
    <row r="61" spans="1:11" x14ac:dyDescent="0.4">
      <c r="A61" s="333" t="s">
        <v>153</v>
      </c>
      <c r="B61" s="334"/>
      <c r="C61" s="335">
        <f t="shared" ref="C61:K61" si="16">SUM(C48:C60)</f>
        <v>62246.94</v>
      </c>
      <c r="D61" s="335">
        <f t="shared" si="16"/>
        <v>62246.94</v>
      </c>
      <c r="E61" s="335">
        <f t="shared" si="16"/>
        <v>62246.94</v>
      </c>
      <c r="F61" s="335">
        <f t="shared" si="16"/>
        <v>62262.28</v>
      </c>
      <c r="G61" s="335">
        <f t="shared" si="16"/>
        <v>62262.28</v>
      </c>
      <c r="H61" s="335">
        <f t="shared" si="16"/>
        <v>62262.28</v>
      </c>
      <c r="I61" s="335">
        <f t="shared" si="16"/>
        <v>62262.28</v>
      </c>
      <c r="J61" s="335">
        <f t="shared" si="16"/>
        <v>62246.94</v>
      </c>
      <c r="K61" s="335">
        <f t="shared" si="16"/>
        <v>62246.94</v>
      </c>
    </row>
    <row r="62" spans="1:11" x14ac:dyDescent="0.4">
      <c r="A62" s="315" t="s">
        <v>37</v>
      </c>
      <c r="B62" s="336"/>
      <c r="C62" s="337">
        <f t="shared" ref="C62:K62" si="17">SUM(C46+C61)</f>
        <v>1196297.2638000001</v>
      </c>
      <c r="D62" s="337">
        <f t="shared" si="17"/>
        <v>1196297.2638000001</v>
      </c>
      <c r="E62" s="337">
        <f t="shared" si="17"/>
        <v>1175634.2509999999</v>
      </c>
      <c r="F62" s="337">
        <f t="shared" si="17"/>
        <v>1099886.086812</v>
      </c>
      <c r="G62" s="337">
        <f t="shared" si="17"/>
        <v>1108362.9742000001</v>
      </c>
      <c r="H62" s="337">
        <f t="shared" si="17"/>
        <v>1120188.9915920002</v>
      </c>
      <c r="I62" s="337">
        <f t="shared" si="17"/>
        <v>1124405.6622000001</v>
      </c>
      <c r="J62" s="337">
        <f t="shared" si="17"/>
        <v>1199565.1462000003</v>
      </c>
      <c r="K62" s="337">
        <f t="shared" si="17"/>
        <v>1199565.1462000003</v>
      </c>
    </row>
    <row r="63" spans="1:11" x14ac:dyDescent="0.4">
      <c r="A63" s="315" t="s">
        <v>83</v>
      </c>
      <c r="B63" s="329"/>
      <c r="C63" s="316">
        <f t="shared" ref="C63:K63" si="18">(C68*(1-C70))</f>
        <v>1556250</v>
      </c>
      <c r="D63" s="316">
        <f t="shared" si="18"/>
        <v>1577000</v>
      </c>
      <c r="E63" s="316">
        <f t="shared" si="18"/>
        <v>1535500</v>
      </c>
      <c r="F63" s="316">
        <f t="shared" si="18"/>
        <v>1402700</v>
      </c>
      <c r="G63" s="316">
        <f t="shared" si="18"/>
        <v>1444200</v>
      </c>
      <c r="H63" s="316">
        <f t="shared" si="18"/>
        <v>1477400</v>
      </c>
      <c r="I63" s="316">
        <f t="shared" si="18"/>
        <v>1510600</v>
      </c>
      <c r="J63" s="316">
        <f t="shared" si="18"/>
        <v>1618500</v>
      </c>
      <c r="K63" s="316">
        <f t="shared" si="18"/>
        <v>1651700</v>
      </c>
    </row>
    <row r="64" spans="1:11" x14ac:dyDescent="0.4">
      <c r="A64" s="338" t="s">
        <v>84</v>
      </c>
      <c r="B64" s="329"/>
      <c r="C64" s="339">
        <v>0</v>
      </c>
      <c r="D64" s="339">
        <v>0</v>
      </c>
      <c r="E64" s="339">
        <v>0</v>
      </c>
      <c r="F64" s="339">
        <v>0</v>
      </c>
      <c r="G64" s="339">
        <v>0</v>
      </c>
      <c r="H64" s="339">
        <v>0</v>
      </c>
      <c r="I64" s="339">
        <v>0</v>
      </c>
      <c r="J64" s="339">
        <v>0</v>
      </c>
      <c r="K64" s="339">
        <v>0</v>
      </c>
    </row>
    <row r="65" spans="1:11" x14ac:dyDescent="0.4">
      <c r="A65" s="326" t="s">
        <v>85</v>
      </c>
      <c r="B65" s="329"/>
      <c r="C65" s="327">
        <f t="shared" ref="C65:K65" si="19">+C63+C64</f>
        <v>1556250</v>
      </c>
      <c r="D65" s="327">
        <f t="shared" si="19"/>
        <v>1577000</v>
      </c>
      <c r="E65" s="327">
        <f t="shared" si="19"/>
        <v>1535500</v>
      </c>
      <c r="F65" s="327">
        <f t="shared" si="19"/>
        <v>1402700</v>
      </c>
      <c r="G65" s="327">
        <f t="shared" si="19"/>
        <v>1444200</v>
      </c>
      <c r="H65" s="327">
        <f t="shared" si="19"/>
        <v>1477400</v>
      </c>
      <c r="I65" s="327">
        <f t="shared" si="19"/>
        <v>1510600</v>
      </c>
      <c r="J65" s="327">
        <f t="shared" si="19"/>
        <v>1618500</v>
      </c>
      <c r="K65" s="327">
        <f t="shared" si="19"/>
        <v>1651700</v>
      </c>
    </row>
    <row r="66" spans="1:11" x14ac:dyDescent="0.4">
      <c r="A66" s="340" t="s">
        <v>38</v>
      </c>
      <c r="B66" s="260"/>
      <c r="C66" s="327">
        <f t="shared" ref="C66:K66" si="20">C65-C62</f>
        <v>359952.73619999993</v>
      </c>
      <c r="D66" s="327">
        <f t="shared" si="20"/>
        <v>380702.73619999993</v>
      </c>
      <c r="E66" s="327">
        <f t="shared" si="20"/>
        <v>359865.74900000007</v>
      </c>
      <c r="F66" s="327">
        <f t="shared" si="20"/>
        <v>302813.91318799998</v>
      </c>
      <c r="G66" s="327">
        <f t="shared" si="20"/>
        <v>335837.02579999994</v>
      </c>
      <c r="H66" s="327">
        <f t="shared" si="20"/>
        <v>357211.00840799976</v>
      </c>
      <c r="I66" s="327">
        <f t="shared" si="20"/>
        <v>386194.33779999986</v>
      </c>
      <c r="J66" s="327">
        <f t="shared" si="20"/>
        <v>418934.85379999969</v>
      </c>
      <c r="K66" s="327">
        <f t="shared" si="20"/>
        <v>452134.85379999969</v>
      </c>
    </row>
    <row r="67" spans="1:11" x14ac:dyDescent="0.4">
      <c r="A67" s="341" t="s">
        <v>39</v>
      </c>
      <c r="B67" s="342"/>
      <c r="C67" s="343">
        <f t="shared" ref="C67:K67" si="21">(C65-C62)/C65</f>
        <v>0.23129493089156622</v>
      </c>
      <c r="D67" s="343">
        <f t="shared" si="21"/>
        <v>0.24140947127457194</v>
      </c>
      <c r="E67" s="343">
        <f t="shared" si="21"/>
        <v>0.23436388733311631</v>
      </c>
      <c r="F67" s="343">
        <f t="shared" si="21"/>
        <v>0.2158793136009125</v>
      </c>
      <c r="G67" s="343">
        <f t="shared" si="21"/>
        <v>0.2325419095693117</v>
      </c>
      <c r="H67" s="343">
        <f t="shared" si="21"/>
        <v>0.24178354434005669</v>
      </c>
      <c r="I67" s="343">
        <f t="shared" si="21"/>
        <v>0.25565625433602535</v>
      </c>
      <c r="J67" s="343">
        <f t="shared" si="21"/>
        <v>0.2588414295953041</v>
      </c>
      <c r="K67" s="343">
        <f t="shared" si="21"/>
        <v>0.27373908930193114</v>
      </c>
    </row>
    <row r="68" spans="1:11" x14ac:dyDescent="0.4">
      <c r="A68" s="344" t="s">
        <v>261</v>
      </c>
      <c r="B68" s="345"/>
      <c r="C68" s="346">
        <v>1875000</v>
      </c>
      <c r="D68" s="346">
        <v>1900000</v>
      </c>
      <c r="E68" s="346">
        <v>1850000</v>
      </c>
      <c r="F68" s="346">
        <v>1690000</v>
      </c>
      <c r="G68" s="346">
        <v>1740000</v>
      </c>
      <c r="H68" s="346">
        <v>1780000</v>
      </c>
      <c r="I68" s="346">
        <v>1820000</v>
      </c>
      <c r="J68" s="346">
        <v>1950000</v>
      </c>
      <c r="K68" s="346">
        <v>1990000</v>
      </c>
    </row>
    <row r="69" spans="1:11" x14ac:dyDescent="0.4">
      <c r="A69" s="332" t="s">
        <v>40</v>
      </c>
      <c r="B69" s="347"/>
      <c r="C69" s="348">
        <v>83</v>
      </c>
      <c r="D69" s="348">
        <v>83</v>
      </c>
      <c r="E69" s="348">
        <v>83</v>
      </c>
      <c r="F69" s="348">
        <v>83</v>
      </c>
      <c r="G69" s="348">
        <v>83</v>
      </c>
      <c r="H69" s="348">
        <v>83</v>
      </c>
      <c r="I69" s="348">
        <v>83</v>
      </c>
      <c r="J69" s="348">
        <v>83</v>
      </c>
      <c r="K69" s="348">
        <v>83</v>
      </c>
    </row>
    <row r="70" spans="1:11" x14ac:dyDescent="0.4">
      <c r="A70" s="349" t="s">
        <v>95</v>
      </c>
      <c r="B70" s="350"/>
      <c r="C70" s="351">
        <v>0.17</v>
      </c>
      <c r="D70" s="351">
        <v>0.17</v>
      </c>
      <c r="E70" s="351">
        <v>0.17</v>
      </c>
      <c r="F70" s="351">
        <v>0.17</v>
      </c>
      <c r="G70" s="351">
        <v>0.17</v>
      </c>
      <c r="H70" s="351">
        <v>0.17</v>
      </c>
      <c r="I70" s="351">
        <v>0.17</v>
      </c>
      <c r="J70" s="351">
        <v>0.17</v>
      </c>
      <c r="K70" s="351">
        <v>0.17</v>
      </c>
    </row>
    <row r="71" spans="1:11" x14ac:dyDescent="0.4">
      <c r="A71" s="352" t="s">
        <v>263</v>
      </c>
      <c r="B71" s="289"/>
      <c r="C71" s="289"/>
      <c r="D71" s="289"/>
      <c r="E71" s="289"/>
      <c r="F71" s="289"/>
      <c r="G71" s="289"/>
      <c r="H71" s="289"/>
      <c r="I71" s="289"/>
      <c r="J71" s="289"/>
      <c r="K71" s="289"/>
    </row>
    <row r="72" spans="1:11" x14ac:dyDescent="0.4">
      <c r="A72" s="352"/>
      <c r="B72" s="289"/>
      <c r="C72" s="289"/>
      <c r="D72" s="289"/>
      <c r="E72" s="289"/>
      <c r="F72" s="289"/>
      <c r="G72" s="289"/>
      <c r="H72" s="289"/>
      <c r="I72" s="289"/>
      <c r="J72" s="289"/>
      <c r="K72" s="289"/>
    </row>
    <row r="73" spans="1:11" x14ac:dyDescent="0.4">
      <c r="A73" s="352"/>
      <c r="B73" s="289"/>
      <c r="C73" s="289"/>
      <c r="D73" s="289"/>
      <c r="E73" s="289"/>
      <c r="F73" s="289"/>
      <c r="G73" s="289"/>
      <c r="H73" s="289"/>
      <c r="I73" s="289"/>
      <c r="J73" s="289"/>
      <c r="K73" s="289"/>
    </row>
    <row r="180" spans="5:5" x14ac:dyDescent="0.4"/>
    <row r="246" spans="5:5" x14ac:dyDescent="0.4"/>
    <row r="313" spans="5:5" x14ac:dyDescent="0.4"/>
    <row r="379" spans="5:5" x14ac:dyDescent="0.4"/>
    <row r="445" spans="5:5" x14ac:dyDescent="0.4"/>
    <row r="511" spans="5:5" x14ac:dyDescent="0.4"/>
  </sheetData>
  <pageMargins left="0.70866141732283472" right="0.70866141732283472" top="0.74803149606299213" bottom="0.74803149606299213" header="0.31496062992125984" footer="0.31496062992125984"/>
  <pageSetup paperSize="9" scale="4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0.39997558519241921"/>
    <pageSetUpPr fitToPage="1"/>
  </sheetPr>
  <dimension ref="A1:C66"/>
  <sheetViews>
    <sheetView zoomScale="55" zoomScaleNormal="55" workbookViewId="0">
      <selection activeCell="C10" sqref="C10"/>
    </sheetView>
  </sheetViews>
  <sheetFormatPr defaultColWidth="9.109375" defaultRowHeight="21" x14ac:dyDescent="0.4"/>
  <cols>
    <col min="1" max="1" width="116.44140625" style="323" bestFit="1" customWidth="1"/>
    <col min="2" max="2" width="14.88671875" style="323" customWidth="1"/>
    <col min="3" max="3" width="25.6640625" style="323" customWidth="1"/>
    <col min="4" max="16384" width="9.109375" style="323"/>
  </cols>
  <sheetData>
    <row r="1" spans="1:3" x14ac:dyDescent="0.4">
      <c r="A1" s="286" t="s">
        <v>268</v>
      </c>
      <c r="B1" s="369"/>
      <c r="C1" s="370" t="s">
        <v>98</v>
      </c>
    </row>
    <row r="2" spans="1:3" s="289" customFormat="1" x14ac:dyDescent="0.4">
      <c r="C2" s="371" t="s">
        <v>41</v>
      </c>
    </row>
    <row r="3" spans="1:3" s="289" customFormat="1" x14ac:dyDescent="0.4">
      <c r="C3" s="371"/>
    </row>
    <row r="4" spans="1:3" s="289" customFormat="1" x14ac:dyDescent="0.4">
      <c r="A4" s="286" t="s">
        <v>234</v>
      </c>
      <c r="C4" s="387">
        <v>0.51100000000000001</v>
      </c>
    </row>
    <row r="5" spans="1:3" s="289" customFormat="1" x14ac:dyDescent="0.4">
      <c r="A5" s="286" t="s">
        <v>233</v>
      </c>
      <c r="C5" s="387">
        <v>0.61099999999999999</v>
      </c>
    </row>
    <row r="6" spans="1:3" s="289" customFormat="1" x14ac:dyDescent="0.4">
      <c r="C6" s="371"/>
    </row>
    <row r="7" spans="1:3" s="289" customFormat="1" x14ac:dyDescent="0.4">
      <c r="A7" s="297" t="s">
        <v>2</v>
      </c>
      <c r="B7" s="369"/>
      <c r="C7" s="371" t="s">
        <v>42</v>
      </c>
    </row>
    <row r="8" spans="1:3" s="289" customFormat="1" x14ac:dyDescent="0.4">
      <c r="A8" s="297" t="s">
        <v>253</v>
      </c>
      <c r="B8" s="369"/>
      <c r="C8" s="371" t="s">
        <v>43</v>
      </c>
    </row>
    <row r="9" spans="1:3" s="289" customFormat="1" x14ac:dyDescent="0.4">
      <c r="A9" s="300" t="s">
        <v>262</v>
      </c>
      <c r="B9" s="373"/>
      <c r="C9" s="371" t="s">
        <v>45</v>
      </c>
    </row>
    <row r="10" spans="1:3" s="289" customFormat="1" ht="24.9" customHeight="1" x14ac:dyDescent="0.4">
      <c r="A10" s="374" t="s">
        <v>46</v>
      </c>
      <c r="B10" s="375"/>
      <c r="C10" s="376" t="s">
        <v>47</v>
      </c>
    </row>
    <row r="11" spans="1:3" s="289" customFormat="1" x14ac:dyDescent="0.4">
      <c r="A11" s="377" t="s">
        <v>48</v>
      </c>
      <c r="B11" s="378"/>
      <c r="C11" s="379" t="s">
        <v>147</v>
      </c>
    </row>
    <row r="12" spans="1:3" s="289" customFormat="1" x14ac:dyDescent="0.4">
      <c r="A12" s="377" t="s">
        <v>10</v>
      </c>
      <c r="B12" s="377"/>
      <c r="C12" s="379" t="s">
        <v>11</v>
      </c>
    </row>
    <row r="13" spans="1:3" s="289" customFormat="1" x14ac:dyDescent="0.4">
      <c r="A13" s="303" t="s">
        <v>50</v>
      </c>
      <c r="B13" s="303"/>
      <c r="C13" s="380">
        <v>5775</v>
      </c>
    </row>
    <row r="14" spans="1:3" s="289" customFormat="1" x14ac:dyDescent="0.4">
      <c r="A14" s="305" t="s">
        <v>235</v>
      </c>
      <c r="B14" s="306"/>
      <c r="C14" s="361">
        <v>82650</v>
      </c>
    </row>
    <row r="15" spans="1:3" s="289" customFormat="1" x14ac:dyDescent="0.4">
      <c r="A15" s="317" t="s">
        <v>236</v>
      </c>
      <c r="B15" s="312"/>
      <c r="C15" s="363">
        <f>10154+159</f>
        <v>10313</v>
      </c>
    </row>
    <row r="16" spans="1:3" s="294" customFormat="1" x14ac:dyDescent="0.4">
      <c r="A16" s="365" t="s">
        <v>240</v>
      </c>
      <c r="B16" s="381"/>
      <c r="C16" s="478">
        <f>SUM(C14:C15)</f>
        <v>92963</v>
      </c>
    </row>
    <row r="17" spans="1:3" s="289" customFormat="1" x14ac:dyDescent="0.4">
      <c r="A17" s="317" t="s">
        <v>237</v>
      </c>
      <c r="B17" s="312"/>
      <c r="C17" s="363">
        <f>C14*(1-C4)</f>
        <v>40415.85</v>
      </c>
    </row>
    <row r="18" spans="1:3" s="289" customFormat="1" x14ac:dyDescent="0.4">
      <c r="A18" s="308" t="s">
        <v>238</v>
      </c>
      <c r="B18" s="312"/>
      <c r="C18" s="364">
        <f>C15*(1-C5)</f>
        <v>4011.7570000000001</v>
      </c>
    </row>
    <row r="19" spans="1:3" s="294" customFormat="1" x14ac:dyDescent="0.4">
      <c r="A19" s="311" t="s">
        <v>239</v>
      </c>
      <c r="B19" s="381"/>
      <c r="C19" s="479">
        <f>SUM(C17:C18)</f>
        <v>44427.606999999996</v>
      </c>
    </row>
    <row r="20" spans="1:3" s="493" customFormat="1" x14ac:dyDescent="0.4">
      <c r="A20" s="496" t="s">
        <v>16</v>
      </c>
      <c r="B20" s="487"/>
      <c r="C20" s="564">
        <v>1335</v>
      </c>
    </row>
    <row r="21" spans="1:3" s="289" customFormat="1" x14ac:dyDescent="0.4">
      <c r="A21" s="308" t="s">
        <v>17</v>
      </c>
      <c r="B21" s="312"/>
      <c r="C21" s="364">
        <f>SUM(C19:C20)</f>
        <v>45762.606999999996</v>
      </c>
    </row>
    <row r="22" spans="1:3" s="570" customFormat="1" x14ac:dyDescent="0.4">
      <c r="A22" s="567" t="s">
        <v>18</v>
      </c>
      <c r="B22" s="568">
        <v>15.8</v>
      </c>
      <c r="C22" s="569">
        <f>C21*$B22</f>
        <v>723049.19059999997</v>
      </c>
    </row>
    <row r="23" spans="1:3" s="493" customFormat="1" x14ac:dyDescent="0.4">
      <c r="A23" s="496" t="s">
        <v>52</v>
      </c>
      <c r="B23" s="503"/>
      <c r="C23" s="488">
        <v>57600</v>
      </c>
    </row>
    <row r="24" spans="1:3" s="493" customFormat="1" x14ac:dyDescent="0.4">
      <c r="A24" s="496" t="s">
        <v>19</v>
      </c>
      <c r="B24" s="503"/>
      <c r="C24" s="488">
        <v>38930</v>
      </c>
    </row>
    <row r="25" spans="1:3" s="493" customFormat="1" x14ac:dyDescent="0.4">
      <c r="A25" s="496" t="s">
        <v>20</v>
      </c>
      <c r="B25" s="503"/>
      <c r="C25" s="488">
        <v>15455</v>
      </c>
    </row>
    <row r="26" spans="1:3" s="493" customFormat="1" x14ac:dyDescent="0.4">
      <c r="A26" s="490" t="s">
        <v>21</v>
      </c>
      <c r="B26" s="498"/>
      <c r="C26" s="492">
        <f>SUM(C22:C25)</f>
        <v>835034.19059999997</v>
      </c>
    </row>
    <row r="27" spans="1:3" s="493" customFormat="1" x14ac:dyDescent="0.4">
      <c r="A27" s="499" t="s">
        <v>22</v>
      </c>
      <c r="B27" s="495"/>
      <c r="C27" s="488"/>
    </row>
    <row r="28" spans="1:3" s="493" customFormat="1" x14ac:dyDescent="0.4">
      <c r="A28" s="496" t="s">
        <v>241</v>
      </c>
      <c r="B28" s="497">
        <f>320.8*1.05</f>
        <v>336.84000000000003</v>
      </c>
      <c r="C28" s="488">
        <f>C64*$B28</f>
        <v>28631.4</v>
      </c>
    </row>
    <row r="29" spans="1:3" s="493" customFormat="1" x14ac:dyDescent="0.4">
      <c r="A29" s="496" t="s">
        <v>242</v>
      </c>
      <c r="B29" s="497">
        <f>131.11*1.06</f>
        <v>138.97660000000002</v>
      </c>
      <c r="C29" s="488">
        <f>C64*$B29</f>
        <v>11813.011000000002</v>
      </c>
    </row>
    <row r="30" spans="1:3" s="493" customFormat="1" x14ac:dyDescent="0.4">
      <c r="A30" s="490" t="s">
        <v>23</v>
      </c>
      <c r="B30" s="498"/>
      <c r="C30" s="492">
        <f>SUM(C28:C29)</f>
        <v>40444.411000000007</v>
      </c>
    </row>
    <row r="31" spans="1:3" s="493" customFormat="1" x14ac:dyDescent="0.4">
      <c r="A31" s="499" t="s">
        <v>200</v>
      </c>
      <c r="B31" s="500"/>
      <c r="C31" s="501"/>
    </row>
    <row r="32" spans="1:3" s="493" customFormat="1" x14ac:dyDescent="0.4">
      <c r="A32" s="496" t="s">
        <v>177</v>
      </c>
      <c r="B32" s="503"/>
      <c r="C32" s="488">
        <v>1000</v>
      </c>
    </row>
    <row r="33" spans="1:3" s="493" customFormat="1" x14ac:dyDescent="0.4">
      <c r="A33" s="496" t="s">
        <v>97</v>
      </c>
      <c r="B33" s="503"/>
      <c r="C33" s="488">
        <v>10560</v>
      </c>
    </row>
    <row r="34" spans="1:3" s="493" customFormat="1" x14ac:dyDescent="0.4">
      <c r="A34" s="490" t="s">
        <v>201</v>
      </c>
      <c r="B34" s="498"/>
      <c r="C34" s="492">
        <f>SUM(C32:C33)</f>
        <v>11560</v>
      </c>
    </row>
    <row r="35" spans="1:3" s="493" customFormat="1" x14ac:dyDescent="0.4">
      <c r="A35" s="565" t="s">
        <v>27</v>
      </c>
      <c r="B35" s="503"/>
      <c r="C35" s="488"/>
    </row>
    <row r="36" spans="1:3" s="493" customFormat="1" x14ac:dyDescent="0.4">
      <c r="A36" s="486" t="s">
        <v>28</v>
      </c>
      <c r="B36" s="503"/>
      <c r="C36" s="488">
        <v>1141.6199999999999</v>
      </c>
    </row>
    <row r="37" spans="1:3" s="493" customFormat="1" x14ac:dyDescent="0.4">
      <c r="A37" s="490" t="s">
        <v>29</v>
      </c>
      <c r="B37" s="498"/>
      <c r="C37" s="492">
        <f>SUM(C36:C36)</f>
        <v>1141.6199999999999</v>
      </c>
    </row>
    <row r="38" spans="1:3" s="493" customFormat="1" x14ac:dyDescent="0.4">
      <c r="A38" s="565" t="s">
        <v>30</v>
      </c>
      <c r="B38" s="503"/>
      <c r="C38" s="488"/>
    </row>
    <row r="39" spans="1:3" s="493" customFormat="1" x14ac:dyDescent="0.4">
      <c r="A39" s="566" t="s">
        <v>31</v>
      </c>
      <c r="B39" s="487"/>
      <c r="C39" s="488">
        <v>285.64999999999998</v>
      </c>
    </row>
    <row r="40" spans="1:3" s="493" customFormat="1" x14ac:dyDescent="0.4">
      <c r="A40" s="566" t="s">
        <v>90</v>
      </c>
      <c r="B40" s="487"/>
      <c r="C40" s="488">
        <v>0</v>
      </c>
    </row>
    <row r="41" spans="1:3" s="493" customFormat="1" x14ac:dyDescent="0.4">
      <c r="A41" s="566" t="s">
        <v>32</v>
      </c>
      <c r="B41" s="487"/>
      <c r="C41" s="488">
        <f>1900+(104*3)</f>
        <v>2212</v>
      </c>
    </row>
    <row r="42" spans="1:3" s="493" customFormat="1" x14ac:dyDescent="0.4">
      <c r="A42" s="490" t="s">
        <v>33</v>
      </c>
      <c r="B42" s="498" t="s">
        <v>53</v>
      </c>
      <c r="C42" s="492">
        <f>SUM(C39:C41)</f>
        <v>2497.65</v>
      </c>
    </row>
    <row r="43" spans="1:3" s="493" customFormat="1" x14ac:dyDescent="0.4">
      <c r="A43" s="505" t="s">
        <v>34</v>
      </c>
      <c r="B43" s="506"/>
      <c r="C43" s="507">
        <f>C26+C30+C37+C42+C34</f>
        <v>890677.87159999995</v>
      </c>
    </row>
    <row r="44" spans="1:3" s="511" customFormat="1" x14ac:dyDescent="0.4">
      <c r="A44" s="508" t="s">
        <v>154</v>
      </c>
      <c r="B44" s="509"/>
      <c r="C44" s="510"/>
    </row>
    <row r="45" spans="1:3" s="511" customFormat="1" x14ac:dyDescent="0.4">
      <c r="A45" s="517" t="s">
        <v>25</v>
      </c>
      <c r="B45" s="513"/>
      <c r="C45" s="514">
        <v>3089.55</v>
      </c>
    </row>
    <row r="46" spans="1:3" s="511" customFormat="1" x14ac:dyDescent="0.4">
      <c r="A46" s="517" t="s">
        <v>35</v>
      </c>
      <c r="B46" s="516"/>
      <c r="C46" s="514">
        <v>6600</v>
      </c>
    </row>
    <row r="47" spans="1:3" s="511" customFormat="1" x14ac:dyDescent="0.4">
      <c r="A47" s="517" t="s">
        <v>92</v>
      </c>
      <c r="B47" s="516"/>
      <c r="C47" s="514">
        <v>0</v>
      </c>
    </row>
    <row r="48" spans="1:3" s="511" customFormat="1" x14ac:dyDescent="0.4">
      <c r="A48" s="517" t="s">
        <v>93</v>
      </c>
      <c r="B48" s="516"/>
      <c r="C48" s="514">
        <v>0</v>
      </c>
    </row>
    <row r="49" spans="1:3" s="511" customFormat="1" x14ac:dyDescent="0.4">
      <c r="A49" s="517" t="s">
        <v>173</v>
      </c>
      <c r="B49" s="516"/>
      <c r="C49" s="514">
        <v>15000</v>
      </c>
    </row>
    <row r="50" spans="1:3" s="511" customFormat="1" x14ac:dyDescent="0.4">
      <c r="A50" s="517" t="s">
        <v>88</v>
      </c>
      <c r="B50" s="516"/>
      <c r="C50" s="514">
        <v>0</v>
      </c>
    </row>
    <row r="51" spans="1:3" s="511" customFormat="1" x14ac:dyDescent="0.4">
      <c r="A51" s="517" t="s">
        <v>230</v>
      </c>
      <c r="B51" s="516"/>
      <c r="C51" s="514">
        <v>3500</v>
      </c>
    </row>
    <row r="52" spans="1:3" s="511" customFormat="1" x14ac:dyDescent="0.4">
      <c r="A52" s="517" t="s">
        <v>250</v>
      </c>
      <c r="B52" s="571"/>
      <c r="C52" s="514">
        <f>3*117</f>
        <v>351</v>
      </c>
    </row>
    <row r="53" spans="1:3" s="511" customFormat="1" x14ac:dyDescent="0.4">
      <c r="A53" s="517" t="s">
        <v>259</v>
      </c>
      <c r="B53" s="571"/>
      <c r="C53" s="514">
        <v>0</v>
      </c>
    </row>
    <row r="54" spans="1:3" s="511" customFormat="1" x14ac:dyDescent="0.4">
      <c r="A54" s="517" t="s">
        <v>89</v>
      </c>
      <c r="B54" s="516"/>
      <c r="C54" s="514">
        <v>0</v>
      </c>
    </row>
    <row r="55" spans="1:3" s="511" customFormat="1" x14ac:dyDescent="0.4">
      <c r="A55" s="517" t="s">
        <v>54</v>
      </c>
      <c r="B55" s="516"/>
      <c r="C55" s="514">
        <v>14712.13</v>
      </c>
    </row>
    <row r="56" spans="1:3" s="574" customFormat="1" x14ac:dyDescent="0.4">
      <c r="A56" s="572" t="s">
        <v>153</v>
      </c>
      <c r="B56" s="334"/>
      <c r="C56" s="573">
        <f>SUM(C45:C55)</f>
        <v>43252.68</v>
      </c>
    </row>
    <row r="57" spans="1:3" x14ac:dyDescent="0.4">
      <c r="A57" s="315" t="s">
        <v>37</v>
      </c>
      <c r="B57" s="384"/>
      <c r="C57" s="316">
        <f>SUM(C43+C56)</f>
        <v>933930.55160000001</v>
      </c>
    </row>
    <row r="58" spans="1:3" x14ac:dyDescent="0.4">
      <c r="A58" s="315" t="s">
        <v>83</v>
      </c>
      <c r="B58" s="260"/>
      <c r="C58" s="316">
        <f>(C63*(1-C65))</f>
        <v>1145400</v>
      </c>
    </row>
    <row r="59" spans="1:3" x14ac:dyDescent="0.4">
      <c r="A59" s="326" t="s">
        <v>84</v>
      </c>
      <c r="B59" s="260"/>
      <c r="C59" s="366">
        <v>0</v>
      </c>
    </row>
    <row r="60" spans="1:3" x14ac:dyDescent="0.4">
      <c r="A60" s="326" t="s">
        <v>85</v>
      </c>
      <c r="B60" s="260"/>
      <c r="C60" s="366">
        <f>+C58+C59</f>
        <v>1145400</v>
      </c>
    </row>
    <row r="61" spans="1:3" x14ac:dyDescent="0.4">
      <c r="A61" s="340" t="s">
        <v>38</v>
      </c>
      <c r="B61" s="260"/>
      <c r="C61" s="366">
        <f>C60-C57</f>
        <v>211469.44839999999</v>
      </c>
    </row>
    <row r="62" spans="1:3" x14ac:dyDescent="0.4">
      <c r="A62" s="315" t="s">
        <v>39</v>
      </c>
      <c r="B62" s="260"/>
      <c r="C62" s="367">
        <f>(C60-C57)/C60</f>
        <v>0.18462497677667189</v>
      </c>
    </row>
    <row r="63" spans="1:3" x14ac:dyDescent="0.4">
      <c r="A63" s="386" t="s">
        <v>261</v>
      </c>
      <c r="B63" s="345"/>
      <c r="C63" s="368">
        <v>1380000</v>
      </c>
    </row>
    <row r="64" spans="1:3" x14ac:dyDescent="0.4">
      <c r="A64" s="332" t="s">
        <v>40</v>
      </c>
      <c r="B64" s="350"/>
      <c r="C64" s="348">
        <v>85</v>
      </c>
    </row>
    <row r="65" spans="1:3" x14ac:dyDescent="0.4">
      <c r="A65" s="349" t="s">
        <v>95</v>
      </c>
      <c r="B65" s="350"/>
      <c r="C65" s="351">
        <v>0.17</v>
      </c>
    </row>
    <row r="66" spans="1:3" x14ac:dyDescent="0.4">
      <c r="A66" s="352" t="s">
        <v>263</v>
      </c>
      <c r="B66" s="369"/>
      <c r="C66" s="369"/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39997558519241921"/>
    <pageSetUpPr fitToPage="1"/>
  </sheetPr>
  <dimension ref="A1:F87"/>
  <sheetViews>
    <sheetView zoomScale="55" zoomScaleNormal="55" workbookViewId="0">
      <selection activeCell="C11" sqref="C11:E11"/>
    </sheetView>
  </sheetViews>
  <sheetFormatPr defaultColWidth="9.109375" defaultRowHeight="21" x14ac:dyDescent="0.4"/>
  <cols>
    <col min="1" max="1" width="122.6640625" style="323" bestFit="1" customWidth="1"/>
    <col min="2" max="2" width="12.5546875" style="323" bestFit="1" customWidth="1"/>
    <col min="3" max="5" width="25.6640625" style="323" customWidth="1"/>
    <col min="6" max="6" width="2.5546875" style="323" customWidth="1"/>
    <col min="7" max="16384" width="9.109375" style="323"/>
  </cols>
  <sheetData>
    <row r="1" spans="1:6" x14ac:dyDescent="0.4">
      <c r="A1" s="289"/>
      <c r="B1" s="289"/>
      <c r="C1" s="371" t="s">
        <v>140</v>
      </c>
      <c r="D1" s="371" t="s">
        <v>142</v>
      </c>
      <c r="E1" s="371" t="s">
        <v>141</v>
      </c>
    </row>
    <row r="2" spans="1:6" x14ac:dyDescent="0.4">
      <c r="A2" s="286" t="s">
        <v>260</v>
      </c>
      <c r="B2" s="369"/>
      <c r="C2" s="371" t="s">
        <v>55</v>
      </c>
      <c r="D2" s="371" t="s">
        <v>145</v>
      </c>
      <c r="E2" s="371" t="s">
        <v>145</v>
      </c>
    </row>
    <row r="3" spans="1:6" x14ac:dyDescent="0.4">
      <c r="A3" s="286"/>
      <c r="B3" s="369"/>
      <c r="C3" s="371"/>
      <c r="D3" s="371"/>
      <c r="E3" s="371"/>
    </row>
    <row r="4" spans="1:6" x14ac:dyDescent="0.4">
      <c r="A4" s="292" t="s">
        <v>234</v>
      </c>
      <c r="B4" s="292"/>
      <c r="C4" s="293">
        <v>0.44400000000000001</v>
      </c>
      <c r="D4" s="293">
        <v>0.38</v>
      </c>
      <c r="E4" s="293">
        <v>0.38</v>
      </c>
    </row>
    <row r="5" spans="1:6" x14ac:dyDescent="0.4">
      <c r="A5" s="292" t="s">
        <v>233</v>
      </c>
      <c r="B5" s="292"/>
      <c r="C5" s="293">
        <v>0.44400000000000001</v>
      </c>
      <c r="D5" s="293">
        <v>0.38</v>
      </c>
      <c r="E5" s="293">
        <v>0.38</v>
      </c>
      <c r="F5" s="391"/>
    </row>
    <row r="6" spans="1:6" x14ac:dyDescent="0.4">
      <c r="A6" s="286"/>
      <c r="B6" s="369"/>
      <c r="C6" s="371"/>
      <c r="D6" s="371"/>
      <c r="E6" s="371"/>
      <c r="F6" s="391"/>
    </row>
    <row r="7" spans="1:6" ht="24.9" customHeight="1" x14ac:dyDescent="0.4">
      <c r="A7" s="286"/>
      <c r="B7" s="369"/>
      <c r="C7" s="371" t="s">
        <v>58</v>
      </c>
      <c r="D7" s="371" t="s">
        <v>59</v>
      </c>
      <c r="E7" s="371" t="s">
        <v>59</v>
      </c>
    </row>
    <row r="8" spans="1:6" x14ac:dyDescent="0.4">
      <c r="A8" s="372" t="s">
        <v>2</v>
      </c>
      <c r="B8" s="369"/>
      <c r="C8" s="371" t="s">
        <v>60</v>
      </c>
      <c r="D8" s="371" t="s">
        <v>61</v>
      </c>
      <c r="E8" s="371" t="s">
        <v>62</v>
      </c>
    </row>
    <row r="9" spans="1:6" x14ac:dyDescent="0.4">
      <c r="A9" s="297" t="s">
        <v>253</v>
      </c>
      <c r="B9" s="332"/>
      <c r="C9" s="371" t="s">
        <v>56</v>
      </c>
      <c r="D9" s="371" t="s">
        <v>57</v>
      </c>
      <c r="E9" s="371" t="s">
        <v>57</v>
      </c>
    </row>
    <row r="10" spans="1:6" x14ac:dyDescent="0.4">
      <c r="A10" s="300" t="s">
        <v>262</v>
      </c>
      <c r="B10" s="389"/>
      <c r="C10" s="371" t="s">
        <v>44</v>
      </c>
      <c r="D10" s="371" t="s">
        <v>44</v>
      </c>
      <c r="E10" s="371" t="s">
        <v>63</v>
      </c>
    </row>
    <row r="11" spans="1:6" x14ac:dyDescent="0.4">
      <c r="A11" s="374" t="s">
        <v>46</v>
      </c>
      <c r="B11" s="356"/>
      <c r="C11" s="356" t="s">
        <v>64</v>
      </c>
      <c r="D11" s="356" t="s">
        <v>65</v>
      </c>
      <c r="E11" s="356" t="s">
        <v>66</v>
      </c>
    </row>
    <row r="12" spans="1:6" x14ac:dyDescent="0.4">
      <c r="A12" s="377" t="s">
        <v>48</v>
      </c>
      <c r="B12" s="358"/>
      <c r="C12" s="358" t="s">
        <v>67</v>
      </c>
      <c r="D12" s="358" t="s">
        <v>68</v>
      </c>
      <c r="E12" s="358" t="s">
        <v>69</v>
      </c>
    </row>
    <row r="13" spans="1:6" x14ac:dyDescent="0.4">
      <c r="A13" s="303" t="s">
        <v>10</v>
      </c>
      <c r="B13" s="304"/>
      <c r="C13" s="304" t="s">
        <v>49</v>
      </c>
      <c r="D13" s="304" t="s">
        <v>49</v>
      </c>
      <c r="E13" s="304" t="s">
        <v>49</v>
      </c>
    </row>
    <row r="14" spans="1:6" x14ac:dyDescent="0.4">
      <c r="A14" s="305" t="s">
        <v>235</v>
      </c>
      <c r="B14" s="392"/>
      <c r="C14" s="413">
        <v>40630</v>
      </c>
      <c r="D14" s="414">
        <v>58740</v>
      </c>
      <c r="E14" s="415">
        <v>59709.999999999993</v>
      </c>
    </row>
    <row r="15" spans="1:6" x14ac:dyDescent="0.4">
      <c r="A15" s="317" t="s">
        <v>236</v>
      </c>
      <c r="B15" s="321"/>
      <c r="C15" s="393">
        <v>0</v>
      </c>
      <c r="D15" s="394">
        <v>0</v>
      </c>
      <c r="E15" s="395">
        <v>0</v>
      </c>
    </row>
    <row r="16" spans="1:6" x14ac:dyDescent="0.4">
      <c r="A16" s="365" t="s">
        <v>240</v>
      </c>
      <c r="B16" s="396"/>
      <c r="C16" s="481">
        <f>SUM(C14:C15)</f>
        <v>40630</v>
      </c>
      <c r="D16" s="481">
        <f>SUM(D14:D15)</f>
        <v>58740</v>
      </c>
      <c r="E16" s="482">
        <f>SUM(E14:E15)</f>
        <v>59709.999999999993</v>
      </c>
    </row>
    <row r="17" spans="1:5" x14ac:dyDescent="0.4">
      <c r="A17" s="317" t="s">
        <v>237</v>
      </c>
      <c r="B17" s="321"/>
      <c r="C17" s="393">
        <f t="shared" ref="C17:E17" si="0">C14*(1-C4)</f>
        <v>22590.280000000002</v>
      </c>
      <c r="D17" s="393">
        <f t="shared" si="0"/>
        <v>36418.800000000003</v>
      </c>
      <c r="E17" s="393">
        <f t="shared" si="0"/>
        <v>37020.199999999997</v>
      </c>
    </row>
    <row r="18" spans="1:5" x14ac:dyDescent="0.4">
      <c r="A18" s="308" t="s">
        <v>238</v>
      </c>
      <c r="B18" s="321"/>
      <c r="C18" s="393">
        <f t="shared" ref="C18:E18" si="1">C15*(1-C5)</f>
        <v>0</v>
      </c>
      <c r="D18" s="393">
        <f t="shared" si="1"/>
        <v>0</v>
      </c>
      <c r="E18" s="393">
        <f t="shared" si="1"/>
        <v>0</v>
      </c>
    </row>
    <row r="19" spans="1:5" x14ac:dyDescent="0.4">
      <c r="A19" s="311" t="s">
        <v>239</v>
      </c>
      <c r="B19" s="397"/>
      <c r="C19" s="480">
        <f>SUM(C17:C18)</f>
        <v>22590.280000000002</v>
      </c>
      <c r="D19" s="480">
        <f>SUM(D17:D18)</f>
        <v>36418.800000000003</v>
      </c>
      <c r="E19" s="480">
        <f>SUM(E17:E18)</f>
        <v>37020.199999999997</v>
      </c>
    </row>
    <row r="20" spans="1:5" x14ac:dyDescent="0.4">
      <c r="A20" s="313" t="s">
        <v>16</v>
      </c>
      <c r="B20" s="398"/>
      <c r="C20" s="322">
        <v>990</v>
      </c>
      <c r="D20" s="322">
        <v>990</v>
      </c>
      <c r="E20" s="399">
        <v>990</v>
      </c>
    </row>
    <row r="21" spans="1:5" x14ac:dyDescent="0.4">
      <c r="A21" s="313" t="s">
        <v>17</v>
      </c>
      <c r="B21" s="321"/>
      <c r="C21" s="322">
        <f>SUM(C19:C20)</f>
        <v>23580.280000000002</v>
      </c>
      <c r="D21" s="322">
        <f>SUM(D19:D20)</f>
        <v>37408.800000000003</v>
      </c>
      <c r="E21" s="322">
        <f>SUM(E19:E20)</f>
        <v>38010.199999999997</v>
      </c>
    </row>
    <row r="22" spans="1:5" x14ac:dyDescent="0.4">
      <c r="A22" s="315" t="s">
        <v>18</v>
      </c>
      <c r="B22" s="71">
        <v>15.8</v>
      </c>
      <c r="C22" s="316">
        <f>C21*$B22</f>
        <v>372568.42400000006</v>
      </c>
      <c r="D22" s="316">
        <f>D21*$B22</f>
        <v>591059.04</v>
      </c>
      <c r="E22" s="316">
        <f>E21*$B22</f>
        <v>600561.16</v>
      </c>
    </row>
    <row r="23" spans="1:5" x14ac:dyDescent="0.4">
      <c r="A23" s="400" t="s">
        <v>19</v>
      </c>
      <c r="B23" s="401"/>
      <c r="C23" s="322">
        <v>24838</v>
      </c>
      <c r="D23" s="322">
        <v>38768</v>
      </c>
      <c r="E23" s="399">
        <v>38768</v>
      </c>
    </row>
    <row r="24" spans="1:5" x14ac:dyDescent="0.4">
      <c r="A24" s="313" t="s">
        <v>20</v>
      </c>
      <c r="B24" s="398"/>
      <c r="C24" s="322">
        <v>7417</v>
      </c>
      <c r="D24" s="322">
        <v>7580</v>
      </c>
      <c r="E24" s="399">
        <v>7580</v>
      </c>
    </row>
    <row r="25" spans="1:5" x14ac:dyDescent="0.4">
      <c r="A25" s="315" t="s">
        <v>21</v>
      </c>
      <c r="B25" s="260"/>
      <c r="C25" s="316">
        <f>SUM(C22:C24)</f>
        <v>404823.42400000006</v>
      </c>
      <c r="D25" s="316">
        <f>SUM(D22:D24)</f>
        <v>637407.04</v>
      </c>
      <c r="E25" s="316">
        <f>SUM(E22:E24)</f>
        <v>646909.16</v>
      </c>
    </row>
    <row r="26" spans="1:5" x14ac:dyDescent="0.4">
      <c r="A26" s="318" t="s">
        <v>22</v>
      </c>
      <c r="B26" s="402"/>
      <c r="C26" s="322"/>
      <c r="D26" s="322"/>
      <c r="E26" s="399"/>
    </row>
    <row r="27" spans="1:5" x14ac:dyDescent="0.4">
      <c r="A27" s="331" t="s">
        <v>241</v>
      </c>
      <c r="B27" s="319">
        <f>320.8*1.05</f>
        <v>336.84000000000003</v>
      </c>
      <c r="C27" s="322">
        <f>C64*$B27</f>
        <v>34357.68</v>
      </c>
      <c r="D27" s="322">
        <f>D64*$B27</f>
        <v>34357.68</v>
      </c>
      <c r="E27" s="399">
        <f>E64*$B27</f>
        <v>34357.68</v>
      </c>
    </row>
    <row r="28" spans="1:5" x14ac:dyDescent="0.4">
      <c r="A28" s="331" t="s">
        <v>242</v>
      </c>
      <c r="B28" s="319">
        <f>131.11*1.06</f>
        <v>138.97660000000002</v>
      </c>
      <c r="C28" s="322">
        <f>C64*$B28</f>
        <v>14175.613200000002</v>
      </c>
      <c r="D28" s="322">
        <f>D64*$B28</f>
        <v>14175.613200000002</v>
      </c>
      <c r="E28" s="399">
        <f>E64*$B28</f>
        <v>14175.613200000002</v>
      </c>
    </row>
    <row r="29" spans="1:5" x14ac:dyDescent="0.4">
      <c r="A29" s="315" t="s">
        <v>23</v>
      </c>
      <c r="B29" s="260"/>
      <c r="C29" s="316">
        <f>SUM(C27:C28)</f>
        <v>48533.2932</v>
      </c>
      <c r="D29" s="316">
        <f>SUM(D27:D28)</f>
        <v>48533.2932</v>
      </c>
      <c r="E29" s="316">
        <f>SUM(E27:E28)</f>
        <v>48533.2932</v>
      </c>
    </row>
    <row r="30" spans="1:5" x14ac:dyDescent="0.4">
      <c r="A30" s="320" t="s">
        <v>200</v>
      </c>
      <c r="B30" s="321"/>
      <c r="C30" s="322"/>
      <c r="D30" s="322"/>
      <c r="E30" s="399"/>
    </row>
    <row r="31" spans="1:5" x14ac:dyDescent="0.4">
      <c r="A31" s="331" t="s">
        <v>177</v>
      </c>
      <c r="B31" s="321"/>
      <c r="C31" s="322">
        <v>1000</v>
      </c>
      <c r="D31" s="322">
        <v>1000</v>
      </c>
      <c r="E31" s="399">
        <v>1000</v>
      </c>
    </row>
    <row r="32" spans="1:5" x14ac:dyDescent="0.4">
      <c r="A32" s="331" t="s">
        <v>97</v>
      </c>
      <c r="B32" s="321"/>
      <c r="C32" s="322">
        <v>10560</v>
      </c>
      <c r="D32" s="322">
        <v>10560</v>
      </c>
      <c r="E32" s="399">
        <v>10560</v>
      </c>
    </row>
    <row r="33" spans="1:5" x14ac:dyDescent="0.4">
      <c r="A33" s="315" t="s">
        <v>201</v>
      </c>
      <c r="B33" s="260"/>
      <c r="C33" s="316">
        <f>SUM(C31:C32)</f>
        <v>11560</v>
      </c>
      <c r="D33" s="316">
        <f>SUM(D31:D32)</f>
        <v>11560</v>
      </c>
      <c r="E33" s="316">
        <f>SUM(E31:E32)</f>
        <v>11560</v>
      </c>
    </row>
    <row r="34" spans="1:5" x14ac:dyDescent="0.4">
      <c r="A34" s="324" t="s">
        <v>27</v>
      </c>
      <c r="B34" s="321"/>
      <c r="C34" s="322"/>
      <c r="D34" s="322"/>
      <c r="E34" s="399"/>
    </row>
    <row r="35" spans="1:5" x14ac:dyDescent="0.4">
      <c r="A35" s="317" t="s">
        <v>28</v>
      </c>
      <c r="B35" s="312"/>
      <c r="C35" s="322">
        <v>1141.6199999999999</v>
      </c>
      <c r="D35" s="322">
        <v>1141.6199999999999</v>
      </c>
      <c r="E35" s="399">
        <v>1141.6199999999999</v>
      </c>
    </row>
    <row r="36" spans="1:5" x14ac:dyDescent="0.4">
      <c r="A36" s="315" t="s">
        <v>29</v>
      </c>
      <c r="B36" s="260"/>
      <c r="C36" s="316">
        <f>SUM(C35:C35)</f>
        <v>1141.6199999999999</v>
      </c>
      <c r="D36" s="316">
        <f>SUM(D35:D35)</f>
        <v>1141.6199999999999</v>
      </c>
      <c r="E36" s="316">
        <f>SUM(E35:E35)</f>
        <v>1141.6199999999999</v>
      </c>
    </row>
    <row r="37" spans="1:5" x14ac:dyDescent="0.4">
      <c r="A37" s="324" t="s">
        <v>30</v>
      </c>
      <c r="B37" s="321"/>
      <c r="C37" s="322"/>
      <c r="D37" s="322"/>
      <c r="E37" s="399"/>
    </row>
    <row r="38" spans="1:5" x14ac:dyDescent="0.4">
      <c r="A38" s="317" t="s">
        <v>31</v>
      </c>
      <c r="B38" s="403"/>
      <c r="C38" s="322">
        <v>285.64999999999998</v>
      </c>
      <c r="D38" s="322">
        <v>285.64999999999998</v>
      </c>
      <c r="E38" s="399">
        <v>285.64999999999998</v>
      </c>
    </row>
    <row r="39" spans="1:5" x14ac:dyDescent="0.4">
      <c r="A39" s="317" t="s">
        <v>90</v>
      </c>
      <c r="B39" s="403"/>
      <c r="C39" s="322">
        <v>0</v>
      </c>
      <c r="D39" s="322">
        <v>0</v>
      </c>
      <c r="E39" s="399">
        <v>0</v>
      </c>
    </row>
    <row r="40" spans="1:5" x14ac:dyDescent="0.4">
      <c r="A40" s="317" t="s">
        <v>32</v>
      </c>
      <c r="B40" s="403"/>
      <c r="C40" s="322">
        <f>1900+(104*3)</f>
        <v>2212</v>
      </c>
      <c r="D40" s="322">
        <f>1900+(104*3)</f>
        <v>2212</v>
      </c>
      <c r="E40" s="399">
        <f>1900+(104*3)</f>
        <v>2212</v>
      </c>
    </row>
    <row r="41" spans="1:5" x14ac:dyDescent="0.4">
      <c r="A41" s="315" t="s">
        <v>33</v>
      </c>
      <c r="B41" s="260"/>
      <c r="C41" s="316">
        <f>SUM(C38:C40)</f>
        <v>2497.65</v>
      </c>
      <c r="D41" s="316">
        <f>SUM(D38:D40)</f>
        <v>2497.65</v>
      </c>
      <c r="E41" s="316">
        <f>SUM(E38:E40)</f>
        <v>2497.65</v>
      </c>
    </row>
    <row r="42" spans="1:5" x14ac:dyDescent="0.4">
      <c r="A42" s="326" t="s">
        <v>34</v>
      </c>
      <c r="B42" s="263"/>
      <c r="C42" s="327">
        <f>C25+C29+C36+C41+C33</f>
        <v>468555.98720000009</v>
      </c>
      <c r="D42" s="327">
        <f>D25+D29+D36+D41+D33</f>
        <v>701139.60320000001</v>
      </c>
      <c r="E42" s="327">
        <f>E25+E29+E36+E41+E33</f>
        <v>710641.72320000001</v>
      </c>
    </row>
    <row r="43" spans="1:5" x14ac:dyDescent="0.4">
      <c r="A43" s="328" t="s">
        <v>154</v>
      </c>
      <c r="B43" s="388"/>
      <c r="C43" s="404"/>
      <c r="D43" s="404"/>
      <c r="E43" s="405"/>
    </row>
    <row r="44" spans="1:5" x14ac:dyDescent="0.4">
      <c r="A44" s="317" t="s">
        <v>25</v>
      </c>
      <c r="B44" s="312"/>
      <c r="C44" s="362">
        <v>4000</v>
      </c>
      <c r="D44" s="362">
        <v>4000</v>
      </c>
      <c r="E44" s="314">
        <v>4000</v>
      </c>
    </row>
    <row r="45" spans="1:5" x14ac:dyDescent="0.4">
      <c r="A45" s="317" t="s">
        <v>35</v>
      </c>
      <c r="B45" s="312"/>
      <c r="C45" s="362">
        <v>6600</v>
      </c>
      <c r="D45" s="362">
        <v>6600</v>
      </c>
      <c r="E45" s="314">
        <v>6600</v>
      </c>
    </row>
    <row r="46" spans="1:5" x14ac:dyDescent="0.4">
      <c r="A46" s="317" t="s">
        <v>99</v>
      </c>
      <c r="B46" s="312"/>
      <c r="C46" s="362">
        <v>3800</v>
      </c>
      <c r="D46" s="362">
        <v>3800</v>
      </c>
      <c r="E46" s="314">
        <v>0</v>
      </c>
    </row>
    <row r="47" spans="1:5" x14ac:dyDescent="0.4">
      <c r="A47" s="317" t="s">
        <v>94</v>
      </c>
      <c r="B47" s="312"/>
      <c r="C47" s="362">
        <v>0</v>
      </c>
      <c r="D47" s="362">
        <v>0</v>
      </c>
      <c r="E47" s="314">
        <v>24500</v>
      </c>
    </row>
    <row r="48" spans="1:5" x14ac:dyDescent="0.4">
      <c r="A48" s="317" t="s">
        <v>92</v>
      </c>
      <c r="B48" s="312"/>
      <c r="C48" s="362">
        <v>0</v>
      </c>
      <c r="D48" s="362">
        <v>0</v>
      </c>
      <c r="E48" s="314">
        <v>0</v>
      </c>
    </row>
    <row r="49" spans="1:5" x14ac:dyDescent="0.4">
      <c r="A49" s="317" t="s">
        <v>93</v>
      </c>
      <c r="B49" s="312"/>
      <c r="C49" s="362">
        <v>0</v>
      </c>
      <c r="D49" s="362">
        <v>0</v>
      </c>
      <c r="E49" s="314">
        <v>0</v>
      </c>
    </row>
    <row r="50" spans="1:5" x14ac:dyDescent="0.4">
      <c r="A50" s="317" t="s">
        <v>173</v>
      </c>
      <c r="B50" s="312"/>
      <c r="C50" s="362">
        <v>15000</v>
      </c>
      <c r="D50" s="362">
        <v>15000</v>
      </c>
      <c r="E50" s="314">
        <v>15000</v>
      </c>
    </row>
    <row r="51" spans="1:5" x14ac:dyDescent="0.4">
      <c r="A51" s="317" t="s">
        <v>88</v>
      </c>
      <c r="B51" s="312"/>
      <c r="C51" s="362">
        <v>0</v>
      </c>
      <c r="D51" s="362">
        <v>0</v>
      </c>
      <c r="E51" s="314">
        <v>0</v>
      </c>
    </row>
    <row r="52" spans="1:5" x14ac:dyDescent="0.4">
      <c r="A52" s="332" t="s">
        <v>230</v>
      </c>
      <c r="B52" s="382"/>
      <c r="C52" s="314">
        <v>3500</v>
      </c>
      <c r="D52" s="314">
        <v>3500</v>
      </c>
      <c r="E52" s="314">
        <v>3500</v>
      </c>
    </row>
    <row r="53" spans="1:5" x14ac:dyDescent="0.4">
      <c r="A53" s="332" t="s">
        <v>250</v>
      </c>
      <c r="B53" s="484"/>
      <c r="C53" s="314">
        <f>3*117</f>
        <v>351</v>
      </c>
      <c r="D53" s="314">
        <f t="shared" ref="D53:E53" si="2">3*117</f>
        <v>351</v>
      </c>
      <c r="E53" s="314">
        <f t="shared" si="2"/>
        <v>351</v>
      </c>
    </row>
    <row r="54" spans="1:5" x14ac:dyDescent="0.4">
      <c r="A54" s="317" t="s">
        <v>89</v>
      </c>
      <c r="B54" s="312"/>
      <c r="C54" s="362">
        <v>0</v>
      </c>
      <c r="D54" s="362">
        <v>0</v>
      </c>
      <c r="E54" s="314">
        <v>0</v>
      </c>
    </row>
    <row r="55" spans="1:5" x14ac:dyDescent="0.4">
      <c r="A55" s="317" t="s">
        <v>54</v>
      </c>
      <c r="B55" s="382"/>
      <c r="C55" s="362">
        <v>3289.5</v>
      </c>
      <c r="D55" s="362">
        <v>3266.45</v>
      </c>
      <c r="E55" s="314">
        <v>3266.45</v>
      </c>
    </row>
    <row r="56" spans="1:5" x14ac:dyDescent="0.4">
      <c r="A56" s="383" t="s">
        <v>153</v>
      </c>
      <c r="B56" s="384"/>
      <c r="C56" s="406">
        <f>SUM(C44:C55)</f>
        <v>36540.5</v>
      </c>
      <c r="D56" s="406">
        <f>SUM(D44:D55)</f>
        <v>36517.449999999997</v>
      </c>
      <c r="E56" s="385">
        <f>SUM(E44:E55)</f>
        <v>57217.45</v>
      </c>
    </row>
    <row r="57" spans="1:5" x14ac:dyDescent="0.4">
      <c r="A57" s="315" t="s">
        <v>37</v>
      </c>
      <c r="B57" s="384"/>
      <c r="C57" s="407">
        <f>SUM(C42+C56)</f>
        <v>505096.48720000009</v>
      </c>
      <c r="D57" s="407">
        <f>SUM(D42+D56)</f>
        <v>737657.05319999997</v>
      </c>
      <c r="E57" s="316">
        <f>SUM(E42+E56)</f>
        <v>767859.17319999996</v>
      </c>
    </row>
    <row r="58" spans="1:5" x14ac:dyDescent="0.4">
      <c r="A58" s="315" t="s">
        <v>83</v>
      </c>
      <c r="B58" s="260"/>
      <c r="C58" s="316">
        <f>(C63*(1-C65))</f>
        <v>576850</v>
      </c>
      <c r="D58" s="316">
        <f>(D63*(1-D65))</f>
        <v>863200</v>
      </c>
      <c r="E58" s="316">
        <f>(E63*(1-E65))</f>
        <v>904700</v>
      </c>
    </row>
    <row r="59" spans="1:5" x14ac:dyDescent="0.4">
      <c r="A59" s="325" t="s">
        <v>84</v>
      </c>
      <c r="B59" s="260"/>
      <c r="C59" s="408">
        <v>0</v>
      </c>
      <c r="D59" s="339">
        <v>0</v>
      </c>
      <c r="E59" s="339">
        <v>0</v>
      </c>
    </row>
    <row r="60" spans="1:5" x14ac:dyDescent="0.4">
      <c r="A60" s="315" t="s">
        <v>85</v>
      </c>
      <c r="B60" s="260"/>
      <c r="C60" s="316">
        <f>+C58+C59</f>
        <v>576850</v>
      </c>
      <c r="D60" s="327">
        <f>+D58+D59</f>
        <v>863200</v>
      </c>
      <c r="E60" s="327">
        <f>+E58+E59</f>
        <v>904700</v>
      </c>
    </row>
    <row r="61" spans="1:5" x14ac:dyDescent="0.4">
      <c r="A61" s="315" t="s">
        <v>38</v>
      </c>
      <c r="B61" s="260"/>
      <c r="C61" s="316">
        <f>C60-C57</f>
        <v>71753.512799999909</v>
      </c>
      <c r="D61" s="327">
        <f>D60-D57</f>
        <v>125542.94680000003</v>
      </c>
      <c r="E61" s="327">
        <f>E60-E57</f>
        <v>136840.82680000004</v>
      </c>
    </row>
    <row r="62" spans="1:5" x14ac:dyDescent="0.4">
      <c r="A62" s="315" t="s">
        <v>39</v>
      </c>
      <c r="B62" s="409"/>
      <c r="C62" s="390">
        <f>(C60-C57)/C60</f>
        <v>0.12438851139811027</v>
      </c>
      <c r="D62" s="390">
        <f>(D60-D57)/D60</f>
        <v>0.14543900231696019</v>
      </c>
      <c r="E62" s="390">
        <f>(E60-E57)/E60</f>
        <v>0.15125547341660223</v>
      </c>
    </row>
    <row r="63" spans="1:5" x14ac:dyDescent="0.4">
      <c r="A63" s="386" t="s">
        <v>252</v>
      </c>
      <c r="B63" s="345"/>
      <c r="C63" s="346">
        <v>695000</v>
      </c>
      <c r="D63" s="346">
        <v>1040000</v>
      </c>
      <c r="E63" s="346">
        <v>1090000</v>
      </c>
    </row>
    <row r="64" spans="1:5" x14ac:dyDescent="0.4">
      <c r="A64" s="332" t="s">
        <v>40</v>
      </c>
      <c r="B64" s="410"/>
      <c r="C64" s="348">
        <v>102</v>
      </c>
      <c r="D64" s="411">
        <v>102</v>
      </c>
      <c r="E64" s="411">
        <v>102</v>
      </c>
    </row>
    <row r="65" spans="1:5" x14ac:dyDescent="0.4">
      <c r="A65" s="349" t="s">
        <v>95</v>
      </c>
      <c r="B65" s="350"/>
      <c r="C65" s="351">
        <v>0.17</v>
      </c>
      <c r="D65" s="351">
        <v>0.17</v>
      </c>
      <c r="E65" s="351">
        <v>0.17</v>
      </c>
    </row>
    <row r="66" spans="1:5" x14ac:dyDescent="0.4">
      <c r="A66" s="352" t="s">
        <v>263</v>
      </c>
      <c r="B66" s="410"/>
      <c r="C66" s="412"/>
      <c r="D66" s="412"/>
      <c r="E66" s="412"/>
    </row>
    <row r="67" spans="1:5" x14ac:dyDescent="0.4">
      <c r="A67" s="352"/>
      <c r="B67" s="410"/>
      <c r="C67" s="412"/>
      <c r="D67" s="412"/>
      <c r="E67" s="412"/>
    </row>
    <row r="68" spans="1:5" x14ac:dyDescent="0.4">
      <c r="A68" s="289"/>
      <c r="B68" s="289"/>
      <c r="C68" s="289"/>
      <c r="D68" s="289"/>
      <c r="E68" s="289"/>
    </row>
    <row r="69" spans="1:5" x14ac:dyDescent="0.4">
      <c r="A69" s="289"/>
      <c r="B69" s="289"/>
      <c r="C69" s="289"/>
      <c r="D69" s="289"/>
      <c r="E69" s="289"/>
    </row>
    <row r="70" spans="1:5" x14ac:dyDescent="0.4">
      <c r="A70" s="289"/>
      <c r="B70" s="289"/>
      <c r="C70" s="289"/>
      <c r="D70" s="289"/>
      <c r="E70" s="289"/>
    </row>
    <row r="71" spans="1:5" x14ac:dyDescent="0.4">
      <c r="A71" s="289"/>
      <c r="B71" s="289"/>
      <c r="C71" s="289"/>
      <c r="D71" s="289"/>
      <c r="E71" s="289"/>
    </row>
    <row r="72" spans="1:5" x14ac:dyDescent="0.4">
      <c r="A72" s="289"/>
      <c r="B72" s="289"/>
      <c r="C72" s="289"/>
      <c r="D72" s="289"/>
      <c r="E72" s="289"/>
    </row>
    <row r="73" spans="1:5" x14ac:dyDescent="0.4">
      <c r="A73" s="289"/>
      <c r="B73" s="289"/>
      <c r="C73" s="289"/>
      <c r="D73" s="289"/>
      <c r="E73" s="289"/>
    </row>
    <row r="74" spans="1:5" x14ac:dyDescent="0.4">
      <c r="A74" s="289"/>
      <c r="B74" s="289"/>
      <c r="C74" s="289"/>
      <c r="D74" s="289"/>
      <c r="E74" s="289"/>
    </row>
    <row r="75" spans="1:5" x14ac:dyDescent="0.4">
      <c r="A75" s="289"/>
      <c r="B75" s="289"/>
      <c r="C75" s="289"/>
      <c r="D75" s="289"/>
      <c r="E75" s="289"/>
    </row>
    <row r="76" spans="1:5" x14ac:dyDescent="0.4">
      <c r="A76" s="289"/>
      <c r="B76" s="289"/>
      <c r="C76" s="289"/>
      <c r="D76" s="289"/>
      <c r="E76" s="289"/>
    </row>
    <row r="77" spans="1:5" x14ac:dyDescent="0.4">
      <c r="A77" s="289"/>
      <c r="B77" s="289"/>
      <c r="C77" s="289"/>
      <c r="D77" s="289"/>
      <c r="E77" s="289"/>
    </row>
    <row r="78" spans="1:5" x14ac:dyDescent="0.4">
      <c r="A78" s="289"/>
      <c r="B78" s="289"/>
      <c r="C78" s="289"/>
      <c r="D78" s="289"/>
      <c r="E78" s="289"/>
    </row>
    <row r="79" spans="1:5" x14ac:dyDescent="0.4">
      <c r="A79" s="289"/>
      <c r="B79" s="289"/>
      <c r="C79" s="289"/>
      <c r="D79" s="289"/>
      <c r="E79" s="289"/>
    </row>
    <row r="80" spans="1:5" x14ac:dyDescent="0.4">
      <c r="A80" s="289"/>
      <c r="B80" s="289"/>
      <c r="C80" s="289"/>
      <c r="D80" s="289"/>
      <c r="E80" s="289"/>
    </row>
    <row r="81" spans="1:5" x14ac:dyDescent="0.4">
      <c r="A81" s="289"/>
      <c r="B81" s="289"/>
      <c r="C81" s="289"/>
      <c r="D81" s="289"/>
      <c r="E81" s="289"/>
    </row>
    <row r="82" spans="1:5" x14ac:dyDescent="0.4">
      <c r="A82" s="289"/>
      <c r="B82" s="289"/>
      <c r="C82" s="289"/>
      <c r="D82" s="289"/>
      <c r="E82" s="289"/>
    </row>
    <row r="83" spans="1:5" x14ac:dyDescent="0.4">
      <c r="A83" s="289"/>
      <c r="B83" s="289"/>
      <c r="C83" s="289"/>
      <c r="D83" s="289"/>
      <c r="E83" s="289"/>
    </row>
    <row r="84" spans="1:5" x14ac:dyDescent="0.4">
      <c r="A84" s="289"/>
      <c r="B84" s="289"/>
      <c r="C84" s="289"/>
      <c r="D84" s="289"/>
      <c r="E84" s="289"/>
    </row>
    <row r="85" spans="1:5" x14ac:dyDescent="0.4">
      <c r="A85" s="289"/>
      <c r="B85" s="289"/>
      <c r="C85" s="289"/>
      <c r="D85" s="289"/>
      <c r="E85" s="289"/>
    </row>
    <row r="86" spans="1:5" x14ac:dyDescent="0.4">
      <c r="A86" s="289"/>
      <c r="B86" s="289"/>
      <c r="C86" s="289"/>
      <c r="D86" s="289"/>
      <c r="E86" s="289"/>
    </row>
    <row r="87" spans="1:5" x14ac:dyDescent="0.4">
      <c r="A87" s="289"/>
      <c r="B87" s="289"/>
      <c r="C87" s="289"/>
      <c r="D87" s="289"/>
      <c r="E87" s="289"/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 tint="0.39997558519241921"/>
    <pageSetUpPr fitToPage="1"/>
  </sheetPr>
  <dimension ref="A1:E60"/>
  <sheetViews>
    <sheetView tabSelected="1" zoomScale="55" zoomScaleNormal="55" workbookViewId="0">
      <selection activeCell="B14" sqref="B14"/>
    </sheetView>
  </sheetViews>
  <sheetFormatPr defaultColWidth="9.109375" defaultRowHeight="21" x14ac:dyDescent="0.4"/>
  <cols>
    <col min="1" max="1" width="83.44140625" style="323" bestFit="1" customWidth="1"/>
    <col min="2" max="2" width="12.5546875" style="323" bestFit="1" customWidth="1"/>
    <col min="3" max="4" width="24.6640625" style="323" customWidth="1"/>
    <col min="5" max="5" width="10.6640625" style="323" customWidth="1"/>
    <col min="6" max="16384" width="9.109375" style="323"/>
  </cols>
  <sheetData>
    <row r="1" spans="1:5" s="289" customFormat="1" x14ac:dyDescent="0.4">
      <c r="A1" s="436"/>
      <c r="B1" s="436"/>
      <c r="C1" s="437" t="s">
        <v>210</v>
      </c>
      <c r="D1" s="437" t="s">
        <v>207</v>
      </c>
    </row>
    <row r="2" spans="1:5" s="289" customFormat="1" x14ac:dyDescent="0.4">
      <c r="A2" s="438"/>
      <c r="B2" s="439"/>
      <c r="C2" s="420" t="s">
        <v>1</v>
      </c>
      <c r="D2" s="420" t="s">
        <v>1</v>
      </c>
    </row>
    <row r="3" spans="1:5" x14ac:dyDescent="0.4">
      <c r="A3" s="440"/>
      <c r="B3" s="441"/>
      <c r="C3" s="442"/>
      <c r="D3" s="442"/>
      <c r="E3" s="289"/>
    </row>
    <row r="4" spans="1:5" x14ac:dyDescent="0.4">
      <c r="A4" s="443"/>
      <c r="B4" s="444"/>
      <c r="C4" s="421" t="s">
        <v>100</v>
      </c>
      <c r="D4" s="421" t="s">
        <v>101</v>
      </c>
      <c r="E4" s="289"/>
    </row>
    <row r="5" spans="1:5" x14ac:dyDescent="0.4">
      <c r="A5" s="445" t="s">
        <v>271</v>
      </c>
      <c r="B5" s="446"/>
      <c r="C5" s="422" t="s">
        <v>44</v>
      </c>
      <c r="D5" s="422" t="s">
        <v>44</v>
      </c>
      <c r="E5" s="289"/>
    </row>
    <row r="6" spans="1:5" s="447" customFormat="1" x14ac:dyDescent="0.4">
      <c r="A6" s="182" t="s">
        <v>70</v>
      </c>
      <c r="B6" s="284"/>
      <c r="C6" s="433">
        <v>17.25</v>
      </c>
      <c r="D6" s="423">
        <v>24.25</v>
      </c>
      <c r="E6" s="369"/>
    </row>
    <row r="7" spans="1:5" s="447" customFormat="1" x14ac:dyDescent="0.4">
      <c r="A7" s="182" t="s">
        <v>48</v>
      </c>
      <c r="B7" s="284"/>
      <c r="C7" s="284" t="s">
        <v>209</v>
      </c>
      <c r="D7" s="183" t="s">
        <v>71</v>
      </c>
      <c r="E7" s="369"/>
    </row>
    <row r="8" spans="1:5" s="447" customFormat="1" x14ac:dyDescent="0.4">
      <c r="A8" s="182" t="s">
        <v>10</v>
      </c>
      <c r="B8" s="285"/>
      <c r="C8" s="284" t="s">
        <v>203</v>
      </c>
      <c r="D8" s="183" t="s">
        <v>203</v>
      </c>
      <c r="E8" s="369"/>
    </row>
    <row r="9" spans="1:5" s="447" customFormat="1" x14ac:dyDescent="0.4">
      <c r="A9" s="182" t="s">
        <v>50</v>
      </c>
      <c r="B9" s="285"/>
      <c r="C9" s="284">
        <v>6000</v>
      </c>
      <c r="D9" s="183">
        <v>5819</v>
      </c>
      <c r="E9" s="369"/>
    </row>
    <row r="10" spans="1:5" s="447" customFormat="1" x14ac:dyDescent="0.4">
      <c r="A10" s="448" t="s">
        <v>72</v>
      </c>
      <c r="B10" s="417"/>
      <c r="C10" s="475"/>
      <c r="D10" s="476"/>
      <c r="E10" s="369"/>
    </row>
    <row r="11" spans="1:5" s="447" customFormat="1" x14ac:dyDescent="0.4">
      <c r="A11" s="449" t="s">
        <v>73</v>
      </c>
      <c r="B11" s="417"/>
      <c r="C11" s="362">
        <v>33024</v>
      </c>
      <c r="D11" s="314">
        <v>35330</v>
      </c>
      <c r="E11" s="369"/>
    </row>
    <row r="12" spans="1:5" s="447" customFormat="1" x14ac:dyDescent="0.4">
      <c r="A12" s="450" t="s">
        <v>74</v>
      </c>
      <c r="B12" s="418"/>
      <c r="C12" s="362">
        <f>C11*$B12</f>
        <v>0</v>
      </c>
      <c r="D12" s="314">
        <f>D11*$B12</f>
        <v>0</v>
      </c>
      <c r="E12" s="369"/>
    </row>
    <row r="13" spans="1:5" s="447" customFormat="1" x14ac:dyDescent="0.4">
      <c r="A13" s="450" t="s">
        <v>15</v>
      </c>
      <c r="B13" s="418"/>
      <c r="C13" s="362">
        <f>SUM(C11:C12)</f>
        <v>33024</v>
      </c>
      <c r="D13" s="314">
        <f>SUM(D11:D12)</f>
        <v>35330</v>
      </c>
      <c r="E13" s="369"/>
    </row>
    <row r="14" spans="1:5" s="447" customFormat="1" x14ac:dyDescent="0.4">
      <c r="A14" s="450" t="s">
        <v>150</v>
      </c>
      <c r="B14" s="460"/>
      <c r="C14" s="362">
        <v>195</v>
      </c>
      <c r="D14" s="314">
        <v>195</v>
      </c>
      <c r="E14" s="369" t="s">
        <v>102</v>
      </c>
    </row>
    <row r="15" spans="1:5" s="447" customFormat="1" x14ac:dyDescent="0.4">
      <c r="A15" s="450" t="s">
        <v>151</v>
      </c>
      <c r="B15" s="460"/>
      <c r="C15" s="362">
        <f>424+306</f>
        <v>730</v>
      </c>
      <c r="D15" s="314">
        <f>424+306</f>
        <v>730</v>
      </c>
      <c r="E15" s="369"/>
    </row>
    <row r="16" spans="1:5" s="447" customFormat="1" x14ac:dyDescent="0.4">
      <c r="A16" s="450" t="s">
        <v>75</v>
      </c>
      <c r="B16" s="461"/>
      <c r="C16" s="362">
        <f>SUM(C13:C15)</f>
        <v>33949</v>
      </c>
      <c r="D16" s="314">
        <f>SUM(D13:D15)</f>
        <v>36255</v>
      </c>
      <c r="E16" s="369"/>
    </row>
    <row r="17" spans="1:5" s="447" customFormat="1" x14ac:dyDescent="0.4">
      <c r="A17" s="340" t="s">
        <v>76</v>
      </c>
      <c r="B17" s="462">
        <v>14.39</v>
      </c>
      <c r="C17" s="428">
        <f>C16*$B17</f>
        <v>488526.11000000004</v>
      </c>
      <c r="D17" s="330">
        <f>D16*$B17</f>
        <v>521709.45</v>
      </c>
      <c r="E17" s="369"/>
    </row>
    <row r="18" spans="1:5" s="369" customFormat="1" x14ac:dyDescent="0.4">
      <c r="A18" s="451" t="s">
        <v>77</v>
      </c>
      <c r="B18" s="463"/>
      <c r="C18" s="452">
        <v>24715</v>
      </c>
      <c r="D18" s="453">
        <v>38930</v>
      </c>
    </row>
    <row r="19" spans="1:5" s="369" customFormat="1" x14ac:dyDescent="0.4">
      <c r="A19" s="454" t="s">
        <v>20</v>
      </c>
      <c r="B19" s="464"/>
      <c r="C19" s="455">
        <v>10140</v>
      </c>
      <c r="D19" s="456">
        <v>10405</v>
      </c>
    </row>
    <row r="20" spans="1:5" s="369" customFormat="1" x14ac:dyDescent="0.4">
      <c r="A20" s="424" t="s">
        <v>21</v>
      </c>
      <c r="B20" s="465"/>
      <c r="C20" s="425">
        <f>SUM(C17:C19)</f>
        <v>523381.11000000004</v>
      </c>
      <c r="D20" s="426">
        <f>SUM(D17:D19)</f>
        <v>571044.44999999995</v>
      </c>
    </row>
    <row r="21" spans="1:5" s="369" customFormat="1" x14ac:dyDescent="0.4">
      <c r="A21" s="427" t="s">
        <v>22</v>
      </c>
      <c r="B21" s="466"/>
      <c r="C21" s="362"/>
      <c r="D21" s="314"/>
    </row>
    <row r="22" spans="1:5" s="369" customFormat="1" x14ac:dyDescent="0.4">
      <c r="A22" s="313" t="s">
        <v>241</v>
      </c>
      <c r="B22" s="319">
        <f>320.8*1.05</f>
        <v>336.84000000000003</v>
      </c>
      <c r="C22" s="362">
        <f>C58*$B22</f>
        <v>26947.200000000004</v>
      </c>
      <c r="D22" s="399">
        <f>D58*$B22</f>
        <v>26947.200000000004</v>
      </c>
    </row>
    <row r="23" spans="1:5" s="369" customFormat="1" x14ac:dyDescent="0.4">
      <c r="A23" s="313" t="s">
        <v>242</v>
      </c>
      <c r="B23" s="319">
        <f>131.11*1.06</f>
        <v>138.97660000000002</v>
      </c>
      <c r="C23" s="362">
        <f>C58*$B23</f>
        <v>11118.128000000001</v>
      </c>
      <c r="D23" s="399">
        <f>D58*$B23</f>
        <v>11118.128000000001</v>
      </c>
    </row>
    <row r="24" spans="1:5" s="369" customFormat="1" x14ac:dyDescent="0.4">
      <c r="A24" s="340" t="s">
        <v>23</v>
      </c>
      <c r="B24" s="357"/>
      <c r="C24" s="428">
        <f>SUM(C22:C23)</f>
        <v>38065.328000000009</v>
      </c>
      <c r="D24" s="330">
        <f>SUM(D22:D23)</f>
        <v>38065.328000000009</v>
      </c>
    </row>
    <row r="25" spans="1:5" s="369" customFormat="1" x14ac:dyDescent="0.4">
      <c r="A25" s="328" t="s">
        <v>155</v>
      </c>
      <c r="B25" s="416"/>
      <c r="C25" s="360"/>
      <c r="D25" s="307"/>
    </row>
    <row r="26" spans="1:5" s="369" customFormat="1" x14ac:dyDescent="0.4">
      <c r="A26" s="317" t="s">
        <v>152</v>
      </c>
      <c r="B26" s="417"/>
      <c r="C26" s="362">
        <v>7460</v>
      </c>
      <c r="D26" s="314">
        <v>7460</v>
      </c>
    </row>
    <row r="27" spans="1:5" s="369" customFormat="1" x14ac:dyDescent="0.4">
      <c r="A27" s="317" t="s">
        <v>177</v>
      </c>
      <c r="B27" s="417"/>
      <c r="C27" s="362">
        <v>1000</v>
      </c>
      <c r="D27" s="314">
        <v>1000</v>
      </c>
    </row>
    <row r="28" spans="1:5" s="447" customFormat="1" x14ac:dyDescent="0.4">
      <c r="A28" s="315" t="s">
        <v>156</v>
      </c>
      <c r="B28" s="467"/>
      <c r="C28" s="407">
        <f>SUM(C26:C27)</f>
        <v>8460</v>
      </c>
      <c r="D28" s="316">
        <f>SUM(D26:D27)</f>
        <v>8460</v>
      </c>
      <c r="E28" s="369"/>
    </row>
    <row r="29" spans="1:5" s="447" customFormat="1" x14ac:dyDescent="0.4">
      <c r="A29" s="429" t="s">
        <v>27</v>
      </c>
      <c r="B29" s="417"/>
      <c r="C29" s="362"/>
      <c r="D29" s="314"/>
      <c r="E29" s="369"/>
    </row>
    <row r="30" spans="1:5" s="447" customFormat="1" x14ac:dyDescent="0.4">
      <c r="A30" s="449" t="s">
        <v>28</v>
      </c>
      <c r="B30" s="417"/>
      <c r="C30" s="362">
        <v>1141.6199999999999</v>
      </c>
      <c r="D30" s="314">
        <v>1141.6199999999999</v>
      </c>
      <c r="E30" s="369"/>
    </row>
    <row r="31" spans="1:5" s="447" customFormat="1" x14ac:dyDescent="0.4">
      <c r="A31" s="340" t="s">
        <v>29</v>
      </c>
      <c r="B31" s="357"/>
      <c r="C31" s="428">
        <f>SUM(C30:C30)</f>
        <v>1141.6199999999999</v>
      </c>
      <c r="D31" s="330">
        <f>SUM(D30:D30)</f>
        <v>1141.6199999999999</v>
      </c>
      <c r="E31" s="369"/>
    </row>
    <row r="32" spans="1:5" s="447" customFormat="1" x14ac:dyDescent="0.4">
      <c r="A32" s="430" t="s">
        <v>30</v>
      </c>
      <c r="B32" s="468"/>
      <c r="C32" s="360"/>
      <c r="D32" s="307"/>
      <c r="E32" s="369"/>
    </row>
    <row r="33" spans="1:5" s="447" customFormat="1" x14ac:dyDescent="0.4">
      <c r="A33" s="457" t="s">
        <v>31</v>
      </c>
      <c r="B33" s="469"/>
      <c r="C33" s="362">
        <v>270.23</v>
      </c>
      <c r="D33" s="314">
        <v>270.23</v>
      </c>
      <c r="E33" s="369"/>
    </row>
    <row r="34" spans="1:5" s="447" customFormat="1" x14ac:dyDescent="0.4">
      <c r="A34" s="449" t="s">
        <v>90</v>
      </c>
      <c r="B34" s="469"/>
      <c r="C34" s="362">
        <v>0</v>
      </c>
      <c r="D34" s="399">
        <v>0</v>
      </c>
      <c r="E34" s="369"/>
    </row>
    <row r="35" spans="1:5" s="447" customFormat="1" x14ac:dyDescent="0.4">
      <c r="A35" s="457" t="s">
        <v>32</v>
      </c>
      <c r="B35" s="469"/>
      <c r="C35" s="362">
        <f>1900+(104*3)</f>
        <v>2212</v>
      </c>
      <c r="D35" s="314">
        <f>1900+(104*3)</f>
        <v>2212</v>
      </c>
      <c r="E35" s="369"/>
    </row>
    <row r="36" spans="1:5" s="447" customFormat="1" x14ac:dyDescent="0.4">
      <c r="A36" s="326" t="s">
        <v>33</v>
      </c>
      <c r="B36" s="359" t="s">
        <v>53</v>
      </c>
      <c r="C36" s="432">
        <f>SUM(C33:C35)</f>
        <v>2482.23</v>
      </c>
      <c r="D36" s="327">
        <f>SUM(D33:D35)</f>
        <v>2482.23</v>
      </c>
      <c r="E36" s="369"/>
    </row>
    <row r="37" spans="1:5" s="447" customFormat="1" x14ac:dyDescent="0.4">
      <c r="A37" s="315" t="s">
        <v>34</v>
      </c>
      <c r="B37" s="467"/>
      <c r="C37" s="407">
        <f>C20+C24+C28+C31+C36</f>
        <v>573530.28800000006</v>
      </c>
      <c r="D37" s="316">
        <f>D20+D24+D28+D31+D36</f>
        <v>621193.62799999991</v>
      </c>
      <c r="E37" s="369"/>
    </row>
    <row r="38" spans="1:5" s="447" customFormat="1" x14ac:dyDescent="0.4">
      <c r="A38" s="431" t="s">
        <v>154</v>
      </c>
      <c r="B38" s="357"/>
      <c r="C38" s="428"/>
      <c r="D38" s="330"/>
      <c r="E38" s="332"/>
    </row>
    <row r="39" spans="1:5" s="447" customFormat="1" ht="22.5" customHeight="1" x14ac:dyDescent="0.4">
      <c r="A39" s="449" t="s">
        <v>25</v>
      </c>
      <c r="B39" s="417"/>
      <c r="C39" s="362">
        <v>4849.92</v>
      </c>
      <c r="D39" s="314">
        <v>4849.92</v>
      </c>
      <c r="E39" s="332"/>
    </row>
    <row r="40" spans="1:5" s="447" customFormat="1" x14ac:dyDescent="0.4">
      <c r="A40" s="449" t="s">
        <v>35</v>
      </c>
      <c r="B40" s="417"/>
      <c r="C40" s="362">
        <v>6600</v>
      </c>
      <c r="D40" s="314">
        <v>6600</v>
      </c>
      <c r="E40" s="332"/>
    </row>
    <row r="41" spans="1:5" s="447" customFormat="1" x14ac:dyDescent="0.4">
      <c r="A41" s="449" t="s">
        <v>86</v>
      </c>
      <c r="B41" s="417"/>
      <c r="C41" s="362">
        <v>0</v>
      </c>
      <c r="D41" s="314">
        <v>0</v>
      </c>
      <c r="E41" s="332"/>
    </row>
    <row r="42" spans="1:5" s="447" customFormat="1" x14ac:dyDescent="0.4">
      <c r="A42" s="449" t="s">
        <v>87</v>
      </c>
      <c r="B42" s="417"/>
      <c r="C42" s="362">
        <v>0</v>
      </c>
      <c r="D42" s="314">
        <v>0</v>
      </c>
      <c r="E42" s="332"/>
    </row>
    <row r="43" spans="1:5" s="447" customFormat="1" x14ac:dyDescent="0.4">
      <c r="A43" s="332" t="s">
        <v>171</v>
      </c>
      <c r="B43" s="417"/>
      <c r="C43" s="362">
        <v>0</v>
      </c>
      <c r="D43" s="314">
        <v>0</v>
      </c>
      <c r="E43" s="332"/>
    </row>
    <row r="44" spans="1:5" s="447" customFormat="1" x14ac:dyDescent="0.4">
      <c r="A44" s="449" t="s">
        <v>88</v>
      </c>
      <c r="B44" s="417"/>
      <c r="C44" s="362">
        <v>0</v>
      </c>
      <c r="D44" s="314">
        <v>0</v>
      </c>
      <c r="E44" s="332"/>
    </row>
    <row r="45" spans="1:5" s="447" customFormat="1" x14ac:dyDescent="0.4">
      <c r="A45" s="332" t="s">
        <v>230</v>
      </c>
      <c r="B45" s="470"/>
      <c r="C45" s="314">
        <v>3500</v>
      </c>
      <c r="D45" s="314">
        <v>3500</v>
      </c>
      <c r="E45" s="332"/>
    </row>
    <row r="46" spans="1:5" s="447" customFormat="1" x14ac:dyDescent="0.4">
      <c r="A46" s="332" t="s">
        <v>250</v>
      </c>
      <c r="B46" s="484"/>
      <c r="C46" s="314">
        <f>3*117</f>
        <v>351</v>
      </c>
      <c r="D46" s="314">
        <f>3*117</f>
        <v>351</v>
      </c>
      <c r="E46" s="332"/>
    </row>
    <row r="47" spans="1:5" s="447" customFormat="1" x14ac:dyDescent="0.4">
      <c r="A47" s="449" t="s">
        <v>205</v>
      </c>
      <c r="B47" s="417"/>
      <c r="C47" s="362">
        <v>0</v>
      </c>
      <c r="D47" s="314">
        <v>0</v>
      </c>
      <c r="E47" s="332"/>
    </row>
    <row r="48" spans="1:5" s="447" customFormat="1" x14ac:dyDescent="0.4">
      <c r="A48" s="449" t="s">
        <v>143</v>
      </c>
      <c r="B48" s="471">
        <v>0.105</v>
      </c>
      <c r="C48" s="362">
        <f>(($B48/365)*(30)*C52)</f>
        <v>6375.0821917808207</v>
      </c>
      <c r="D48" s="314">
        <f>(($B48/365)*(30)*D52)</f>
        <v>7198.8287671232865</v>
      </c>
      <c r="E48" s="332"/>
    </row>
    <row r="49" spans="1:5" s="447" customFormat="1" x14ac:dyDescent="0.4">
      <c r="A49" s="449" t="s">
        <v>54</v>
      </c>
      <c r="B49" s="470">
        <v>7.4999999999999997E-3</v>
      </c>
      <c r="C49" s="362">
        <f>B49*C57</f>
        <v>6675</v>
      </c>
      <c r="D49" s="314">
        <f>B49*D57</f>
        <v>7537.5</v>
      </c>
      <c r="E49" s="332"/>
    </row>
    <row r="50" spans="1:5" s="447" customFormat="1" x14ac:dyDescent="0.4">
      <c r="A50" s="333" t="s">
        <v>153</v>
      </c>
      <c r="B50" s="472"/>
      <c r="C50" s="406">
        <f>SUM(C39:C49)</f>
        <v>28351.002191780819</v>
      </c>
      <c r="D50" s="385">
        <f>SUM(D39:D49)</f>
        <v>30037.248767123288</v>
      </c>
      <c r="E50" s="332"/>
    </row>
    <row r="51" spans="1:5" s="447" customFormat="1" x14ac:dyDescent="0.4">
      <c r="A51" s="341" t="s">
        <v>37</v>
      </c>
      <c r="B51" s="472"/>
      <c r="C51" s="407">
        <f>SUM(C37+C50)</f>
        <v>601881.29019178089</v>
      </c>
      <c r="D51" s="316">
        <f>SUM(D37+D50)</f>
        <v>651230.87676712323</v>
      </c>
      <c r="E51" s="332"/>
    </row>
    <row r="52" spans="1:5" s="447" customFormat="1" x14ac:dyDescent="0.4">
      <c r="A52" s="341" t="s">
        <v>83</v>
      </c>
      <c r="B52" s="467"/>
      <c r="C52" s="407">
        <f>(C57*(1-C59))</f>
        <v>738700</v>
      </c>
      <c r="D52" s="316">
        <f>(D57*(1-D59))</f>
        <v>834150</v>
      </c>
      <c r="E52" s="332"/>
    </row>
    <row r="53" spans="1:5" s="447" customFormat="1" x14ac:dyDescent="0.4">
      <c r="A53" s="341" t="s">
        <v>84</v>
      </c>
      <c r="B53" s="467"/>
      <c r="C53" s="432">
        <v>0</v>
      </c>
      <c r="D53" s="327">
        <v>0</v>
      </c>
      <c r="E53" s="332"/>
    </row>
    <row r="54" spans="1:5" s="447" customFormat="1" x14ac:dyDescent="0.4">
      <c r="A54" s="341" t="s">
        <v>85</v>
      </c>
      <c r="B54" s="467"/>
      <c r="C54" s="432">
        <f>+C52+C53</f>
        <v>738700</v>
      </c>
      <c r="D54" s="327">
        <f>+D52+D53</f>
        <v>834150</v>
      </c>
      <c r="E54" s="332"/>
    </row>
    <row r="55" spans="1:5" s="447" customFormat="1" x14ac:dyDescent="0.4">
      <c r="A55" s="341" t="s">
        <v>38</v>
      </c>
      <c r="B55" s="467"/>
      <c r="C55" s="432">
        <f>C54-C51</f>
        <v>136818.70980821911</v>
      </c>
      <c r="D55" s="327">
        <f>D54-D51</f>
        <v>182919.12323287677</v>
      </c>
      <c r="E55" s="369"/>
    </row>
    <row r="56" spans="1:5" s="447" customFormat="1" x14ac:dyDescent="0.4">
      <c r="A56" s="341" t="s">
        <v>39</v>
      </c>
      <c r="B56" s="473"/>
      <c r="C56" s="434">
        <f>(C54-C51)/C54</f>
        <v>0.18521552701803046</v>
      </c>
      <c r="D56" s="390">
        <f>(D54-D51)/D54</f>
        <v>0.21928804559476925</v>
      </c>
      <c r="E56" s="369"/>
    </row>
    <row r="57" spans="1:5" s="447" customFormat="1" x14ac:dyDescent="0.4">
      <c r="A57" s="344" t="s">
        <v>261</v>
      </c>
      <c r="B57" s="474"/>
      <c r="C57" s="435">
        <v>890000</v>
      </c>
      <c r="D57" s="346">
        <v>1005000</v>
      </c>
      <c r="E57" s="369"/>
    </row>
    <row r="58" spans="1:5" s="447" customFormat="1" x14ac:dyDescent="0.4">
      <c r="A58" s="458" t="s">
        <v>40</v>
      </c>
      <c r="B58" s="459"/>
      <c r="C58" s="411">
        <v>80</v>
      </c>
      <c r="D58" s="411">
        <v>80</v>
      </c>
      <c r="E58" s="369"/>
    </row>
    <row r="59" spans="1:5" s="447" customFormat="1" x14ac:dyDescent="0.4">
      <c r="A59" s="349" t="s">
        <v>95</v>
      </c>
      <c r="B59" s="350"/>
      <c r="C59" s="351">
        <v>0.17</v>
      </c>
      <c r="D59" s="351">
        <v>0.17</v>
      </c>
      <c r="E59" s="369"/>
    </row>
    <row r="60" spans="1:5" x14ac:dyDescent="0.4">
      <c r="A60" s="352" t="s">
        <v>263</v>
      </c>
      <c r="B60" s="289"/>
      <c r="C60" s="419"/>
      <c r="D60" s="419"/>
      <c r="E60" s="289"/>
    </row>
  </sheetData>
  <pageMargins left="0.70866141732283472" right="0.70866141732283472" top="0.74803149606299213" bottom="0.74803149606299213" header="0.31496062992125984" footer="0.31496062992125984"/>
  <pageSetup paperSize="9" scale="10" orientation="landscape" verticalDpi="598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0.39997558519241921"/>
    <pageSetUpPr fitToPage="1"/>
  </sheetPr>
  <dimension ref="A1:I58"/>
  <sheetViews>
    <sheetView workbookViewId="0"/>
  </sheetViews>
  <sheetFormatPr defaultColWidth="9.109375" defaultRowHeight="14.4" x14ac:dyDescent="0.3"/>
  <cols>
    <col min="1" max="1" width="95.44140625" style="38" customWidth="1"/>
    <col min="2" max="2" width="9.88671875" style="38" bestFit="1" customWidth="1"/>
    <col min="3" max="3" width="22.44140625" style="38" bestFit="1" customWidth="1"/>
    <col min="4" max="4" width="110.44140625" style="38" customWidth="1"/>
    <col min="5" max="16384" width="9.109375" style="38"/>
  </cols>
  <sheetData>
    <row r="1" spans="1:9" ht="22.8" x14ac:dyDescent="0.4">
      <c r="A1" s="1" t="s">
        <v>264</v>
      </c>
      <c r="C1" s="28" t="s">
        <v>0</v>
      </c>
    </row>
    <row r="2" spans="1:9" ht="22.8" x14ac:dyDescent="0.4">
      <c r="A2" s="10" t="s">
        <v>270</v>
      </c>
      <c r="C2" s="30" t="s">
        <v>162</v>
      </c>
    </row>
    <row r="3" spans="1:9" ht="22.8" x14ac:dyDescent="0.4">
      <c r="A3" s="10"/>
      <c r="C3" s="30"/>
    </row>
    <row r="4" spans="1:9" ht="22.8" x14ac:dyDescent="0.4">
      <c r="A4" s="10" t="s">
        <v>234</v>
      </c>
      <c r="C4" s="483">
        <v>0.56799999999999995</v>
      </c>
    </row>
    <row r="5" spans="1:9" ht="22.8" x14ac:dyDescent="0.4">
      <c r="A5" s="10" t="s">
        <v>233</v>
      </c>
      <c r="C5" s="483">
        <v>0.66800000000000004</v>
      </c>
    </row>
    <row r="6" spans="1:9" ht="22.8" x14ac:dyDescent="0.4">
      <c r="A6" s="10"/>
      <c r="C6" s="30"/>
    </row>
    <row r="7" spans="1:9" ht="22.8" x14ac:dyDescent="0.4">
      <c r="A7" s="10" t="s">
        <v>172</v>
      </c>
      <c r="C7" s="199" t="s">
        <v>166</v>
      </c>
    </row>
    <row r="8" spans="1:9" ht="20.399999999999999" x14ac:dyDescent="0.35">
      <c r="C8" s="30" t="s">
        <v>167</v>
      </c>
    </row>
    <row r="9" spans="1:9" ht="22.8" x14ac:dyDescent="0.4">
      <c r="A9" s="10"/>
      <c r="C9" s="30" t="s">
        <v>251</v>
      </c>
    </row>
    <row r="10" spans="1:9" ht="20.399999999999999" x14ac:dyDescent="0.35">
      <c r="C10" s="30" t="s">
        <v>5</v>
      </c>
    </row>
    <row r="11" spans="1:9" ht="22.8" x14ac:dyDescent="0.4">
      <c r="A11" s="10" t="s">
        <v>265</v>
      </c>
      <c r="C11" s="30" t="s">
        <v>7</v>
      </c>
    </row>
    <row r="12" spans="1:9" x14ac:dyDescent="0.3">
      <c r="A12" s="3" t="s">
        <v>46</v>
      </c>
      <c r="B12" s="4"/>
      <c r="C12" s="31" t="s">
        <v>163</v>
      </c>
    </row>
    <row r="13" spans="1:9" x14ac:dyDescent="0.3">
      <c r="A13" s="5" t="s">
        <v>48</v>
      </c>
      <c r="B13" s="6"/>
      <c r="C13" s="32" t="s">
        <v>164</v>
      </c>
      <c r="D13" s="29"/>
      <c r="E13" s="29"/>
      <c r="F13" s="29"/>
      <c r="G13" s="29"/>
      <c r="H13" s="29"/>
      <c r="I13" s="29"/>
    </row>
    <row r="14" spans="1:9" x14ac:dyDescent="0.3">
      <c r="A14" s="7" t="s">
        <v>10</v>
      </c>
      <c r="B14" s="8"/>
      <c r="C14" s="33" t="s">
        <v>165</v>
      </c>
      <c r="D14" s="200"/>
      <c r="E14" s="200"/>
      <c r="F14" s="200"/>
      <c r="G14" s="200"/>
      <c r="H14" s="200"/>
      <c r="I14" s="29"/>
    </row>
    <row r="15" spans="1:9" s="523" customFormat="1" ht="21" x14ac:dyDescent="0.4">
      <c r="A15" s="518" t="s">
        <v>243</v>
      </c>
      <c r="B15" s="519"/>
      <c r="C15" s="520">
        <v>127990</v>
      </c>
      <c r="D15" s="521"/>
      <c r="E15" s="521"/>
      <c r="F15" s="521"/>
      <c r="G15" s="521"/>
      <c r="H15" s="521"/>
      <c r="I15" s="522"/>
    </row>
    <row r="16" spans="1:9" s="523" customFormat="1" ht="21" x14ac:dyDescent="0.4">
      <c r="A16" s="524" t="s">
        <v>244</v>
      </c>
      <c r="B16" s="525"/>
      <c r="C16" s="520">
        <f>50215+3175+1648</f>
        <v>55038</v>
      </c>
      <c r="D16" s="521"/>
      <c r="E16" s="521"/>
      <c r="F16" s="521"/>
      <c r="G16" s="521"/>
      <c r="H16" s="521"/>
      <c r="I16" s="522"/>
    </row>
    <row r="17" spans="1:9" s="523" customFormat="1" ht="21" x14ac:dyDescent="0.4">
      <c r="A17" s="526" t="s">
        <v>245</v>
      </c>
      <c r="B17" s="525"/>
      <c r="C17" s="527">
        <f>SUM(C15:C16)</f>
        <v>183028</v>
      </c>
      <c r="D17" s="521"/>
      <c r="E17" s="521"/>
      <c r="F17" s="521"/>
      <c r="G17" s="521"/>
      <c r="H17" s="521"/>
      <c r="I17" s="522"/>
    </row>
    <row r="18" spans="1:9" s="523" customFormat="1" ht="21" x14ac:dyDescent="0.4">
      <c r="A18" s="524" t="s">
        <v>246</v>
      </c>
      <c r="B18" s="525"/>
      <c r="C18" s="528">
        <f>C15*(1-C4)</f>
        <v>55291.680000000008</v>
      </c>
      <c r="D18" s="521"/>
      <c r="E18" s="521"/>
      <c r="F18" s="521"/>
      <c r="G18" s="521"/>
      <c r="H18" s="521"/>
      <c r="I18" s="522"/>
    </row>
    <row r="19" spans="1:9" s="523" customFormat="1" ht="21" x14ac:dyDescent="0.4">
      <c r="A19" s="529" t="s">
        <v>247</v>
      </c>
      <c r="B19" s="525"/>
      <c r="C19" s="528">
        <f>C16*(1-C5)</f>
        <v>18272.615999999998</v>
      </c>
      <c r="D19" s="521"/>
      <c r="E19" s="521"/>
      <c r="F19" s="521"/>
      <c r="G19" s="521"/>
      <c r="H19" s="521"/>
      <c r="I19" s="522"/>
    </row>
    <row r="20" spans="1:9" s="523" customFormat="1" ht="21" x14ac:dyDescent="0.4">
      <c r="A20" s="530" t="s">
        <v>248</v>
      </c>
      <c r="B20" s="525"/>
      <c r="C20" s="531">
        <f>SUM(C18:C19)</f>
        <v>73564.296000000002</v>
      </c>
      <c r="D20" s="521"/>
      <c r="E20" s="521"/>
      <c r="F20" s="521"/>
      <c r="G20" s="521"/>
      <c r="H20" s="521"/>
      <c r="I20" s="522"/>
    </row>
    <row r="21" spans="1:9" s="523" customFormat="1" ht="21" x14ac:dyDescent="0.4">
      <c r="A21" s="532" t="s">
        <v>16</v>
      </c>
      <c r="B21" s="525"/>
      <c r="C21" s="528">
        <f>3600</f>
        <v>3600</v>
      </c>
      <c r="D21" s="521"/>
      <c r="E21" s="521"/>
      <c r="F21" s="521"/>
      <c r="G21" s="521"/>
      <c r="H21" s="521"/>
      <c r="I21" s="522"/>
    </row>
    <row r="22" spans="1:9" ht="15.6" x14ac:dyDescent="0.3">
      <c r="A22" s="533" t="s">
        <v>168</v>
      </c>
      <c r="B22" s="534">
        <v>0.12</v>
      </c>
      <c r="C22" s="535">
        <f>(C20+C21)*$B22</f>
        <v>9259.7155199999997</v>
      </c>
      <c r="D22" s="200" t="s">
        <v>273</v>
      </c>
      <c r="E22" s="200"/>
      <c r="F22" s="200"/>
      <c r="G22" s="200"/>
      <c r="H22" s="200"/>
      <c r="I22" s="29"/>
    </row>
    <row r="23" spans="1:9" ht="15.6" x14ac:dyDescent="0.3">
      <c r="A23" s="533" t="s">
        <v>17</v>
      </c>
      <c r="B23" s="536"/>
      <c r="C23" s="537">
        <f>SUM(C20:C22)</f>
        <v>86424.01152</v>
      </c>
    </row>
    <row r="24" spans="1:9" ht="18" x14ac:dyDescent="0.35">
      <c r="A24" s="538" t="s">
        <v>18</v>
      </c>
      <c r="B24" s="539">
        <v>15.8</v>
      </c>
      <c r="C24" s="540">
        <f>C23*$B24</f>
        <v>1365499.3820160001</v>
      </c>
    </row>
    <row r="25" spans="1:9" ht="17.399999999999999" x14ac:dyDescent="0.3">
      <c r="A25" s="541" t="s">
        <v>24</v>
      </c>
      <c r="B25" s="542"/>
      <c r="C25" s="543"/>
    </row>
    <row r="26" spans="1:9" ht="15.6" x14ac:dyDescent="0.3">
      <c r="A26" s="544" t="s">
        <v>97</v>
      </c>
      <c r="B26" s="545"/>
      <c r="C26" s="543">
        <v>10560</v>
      </c>
    </row>
    <row r="27" spans="1:9" ht="18" x14ac:dyDescent="0.35">
      <c r="A27" s="538" t="s">
        <v>26</v>
      </c>
      <c r="B27" s="546"/>
      <c r="C27" s="540">
        <f>SUM(C26:C26)</f>
        <v>10560</v>
      </c>
    </row>
    <row r="28" spans="1:9" ht="18" x14ac:dyDescent="0.35">
      <c r="A28" s="538" t="s">
        <v>37</v>
      </c>
      <c r="B28" s="546"/>
      <c r="C28" s="540">
        <f>C24+C27</f>
        <v>1376059.3820160001</v>
      </c>
    </row>
    <row r="29" spans="1:9" ht="15.6" x14ac:dyDescent="0.3">
      <c r="A29" s="544" t="s">
        <v>25</v>
      </c>
      <c r="B29" s="547"/>
      <c r="C29" s="548">
        <v>3319</v>
      </c>
    </row>
    <row r="30" spans="1:9" ht="15.6" x14ac:dyDescent="0.3">
      <c r="A30" s="544" t="s">
        <v>35</v>
      </c>
      <c r="B30" s="549"/>
      <c r="C30" s="537">
        <v>6600</v>
      </c>
    </row>
    <row r="31" spans="1:9" ht="15.6" x14ac:dyDescent="0.3">
      <c r="A31" s="544" t="s">
        <v>171</v>
      </c>
      <c r="B31" s="549"/>
      <c r="C31" s="537">
        <v>0</v>
      </c>
    </row>
    <row r="32" spans="1:9" ht="15.6" x14ac:dyDescent="0.3">
      <c r="A32" s="544" t="s">
        <v>86</v>
      </c>
      <c r="B32" s="549"/>
      <c r="C32" s="537">
        <v>0</v>
      </c>
    </row>
    <row r="33" spans="1:3" ht="15.6" x14ac:dyDescent="0.3">
      <c r="A33" s="544" t="s">
        <v>87</v>
      </c>
      <c r="B33" s="549"/>
      <c r="C33" s="537">
        <v>0</v>
      </c>
    </row>
    <row r="34" spans="1:3" ht="15.6" x14ac:dyDescent="0.3">
      <c r="A34" s="544" t="s">
        <v>173</v>
      </c>
      <c r="B34" s="549"/>
      <c r="C34" s="537">
        <v>15000</v>
      </c>
    </row>
    <row r="35" spans="1:3" ht="15.6" x14ac:dyDescent="0.3">
      <c r="A35" s="550" t="s">
        <v>249</v>
      </c>
      <c r="B35" s="551"/>
      <c r="C35" s="543">
        <v>5000</v>
      </c>
    </row>
    <row r="36" spans="1:3" ht="15.6" x14ac:dyDescent="0.3">
      <c r="A36" s="550" t="s">
        <v>169</v>
      </c>
      <c r="B36" s="552"/>
      <c r="C36" s="543">
        <v>45000</v>
      </c>
    </row>
    <row r="37" spans="1:3" ht="15.6" x14ac:dyDescent="0.3">
      <c r="A37" s="550" t="s">
        <v>90</v>
      </c>
      <c r="B37" s="552"/>
      <c r="C37" s="543">
        <v>424</v>
      </c>
    </row>
    <row r="38" spans="1:3" ht="15.6" x14ac:dyDescent="0.3">
      <c r="A38" s="544" t="s">
        <v>31</v>
      </c>
      <c r="B38" s="553"/>
      <c r="C38" s="554">
        <v>285.64999999999998</v>
      </c>
    </row>
    <row r="39" spans="1:3" ht="15.6" x14ac:dyDescent="0.3">
      <c r="A39" s="544" t="s">
        <v>170</v>
      </c>
      <c r="B39" s="555"/>
      <c r="C39" s="554">
        <v>4500</v>
      </c>
    </row>
    <row r="40" spans="1:3" ht="15.6" x14ac:dyDescent="0.3">
      <c r="A40" s="556" t="s">
        <v>32</v>
      </c>
      <c r="B40" s="557"/>
      <c r="C40" s="554">
        <f>1900+(104*3)</f>
        <v>2212</v>
      </c>
    </row>
    <row r="41" spans="1:3" ht="15.6" x14ac:dyDescent="0.3">
      <c r="A41" s="544" t="s">
        <v>174</v>
      </c>
      <c r="B41" s="549"/>
      <c r="C41" s="537">
        <v>0</v>
      </c>
    </row>
    <row r="42" spans="1:3" ht="15.6" x14ac:dyDescent="0.3">
      <c r="A42" s="544" t="s">
        <v>230</v>
      </c>
      <c r="B42" s="549"/>
      <c r="C42" s="537">
        <v>3500</v>
      </c>
    </row>
    <row r="43" spans="1:3" ht="15.6" x14ac:dyDescent="0.3">
      <c r="A43" s="544" t="s">
        <v>89</v>
      </c>
      <c r="B43" s="549"/>
      <c r="C43" s="537">
        <v>0</v>
      </c>
    </row>
    <row r="44" spans="1:3" ht="15.6" x14ac:dyDescent="0.3">
      <c r="A44" s="544" t="s">
        <v>250</v>
      </c>
      <c r="B44" s="549"/>
      <c r="C44" s="537">
        <f>117*3</f>
        <v>351</v>
      </c>
    </row>
    <row r="45" spans="1:3" ht="15.6" x14ac:dyDescent="0.3">
      <c r="A45" s="544" t="s">
        <v>221</v>
      </c>
      <c r="B45" s="558">
        <v>15.8</v>
      </c>
      <c r="C45" s="537">
        <v>0</v>
      </c>
    </row>
    <row r="46" spans="1:3" ht="15.6" x14ac:dyDescent="0.3">
      <c r="A46" s="544" t="s">
        <v>222</v>
      </c>
      <c r="B46" s="558">
        <v>15.8</v>
      </c>
      <c r="C46" s="537">
        <f>6700*B46</f>
        <v>105860</v>
      </c>
    </row>
    <row r="47" spans="1:3" ht="15.6" x14ac:dyDescent="0.3">
      <c r="A47" s="544" t="s">
        <v>36</v>
      </c>
      <c r="B47" s="549"/>
      <c r="C47" s="559">
        <v>5036.6899999999996</v>
      </c>
    </row>
    <row r="48" spans="1:3" ht="17.399999999999999" x14ac:dyDescent="0.3">
      <c r="A48" s="9" t="s">
        <v>37</v>
      </c>
      <c r="B48" s="16"/>
      <c r="C48" s="35">
        <f>SUM(C28:C47)</f>
        <v>1573147.722016</v>
      </c>
    </row>
    <row r="49" spans="1:3" ht="18" x14ac:dyDescent="0.35">
      <c r="A49" s="9" t="s">
        <v>83</v>
      </c>
      <c r="B49" s="13"/>
      <c r="C49" s="201">
        <f>(C54*(1-C56))</f>
        <v>1867500</v>
      </c>
    </row>
    <row r="50" spans="1:3" ht="18" x14ac:dyDescent="0.35">
      <c r="A50" s="14" t="s">
        <v>84</v>
      </c>
      <c r="B50" s="13"/>
      <c r="C50" s="20">
        <v>0</v>
      </c>
    </row>
    <row r="51" spans="1:3" ht="18" x14ac:dyDescent="0.35">
      <c r="A51" s="14" t="s">
        <v>85</v>
      </c>
      <c r="B51" s="13"/>
      <c r="C51" s="20">
        <f>+C49+C50</f>
        <v>1867500</v>
      </c>
    </row>
    <row r="52" spans="1:3" ht="18" x14ac:dyDescent="0.35">
      <c r="A52" s="18" t="s">
        <v>38</v>
      </c>
      <c r="B52" s="13"/>
      <c r="C52" s="20">
        <f>C51-C48</f>
        <v>294352.27798400004</v>
      </c>
    </row>
    <row r="53" spans="1:3" ht="18" x14ac:dyDescent="0.35">
      <c r="A53" s="22" t="s">
        <v>39</v>
      </c>
      <c r="B53" s="13"/>
      <c r="C53" s="21">
        <f>(C51-C48)/C51</f>
        <v>0.15761835501151275</v>
      </c>
    </row>
    <row r="54" spans="1:3" ht="17.399999999999999" x14ac:dyDescent="0.3">
      <c r="A54" s="15" t="s">
        <v>261</v>
      </c>
      <c r="B54" s="23"/>
      <c r="C54" s="17">
        <v>2250000</v>
      </c>
    </row>
    <row r="55" spans="1:3" ht="15.6" x14ac:dyDescent="0.3">
      <c r="A55" s="11" t="s">
        <v>40</v>
      </c>
      <c r="B55" s="202"/>
      <c r="C55" s="203"/>
    </row>
    <row r="56" spans="1:3" ht="18" x14ac:dyDescent="0.35">
      <c r="A56" s="2" t="s">
        <v>95</v>
      </c>
      <c r="B56" s="12"/>
      <c r="C56" s="36">
        <v>0.17</v>
      </c>
    </row>
    <row r="57" spans="1:3" ht="15.6" x14ac:dyDescent="0.3">
      <c r="A57" s="24"/>
      <c r="B57" s="37"/>
      <c r="C57" s="25"/>
    </row>
    <row r="58" spans="1:3" x14ac:dyDescent="0.3">
      <c r="A58" s="38" t="s">
        <v>263</v>
      </c>
    </row>
  </sheetData>
  <pageMargins left="0.70866141732283472" right="0.70866141732283472" top="0.74803149606299213" bottom="0.74803149606299213" header="0.31496062992125984" footer="0.31496062992125984"/>
  <pageSetup paperSize="9" scale="49" orientation="landscape" verticalDpi="598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L55"/>
  <sheetViews>
    <sheetView workbookViewId="0"/>
  </sheetViews>
  <sheetFormatPr defaultColWidth="9.109375" defaultRowHeight="18" x14ac:dyDescent="0.35"/>
  <cols>
    <col min="1" max="1" width="122.6640625" style="223" bestFit="1" customWidth="1"/>
    <col min="2" max="2" width="12.5546875" style="223" bestFit="1" customWidth="1"/>
    <col min="3" max="11" width="25.6640625" style="223" customWidth="1"/>
    <col min="12" max="12" width="19.109375" style="223" hidden="1" customWidth="1"/>
    <col min="13" max="16384" width="9.109375" style="223"/>
  </cols>
  <sheetData>
    <row r="1" spans="1:11" x14ac:dyDescent="0.35">
      <c r="A1" s="208" t="s">
        <v>264</v>
      </c>
      <c r="B1" s="224"/>
      <c r="C1" s="225" t="s">
        <v>133</v>
      </c>
      <c r="D1" s="225" t="s">
        <v>134</v>
      </c>
      <c r="E1" s="225" t="s">
        <v>135</v>
      </c>
      <c r="F1" s="225" t="s">
        <v>136</v>
      </c>
      <c r="G1" s="485" t="s">
        <v>254</v>
      </c>
      <c r="H1" s="225" t="s">
        <v>137</v>
      </c>
      <c r="I1" s="485" t="s">
        <v>255</v>
      </c>
      <c r="J1" s="225" t="s">
        <v>139</v>
      </c>
      <c r="K1" s="225" t="s">
        <v>138</v>
      </c>
    </row>
    <row r="2" spans="1:11" x14ac:dyDescent="0.35">
      <c r="A2" s="208"/>
      <c r="B2" s="224"/>
      <c r="C2" s="224"/>
      <c r="D2" s="224"/>
      <c r="E2" s="224"/>
      <c r="F2" s="224"/>
      <c r="G2" s="224"/>
      <c r="H2" s="224"/>
      <c r="I2" s="224"/>
      <c r="J2" s="224"/>
      <c r="K2" s="224"/>
    </row>
    <row r="3" spans="1:11" ht="35.4" x14ac:dyDescent="0.35">
      <c r="A3" s="209" t="s">
        <v>2</v>
      </c>
      <c r="B3" s="224"/>
      <c r="C3" s="224" t="s">
        <v>103</v>
      </c>
      <c r="D3" s="224" t="s">
        <v>103</v>
      </c>
      <c r="E3" s="224" t="s">
        <v>103</v>
      </c>
      <c r="F3" s="226" t="s">
        <v>149</v>
      </c>
      <c r="G3" s="226"/>
      <c r="H3" s="224" t="s">
        <v>104</v>
      </c>
      <c r="I3" s="224" t="s">
        <v>3</v>
      </c>
      <c r="J3" s="224"/>
      <c r="K3" s="224" t="s">
        <v>106</v>
      </c>
    </row>
    <row r="4" spans="1:11" ht="21" x14ac:dyDescent="0.4">
      <c r="A4" s="297" t="s">
        <v>267</v>
      </c>
      <c r="B4" s="224"/>
      <c r="C4" s="224" t="s">
        <v>104</v>
      </c>
      <c r="D4" s="224" t="s">
        <v>104</v>
      </c>
      <c r="E4" s="224" t="s">
        <v>104</v>
      </c>
      <c r="F4" s="224" t="s">
        <v>3</v>
      </c>
      <c r="G4" s="224" t="s">
        <v>193</v>
      </c>
      <c r="H4" s="224" t="s">
        <v>105</v>
      </c>
      <c r="I4" s="224" t="s">
        <v>105</v>
      </c>
      <c r="J4" s="224"/>
      <c r="K4" s="224" t="s">
        <v>3</v>
      </c>
    </row>
    <row r="5" spans="1:11" x14ac:dyDescent="0.35">
      <c r="A5" s="207" t="s">
        <v>266</v>
      </c>
      <c r="B5" s="227"/>
      <c r="C5" s="224" t="s">
        <v>107</v>
      </c>
      <c r="D5" s="224" t="s">
        <v>108</v>
      </c>
      <c r="E5" s="224" t="s">
        <v>109</v>
      </c>
      <c r="F5" s="224" t="s">
        <v>109</v>
      </c>
      <c r="G5" s="224" t="s">
        <v>109</v>
      </c>
      <c r="H5" s="224" t="s">
        <v>109</v>
      </c>
      <c r="I5" s="224" t="s">
        <v>109</v>
      </c>
      <c r="J5" s="224" t="s">
        <v>110</v>
      </c>
      <c r="K5" s="224" t="s">
        <v>111</v>
      </c>
    </row>
    <row r="6" spans="1:11" x14ac:dyDescent="0.35">
      <c r="A6" s="210" t="s">
        <v>46</v>
      </c>
      <c r="B6" s="228"/>
      <c r="C6" s="229" t="s">
        <v>112</v>
      </c>
      <c r="D6" s="229" t="s">
        <v>113</v>
      </c>
      <c r="E6" s="229" t="s">
        <v>114</v>
      </c>
      <c r="F6" s="229" t="s">
        <v>115</v>
      </c>
      <c r="G6" s="229" t="s">
        <v>231</v>
      </c>
      <c r="H6" s="229" t="s">
        <v>114</v>
      </c>
      <c r="I6" s="229" t="s">
        <v>231</v>
      </c>
      <c r="J6" s="229" t="s">
        <v>116</v>
      </c>
      <c r="K6" s="229" t="s">
        <v>117</v>
      </c>
    </row>
    <row r="7" spans="1:11" x14ac:dyDescent="0.35">
      <c r="A7" s="211" t="s">
        <v>118</v>
      </c>
      <c r="B7" s="230"/>
      <c r="C7" s="231" t="s">
        <v>119</v>
      </c>
      <c r="D7" s="231" t="s">
        <v>120</v>
      </c>
      <c r="E7" s="231" t="s">
        <v>121</v>
      </c>
      <c r="F7" s="231" t="s">
        <v>122</v>
      </c>
      <c r="G7" s="231" t="s">
        <v>232</v>
      </c>
      <c r="H7" s="231" t="s">
        <v>121</v>
      </c>
      <c r="I7" s="231" t="s">
        <v>122</v>
      </c>
      <c r="J7" s="231" t="s">
        <v>123</v>
      </c>
      <c r="K7" s="231" t="s">
        <v>124</v>
      </c>
    </row>
    <row r="8" spans="1:11" x14ac:dyDescent="0.35">
      <c r="A8" s="211" t="s">
        <v>125</v>
      </c>
      <c r="B8" s="211"/>
      <c r="C8" s="231" t="s">
        <v>126</v>
      </c>
      <c r="D8" s="231" t="s">
        <v>127</v>
      </c>
      <c r="E8" s="231" t="s">
        <v>128</v>
      </c>
      <c r="F8" s="231" t="s">
        <v>128</v>
      </c>
      <c r="G8" s="231" t="s">
        <v>128</v>
      </c>
      <c r="H8" s="231" t="s">
        <v>128</v>
      </c>
      <c r="I8" s="231" t="s">
        <v>128</v>
      </c>
      <c r="J8" s="231" t="s">
        <v>129</v>
      </c>
      <c r="K8" s="231" t="s">
        <v>128</v>
      </c>
    </row>
    <row r="9" spans="1:11" x14ac:dyDescent="0.35">
      <c r="A9" s="212"/>
      <c r="B9" s="212"/>
      <c r="C9" s="232" t="s">
        <v>130</v>
      </c>
      <c r="D9" s="232"/>
      <c r="E9" s="232" t="s">
        <v>131</v>
      </c>
      <c r="F9" s="232" t="s">
        <v>131</v>
      </c>
      <c r="G9" s="232" t="s">
        <v>131</v>
      </c>
      <c r="H9" s="232" t="s">
        <v>131</v>
      </c>
      <c r="I9" s="232" t="s">
        <v>131</v>
      </c>
      <c r="J9" s="232"/>
      <c r="K9" s="232" t="s">
        <v>4</v>
      </c>
    </row>
    <row r="10" spans="1:11" x14ac:dyDescent="0.35">
      <c r="A10" s="213" t="s">
        <v>12</v>
      </c>
      <c r="B10" s="94"/>
      <c r="C10" s="106">
        <f>C11/0.618</f>
        <v>78548</v>
      </c>
      <c r="D10" s="106">
        <f>D11/0.58</f>
        <v>86663</v>
      </c>
      <c r="E10" s="106">
        <f>E11/0.6</f>
        <v>91573</v>
      </c>
      <c r="F10" s="106">
        <f>F11/0.6</f>
        <v>102435</v>
      </c>
      <c r="G10" s="106">
        <f>G11/0.6</f>
        <v>98364</v>
      </c>
      <c r="H10" s="106">
        <f>H11/0.6</f>
        <v>87178</v>
      </c>
      <c r="I10" s="106">
        <f>I11/0.6</f>
        <v>104705</v>
      </c>
      <c r="J10" s="106">
        <f>J11/0.541</f>
        <v>151813</v>
      </c>
      <c r="K10" s="106">
        <f>K11/0.62</f>
        <v>111202.00000000001</v>
      </c>
    </row>
    <row r="11" spans="1:11" x14ac:dyDescent="0.35">
      <c r="A11" s="78" t="s">
        <v>51</v>
      </c>
      <c r="B11" s="94"/>
      <c r="C11" s="47">
        <f>(78548)*0.618</f>
        <v>48542.663999999997</v>
      </c>
      <c r="D11" s="47">
        <f>(86663)*0.58</f>
        <v>50264.539999999994</v>
      </c>
      <c r="E11" s="47">
        <f>(87070+4503)*0.6</f>
        <v>54943.799999999996</v>
      </c>
      <c r="F11" s="47">
        <f>(87070+15365)*0.6</f>
        <v>61461</v>
      </c>
      <c r="G11" s="47">
        <f>(98364)*0.6</f>
        <v>59018.399999999994</v>
      </c>
      <c r="H11" s="47">
        <f>(87070+108)*0.6</f>
        <v>52306.799999999996</v>
      </c>
      <c r="I11" s="47">
        <f>(104705)*0.6</f>
        <v>62823</v>
      </c>
      <c r="J11" s="47">
        <f>(150230+1583)*0.541</f>
        <v>82130.832999999999</v>
      </c>
      <c r="K11" s="47">
        <f>(85300+25902)*0.62</f>
        <v>68945.240000000005</v>
      </c>
    </row>
    <row r="12" spans="1:11" x14ac:dyDescent="0.35">
      <c r="A12" s="82" t="s">
        <v>14</v>
      </c>
      <c r="B12" s="95">
        <v>0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</row>
    <row r="13" spans="1:11" x14ac:dyDescent="0.35">
      <c r="A13" s="82" t="s">
        <v>15</v>
      </c>
      <c r="B13" s="96"/>
      <c r="C13" s="47">
        <f t="shared" ref="C13:K13" si="0">SUM(C11:C12)</f>
        <v>48542.663999999997</v>
      </c>
      <c r="D13" s="47">
        <f t="shared" si="0"/>
        <v>50264.539999999994</v>
      </c>
      <c r="E13" s="47">
        <f t="shared" si="0"/>
        <v>54943.799999999996</v>
      </c>
      <c r="F13" s="47">
        <f t="shared" si="0"/>
        <v>61461</v>
      </c>
      <c r="G13" s="47">
        <f t="shared" si="0"/>
        <v>59018.399999999994</v>
      </c>
      <c r="H13" s="47">
        <f t="shared" si="0"/>
        <v>52306.799999999996</v>
      </c>
      <c r="I13" s="47">
        <f t="shared" si="0"/>
        <v>62823</v>
      </c>
      <c r="J13" s="47">
        <f t="shared" si="0"/>
        <v>82130.832999999999</v>
      </c>
      <c r="K13" s="47">
        <f t="shared" si="0"/>
        <v>68945.240000000005</v>
      </c>
    </row>
    <row r="14" spans="1:11" x14ac:dyDescent="0.35">
      <c r="A14" s="82" t="s">
        <v>16</v>
      </c>
      <c r="B14" s="108">
        <v>0.04</v>
      </c>
      <c r="C14" s="47">
        <f t="shared" ref="C14:K14" si="1">+C13*$B14</f>
        <v>1941.7065599999999</v>
      </c>
      <c r="D14" s="47">
        <f t="shared" si="1"/>
        <v>2010.5815999999998</v>
      </c>
      <c r="E14" s="47">
        <f t="shared" si="1"/>
        <v>2197.752</v>
      </c>
      <c r="F14" s="47">
        <f t="shared" si="1"/>
        <v>2458.44</v>
      </c>
      <c r="G14" s="47">
        <f t="shared" si="1"/>
        <v>2360.7359999999999</v>
      </c>
      <c r="H14" s="47">
        <f t="shared" si="1"/>
        <v>2092.2719999999999</v>
      </c>
      <c r="I14" s="47">
        <f t="shared" si="1"/>
        <v>2512.92</v>
      </c>
      <c r="J14" s="47">
        <f t="shared" si="1"/>
        <v>3285.2333199999998</v>
      </c>
      <c r="K14" s="47">
        <f t="shared" si="1"/>
        <v>2757.8096</v>
      </c>
    </row>
    <row r="15" spans="1:11" x14ac:dyDescent="0.35">
      <c r="A15" s="82" t="s">
        <v>17</v>
      </c>
      <c r="B15" s="94"/>
      <c r="C15" s="47">
        <f t="shared" ref="C15:K15" si="2">SUM(C13:C14)</f>
        <v>50484.370559999996</v>
      </c>
      <c r="D15" s="47">
        <f t="shared" si="2"/>
        <v>52275.121599999991</v>
      </c>
      <c r="E15" s="47">
        <f t="shared" si="2"/>
        <v>57141.551999999996</v>
      </c>
      <c r="F15" s="47">
        <f t="shared" si="2"/>
        <v>63919.44</v>
      </c>
      <c r="G15" s="47">
        <f t="shared" si="2"/>
        <v>61379.135999999991</v>
      </c>
      <c r="H15" s="47">
        <f t="shared" si="2"/>
        <v>54399.071999999993</v>
      </c>
      <c r="I15" s="47">
        <f t="shared" si="2"/>
        <v>65335.92</v>
      </c>
      <c r="J15" s="47">
        <f t="shared" si="2"/>
        <v>85416.066319999998</v>
      </c>
      <c r="K15" s="47">
        <f t="shared" si="2"/>
        <v>71703.049599999998</v>
      </c>
    </row>
    <row r="16" spans="1:11" x14ac:dyDescent="0.35">
      <c r="A16" s="55" t="s">
        <v>18</v>
      </c>
      <c r="B16" s="233">
        <v>15.8</v>
      </c>
      <c r="C16" s="50">
        <f t="shared" ref="C16:K16" si="3">C15*$B16</f>
        <v>797653.05484799994</v>
      </c>
      <c r="D16" s="50">
        <f t="shared" si="3"/>
        <v>825946.92127999989</v>
      </c>
      <c r="E16" s="50">
        <f t="shared" si="3"/>
        <v>902836.52159999998</v>
      </c>
      <c r="F16" s="50">
        <f t="shared" si="3"/>
        <v>1009927.1520000001</v>
      </c>
      <c r="G16" s="50">
        <f t="shared" si="3"/>
        <v>969790.34879999992</v>
      </c>
      <c r="H16" s="50">
        <f t="shared" si="3"/>
        <v>859505.33759999997</v>
      </c>
      <c r="I16" s="50">
        <f t="shared" si="3"/>
        <v>1032307.536</v>
      </c>
      <c r="J16" s="50">
        <f t="shared" si="3"/>
        <v>1349573.8478560001</v>
      </c>
      <c r="K16" s="50">
        <f t="shared" si="3"/>
        <v>1132908.18368</v>
      </c>
    </row>
    <row r="17" spans="1:11" x14ac:dyDescent="0.35">
      <c r="A17" s="82" t="s">
        <v>19</v>
      </c>
      <c r="B17" s="96"/>
      <c r="C17" s="47">
        <v>27132</v>
      </c>
      <c r="D17" s="47">
        <v>24287</v>
      </c>
      <c r="E17" s="47">
        <v>30786</v>
      </c>
      <c r="F17" s="47">
        <v>26995</v>
      </c>
      <c r="G17" s="47">
        <v>26995</v>
      </c>
      <c r="H17" s="47">
        <v>44469</v>
      </c>
      <c r="I17" s="47">
        <v>59059</v>
      </c>
      <c r="J17" s="47">
        <v>20748</v>
      </c>
      <c r="K17" s="47">
        <v>68145</v>
      </c>
    </row>
    <row r="18" spans="1:11" x14ac:dyDescent="0.35">
      <c r="A18" s="82" t="s">
        <v>159</v>
      </c>
      <c r="B18" s="96"/>
      <c r="C18" s="47">
        <v>0</v>
      </c>
      <c r="D18" s="47">
        <v>0</v>
      </c>
      <c r="E18" s="47">
        <v>0</v>
      </c>
      <c r="F18" s="47">
        <v>35550</v>
      </c>
      <c r="G18" s="47">
        <v>35550</v>
      </c>
      <c r="H18" s="47">
        <v>0</v>
      </c>
      <c r="I18" s="47">
        <v>51350</v>
      </c>
      <c r="J18" s="47">
        <v>0</v>
      </c>
      <c r="K18" s="47">
        <v>59250</v>
      </c>
    </row>
    <row r="19" spans="1:11" x14ac:dyDescent="0.35">
      <c r="A19" s="82" t="s">
        <v>20</v>
      </c>
      <c r="B19" s="107"/>
      <c r="C19" s="47">
        <v>34353</v>
      </c>
      <c r="D19" s="47">
        <v>44316</v>
      </c>
      <c r="E19" s="47">
        <v>38835</v>
      </c>
      <c r="F19" s="47">
        <v>48091</v>
      </c>
      <c r="G19" s="47">
        <v>50867</v>
      </c>
      <c r="H19" s="47">
        <v>93575</v>
      </c>
      <c r="I19" s="47">
        <v>1006</v>
      </c>
      <c r="J19" s="47">
        <v>8106</v>
      </c>
      <c r="K19" s="47">
        <v>136639</v>
      </c>
    </row>
    <row r="20" spans="1:11" x14ac:dyDescent="0.35">
      <c r="A20" s="214" t="s">
        <v>21</v>
      </c>
      <c r="B20" s="49"/>
      <c r="C20" s="234">
        <f t="shared" ref="C20:K20" si="4">SUM(C16:C19)</f>
        <v>859138.05484799994</v>
      </c>
      <c r="D20" s="234">
        <f t="shared" si="4"/>
        <v>894549.92127999989</v>
      </c>
      <c r="E20" s="234">
        <f t="shared" si="4"/>
        <v>972457.52159999998</v>
      </c>
      <c r="F20" s="234">
        <f t="shared" si="4"/>
        <v>1120563.1520000002</v>
      </c>
      <c r="G20" s="234">
        <f t="shared" si="4"/>
        <v>1083202.3487999998</v>
      </c>
      <c r="H20" s="234">
        <f t="shared" si="4"/>
        <v>997549.33759999997</v>
      </c>
      <c r="I20" s="234">
        <f t="shared" si="4"/>
        <v>1143722.5359999998</v>
      </c>
      <c r="J20" s="234">
        <f t="shared" si="4"/>
        <v>1378427.8478560001</v>
      </c>
      <c r="K20" s="234">
        <f t="shared" si="4"/>
        <v>1396942.18368</v>
      </c>
    </row>
    <row r="21" spans="1:11" x14ac:dyDescent="0.35">
      <c r="A21" s="215" t="s">
        <v>22</v>
      </c>
      <c r="B21" s="235"/>
      <c r="C21" s="47"/>
      <c r="D21" s="47"/>
      <c r="E21" s="47"/>
      <c r="F21" s="47"/>
      <c r="G21" s="47"/>
      <c r="H21" s="47"/>
      <c r="I21" s="47"/>
      <c r="J21" s="47"/>
      <c r="K21" s="47"/>
    </row>
    <row r="22" spans="1:11" ht="21" x14ac:dyDescent="0.4">
      <c r="A22" s="82" t="s">
        <v>241</v>
      </c>
      <c r="B22" s="319">
        <f>320.8*1.05</f>
        <v>336.84000000000003</v>
      </c>
      <c r="C22" s="47">
        <f t="shared" ref="C22:K22" si="5">C53*$B22</f>
        <v>29305.08</v>
      </c>
      <c r="D22" s="47">
        <f t="shared" si="5"/>
        <v>29305.08</v>
      </c>
      <c r="E22" s="47">
        <f t="shared" si="5"/>
        <v>29305.08</v>
      </c>
      <c r="F22" s="47">
        <f t="shared" si="5"/>
        <v>29305.08</v>
      </c>
      <c r="G22" s="47">
        <f t="shared" si="5"/>
        <v>0</v>
      </c>
      <c r="H22" s="47">
        <f t="shared" si="5"/>
        <v>43789.200000000004</v>
      </c>
      <c r="I22" s="47">
        <f t="shared" si="5"/>
        <v>43789.200000000004</v>
      </c>
      <c r="J22" s="47">
        <f t="shared" si="5"/>
        <v>40757.640000000007</v>
      </c>
      <c r="K22" s="47">
        <f t="shared" si="5"/>
        <v>58273.320000000007</v>
      </c>
    </row>
    <row r="23" spans="1:11" ht="21" x14ac:dyDescent="0.4">
      <c r="A23" s="82" t="s">
        <v>242</v>
      </c>
      <c r="B23" s="319">
        <f>131.11*1.06</f>
        <v>138.97660000000002</v>
      </c>
      <c r="C23" s="47">
        <f t="shared" ref="C23:K23" si="6">C53*$B23</f>
        <v>12090.964200000002</v>
      </c>
      <c r="D23" s="47">
        <f t="shared" si="6"/>
        <v>12090.964200000002</v>
      </c>
      <c r="E23" s="47">
        <f t="shared" si="6"/>
        <v>12090.964200000002</v>
      </c>
      <c r="F23" s="47">
        <f t="shared" si="6"/>
        <v>12090.964200000002</v>
      </c>
      <c r="G23" s="47">
        <f t="shared" si="6"/>
        <v>0</v>
      </c>
      <c r="H23" s="47">
        <f t="shared" si="6"/>
        <v>18066.958000000002</v>
      </c>
      <c r="I23" s="47">
        <f t="shared" si="6"/>
        <v>18066.958000000002</v>
      </c>
      <c r="J23" s="47">
        <f t="shared" si="6"/>
        <v>16816.168600000001</v>
      </c>
      <c r="K23" s="47">
        <f t="shared" si="6"/>
        <v>24042.951800000003</v>
      </c>
    </row>
    <row r="24" spans="1:11" x14ac:dyDescent="0.35">
      <c r="A24" s="55" t="s">
        <v>23</v>
      </c>
      <c r="B24" s="57"/>
      <c r="C24" s="50">
        <f t="shared" ref="C24:K24" si="7">SUM(C22:C23)</f>
        <v>41396.044200000004</v>
      </c>
      <c r="D24" s="50">
        <f t="shared" si="7"/>
        <v>41396.044200000004</v>
      </c>
      <c r="E24" s="50">
        <f t="shared" si="7"/>
        <v>41396.044200000004</v>
      </c>
      <c r="F24" s="50">
        <f t="shared" si="7"/>
        <v>41396.044200000004</v>
      </c>
      <c r="G24" s="50">
        <f t="shared" si="7"/>
        <v>0</v>
      </c>
      <c r="H24" s="50">
        <f t="shared" si="7"/>
        <v>61856.15800000001</v>
      </c>
      <c r="I24" s="50">
        <f t="shared" si="7"/>
        <v>61856.15800000001</v>
      </c>
      <c r="J24" s="50">
        <f t="shared" si="7"/>
        <v>57573.808600000004</v>
      </c>
      <c r="K24" s="50">
        <f t="shared" si="7"/>
        <v>82316.271800000017</v>
      </c>
    </row>
    <row r="25" spans="1:11" x14ac:dyDescent="0.35">
      <c r="A25" s="216" t="s">
        <v>155</v>
      </c>
      <c r="B25" s="84"/>
      <c r="C25" s="236"/>
      <c r="D25" s="91"/>
      <c r="E25" s="47"/>
      <c r="F25" s="47"/>
      <c r="G25" s="47"/>
      <c r="H25" s="47"/>
      <c r="I25" s="47"/>
      <c r="J25" s="47"/>
      <c r="K25" s="47"/>
    </row>
    <row r="26" spans="1:11" x14ac:dyDescent="0.35">
      <c r="A26" s="78" t="s">
        <v>91</v>
      </c>
      <c r="B26" s="81"/>
      <c r="C26" s="81">
        <v>9196</v>
      </c>
      <c r="D26" s="81">
        <v>9196</v>
      </c>
      <c r="E26" s="47">
        <v>14400</v>
      </c>
      <c r="F26" s="47">
        <v>14400</v>
      </c>
      <c r="G26" s="47">
        <v>14400</v>
      </c>
      <c r="H26" s="47">
        <v>15500</v>
      </c>
      <c r="I26" s="47">
        <v>15500</v>
      </c>
      <c r="J26" s="47">
        <v>15500</v>
      </c>
      <c r="K26" s="47">
        <v>15500</v>
      </c>
    </row>
    <row r="27" spans="1:11" x14ac:dyDescent="0.35">
      <c r="A27" s="78" t="s">
        <v>97</v>
      </c>
      <c r="B27" s="81"/>
      <c r="C27" s="81">
        <v>4700</v>
      </c>
      <c r="D27" s="81">
        <v>4700</v>
      </c>
      <c r="E27" s="45">
        <v>4700</v>
      </c>
      <c r="F27" s="45">
        <v>4700</v>
      </c>
      <c r="G27" s="45">
        <v>4700</v>
      </c>
      <c r="H27" s="45">
        <v>4700</v>
      </c>
      <c r="I27" s="45">
        <v>4700</v>
      </c>
      <c r="J27" s="45">
        <v>4700</v>
      </c>
      <c r="K27" s="45">
        <v>4700</v>
      </c>
    </row>
    <row r="28" spans="1:11" x14ac:dyDescent="0.35">
      <c r="A28" s="78" t="s">
        <v>177</v>
      </c>
      <c r="B28" s="81"/>
      <c r="C28" s="45">
        <v>1000</v>
      </c>
      <c r="D28" s="45">
        <v>1000</v>
      </c>
      <c r="E28" s="45">
        <v>1000</v>
      </c>
      <c r="F28" s="45">
        <v>1000</v>
      </c>
      <c r="G28" s="45">
        <v>1000</v>
      </c>
      <c r="H28" s="45">
        <v>1000</v>
      </c>
      <c r="I28" s="45">
        <v>1000</v>
      </c>
      <c r="J28" s="45">
        <v>1000</v>
      </c>
      <c r="K28" s="45">
        <v>1000</v>
      </c>
    </row>
    <row r="29" spans="1:11" x14ac:dyDescent="0.35">
      <c r="A29" s="55" t="s">
        <v>156</v>
      </c>
      <c r="B29" s="57"/>
      <c r="C29" s="50">
        <f t="shared" ref="C29:K29" si="8">SUM(C26:C28)</f>
        <v>14896</v>
      </c>
      <c r="D29" s="50">
        <f t="shared" si="8"/>
        <v>14896</v>
      </c>
      <c r="E29" s="50">
        <f t="shared" si="8"/>
        <v>20100</v>
      </c>
      <c r="F29" s="50">
        <f t="shared" si="8"/>
        <v>20100</v>
      </c>
      <c r="G29" s="50">
        <f t="shared" si="8"/>
        <v>20100</v>
      </c>
      <c r="H29" s="50">
        <f t="shared" si="8"/>
        <v>21200</v>
      </c>
      <c r="I29" s="50">
        <f t="shared" si="8"/>
        <v>21200</v>
      </c>
      <c r="J29" s="50">
        <f t="shared" si="8"/>
        <v>21200</v>
      </c>
      <c r="K29" s="50">
        <f t="shared" si="8"/>
        <v>21200</v>
      </c>
    </row>
    <row r="30" spans="1:11" x14ac:dyDescent="0.35">
      <c r="A30" s="217" t="s">
        <v>27</v>
      </c>
      <c r="B30" s="93"/>
      <c r="C30" s="47"/>
      <c r="D30" s="47"/>
      <c r="E30" s="47"/>
      <c r="F30" s="47"/>
      <c r="G30" s="47"/>
      <c r="H30" s="47"/>
      <c r="I30" s="47"/>
      <c r="J30" s="47"/>
      <c r="K30" s="47"/>
    </row>
    <row r="31" spans="1:11" x14ac:dyDescent="0.35">
      <c r="A31" s="77" t="s">
        <v>28</v>
      </c>
      <c r="B31" s="93"/>
      <c r="C31" s="45">
        <v>1141.6199999999999</v>
      </c>
      <c r="D31" s="45">
        <v>1141.6199999999999</v>
      </c>
      <c r="E31" s="45">
        <v>1141.6199999999999</v>
      </c>
      <c r="F31" s="45">
        <v>1141.6199999999999</v>
      </c>
      <c r="G31" s="45">
        <v>1141.6199999999999</v>
      </c>
      <c r="H31" s="45">
        <v>1141.6199999999999</v>
      </c>
      <c r="I31" s="45">
        <v>1141.6199999999999</v>
      </c>
      <c r="J31" s="45">
        <v>1141.6199999999999</v>
      </c>
      <c r="K31" s="45">
        <v>1141.6199999999999</v>
      </c>
    </row>
    <row r="32" spans="1:11" x14ac:dyDescent="0.35">
      <c r="A32" s="55" t="s">
        <v>29</v>
      </c>
      <c r="B32" s="57"/>
      <c r="C32" s="50">
        <f t="shared" ref="C32:K32" si="9">SUM(C31:C31)</f>
        <v>1141.6199999999999</v>
      </c>
      <c r="D32" s="50">
        <f t="shared" si="9"/>
        <v>1141.6199999999999</v>
      </c>
      <c r="E32" s="50">
        <f t="shared" si="9"/>
        <v>1141.6199999999999</v>
      </c>
      <c r="F32" s="50">
        <f t="shared" si="9"/>
        <v>1141.6199999999999</v>
      </c>
      <c r="G32" s="50">
        <f t="shared" si="9"/>
        <v>1141.6199999999999</v>
      </c>
      <c r="H32" s="50">
        <f t="shared" si="9"/>
        <v>1141.6199999999999</v>
      </c>
      <c r="I32" s="50">
        <f t="shared" si="9"/>
        <v>1141.6199999999999</v>
      </c>
      <c r="J32" s="50">
        <f t="shared" si="9"/>
        <v>1141.6199999999999</v>
      </c>
      <c r="K32" s="50">
        <f t="shared" si="9"/>
        <v>1141.6199999999999</v>
      </c>
    </row>
    <row r="33" spans="1:11" x14ac:dyDescent="0.35">
      <c r="A33" s="217" t="s">
        <v>30</v>
      </c>
      <c r="B33" s="93"/>
      <c r="C33" s="47"/>
      <c r="D33" s="47"/>
      <c r="E33" s="47"/>
      <c r="F33" s="47"/>
      <c r="G33" s="47"/>
      <c r="H33" s="47"/>
      <c r="I33" s="47"/>
      <c r="J33" s="47"/>
      <c r="K33" s="47"/>
    </row>
    <row r="34" spans="1:11" x14ac:dyDescent="0.35">
      <c r="A34" s="77" t="s">
        <v>31</v>
      </c>
      <c r="B34" s="109"/>
      <c r="C34" s="47">
        <v>316.44</v>
      </c>
      <c r="D34" s="47">
        <v>316.44</v>
      </c>
      <c r="E34" s="47">
        <v>316.44</v>
      </c>
      <c r="F34" s="47">
        <v>316.44</v>
      </c>
      <c r="G34" s="47">
        <v>316.44</v>
      </c>
      <c r="H34" s="47">
        <v>316.44</v>
      </c>
      <c r="I34" s="47">
        <v>316.44</v>
      </c>
      <c r="J34" s="47">
        <v>316.44</v>
      </c>
      <c r="K34" s="47">
        <v>316.44</v>
      </c>
    </row>
    <row r="35" spans="1:11" x14ac:dyDescent="0.35">
      <c r="A35" s="98" t="s">
        <v>90</v>
      </c>
      <c r="B35" s="92"/>
      <c r="C35" s="47">
        <v>0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</row>
    <row r="36" spans="1:11" x14ac:dyDescent="0.35">
      <c r="A36" s="97" t="s">
        <v>32</v>
      </c>
      <c r="B36" s="92"/>
      <c r="C36" s="47">
        <f t="shared" ref="C36:K36" si="10">1900+(104*3)</f>
        <v>2212</v>
      </c>
      <c r="D36" s="47">
        <f t="shared" si="10"/>
        <v>2212</v>
      </c>
      <c r="E36" s="47">
        <f t="shared" si="10"/>
        <v>2212</v>
      </c>
      <c r="F36" s="47">
        <f t="shared" si="10"/>
        <v>2212</v>
      </c>
      <c r="G36" s="47">
        <f t="shared" si="10"/>
        <v>2212</v>
      </c>
      <c r="H36" s="47">
        <f t="shared" si="10"/>
        <v>2212</v>
      </c>
      <c r="I36" s="47">
        <f t="shared" si="10"/>
        <v>2212</v>
      </c>
      <c r="J36" s="47">
        <f t="shared" si="10"/>
        <v>2212</v>
      </c>
      <c r="K36" s="47">
        <f t="shared" si="10"/>
        <v>2212</v>
      </c>
    </row>
    <row r="37" spans="1:11" x14ac:dyDescent="0.35">
      <c r="A37" s="55" t="s">
        <v>33</v>
      </c>
      <c r="B37" s="57"/>
      <c r="C37" s="50">
        <f t="shared" ref="C37:K37" si="11">SUM(C34:C36)</f>
        <v>2528.44</v>
      </c>
      <c r="D37" s="50">
        <f t="shared" si="11"/>
        <v>2528.44</v>
      </c>
      <c r="E37" s="50">
        <f t="shared" si="11"/>
        <v>2528.44</v>
      </c>
      <c r="F37" s="50">
        <f t="shared" si="11"/>
        <v>2528.44</v>
      </c>
      <c r="G37" s="50">
        <f t="shared" si="11"/>
        <v>2528.44</v>
      </c>
      <c r="H37" s="50">
        <f t="shared" si="11"/>
        <v>2528.44</v>
      </c>
      <c r="I37" s="50">
        <f t="shared" si="11"/>
        <v>2528.44</v>
      </c>
      <c r="J37" s="50">
        <f t="shared" si="11"/>
        <v>2528.44</v>
      </c>
      <c r="K37" s="50">
        <f t="shared" si="11"/>
        <v>2528.44</v>
      </c>
    </row>
    <row r="38" spans="1:11" x14ac:dyDescent="0.35">
      <c r="A38" s="214" t="s">
        <v>132</v>
      </c>
      <c r="B38" s="49"/>
      <c r="C38" s="234">
        <f t="shared" ref="C38:K38" si="12">C20+C24+C32+C37+C29</f>
        <v>919100.15904799988</v>
      </c>
      <c r="D38" s="234">
        <f t="shared" si="12"/>
        <v>954512.02547999984</v>
      </c>
      <c r="E38" s="234">
        <f t="shared" si="12"/>
        <v>1037623.6257999999</v>
      </c>
      <c r="F38" s="234">
        <f t="shared" si="12"/>
        <v>1185729.2562000002</v>
      </c>
      <c r="G38" s="234">
        <f t="shared" si="12"/>
        <v>1106972.4087999999</v>
      </c>
      <c r="H38" s="234">
        <f t="shared" si="12"/>
        <v>1084275.5556000001</v>
      </c>
      <c r="I38" s="234">
        <f t="shared" si="12"/>
        <v>1230448.754</v>
      </c>
      <c r="J38" s="234">
        <f t="shared" si="12"/>
        <v>1460871.7164560002</v>
      </c>
      <c r="K38" s="234">
        <f t="shared" si="12"/>
        <v>1504128.5154800001</v>
      </c>
    </row>
    <row r="39" spans="1:11" x14ac:dyDescent="0.35">
      <c r="A39" s="218" t="s">
        <v>154</v>
      </c>
      <c r="B39" s="157"/>
      <c r="C39" s="237"/>
      <c r="D39" s="238"/>
      <c r="E39" s="238"/>
      <c r="F39" s="238"/>
      <c r="G39" s="238"/>
      <c r="H39" s="238"/>
      <c r="I39" s="238"/>
      <c r="J39" s="238"/>
      <c r="K39" s="238"/>
    </row>
    <row r="40" spans="1:11" x14ac:dyDescent="0.35">
      <c r="A40" s="98" t="s">
        <v>25</v>
      </c>
      <c r="B40" s="81"/>
      <c r="C40" s="152">
        <v>4023.16</v>
      </c>
      <c r="D40" s="45">
        <v>4023.16</v>
      </c>
      <c r="E40" s="45">
        <v>4023.16</v>
      </c>
      <c r="F40" s="45">
        <v>4023.16</v>
      </c>
      <c r="G40" s="45">
        <v>4023.16</v>
      </c>
      <c r="H40" s="45">
        <v>4023.16</v>
      </c>
      <c r="I40" s="45">
        <v>4023.16</v>
      </c>
      <c r="J40" s="45">
        <v>4023.16</v>
      </c>
      <c r="K40" s="45">
        <v>4023.16</v>
      </c>
    </row>
    <row r="41" spans="1:11" x14ac:dyDescent="0.35">
      <c r="A41" s="98" t="s">
        <v>148</v>
      </c>
      <c r="B41" s="81"/>
      <c r="C41" s="152">
        <v>11300</v>
      </c>
      <c r="D41" s="45">
        <v>11300</v>
      </c>
      <c r="E41" s="45">
        <v>11300</v>
      </c>
      <c r="F41" s="45">
        <v>11300</v>
      </c>
      <c r="G41" s="45">
        <v>11300</v>
      </c>
      <c r="H41" s="45">
        <v>11300</v>
      </c>
      <c r="I41" s="45">
        <v>11300</v>
      </c>
      <c r="J41" s="45">
        <v>11300</v>
      </c>
      <c r="K41" s="45">
        <v>11300</v>
      </c>
    </row>
    <row r="42" spans="1:11" x14ac:dyDescent="0.35">
      <c r="A42" s="98" t="s">
        <v>173</v>
      </c>
      <c r="B42" s="81"/>
      <c r="C42" s="45">
        <v>4000</v>
      </c>
      <c r="D42" s="45">
        <v>4000</v>
      </c>
      <c r="E42" s="45">
        <v>4000</v>
      </c>
      <c r="F42" s="45">
        <v>4000</v>
      </c>
      <c r="G42" s="45">
        <v>4000</v>
      </c>
      <c r="H42" s="45">
        <v>4000</v>
      </c>
      <c r="I42" s="45">
        <v>4000</v>
      </c>
      <c r="J42" s="45">
        <v>4000</v>
      </c>
      <c r="K42" s="45">
        <v>4000</v>
      </c>
    </row>
    <row r="43" spans="1:11" x14ac:dyDescent="0.35">
      <c r="A43" s="78" t="s">
        <v>96</v>
      </c>
      <c r="B43" s="110"/>
      <c r="C43" s="152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</row>
    <row r="44" spans="1:11" x14ac:dyDescent="0.35">
      <c r="A44" s="78" t="s">
        <v>36</v>
      </c>
      <c r="B44" s="110"/>
      <c r="C44" s="152">
        <v>5288.22</v>
      </c>
      <c r="D44" s="45">
        <v>6351.31</v>
      </c>
      <c r="E44" s="45">
        <v>11152.77</v>
      </c>
      <c r="F44" s="45">
        <v>11152.77</v>
      </c>
      <c r="G44" s="45">
        <v>11152.77</v>
      </c>
      <c r="H44" s="45">
        <v>11152.77</v>
      </c>
      <c r="I44" s="45">
        <v>11152.77</v>
      </c>
      <c r="J44" s="45">
        <v>3724.96</v>
      </c>
      <c r="K44" s="45">
        <v>25781.7</v>
      </c>
    </row>
    <row r="45" spans="1:11" x14ac:dyDescent="0.35">
      <c r="A45" s="219" t="s">
        <v>153</v>
      </c>
      <c r="B45" s="154"/>
      <c r="C45" s="239">
        <f t="shared" ref="C45:K45" si="13">SUM(C40:C44)</f>
        <v>24611.38</v>
      </c>
      <c r="D45" s="240">
        <f t="shared" si="13"/>
        <v>25674.47</v>
      </c>
      <c r="E45" s="240">
        <f t="shared" si="13"/>
        <v>30475.93</v>
      </c>
      <c r="F45" s="240">
        <f t="shared" si="13"/>
        <v>30475.93</v>
      </c>
      <c r="G45" s="240">
        <f t="shared" si="13"/>
        <v>30475.93</v>
      </c>
      <c r="H45" s="240">
        <f t="shared" si="13"/>
        <v>30475.93</v>
      </c>
      <c r="I45" s="240">
        <f t="shared" si="13"/>
        <v>30475.93</v>
      </c>
      <c r="J45" s="240">
        <f t="shared" si="13"/>
        <v>23048.12</v>
      </c>
      <c r="K45" s="240">
        <f t="shared" si="13"/>
        <v>45104.86</v>
      </c>
    </row>
    <row r="46" spans="1:11" x14ac:dyDescent="0.35">
      <c r="A46" s="22" t="s">
        <v>37</v>
      </c>
      <c r="B46" s="154"/>
      <c r="C46" s="241">
        <f t="shared" ref="C46:K46" si="14">SUM(C38+C45)</f>
        <v>943711.53904799989</v>
      </c>
      <c r="D46" s="50">
        <f t="shared" si="14"/>
        <v>980186.49547999981</v>
      </c>
      <c r="E46" s="50">
        <f t="shared" si="14"/>
        <v>1068099.5558</v>
      </c>
      <c r="F46" s="50">
        <f t="shared" si="14"/>
        <v>1216205.1862000001</v>
      </c>
      <c r="G46" s="50">
        <f t="shared" si="14"/>
        <v>1137448.3387999998</v>
      </c>
      <c r="H46" s="50">
        <f t="shared" si="14"/>
        <v>1114751.4856</v>
      </c>
      <c r="I46" s="50">
        <f t="shared" si="14"/>
        <v>1260924.6839999999</v>
      </c>
      <c r="J46" s="50">
        <f t="shared" si="14"/>
        <v>1483919.8364560003</v>
      </c>
      <c r="K46" s="50">
        <f t="shared" si="14"/>
        <v>1549233.3754800002</v>
      </c>
    </row>
    <row r="47" spans="1:11" x14ac:dyDescent="0.35">
      <c r="A47" s="22" t="s">
        <v>83</v>
      </c>
      <c r="B47" s="57"/>
      <c r="C47" s="50">
        <f t="shared" ref="C47:K47" si="15">(C52*(1-C54))</f>
        <v>935825</v>
      </c>
      <c r="D47" s="50">
        <f t="shared" si="15"/>
        <v>996000</v>
      </c>
      <c r="E47" s="50">
        <f t="shared" si="15"/>
        <v>1079415</v>
      </c>
      <c r="F47" s="50">
        <f t="shared" si="15"/>
        <v>1224250</v>
      </c>
      <c r="G47" s="50">
        <f t="shared" si="15"/>
        <v>1224250</v>
      </c>
      <c r="H47" s="50">
        <f t="shared" si="15"/>
        <v>2597900</v>
      </c>
      <c r="I47" s="50">
        <f t="shared" si="15"/>
        <v>2647700</v>
      </c>
      <c r="J47" s="50">
        <f t="shared" si="15"/>
        <v>1444200</v>
      </c>
      <c r="K47" s="50">
        <f t="shared" si="15"/>
        <v>1489850</v>
      </c>
    </row>
    <row r="48" spans="1:11" x14ac:dyDescent="0.35">
      <c r="A48" s="220" t="s">
        <v>84</v>
      </c>
      <c r="B48" s="57"/>
      <c r="C48" s="234">
        <v>0</v>
      </c>
      <c r="D48" s="234">
        <v>0</v>
      </c>
      <c r="E48" s="234">
        <v>0</v>
      </c>
      <c r="F48" s="234">
        <v>0</v>
      </c>
      <c r="G48" s="234">
        <v>0</v>
      </c>
      <c r="H48" s="234">
        <v>0</v>
      </c>
      <c r="I48" s="234">
        <v>0</v>
      </c>
      <c r="J48" s="234">
        <v>0</v>
      </c>
      <c r="K48" s="234">
        <v>0</v>
      </c>
    </row>
    <row r="49" spans="1:11" x14ac:dyDescent="0.35">
      <c r="A49" s="220" t="s">
        <v>85</v>
      </c>
      <c r="B49" s="57"/>
      <c r="C49" s="234">
        <f t="shared" ref="C49:K49" si="16">+C47+C48</f>
        <v>935825</v>
      </c>
      <c r="D49" s="234">
        <f t="shared" si="16"/>
        <v>996000</v>
      </c>
      <c r="E49" s="234">
        <f t="shared" si="16"/>
        <v>1079415</v>
      </c>
      <c r="F49" s="234">
        <f t="shared" si="16"/>
        <v>1224250</v>
      </c>
      <c r="G49" s="234">
        <f t="shared" si="16"/>
        <v>1224250</v>
      </c>
      <c r="H49" s="234">
        <f t="shared" si="16"/>
        <v>2597900</v>
      </c>
      <c r="I49" s="234">
        <f t="shared" si="16"/>
        <v>2647700</v>
      </c>
      <c r="J49" s="234">
        <f t="shared" si="16"/>
        <v>1444200</v>
      </c>
      <c r="K49" s="234">
        <f t="shared" si="16"/>
        <v>1489850</v>
      </c>
    </row>
    <row r="50" spans="1:11" x14ac:dyDescent="0.35">
      <c r="A50" s="221" t="s">
        <v>38</v>
      </c>
      <c r="B50" s="57"/>
      <c r="C50" s="234">
        <f t="shared" ref="C50:K50" si="17">C49-C46</f>
        <v>-7886.5390479998896</v>
      </c>
      <c r="D50" s="234">
        <f t="shared" si="17"/>
        <v>15813.504520000191</v>
      </c>
      <c r="E50" s="234">
        <f t="shared" si="17"/>
        <v>11315.444200000027</v>
      </c>
      <c r="F50" s="234">
        <f t="shared" si="17"/>
        <v>8044.8137999998871</v>
      </c>
      <c r="G50" s="234">
        <f t="shared" si="17"/>
        <v>86801.661200000206</v>
      </c>
      <c r="H50" s="234">
        <f t="shared" si="17"/>
        <v>1483148.5144</v>
      </c>
      <c r="I50" s="234">
        <f t="shared" si="17"/>
        <v>1386775.3160000001</v>
      </c>
      <c r="J50" s="234">
        <f t="shared" si="17"/>
        <v>-39719.836456000339</v>
      </c>
      <c r="K50" s="234">
        <f t="shared" si="17"/>
        <v>-59383.375480000162</v>
      </c>
    </row>
    <row r="51" spans="1:11" x14ac:dyDescent="0.35">
      <c r="A51" s="22" t="s">
        <v>39</v>
      </c>
      <c r="B51" s="57"/>
      <c r="C51" s="19">
        <f t="shared" ref="C51:K51" si="18">(C49-C46)/C49</f>
        <v>-8.4273652103757542E-3</v>
      </c>
      <c r="D51" s="19">
        <f t="shared" si="18"/>
        <v>1.5877012570281318E-2</v>
      </c>
      <c r="E51" s="19">
        <f t="shared" si="18"/>
        <v>1.0482941408077548E-2</v>
      </c>
      <c r="F51" s="19">
        <f t="shared" si="18"/>
        <v>6.5712181335510619E-3</v>
      </c>
      <c r="G51" s="19">
        <f t="shared" si="18"/>
        <v>7.0901908270369782E-2</v>
      </c>
      <c r="H51" s="19">
        <f t="shared" si="18"/>
        <v>0.57090285014819664</v>
      </c>
      <c r="I51" s="19">
        <f t="shared" si="18"/>
        <v>0.52376602938399375</v>
      </c>
      <c r="J51" s="19">
        <f t="shared" si="18"/>
        <v>-2.7503002669990541E-2</v>
      </c>
      <c r="K51" s="19">
        <f t="shared" si="18"/>
        <v>-3.9858627029566843E-2</v>
      </c>
    </row>
    <row r="52" spans="1:11" x14ac:dyDescent="0.35">
      <c r="A52" s="222" t="s">
        <v>208</v>
      </c>
      <c r="B52" s="89"/>
      <c r="C52" s="242">
        <v>1127500</v>
      </c>
      <c r="D52" s="242">
        <v>1200000</v>
      </c>
      <c r="E52" s="242">
        <v>1300500</v>
      </c>
      <c r="F52" s="242">
        <v>1475000</v>
      </c>
      <c r="G52" s="242">
        <v>1475000</v>
      </c>
      <c r="H52" s="242">
        <v>3130000</v>
      </c>
      <c r="I52" s="242">
        <v>3190000</v>
      </c>
      <c r="J52" s="242">
        <v>1740000</v>
      </c>
      <c r="K52" s="242">
        <v>1795000</v>
      </c>
    </row>
    <row r="53" spans="1:11" x14ac:dyDescent="0.35">
      <c r="A53" s="73" t="s">
        <v>40</v>
      </c>
      <c r="B53" s="90"/>
      <c r="C53" s="74">
        <v>87</v>
      </c>
      <c r="D53" s="74">
        <v>87</v>
      </c>
      <c r="E53" s="74">
        <v>87</v>
      </c>
      <c r="F53" s="74">
        <v>87</v>
      </c>
      <c r="G53" s="74"/>
      <c r="H53" s="74">
        <v>130</v>
      </c>
      <c r="I53" s="74">
        <v>130</v>
      </c>
      <c r="J53" s="74">
        <v>121</v>
      </c>
      <c r="K53" s="74">
        <v>173</v>
      </c>
    </row>
    <row r="54" spans="1:11" x14ac:dyDescent="0.35">
      <c r="A54" s="68" t="s">
        <v>95</v>
      </c>
      <c r="B54" s="69"/>
      <c r="C54" s="70">
        <v>0.17</v>
      </c>
      <c r="D54" s="70">
        <v>0.17</v>
      </c>
      <c r="E54" s="70">
        <v>0.17</v>
      </c>
      <c r="F54" s="70">
        <v>0.17</v>
      </c>
      <c r="G54" s="70">
        <v>0.17</v>
      </c>
      <c r="H54" s="70">
        <v>0.17</v>
      </c>
      <c r="I54" s="70">
        <v>0.17</v>
      </c>
      <c r="J54" s="70">
        <v>0.17</v>
      </c>
      <c r="K54" s="70">
        <v>0.17</v>
      </c>
    </row>
    <row r="55" spans="1:11" x14ac:dyDescent="0.35">
      <c r="A55" s="205" t="s">
        <v>263</v>
      </c>
      <c r="B55" s="243"/>
      <c r="C55" s="103"/>
      <c r="D55" s="104"/>
      <c r="E55" s="104"/>
      <c r="F55" s="104"/>
      <c r="G55" s="104"/>
      <c r="H55" s="105"/>
      <c r="I55" s="105"/>
      <c r="J55" s="206"/>
      <c r="K55" s="206"/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39997558519241921"/>
    <pageSetUpPr fitToPage="1"/>
  </sheetPr>
  <dimension ref="A1:AW51"/>
  <sheetViews>
    <sheetView workbookViewId="0"/>
  </sheetViews>
  <sheetFormatPr defaultColWidth="9.109375" defaultRowHeight="14.4" x14ac:dyDescent="0.3"/>
  <cols>
    <col min="1" max="1" width="84.109375" style="38" bestFit="1" customWidth="1"/>
    <col min="2" max="2" width="12.5546875" style="38" bestFit="1" customWidth="1"/>
    <col min="3" max="4" width="25.6640625" style="38" customWidth="1"/>
    <col min="5" max="16384" width="9.109375" style="38"/>
  </cols>
  <sheetData>
    <row r="1" spans="1:49" s="27" customFormat="1" ht="18" x14ac:dyDescent="0.35">
      <c r="A1" s="194"/>
      <c r="B1" s="194"/>
      <c r="C1" s="195" t="s">
        <v>229</v>
      </c>
      <c r="D1" s="195" t="s">
        <v>157</v>
      </c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9"/>
      <c r="T1" s="185"/>
      <c r="U1" s="185"/>
      <c r="V1" s="185"/>
      <c r="W1" s="185"/>
      <c r="X1" s="185"/>
      <c r="Y1" s="185"/>
      <c r="Z1" s="188"/>
      <c r="AA1" s="185"/>
      <c r="AB1" s="185"/>
      <c r="AC1" s="185"/>
      <c r="AD1" s="185"/>
      <c r="AE1" s="185"/>
      <c r="AF1" s="189"/>
      <c r="AG1" s="185"/>
      <c r="AH1" s="185"/>
      <c r="AI1" s="185"/>
      <c r="AJ1" s="185"/>
      <c r="AK1" s="185"/>
      <c r="AL1" s="185"/>
      <c r="AM1" s="185"/>
      <c r="AN1" s="186"/>
    </row>
    <row r="2" spans="1:49" ht="15.6" x14ac:dyDescent="0.3">
      <c r="A2" s="184"/>
      <c r="B2" s="193"/>
      <c r="C2" s="192"/>
      <c r="D2" s="192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1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1"/>
      <c r="AG2" s="76"/>
      <c r="AH2" s="76"/>
      <c r="AI2" s="76"/>
      <c r="AJ2" s="76"/>
      <c r="AK2" s="76"/>
      <c r="AL2" s="76"/>
      <c r="AM2" s="76"/>
      <c r="AN2" s="187"/>
      <c r="AO2" s="40"/>
      <c r="AP2" s="40"/>
      <c r="AQ2" s="40"/>
      <c r="AR2" s="40"/>
      <c r="AS2" s="40"/>
      <c r="AT2" s="40"/>
      <c r="AU2" s="40"/>
      <c r="AV2" s="40"/>
      <c r="AW2" s="40"/>
    </row>
    <row r="3" spans="1:49" ht="24.9" customHeight="1" x14ac:dyDescent="0.5">
      <c r="A3" s="196" t="s">
        <v>272</v>
      </c>
      <c r="B3" s="197"/>
      <c r="C3" s="198" t="s">
        <v>78</v>
      </c>
      <c r="D3" s="198" t="s">
        <v>78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 ht="21" x14ac:dyDescent="0.4">
      <c r="A4" s="176" t="s">
        <v>70</v>
      </c>
      <c r="B4" s="177"/>
      <c r="C4" s="178" t="s">
        <v>79</v>
      </c>
      <c r="D4" s="177" t="s">
        <v>80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 ht="21" x14ac:dyDescent="0.4">
      <c r="A5" s="179" t="s">
        <v>48</v>
      </c>
      <c r="B5" s="180"/>
      <c r="C5" s="181" t="s">
        <v>81</v>
      </c>
      <c r="D5" s="180" t="s">
        <v>82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 ht="21" x14ac:dyDescent="0.4">
      <c r="A6" s="119" t="s">
        <v>72</v>
      </c>
      <c r="B6" s="118"/>
      <c r="C6" s="244"/>
      <c r="D6" s="248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 ht="17.399999999999999" x14ac:dyDescent="0.3">
      <c r="A7" s="120" t="s">
        <v>73</v>
      </c>
      <c r="B7" s="121"/>
      <c r="C7" s="159">
        <v>16100</v>
      </c>
      <c r="D7" s="133">
        <v>25395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pans="1:49" ht="17.399999999999999" x14ac:dyDescent="0.3">
      <c r="A8" s="122" t="s">
        <v>74</v>
      </c>
      <c r="B8" s="123"/>
      <c r="C8" s="159">
        <f>C7*$B8</f>
        <v>0</v>
      </c>
      <c r="D8" s="133">
        <f>D7*$B8</f>
        <v>0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 ht="17.399999999999999" x14ac:dyDescent="0.3">
      <c r="A9" s="122" t="s">
        <v>15</v>
      </c>
      <c r="B9" s="123"/>
      <c r="C9" s="159">
        <f>SUM(C7:C8)</f>
        <v>16100</v>
      </c>
      <c r="D9" s="133">
        <f>SUM(D7:D8)</f>
        <v>25395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49" ht="17.399999999999999" x14ac:dyDescent="0.3">
      <c r="A10" s="99" t="s">
        <v>150</v>
      </c>
      <c r="B10" s="100"/>
      <c r="C10" s="152">
        <v>194</v>
      </c>
      <c r="D10" s="45">
        <v>194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49" ht="17.399999999999999" x14ac:dyDescent="0.3">
      <c r="A11" s="99" t="s">
        <v>151</v>
      </c>
      <c r="B11" s="100"/>
      <c r="C11" s="152">
        <f>0+302</f>
        <v>302</v>
      </c>
      <c r="D11" s="45">
        <f>0+302</f>
        <v>302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 ht="17.399999999999999" x14ac:dyDescent="0.3">
      <c r="A12" s="122" t="s">
        <v>75</v>
      </c>
      <c r="B12" s="121"/>
      <c r="C12" s="159">
        <f>SUM(C9:C11)</f>
        <v>16596</v>
      </c>
      <c r="D12" s="133">
        <f>SUM(D9:D11)</f>
        <v>25891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 ht="21" x14ac:dyDescent="0.4">
      <c r="A13" s="125" t="s">
        <v>18</v>
      </c>
      <c r="B13" s="71">
        <v>13</v>
      </c>
      <c r="C13" s="165">
        <f>C12*$B13</f>
        <v>215748</v>
      </c>
      <c r="D13" s="126">
        <f>D12*$B13</f>
        <v>336583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 ht="17.399999999999999" x14ac:dyDescent="0.3">
      <c r="A14" s="122" t="s">
        <v>77</v>
      </c>
      <c r="B14" s="127"/>
      <c r="C14" s="159">
        <v>16004</v>
      </c>
      <c r="D14" s="133">
        <v>24029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49" ht="17.399999999999999" x14ac:dyDescent="0.3">
      <c r="A15" s="122" t="s">
        <v>20</v>
      </c>
      <c r="B15" s="123"/>
      <c r="C15" s="159">
        <v>3637</v>
      </c>
      <c r="D15" s="133">
        <v>12615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49" ht="21" x14ac:dyDescent="0.4">
      <c r="A16" s="128" t="s">
        <v>21</v>
      </c>
      <c r="B16" s="129"/>
      <c r="C16" s="168">
        <f>SUM(C13:C15)</f>
        <v>235389</v>
      </c>
      <c r="D16" s="130">
        <f>SUM(D13:D15)</f>
        <v>373227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 ht="21" x14ac:dyDescent="0.4">
      <c r="A17" s="131" t="s">
        <v>22</v>
      </c>
      <c r="B17" s="112"/>
      <c r="C17" s="245"/>
      <c r="D17" s="24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 ht="21" x14ac:dyDescent="0.4">
      <c r="A18" s="52" t="s">
        <v>241</v>
      </c>
      <c r="B18" s="319">
        <f>320.8*1.05</f>
        <v>336.84000000000003</v>
      </c>
      <c r="C18" s="159">
        <f>C48*$B18</f>
        <v>25599.840000000004</v>
      </c>
      <c r="D18" s="133">
        <f>D48*$B18</f>
        <v>25599.840000000004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 ht="21" x14ac:dyDescent="0.4">
      <c r="A19" s="52" t="s">
        <v>242</v>
      </c>
      <c r="B19" s="319">
        <f>131.11*1.06</f>
        <v>138.97660000000002</v>
      </c>
      <c r="C19" s="159">
        <f>C48*$B19</f>
        <v>10562.221600000001</v>
      </c>
      <c r="D19" s="133">
        <f>D48*$B19</f>
        <v>10562.221600000001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</row>
    <row r="20" spans="1:49" ht="21" x14ac:dyDescent="0.4">
      <c r="A20" s="128" t="s">
        <v>23</v>
      </c>
      <c r="B20" s="129"/>
      <c r="C20" s="168">
        <f>SUM(C18:C19)</f>
        <v>36162.061600000001</v>
      </c>
      <c r="D20" s="130">
        <f>SUM(D18:D19)</f>
        <v>36162.061600000001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 ht="21" x14ac:dyDescent="0.4">
      <c r="A21" s="156" t="s">
        <v>155</v>
      </c>
      <c r="B21" s="114"/>
      <c r="C21" s="245"/>
      <c r="D21" s="24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</row>
    <row r="22" spans="1:49" ht="17.399999999999999" x14ac:dyDescent="0.3">
      <c r="A22" s="78" t="s">
        <v>206</v>
      </c>
      <c r="B22" s="121"/>
      <c r="C22" s="246">
        <v>12922</v>
      </c>
      <c r="D22" s="133">
        <v>12922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</row>
    <row r="23" spans="1:49" ht="17.399999999999999" x14ac:dyDescent="0.3">
      <c r="A23" s="78" t="s">
        <v>177</v>
      </c>
      <c r="B23" s="121"/>
      <c r="C23" s="246">
        <v>1000</v>
      </c>
      <c r="D23" s="133">
        <v>1000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</row>
    <row r="24" spans="1:49" ht="21" x14ac:dyDescent="0.4">
      <c r="A24" s="72" t="s">
        <v>156</v>
      </c>
      <c r="B24" s="140"/>
      <c r="C24" s="166">
        <f>SUM(C22:C23)</f>
        <v>13922</v>
      </c>
      <c r="D24" s="126">
        <f>SUM(D22:D23)</f>
        <v>13922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49" ht="17.399999999999999" x14ac:dyDescent="0.3">
      <c r="A25" s="113" t="s">
        <v>27</v>
      </c>
      <c r="B25" s="111"/>
      <c r="C25" s="247"/>
      <c r="D25" s="24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</row>
    <row r="26" spans="1:49" ht="17.399999999999999" x14ac:dyDescent="0.3">
      <c r="A26" s="134" t="s">
        <v>28</v>
      </c>
      <c r="B26" s="135"/>
      <c r="C26" s="246">
        <v>1141.6199999999999</v>
      </c>
      <c r="D26" s="133">
        <v>1141.6199999999999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</row>
    <row r="27" spans="1:49" ht="21" x14ac:dyDescent="0.4">
      <c r="A27" s="128" t="s">
        <v>29</v>
      </c>
      <c r="B27" s="129"/>
      <c r="C27" s="167">
        <f>SUM(C26:C26)</f>
        <v>1141.6199999999999</v>
      </c>
      <c r="D27" s="130">
        <f>SUM(D26:D26)</f>
        <v>1141.6199999999999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 ht="21" x14ac:dyDescent="0.4">
      <c r="A28" s="132" t="s">
        <v>30</v>
      </c>
      <c r="B28" s="111"/>
      <c r="C28" s="247"/>
      <c r="D28" s="24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 ht="17.399999999999999" x14ac:dyDescent="0.3">
      <c r="A29" s="134" t="s">
        <v>31</v>
      </c>
      <c r="B29" s="136"/>
      <c r="C29" s="155">
        <v>299</v>
      </c>
      <c r="D29" s="45">
        <v>299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 ht="17.399999999999999" x14ac:dyDescent="0.3">
      <c r="A30" s="137" t="s">
        <v>90</v>
      </c>
      <c r="B30" s="138"/>
      <c r="C30" s="164">
        <v>0</v>
      </c>
      <c r="D30" s="133">
        <v>0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 ht="17.399999999999999" x14ac:dyDescent="0.3">
      <c r="A31" s="139" t="s">
        <v>32</v>
      </c>
      <c r="B31" s="138"/>
      <c r="C31" s="164">
        <f>1900+(104*3)</f>
        <v>2212</v>
      </c>
      <c r="D31" s="133">
        <f>1900+(104*3)</f>
        <v>2212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 ht="21" x14ac:dyDescent="0.4">
      <c r="A32" s="125" t="s">
        <v>33</v>
      </c>
      <c r="B32" s="140" t="s">
        <v>53</v>
      </c>
      <c r="C32" s="166">
        <f>SUM(C29:C31)</f>
        <v>2511</v>
      </c>
      <c r="D32" s="126">
        <f>SUM(D29:D31)</f>
        <v>2511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 ht="21" x14ac:dyDescent="0.4">
      <c r="A33" s="128" t="s">
        <v>34</v>
      </c>
      <c r="B33" s="129"/>
      <c r="C33" s="167">
        <f>C16+C20+C27+C32+C24</f>
        <v>289125.68160000001</v>
      </c>
      <c r="D33" s="130">
        <f>D16+D20+D27+D32+D24</f>
        <v>426963.68160000001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</row>
    <row r="34" spans="1:49" ht="21" x14ac:dyDescent="0.4">
      <c r="A34" s="156" t="s">
        <v>154</v>
      </c>
      <c r="B34" s="160"/>
      <c r="C34" s="161"/>
      <c r="D34" s="171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 ht="17.399999999999999" x14ac:dyDescent="0.3">
      <c r="A35" s="137" t="s">
        <v>25</v>
      </c>
      <c r="B35" s="121"/>
      <c r="C35" s="164">
        <v>4023.16</v>
      </c>
      <c r="D35" s="133">
        <v>4023.16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 ht="17.399999999999999" x14ac:dyDescent="0.3">
      <c r="A36" s="98" t="s">
        <v>173</v>
      </c>
      <c r="B36" s="121"/>
      <c r="C36" s="159">
        <v>4000</v>
      </c>
      <c r="D36" s="133">
        <v>4000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</row>
    <row r="37" spans="1:49" ht="17.399999999999999" x14ac:dyDescent="0.3">
      <c r="A37" s="137" t="s">
        <v>144</v>
      </c>
      <c r="B37" s="121"/>
      <c r="C37" s="159">
        <v>6980</v>
      </c>
      <c r="D37" s="133">
        <v>6980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</row>
    <row r="38" spans="1:49" ht="17.399999999999999" x14ac:dyDescent="0.3">
      <c r="A38" s="137" t="s">
        <v>143</v>
      </c>
      <c r="B38" s="124">
        <v>9.2499999999999999E-2</v>
      </c>
      <c r="C38" s="159">
        <f>(($B38/365)*(60+15)*C42)</f>
        <v>7572.3287671232883</v>
      </c>
      <c r="D38" s="133">
        <f>(($B38/365)*(60+15)*D42)</f>
        <v>13093.818493150686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</row>
    <row r="39" spans="1:49" ht="17.399999999999999" x14ac:dyDescent="0.3">
      <c r="A39" s="148" t="s">
        <v>54</v>
      </c>
      <c r="B39" s="141">
        <v>0.02</v>
      </c>
      <c r="C39" s="164">
        <f>B39*C47</f>
        <v>9600</v>
      </c>
      <c r="D39" s="133">
        <f>B39*D47</f>
        <v>16600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</row>
    <row r="40" spans="1:49" ht="21" x14ac:dyDescent="0.4">
      <c r="A40" s="153" t="s">
        <v>153</v>
      </c>
      <c r="B40" s="162"/>
      <c r="C40" s="163">
        <f>SUM(C35:C39)</f>
        <v>32175.488767123286</v>
      </c>
      <c r="D40" s="172">
        <f>SUM(D35:D39)</f>
        <v>44696.978493150687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</row>
    <row r="41" spans="1:49" ht="21" x14ac:dyDescent="0.4">
      <c r="A41" s="125" t="s">
        <v>37</v>
      </c>
      <c r="B41" s="142"/>
      <c r="C41" s="165">
        <f>SUM(C33:C39)</f>
        <v>321301.17036712327</v>
      </c>
      <c r="D41" s="126">
        <f>SUM(D33:D39)</f>
        <v>471660.66009315068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</row>
    <row r="42" spans="1:49" ht="21" x14ac:dyDescent="0.4">
      <c r="A42" s="125" t="s">
        <v>83</v>
      </c>
      <c r="B42" s="140"/>
      <c r="C42" s="165">
        <f>(C47*(1-C49))</f>
        <v>398400</v>
      </c>
      <c r="D42" s="126">
        <f>(D47*(1-D49))</f>
        <v>688900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</row>
    <row r="43" spans="1:49" ht="21" x14ac:dyDescent="0.4">
      <c r="A43" s="128" t="s">
        <v>84</v>
      </c>
      <c r="B43" s="140"/>
      <c r="C43" s="168">
        <v>0</v>
      </c>
      <c r="D43" s="130">
        <v>0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</row>
    <row r="44" spans="1:49" ht="21" x14ac:dyDescent="0.4">
      <c r="A44" s="128" t="s">
        <v>85</v>
      </c>
      <c r="B44" s="140"/>
      <c r="C44" s="168">
        <f>+C42+C61</f>
        <v>398400</v>
      </c>
      <c r="D44" s="130">
        <f>+D42+D61</f>
        <v>688900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</row>
    <row r="45" spans="1:49" ht="21" x14ac:dyDescent="0.4">
      <c r="A45" s="143" t="s">
        <v>38</v>
      </c>
      <c r="B45" s="140"/>
      <c r="C45" s="168">
        <f>C44-C41</f>
        <v>77098.829632876732</v>
      </c>
      <c r="D45" s="130">
        <f>D44-D41</f>
        <v>217239.33990684932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</row>
    <row r="46" spans="1:49" ht="21" x14ac:dyDescent="0.4">
      <c r="A46" s="125" t="s">
        <v>39</v>
      </c>
      <c r="B46" s="140"/>
      <c r="C46" s="169">
        <f>(C44-C41)/C44</f>
        <v>0.19352115871706008</v>
      </c>
      <c r="D46" s="144">
        <f>(D44-D41)/D44</f>
        <v>0.3153423427302211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</row>
    <row r="47" spans="1:49" ht="21" x14ac:dyDescent="0.3">
      <c r="A47" s="145" t="s">
        <v>208</v>
      </c>
      <c r="B47" s="146"/>
      <c r="C47" s="170">
        <v>480000</v>
      </c>
      <c r="D47" s="147">
        <v>830000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</row>
    <row r="48" spans="1:49" ht="17.399999999999999" x14ac:dyDescent="0.3">
      <c r="A48" s="148" t="s">
        <v>40</v>
      </c>
      <c r="B48" s="149"/>
      <c r="C48" s="150">
        <v>76</v>
      </c>
      <c r="D48" s="150">
        <v>76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</row>
    <row r="49" spans="1:49" ht="18" x14ac:dyDescent="0.35">
      <c r="A49" s="116" t="s">
        <v>95</v>
      </c>
      <c r="B49" s="115"/>
      <c r="C49" s="117">
        <v>0.17</v>
      </c>
      <c r="D49" s="117">
        <v>0.17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</row>
    <row r="50" spans="1:49" ht="17.399999999999999" x14ac:dyDescent="0.3">
      <c r="A50" s="44"/>
      <c r="B50" s="102"/>
      <c r="C50" s="103"/>
      <c r="D50" s="151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</row>
    <row r="51" spans="1:49" x14ac:dyDescent="0.3">
      <c r="A51" s="44" t="s">
        <v>263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</sheetData>
  <pageMargins left="0.70866141732283472" right="0.70866141732283472" top="0.74803149606299213" bottom="0.74803149606299213" header="0.31496062992125984" footer="0.31496062992125984"/>
  <pageSetup paperSize="9" scale="10" orientation="landscape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TGS 19.400 </vt:lpstr>
      <vt:lpstr>TGS - CKD</vt:lpstr>
      <vt:lpstr>TGM CKD</vt:lpstr>
      <vt:lpstr> CLA CKD</vt:lpstr>
      <vt:lpstr>VW Trucks - CKD</vt:lpstr>
      <vt:lpstr>TGX CBU</vt:lpstr>
      <vt:lpstr>MAN Bus Chassis</vt:lpstr>
      <vt:lpstr>VW Bus Chassis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Wilmans</dc:creator>
  <cp:lastModifiedBy>James Mokgothadi</cp:lastModifiedBy>
  <cp:lastPrinted>2018-02-01T12:24:16Z</cp:lastPrinted>
  <dcterms:created xsi:type="dcterms:W3CDTF">2013-10-08T13:35:01Z</dcterms:created>
  <dcterms:modified xsi:type="dcterms:W3CDTF">2018-04-24T11:20:34Z</dcterms:modified>
</cp:coreProperties>
</file>