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gre\Videos\Programming\Visually Effective Excel Dashboard\KPI\"/>
    </mc:Choice>
  </mc:AlternateContent>
  <xr:revisionPtr revIDLastSave="0" documentId="13_ncr:1_{542D9583-E8EE-4312-9919-C88879EA1851}" xr6:coauthVersionLast="47" xr6:coauthVersionMax="47" xr10:uidLastSave="{00000000-0000-0000-0000-000000000000}"/>
  <bookViews>
    <workbookView xWindow="2304" yWindow="2304" windowWidth="17280" windowHeight="8880" activeTab="1" xr2:uid="{FE35E5F9-BE9E-4FF4-9B14-4133B907AECB}"/>
  </bookViews>
  <sheets>
    <sheet name="Data" sheetId="5" r:id="rId1"/>
    <sheet name="Dashboard" sheetId="2" r:id="rId2"/>
    <sheet name="Control" sheetId="10" r:id="rId3"/>
    <sheet name="Calculation" sheetId="9" r:id="rId4"/>
    <sheet name="Wireframe" sheetId="1" r:id="rId5"/>
  </sheets>
  <definedNames>
    <definedName name="cur_month">Dashboard!$F$5</definedName>
    <definedName name="cur_year">Dashboard!$F$4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15" i="9" l="1"/>
  <c r="AY16" i="9"/>
  <c r="AY20" i="9"/>
  <c r="AY23" i="9"/>
  <c r="AY24" i="9"/>
  <c r="AY14" i="9"/>
  <c r="AV13" i="9"/>
  <c r="AW13" i="9"/>
  <c r="AX13" i="9"/>
  <c r="AU15" i="9"/>
  <c r="AU16" i="9"/>
  <c r="AU17" i="9"/>
  <c r="AU18" i="9"/>
  <c r="AU19" i="9"/>
  <c r="AU20" i="9"/>
  <c r="AU21" i="9"/>
  <c r="AU22" i="9"/>
  <c r="AU23" i="9"/>
  <c r="AU24" i="9"/>
  <c r="AU25" i="9"/>
  <c r="AU14" i="9"/>
  <c r="AP10" i="9" a="1"/>
  <c r="AP10" i="9" s="1"/>
  <c r="AQ12" i="9"/>
  <c r="AS12" i="9" s="1"/>
  <c r="AX12" i="9" s="1"/>
  <c r="AH11" i="9"/>
  <c r="AF13" i="9" a="1"/>
  <c r="AF13" i="9" s="1"/>
  <c r="AI12" i="9" a="1"/>
  <c r="AI12" i="9" s="1"/>
  <c r="N15" i="9" a="1"/>
  <c r="N15" i="9" s="1"/>
  <c r="AE15" i="9" s="1"/>
  <c r="N16" i="9" a="1"/>
  <c r="N16" i="9" s="1"/>
  <c r="AE16" i="9" s="1"/>
  <c r="N17" i="9" a="1"/>
  <c r="N17" i="9" s="1"/>
  <c r="AE17" i="9" s="1"/>
  <c r="N18" i="9" a="1"/>
  <c r="N18" i="9" s="1"/>
  <c r="AE18" i="9" s="1"/>
  <c r="N19" i="9" a="1"/>
  <c r="N19" i="9" s="1"/>
  <c r="AE19" i="9" s="1"/>
  <c r="N20" i="9" a="1"/>
  <c r="N20" i="9" s="1"/>
  <c r="AE20" i="9" s="1"/>
  <c r="N21" i="9" a="1"/>
  <c r="N21" i="9" s="1"/>
  <c r="AE21" i="9" s="1"/>
  <c r="N22" i="9" a="1"/>
  <c r="N22" i="9" s="1"/>
  <c r="AE22" i="9" s="1"/>
  <c r="N23" i="9" a="1"/>
  <c r="N23" i="9" s="1"/>
  <c r="AE23" i="9" s="1"/>
  <c r="N24" i="9" a="1"/>
  <c r="N24" i="9" s="1"/>
  <c r="AE24" i="9" s="1"/>
  <c r="N25" i="9" a="1"/>
  <c r="N25" i="9" s="1"/>
  <c r="AE25" i="9" s="1"/>
  <c r="N26" i="9" a="1"/>
  <c r="N26" i="9" s="1"/>
  <c r="N27" i="9" a="1"/>
  <c r="N27" i="9" s="1"/>
  <c r="AE27" i="9" s="1"/>
  <c r="N28" i="9" a="1"/>
  <c r="N28" i="9" s="1"/>
  <c r="AE28" i="9" s="1"/>
  <c r="N29" i="9" a="1"/>
  <c r="N29" i="9" s="1"/>
  <c r="AE29" i="9" s="1"/>
  <c r="AF29" i="9" s="1" a="1"/>
  <c r="AF29" i="9" s="1"/>
  <c r="N30" i="9" a="1"/>
  <c r="N30" i="9" s="1"/>
  <c r="N31" i="9" a="1"/>
  <c r="N31" i="9" s="1"/>
  <c r="AE31" i="9" s="1"/>
  <c r="AF31" i="9" s="1" a="1"/>
  <c r="AF31" i="9" s="1"/>
  <c r="N32" i="9" a="1"/>
  <c r="N32" i="9" s="1"/>
  <c r="N33" i="9" a="1"/>
  <c r="N33" i="9" s="1"/>
  <c r="AE33" i="9" s="1"/>
  <c r="AF33" i="9" s="1" a="1"/>
  <c r="AF33" i="9" s="1"/>
  <c r="N34" i="9" a="1"/>
  <c r="N34" i="9" s="1"/>
  <c r="N14" i="9" a="1"/>
  <c r="N14" i="9" s="1"/>
  <c r="AR12" i="9" l="1"/>
  <c r="AW12" i="9" s="1"/>
  <c r="AV12" i="9"/>
  <c r="AU10" i="9"/>
  <c r="AB33" i="9"/>
  <c r="AE32" i="9"/>
  <c r="AF32" i="9" s="1" a="1"/>
  <c r="AF32" i="9" s="1"/>
  <c r="Y32" i="9"/>
  <c r="AB32" i="9"/>
  <c r="X32" i="9"/>
  <c r="AC32" i="9"/>
  <c r="AE30" i="9"/>
  <c r="AF30" i="9" s="1" a="1"/>
  <c r="AF30" i="9" s="1"/>
  <c r="AA30" i="9"/>
  <c r="AB29" i="9"/>
  <c r="AA29" i="9"/>
  <c r="AE26" i="9"/>
  <c r="AE34" i="9"/>
  <c r="AF34" i="9" s="1" a="1"/>
  <c r="AF34" i="9" s="1"/>
  <c r="AB34" i="9"/>
  <c r="AA34" i="9"/>
  <c r="Y34" i="9"/>
  <c r="AC34" i="9"/>
  <c r="X34" i="9"/>
  <c r="Z34" i="9"/>
  <c r="X31" i="9"/>
  <c r="AA33" i="9"/>
  <c r="Y31" i="9"/>
  <c r="X30" i="9"/>
  <c r="Z33" i="9"/>
  <c r="AA32" i="9"/>
  <c r="AB31" i="9"/>
  <c r="AC30" i="9"/>
  <c r="Y30" i="9"/>
  <c r="Z29" i="9"/>
  <c r="Z31" i="9"/>
  <c r="AC31" i="9"/>
  <c r="Z30" i="9"/>
  <c r="X33" i="9"/>
  <c r="X29" i="9"/>
  <c r="AC33" i="9"/>
  <c r="Y33" i="9"/>
  <c r="Z32" i="9"/>
  <c r="AA31" i="9"/>
  <c r="AB30" i="9"/>
  <c r="AC29" i="9"/>
  <c r="Y29" i="9"/>
  <c r="AY21" i="9" l="1"/>
  <c r="O29" i="9"/>
  <c r="P29" i="9"/>
  <c r="Q29" i="9"/>
  <c r="R29" i="9"/>
  <c r="S29" i="9"/>
  <c r="T29" i="9"/>
  <c r="U29" i="9"/>
  <c r="V29" i="9"/>
  <c r="W29" i="9"/>
  <c r="O30" i="9"/>
  <c r="P30" i="9"/>
  <c r="Q30" i="9"/>
  <c r="R30" i="9"/>
  <c r="S30" i="9"/>
  <c r="T30" i="9"/>
  <c r="U30" i="9"/>
  <c r="V30" i="9"/>
  <c r="W30" i="9"/>
  <c r="O31" i="9"/>
  <c r="P31" i="9"/>
  <c r="Q31" i="9"/>
  <c r="R31" i="9"/>
  <c r="S31" i="9"/>
  <c r="T31" i="9"/>
  <c r="U31" i="9"/>
  <c r="V31" i="9"/>
  <c r="W31" i="9"/>
  <c r="O32" i="9"/>
  <c r="P32" i="9"/>
  <c r="Q32" i="9"/>
  <c r="R32" i="9"/>
  <c r="S32" i="9"/>
  <c r="T32" i="9"/>
  <c r="U32" i="9"/>
  <c r="V32" i="9"/>
  <c r="W32" i="9"/>
  <c r="O33" i="9"/>
  <c r="P33" i="9"/>
  <c r="Q33" i="9"/>
  <c r="R33" i="9"/>
  <c r="S33" i="9"/>
  <c r="T33" i="9"/>
  <c r="U33" i="9"/>
  <c r="V33" i="9"/>
  <c r="W33" i="9"/>
  <c r="O34" i="9"/>
  <c r="P34" i="9"/>
  <c r="Q34" i="9"/>
  <c r="R34" i="9"/>
  <c r="S34" i="9"/>
  <c r="T34" i="9"/>
  <c r="U34" i="9"/>
  <c r="V34" i="9"/>
  <c r="W34" i="9"/>
  <c r="P9" i="9"/>
  <c r="P8" i="9"/>
  <c r="P7" i="9" a="1"/>
  <c r="O7" i="9" a="1"/>
  <c r="S8" i="9"/>
  <c r="T8" i="9"/>
  <c r="R8" i="9"/>
  <c r="Q8" i="9"/>
  <c r="R7" i="9" a="1"/>
  <c r="S7" i="9" a="1"/>
  <c r="T7" i="9" a="1"/>
  <c r="U8" i="9"/>
  <c r="V8" i="9"/>
  <c r="V7" i="9" s="1" a="1"/>
  <c r="W8" i="9"/>
  <c r="W7" i="9" s="1" a="1"/>
  <c r="Q9" i="9"/>
  <c r="Q7" i="9" s="1" a="1"/>
  <c r="R9" i="9"/>
  <c r="S9" i="9"/>
  <c r="T9" i="9"/>
  <c r="U9" i="9"/>
  <c r="U7" i="9" s="1" a="1"/>
  <c r="V9" i="9"/>
  <c r="W9" i="9"/>
  <c r="O8" i="9"/>
  <c r="O9" i="9"/>
  <c r="N36" i="9" a="1"/>
  <c r="N36" i="9" s="1"/>
  <c r="M29" i="9"/>
  <c r="M30" i="9"/>
  <c r="M31" i="9"/>
  <c r="M32" i="9"/>
  <c r="M33" i="9"/>
  <c r="M34" i="9"/>
  <c r="E15" i="2" a="1"/>
  <c r="E15" i="2" s="1"/>
  <c r="E19" i="2" a="1"/>
  <c r="E19" i="2" s="1"/>
  <c r="G13" i="9" a="1"/>
  <c r="G13" i="9" s="1"/>
  <c r="Q7" i="9" l="1"/>
  <c r="U7" i="9"/>
  <c r="V7" i="9"/>
  <c r="E17" i="2" a="1"/>
  <c r="E17" i="2" s="1"/>
  <c r="E18" i="2" a="1"/>
  <c r="E18" i="2" s="1"/>
  <c r="E20" i="2" a="1"/>
  <c r="E20" i="2" s="1"/>
  <c r="E16" i="2" a="1"/>
  <c r="E16" i="2" s="1"/>
  <c r="O7" i="9"/>
  <c r="T7" i="9"/>
  <c r="W7" i="9"/>
  <c r="S7" i="9"/>
  <c r="P7" i="9"/>
  <c r="M15" i="9"/>
  <c r="E12" i="2" a="1"/>
  <c r="E12" i="2" s="1"/>
  <c r="M16" i="9"/>
  <c r="E13" i="2" a="1"/>
  <c r="E13" i="2" s="1"/>
  <c r="M17" i="9"/>
  <c r="E14" i="2" a="1"/>
  <c r="E14" i="2" s="1"/>
  <c r="M21" i="9"/>
  <c r="M18" i="9"/>
  <c r="M20" i="9"/>
  <c r="M22" i="9"/>
  <c r="M23" i="9"/>
  <c r="M19" i="9"/>
  <c r="M25" i="9"/>
  <c r="M26" i="9"/>
  <c r="M28" i="9"/>
  <c r="M24" i="9"/>
  <c r="M27" i="9"/>
  <c r="D14" i="2" s="1" a="1"/>
  <c r="D14" i="2" s="1"/>
  <c r="R7" i="9"/>
  <c r="I13" i="9"/>
  <c r="H13" i="9"/>
  <c r="B6" i="5"/>
  <c r="C6" i="5"/>
  <c r="D6" i="5"/>
  <c r="E6" i="5"/>
  <c r="F6" i="5"/>
  <c r="G6" i="5"/>
  <c r="H6" i="5"/>
  <c r="I6" i="5"/>
  <c r="J6" i="5"/>
  <c r="A2" i="5"/>
  <c r="C5" i="5" s="1"/>
  <c r="C4" i="5" l="1"/>
  <c r="D18" i="2" a="1"/>
  <c r="D18" i="2" s="1"/>
  <c r="D12" i="2" a="1"/>
  <c r="D12" i="2" s="1"/>
  <c r="D19" i="2" a="1"/>
  <c r="D19" i="2" s="1"/>
  <c r="D17" i="2" a="1"/>
  <c r="D17" i="2" s="1"/>
  <c r="D20" i="2" a="1"/>
  <c r="D20" i="2" s="1"/>
  <c r="D13" i="2" a="1"/>
  <c r="D13" i="2" s="1"/>
  <c r="D16" i="2" a="1"/>
  <c r="D16" i="2" s="1"/>
  <c r="D15" i="2" a="1"/>
  <c r="D15" i="2" s="1"/>
  <c r="U5" i="5"/>
  <c r="U4" i="5" s="1"/>
  <c r="B5" i="5"/>
  <c r="B4" i="5" s="1"/>
  <c r="AS5" i="5"/>
  <c r="AS4" i="5" s="1"/>
  <c r="Q5" i="5"/>
  <c r="Q4" i="5" s="1"/>
  <c r="AO5" i="5"/>
  <c r="AO4" i="5" s="1"/>
  <c r="M5" i="5"/>
  <c r="M4" i="5" s="1"/>
  <c r="I5" i="5"/>
  <c r="I4" i="5" s="1"/>
  <c r="AK5" i="5"/>
  <c r="AK4" i="5" s="1"/>
  <c r="AR5" i="5"/>
  <c r="AR4" i="5" s="1"/>
  <c r="AN5" i="5"/>
  <c r="AN4" i="5" s="1"/>
  <c r="AJ5" i="5"/>
  <c r="AJ4" i="5" s="1"/>
  <c r="T5" i="5"/>
  <c r="T4" i="5" s="1"/>
  <c r="P5" i="5"/>
  <c r="P4" i="5" s="1"/>
  <c r="L5" i="5"/>
  <c r="L4" i="5" s="1"/>
  <c r="H5" i="5"/>
  <c r="H4" i="5" s="1"/>
  <c r="B2" i="5"/>
  <c r="AQ5" i="5"/>
  <c r="AQ4" i="5" s="1"/>
  <c r="AM5" i="5"/>
  <c r="AM4" i="5" s="1"/>
  <c r="AI5" i="5"/>
  <c r="AI4" i="5" s="1"/>
  <c r="S5" i="5"/>
  <c r="S4" i="5" s="1"/>
  <c r="O5" i="5"/>
  <c r="O4" i="5" s="1"/>
  <c r="K5" i="5"/>
  <c r="D5" i="5"/>
  <c r="D4" i="5" s="1"/>
  <c r="AT5" i="5"/>
  <c r="AT4" i="5" s="1"/>
  <c r="AP5" i="5"/>
  <c r="AP4" i="5" s="1"/>
  <c r="AL5" i="5"/>
  <c r="AL4" i="5" s="1"/>
  <c r="V5" i="5"/>
  <c r="V4" i="5" s="1"/>
  <c r="R5" i="5"/>
  <c r="R4" i="5" s="1"/>
  <c r="N5" i="5"/>
  <c r="N4" i="5" s="1"/>
  <c r="J5" i="5"/>
  <c r="J4" i="5" s="1"/>
  <c r="P18" i="9" l="1"/>
  <c r="K4" i="5"/>
  <c r="AQ21" i="9" a="1"/>
  <c r="AQ21" i="9" s="1"/>
  <c r="AV21" i="9" s="1"/>
  <c r="AQ23" i="9" a="1"/>
  <c r="AQ23" i="9" s="1"/>
  <c r="AV23" i="9" s="1"/>
  <c r="AQ14" i="9" a="1"/>
  <c r="AQ14" i="9" s="1"/>
  <c r="AV14" i="9" s="1"/>
  <c r="AQ19" i="9" a="1"/>
  <c r="AQ19" i="9" s="1"/>
  <c r="AQ20" i="9" a="1"/>
  <c r="AQ20" i="9" s="1"/>
  <c r="AV20" i="9" s="1"/>
  <c r="AQ18" i="9" a="1"/>
  <c r="AQ18" i="9" s="1"/>
  <c r="AQ22" i="9" a="1"/>
  <c r="AQ22" i="9" s="1"/>
  <c r="AQ24" i="9" a="1"/>
  <c r="AQ24" i="9" s="1"/>
  <c r="AV24" i="9" s="1"/>
  <c r="AQ15" i="9" a="1"/>
  <c r="AQ15" i="9" s="1"/>
  <c r="AV15" i="9" s="1"/>
  <c r="AQ17" i="9" a="1"/>
  <c r="AQ17" i="9" s="1"/>
  <c r="AQ25" i="9" a="1"/>
  <c r="AQ25" i="9" s="1"/>
  <c r="AQ16" i="9" a="1"/>
  <c r="AQ16" i="9" s="1"/>
  <c r="AV16" i="9" s="1"/>
  <c r="P20" i="9"/>
  <c r="P15" i="9"/>
  <c r="P19" i="9"/>
  <c r="P16" i="9"/>
  <c r="O27" i="9"/>
  <c r="P27" i="9"/>
  <c r="P25" i="9"/>
  <c r="P36" i="9"/>
  <c r="P26" i="9"/>
  <c r="O15" i="9"/>
  <c r="P24" i="9"/>
  <c r="P21" i="9"/>
  <c r="M13" i="2" s="1" a="1"/>
  <c r="M13" i="2" s="1"/>
  <c r="P17" i="9"/>
  <c r="Q17" i="9"/>
  <c r="Q25" i="9"/>
  <c r="O18" i="9"/>
  <c r="Q16" i="9"/>
  <c r="O17" i="9"/>
  <c r="Q15" i="9"/>
  <c r="O28" i="9"/>
  <c r="Q26" i="9"/>
  <c r="O36" i="9"/>
  <c r="Q19" i="9"/>
  <c r="Q21" i="9"/>
  <c r="Q28" i="9"/>
  <c r="Q27" i="9"/>
  <c r="O24" i="9"/>
  <c r="Q22" i="9"/>
  <c r="O20" i="9"/>
  <c r="Q18" i="9"/>
  <c r="O19" i="9"/>
  <c r="O22" i="9"/>
  <c r="O21" i="9"/>
  <c r="P23" i="9"/>
  <c r="M15" i="2" s="1" a="1"/>
  <c r="M15" i="2" s="1"/>
  <c r="O16" i="9"/>
  <c r="O26" i="9"/>
  <c r="Q24" i="9"/>
  <c r="O25" i="9"/>
  <c r="Q23" i="9"/>
  <c r="Q20" i="9"/>
  <c r="Q36" i="9"/>
  <c r="P28" i="9"/>
  <c r="O23" i="9"/>
  <c r="P22" i="9"/>
  <c r="E5" i="5"/>
  <c r="E4" i="5" s="1"/>
  <c r="R19" i="9" s="1"/>
  <c r="X5" i="5"/>
  <c r="X4" i="5" s="1"/>
  <c r="AB5" i="5"/>
  <c r="AB4" i="5" s="1"/>
  <c r="AF5" i="5"/>
  <c r="AF4" i="5" s="1"/>
  <c r="F5" i="5"/>
  <c r="F4" i="5" s="1"/>
  <c r="Y5" i="5"/>
  <c r="Y4" i="5" s="1"/>
  <c r="AC5" i="5"/>
  <c r="AC4" i="5" s="1"/>
  <c r="AG5" i="5"/>
  <c r="AG4" i="5" s="1"/>
  <c r="G5" i="5"/>
  <c r="G4" i="5" s="1"/>
  <c r="Z5" i="5"/>
  <c r="Z4" i="5" s="1"/>
  <c r="AD5" i="5"/>
  <c r="AD4" i="5" s="1"/>
  <c r="AH5" i="5"/>
  <c r="AH4" i="5" s="1"/>
  <c r="W5" i="5"/>
  <c r="W4" i="5" s="1"/>
  <c r="AA5" i="5"/>
  <c r="AA4" i="5" s="1"/>
  <c r="AE5" i="5"/>
  <c r="AE4" i="5" s="1"/>
  <c r="AY25" i="9" l="1"/>
  <c r="AV25" i="9"/>
  <c r="AV22" i="9"/>
  <c r="AY22" i="9"/>
  <c r="AV18" i="9"/>
  <c r="AY18" i="9"/>
  <c r="AV17" i="9"/>
  <c r="AY17" i="9"/>
  <c r="AR16" i="9" a="1"/>
  <c r="AR16" i="9" s="1"/>
  <c r="AW16" i="9" s="1"/>
  <c r="AR14" i="9" a="1"/>
  <c r="AR14" i="9" s="1"/>
  <c r="AW14" i="9" s="1"/>
  <c r="AR18" i="9" a="1"/>
  <c r="AR18" i="9" s="1"/>
  <c r="AW18" i="9" s="1"/>
  <c r="AS20" i="9" a="1"/>
  <c r="AS20" i="9" s="1"/>
  <c r="AX20" i="9" s="1"/>
  <c r="AS16" i="9" a="1"/>
  <c r="AS16" i="9" s="1"/>
  <c r="AX16" i="9" s="1"/>
  <c r="AS17" i="9" a="1"/>
  <c r="AS17" i="9" s="1"/>
  <c r="AX17" i="9" s="1"/>
  <c r="AR21" i="9" a="1"/>
  <c r="AR21" i="9" s="1"/>
  <c r="AW21" i="9" s="1"/>
  <c r="AS22" i="9" a="1"/>
  <c r="AS22" i="9" s="1"/>
  <c r="AX22" i="9" s="1"/>
  <c r="AS23" i="9" a="1"/>
  <c r="AS23" i="9" s="1"/>
  <c r="AX23" i="9" s="1"/>
  <c r="AS24" i="9" a="1"/>
  <c r="AS24" i="9" s="1"/>
  <c r="AX24" i="9" s="1"/>
  <c r="AR25" i="9" a="1"/>
  <c r="AR25" i="9" s="1"/>
  <c r="AW25" i="9" s="1"/>
  <c r="AR22" i="9" a="1"/>
  <c r="AR22" i="9" s="1"/>
  <c r="AW22" i="9" s="1"/>
  <c r="AR17" i="9" a="1"/>
  <c r="AR17" i="9" s="1"/>
  <c r="AW17" i="9" s="1"/>
  <c r="AR20" i="9" a="1"/>
  <c r="AR20" i="9" s="1"/>
  <c r="AW20" i="9" s="1"/>
  <c r="AS21" i="9" a="1"/>
  <c r="AS21" i="9" s="1"/>
  <c r="AX21" i="9" s="1"/>
  <c r="AS14" i="9" a="1"/>
  <c r="AS14" i="9" s="1"/>
  <c r="AX14" i="9" s="1"/>
  <c r="AS18" i="9" a="1"/>
  <c r="AS18" i="9" s="1"/>
  <c r="AX18" i="9" s="1"/>
  <c r="AV19" i="9"/>
  <c r="AY19" i="9"/>
  <c r="AS25" i="9" a="1"/>
  <c r="AS25" i="9" s="1"/>
  <c r="AX25" i="9" s="1"/>
  <c r="T12" i="2" a="1"/>
  <c r="T12" i="2" s="1"/>
  <c r="AR24" i="9" a="1"/>
  <c r="AR24" i="9" s="1"/>
  <c r="AW24" i="9" s="1"/>
  <c r="AS19" i="9" a="1"/>
  <c r="AS19" i="9" s="1"/>
  <c r="AX19" i="9" s="1"/>
  <c r="AR23" i="9" a="1"/>
  <c r="AR23" i="9" s="1"/>
  <c r="AW23" i="9" s="1"/>
  <c r="AS15" i="9" a="1"/>
  <c r="AS15" i="9" s="1"/>
  <c r="AX15" i="9" s="1"/>
  <c r="AR19" i="9" a="1"/>
  <c r="AR19" i="9" s="1"/>
  <c r="AW19" i="9" s="1"/>
  <c r="AR15" i="9" a="1"/>
  <c r="AR15" i="9" s="1"/>
  <c r="AW15" i="9" s="1"/>
  <c r="T16" i="2" a="1"/>
  <c r="T16" i="2" s="1"/>
  <c r="M16" i="2" a="1"/>
  <c r="M16" i="2" s="1"/>
  <c r="M17" i="2" a="1"/>
  <c r="M17" i="2" s="1"/>
  <c r="W36" i="9"/>
  <c r="O41" i="9" s="1"/>
  <c r="P41" i="9" s="1"/>
  <c r="T19" i="2" a="1"/>
  <c r="T19" i="2" s="1"/>
  <c r="M12" i="2" a="1"/>
  <c r="M12" i="2" s="1"/>
  <c r="T13" i="2" a="1"/>
  <c r="T13" i="2" s="1"/>
  <c r="M14" i="2" a="1"/>
  <c r="M14" i="2" s="1"/>
  <c r="M19" i="2" a="1"/>
  <c r="M19" i="2" s="1"/>
  <c r="M20" i="2" a="1"/>
  <c r="M20" i="2" s="1"/>
  <c r="T15" i="2" a="1"/>
  <c r="T15" i="2" s="1"/>
  <c r="T14" i="2" a="1"/>
  <c r="T14" i="2" s="1"/>
  <c r="T20" i="2" a="1"/>
  <c r="T20" i="2" s="1"/>
  <c r="T18" i="2" a="1"/>
  <c r="T18" i="2" s="1"/>
  <c r="M18" i="2" a="1"/>
  <c r="M18" i="2" s="1"/>
  <c r="T17" i="2" a="1"/>
  <c r="T17" i="2" s="1"/>
  <c r="F12" i="2" a="1"/>
  <c r="F12" i="2" s="1"/>
  <c r="R18" i="9"/>
  <c r="X18" i="9" s="1"/>
  <c r="S26" i="9"/>
  <c r="Y26" i="9" s="1"/>
  <c r="S27" i="9"/>
  <c r="Y27" i="9" s="1"/>
  <c r="R26" i="9"/>
  <c r="X26" i="9" s="1"/>
  <c r="T26" i="9"/>
  <c r="Z26" i="9" s="1"/>
  <c r="S16" i="9"/>
  <c r="Y16" i="9" s="1"/>
  <c r="V20" i="9"/>
  <c r="AB20" i="9" s="1"/>
  <c r="U16" i="9"/>
  <c r="AA16" i="9" s="1"/>
  <c r="S36" i="9"/>
  <c r="Y36" i="9" s="1"/>
  <c r="W22" i="9"/>
  <c r="AC22" i="9" s="1"/>
  <c r="V36" i="9"/>
  <c r="AB36" i="9" s="1"/>
  <c r="T36" i="9"/>
  <c r="Z36" i="9" s="1"/>
  <c r="R16" i="9"/>
  <c r="X16" i="9" s="1"/>
  <c r="T23" i="9"/>
  <c r="Z23" i="9" s="1"/>
  <c r="T18" i="9"/>
  <c r="Z18" i="9" s="1"/>
  <c r="V21" i="9"/>
  <c r="AB21" i="9" s="1"/>
  <c r="U20" i="9"/>
  <c r="AA20" i="9" s="1"/>
  <c r="V27" i="9"/>
  <c r="AB27" i="9" s="1"/>
  <c r="S19" i="9"/>
  <c r="Y19" i="9" s="1"/>
  <c r="S28" i="9"/>
  <c r="Y28" i="9" s="1"/>
  <c r="F19" i="2" a="1"/>
  <c r="F19" i="2" s="1"/>
  <c r="S21" i="9"/>
  <c r="Y21" i="9" s="1"/>
  <c r="W16" i="9"/>
  <c r="U23" i="9"/>
  <c r="AA23" i="9" s="1"/>
  <c r="U24" i="9"/>
  <c r="AA24" i="9" s="1"/>
  <c r="U21" i="9"/>
  <c r="AA21" i="9" s="1"/>
  <c r="T25" i="9"/>
  <c r="Z25" i="9" s="1"/>
  <c r="W20" i="9"/>
  <c r="AC20" i="9" s="1"/>
  <c r="F15" i="2" a="1"/>
  <c r="F15" i="2" s="1"/>
  <c r="V18" i="9"/>
  <c r="AB18" i="9" s="1"/>
  <c r="U36" i="9"/>
  <c r="AA36" i="9" s="1"/>
  <c r="W26" i="9"/>
  <c r="AC26" i="9" s="1"/>
  <c r="W23" i="9"/>
  <c r="AC23" i="9" s="1"/>
  <c r="T21" i="9"/>
  <c r="Z21" i="9" s="1"/>
  <c r="R36" i="9"/>
  <c r="X36" i="9" s="1"/>
  <c r="R17" i="9"/>
  <c r="X17" i="9" s="1"/>
  <c r="T22" i="9"/>
  <c r="Z22" i="9" s="1"/>
  <c r="R20" i="9"/>
  <c r="X20" i="9" s="1"/>
  <c r="R23" i="9"/>
  <c r="X23" i="9" s="1"/>
  <c r="W17" i="9"/>
  <c r="W21" i="9"/>
  <c r="S18" i="9"/>
  <c r="Y18" i="9" s="1"/>
  <c r="F14" i="2" a="1"/>
  <c r="F14" i="2" s="1"/>
  <c r="W27" i="9"/>
  <c r="AC27" i="9" s="1"/>
  <c r="S23" i="9"/>
  <c r="Y23" i="9" s="1"/>
  <c r="T17" i="9"/>
  <c r="Z17" i="9" s="1"/>
  <c r="F20" i="2" a="1"/>
  <c r="F20" i="2" s="1"/>
  <c r="R27" i="9"/>
  <c r="X27" i="9" s="1"/>
  <c r="R21" i="9"/>
  <c r="X21" i="9" s="1"/>
  <c r="H18" i="2" s="1" a="1"/>
  <c r="H18" i="2" s="1"/>
  <c r="I18" i="2" s="1"/>
  <c r="T15" i="9"/>
  <c r="Z15" i="9" s="1"/>
  <c r="U26" i="9"/>
  <c r="AA26" i="9" s="1"/>
  <c r="U19" i="9"/>
  <c r="AA19" i="9" s="1"/>
  <c r="S22" i="9"/>
  <c r="Y22" i="9" s="1"/>
  <c r="U15" i="9"/>
  <c r="AA15" i="9" s="1"/>
  <c r="F17" i="2" a="1"/>
  <c r="F17" i="2" s="1"/>
  <c r="V26" i="9"/>
  <c r="AB26" i="9" s="1"/>
  <c r="U18" i="9"/>
  <c r="AA18" i="9" s="1"/>
  <c r="V25" i="9"/>
  <c r="AB25" i="9" s="1"/>
  <c r="T19" i="9"/>
  <c r="Z19" i="9" s="1"/>
  <c r="T24" i="9"/>
  <c r="Z24" i="9" s="1"/>
  <c r="U17" i="9"/>
  <c r="AA17" i="9" s="1"/>
  <c r="U22" i="9"/>
  <c r="AA22" i="9" s="1"/>
  <c r="W25" i="9"/>
  <c r="AC25" i="9" s="1"/>
  <c r="U28" i="9"/>
  <c r="AA28" i="9" s="1"/>
  <c r="R25" i="9"/>
  <c r="X25" i="9" s="1"/>
  <c r="T16" i="9"/>
  <c r="Z16" i="9" s="1"/>
  <c r="R22" i="9"/>
  <c r="X22" i="9" s="1"/>
  <c r="V22" i="9"/>
  <c r="AB22" i="9" s="1"/>
  <c r="V23" i="9"/>
  <c r="AB23" i="9" s="1"/>
  <c r="V16" i="9"/>
  <c r="AB16" i="9" s="1"/>
  <c r="V19" i="9"/>
  <c r="AB19" i="9" s="1"/>
  <c r="R28" i="9"/>
  <c r="X28" i="9" s="1"/>
  <c r="V17" i="9"/>
  <c r="AB17" i="9" s="1"/>
  <c r="T27" i="9"/>
  <c r="Z27" i="9" s="1"/>
  <c r="R24" i="9"/>
  <c r="X24" i="9" s="1"/>
  <c r="T28" i="9"/>
  <c r="Z28" i="9" s="1"/>
  <c r="S25" i="9"/>
  <c r="Y25" i="9" s="1"/>
  <c r="T20" i="9"/>
  <c r="Z20" i="9" s="1"/>
  <c r="S17" i="9"/>
  <c r="Y17" i="9" s="1"/>
  <c r="S15" i="9"/>
  <c r="Y15" i="9" s="1"/>
  <c r="F13" i="2" a="1"/>
  <c r="F13" i="2" s="1"/>
  <c r="F18" i="2" a="1"/>
  <c r="F18" i="2" s="1"/>
  <c r="F16" i="2" a="1"/>
  <c r="F16" i="2" s="1"/>
  <c r="X19" i="9"/>
  <c r="W28" i="9"/>
  <c r="AC28" i="9" s="1"/>
  <c r="W18" i="9"/>
  <c r="S20" i="9"/>
  <c r="Y20" i="9" s="1"/>
  <c r="O17" i="2" s="1" a="1"/>
  <c r="O17" i="2" s="1"/>
  <c r="P17" i="2" s="1"/>
  <c r="V15" i="9"/>
  <c r="AB15" i="9" s="1"/>
  <c r="W19" i="9"/>
  <c r="W24" i="9"/>
  <c r="AC24" i="9" s="1"/>
  <c r="V28" i="9"/>
  <c r="AB28" i="9" s="1"/>
  <c r="U25" i="9"/>
  <c r="AA25" i="9" s="1"/>
  <c r="S24" i="9"/>
  <c r="Y24" i="9" s="1"/>
  <c r="U27" i="9"/>
  <c r="AA27" i="9" s="1"/>
  <c r="W15" i="9"/>
  <c r="V24" i="9"/>
  <c r="AB24" i="9" s="1"/>
  <c r="R15" i="9"/>
  <c r="X15" i="9" s="1"/>
  <c r="AF26" i="9" l="1" a="1"/>
  <c r="AF26" i="9" s="1"/>
  <c r="AF27" i="9" a="1"/>
  <c r="AF27" i="9" s="1"/>
  <c r="AF28" i="9" a="1"/>
  <c r="AF28" i="9" s="1"/>
  <c r="AF23" i="9" a="1"/>
  <c r="AF23" i="9" s="1"/>
  <c r="AF25" i="9" a="1"/>
  <c r="AF25" i="9" s="1"/>
  <c r="AF20" i="9" a="1"/>
  <c r="AF20" i="9" s="1"/>
  <c r="AF24" i="9" a="1"/>
  <c r="AF24" i="9" s="1"/>
  <c r="AF22" i="9" a="1"/>
  <c r="AF22" i="9" s="1"/>
  <c r="V20" i="2" a="1"/>
  <c r="V20" i="2" s="1"/>
  <c r="W20" i="2" s="1"/>
  <c r="O39" i="9"/>
  <c r="P39" i="9" s="1"/>
  <c r="V12" i="2" a="1"/>
  <c r="V12" i="2" s="1"/>
  <c r="W12" i="2" s="1"/>
  <c r="AC36" i="9"/>
  <c r="O40" i="9"/>
  <c r="P40" i="9" s="1"/>
  <c r="R15" i="2" a="1"/>
  <c r="R15" i="2" s="1"/>
  <c r="S15" i="2" s="1"/>
  <c r="R17" i="2" a="1"/>
  <c r="R17" i="2" s="1"/>
  <c r="S17" i="2" s="1"/>
  <c r="O19" i="2" a="1"/>
  <c r="O19" i="2" s="1"/>
  <c r="P19" i="2" s="1"/>
  <c r="K13" i="2" a="1"/>
  <c r="K13" i="2" s="1"/>
  <c r="L13" i="2" s="1"/>
  <c r="O18" i="2" a="1"/>
  <c r="O18" i="2" s="1"/>
  <c r="P18" i="2" s="1"/>
  <c r="H12" i="2" a="1"/>
  <c r="H12" i="2" s="1"/>
  <c r="I12" i="2" s="1"/>
  <c r="O20" i="2" a="1"/>
  <c r="O20" i="2" s="1"/>
  <c r="P20" i="2" s="1"/>
  <c r="R16" i="2" a="1"/>
  <c r="R16" i="2" s="1"/>
  <c r="S16" i="2" s="1"/>
  <c r="Y20" i="2" a="1"/>
  <c r="Y20" i="2" s="1"/>
  <c r="Z20" i="2" s="1"/>
  <c r="Y19" i="2" a="1"/>
  <c r="Y19" i="2" s="1"/>
  <c r="Z19" i="2" s="1"/>
  <c r="V18" i="2" a="1"/>
  <c r="V18" i="2" s="1"/>
  <c r="W18" i="2" s="1"/>
  <c r="K17" i="2" a="1"/>
  <c r="K17" i="2" s="1"/>
  <c r="L17" i="2" s="1"/>
  <c r="K14" i="2" a="1"/>
  <c r="K14" i="2" s="1"/>
  <c r="L14" i="2" s="1"/>
  <c r="R19" i="2" a="1"/>
  <c r="R19" i="2" s="1"/>
  <c r="S19" i="2" s="1"/>
  <c r="V15" i="2" a="1"/>
  <c r="V15" i="2" s="1"/>
  <c r="W15" i="2" s="1"/>
  <c r="R12" i="2" a="1"/>
  <c r="R12" i="2" s="1"/>
  <c r="S12" i="2" s="1"/>
  <c r="R18" i="2" a="1"/>
  <c r="R18" i="2" s="1"/>
  <c r="S18" i="2" s="1"/>
  <c r="V14" i="2" a="1"/>
  <c r="V14" i="2" s="1"/>
  <c r="W14" i="2" s="1"/>
  <c r="K20" i="2" a="1"/>
  <c r="K20" i="2" s="1"/>
  <c r="L20" i="2" s="1"/>
  <c r="R14" i="2" a="1"/>
  <c r="R14" i="2" s="1"/>
  <c r="S14" i="2" s="1"/>
  <c r="K18" i="2" a="1"/>
  <c r="K18" i="2" s="1"/>
  <c r="L18" i="2" s="1"/>
  <c r="K16" i="2" a="1"/>
  <c r="K16" i="2" s="1"/>
  <c r="L16" i="2" s="1"/>
  <c r="K12" i="2" a="1"/>
  <c r="K12" i="2" s="1"/>
  <c r="L12" i="2" s="1"/>
  <c r="R20" i="2" a="1"/>
  <c r="R20" i="2" s="1"/>
  <c r="S20" i="2" s="1"/>
  <c r="V19" i="2" a="1"/>
  <c r="V19" i="2" s="1"/>
  <c r="W19" i="2" s="1"/>
  <c r="Y17" i="2" a="1"/>
  <c r="Y17" i="2" s="1"/>
  <c r="Z17" i="2" s="1"/>
  <c r="V16" i="2" a="1"/>
  <c r="V16" i="2" s="1"/>
  <c r="W16" i="2" s="1"/>
  <c r="K15" i="2" a="1"/>
  <c r="K15" i="2" s="1"/>
  <c r="L15" i="2" s="1"/>
  <c r="R13" i="2" a="1"/>
  <c r="R13" i="2" s="1"/>
  <c r="S13" i="2" s="1"/>
  <c r="K19" i="2" a="1"/>
  <c r="K19" i="2" s="1"/>
  <c r="L19" i="2" s="1"/>
  <c r="V13" i="2" a="1"/>
  <c r="V13" i="2" s="1"/>
  <c r="W13" i="2" s="1"/>
  <c r="V17" i="2" a="1"/>
  <c r="V17" i="2" s="1"/>
  <c r="W17" i="2" s="1"/>
  <c r="O14" i="2" a="1"/>
  <c r="O14" i="2" s="1"/>
  <c r="P14" i="2" s="1"/>
  <c r="H14" i="2" a="1"/>
  <c r="H14" i="2" s="1"/>
  <c r="I14" i="2" s="1"/>
  <c r="H20" i="2" a="1"/>
  <c r="H20" i="2" s="1"/>
  <c r="I20" i="2" s="1"/>
  <c r="O13" i="2" a="1"/>
  <c r="O13" i="2" s="1"/>
  <c r="P13" i="2" s="1"/>
  <c r="H19" i="2" a="1"/>
  <c r="H19" i="2" s="1"/>
  <c r="I19" i="2" s="1"/>
  <c r="H15" i="2" a="1"/>
  <c r="H15" i="2" s="1"/>
  <c r="I15" i="2" s="1"/>
  <c r="O12" i="2" a="1"/>
  <c r="O12" i="2" s="1"/>
  <c r="P12" i="2" s="1"/>
  <c r="H13" i="2" a="1"/>
  <c r="H13" i="2" s="1"/>
  <c r="I13" i="2" s="1"/>
  <c r="H16" i="2" a="1"/>
  <c r="H16" i="2" s="1"/>
  <c r="I16" i="2" s="1"/>
  <c r="H17" i="2" a="1"/>
  <c r="H17" i="2" s="1"/>
  <c r="I17" i="2" s="1"/>
  <c r="O15" i="2" a="1"/>
  <c r="O15" i="2" s="1"/>
  <c r="P15" i="2" s="1"/>
  <c r="O16" i="2" a="1"/>
  <c r="O16" i="2" s="1"/>
  <c r="P16" i="2" s="1"/>
  <c r="AC21" i="9"/>
  <c r="AC17" i="9"/>
  <c r="AC19" i="9"/>
  <c r="AC15" i="9"/>
  <c r="AF15" i="9" s="1" a="1"/>
  <c r="AF15" i="9" s="1"/>
  <c r="AC18" i="9"/>
  <c r="AC16" i="9"/>
  <c r="AF16" i="9" s="1" a="1"/>
  <c r="AF16" i="9" s="1"/>
  <c r="Y16" i="2" l="1" a="1"/>
  <c r="Y16" i="2" s="1"/>
  <c r="Z16" i="2" s="1"/>
  <c r="AF19" i="9" a="1"/>
  <c r="AF19" i="9" s="1"/>
  <c r="Y14" i="2" a="1"/>
  <c r="Y14" i="2" s="1"/>
  <c r="Z14" i="2" s="1"/>
  <c r="AF17" i="9" a="1"/>
  <c r="AF17" i="9" s="1"/>
  <c r="Y15" i="2" a="1"/>
  <c r="Y15" i="2" s="1"/>
  <c r="Z15" i="2" s="1"/>
  <c r="AF18" i="9" a="1"/>
  <c r="AF18" i="9" s="1"/>
  <c r="Y18" i="2" a="1"/>
  <c r="Y18" i="2" s="1"/>
  <c r="Z18" i="2" s="1"/>
  <c r="AF21" i="9" a="1"/>
  <c r="AF21" i="9" s="1"/>
  <c r="Y12" i="2" a="1"/>
  <c r="Y12" i="2" s="1"/>
  <c r="Z12" i="2" s="1"/>
  <c r="Y13" i="2" a="1"/>
  <c r="Y13" i="2" s="1"/>
  <c r="Z13" i="2" s="1"/>
  <c r="P14" i="9"/>
  <c r="T14" i="9"/>
  <c r="Q14" i="9"/>
  <c r="R14" i="9"/>
  <c r="O14" i="9"/>
  <c r="AE14" i="9"/>
  <c r="U14" i="9"/>
  <c r="S14" i="9"/>
  <c r="E11" i="2" a="1"/>
  <c r="E11" i="2" s="1"/>
  <c r="W14" i="9"/>
  <c r="V14" i="9"/>
  <c r="M14" i="9"/>
  <c r="AA14" i="9" l="1"/>
  <c r="K11" i="2" s="1" a="1"/>
  <c r="K11" i="2" s="1"/>
  <c r="L11" i="2" s="1"/>
  <c r="Y14" i="9"/>
  <c r="X41" i="9" s="1"/>
  <c r="D11" i="2" a="1"/>
  <c r="D11" i="2" s="1"/>
  <c r="AC14" i="9"/>
  <c r="AA44" i="9" s="1"/>
  <c r="Z14" i="9"/>
  <c r="AB14" i="9"/>
  <c r="F11" i="2" a="1"/>
  <c r="F11" i="2" s="1"/>
  <c r="T11" i="2" a="1"/>
  <c r="T11" i="2" s="1"/>
  <c r="M11" i="2" a="1"/>
  <c r="M11" i="2" s="1"/>
  <c r="X14" i="9"/>
  <c r="AA39" i="9" l="1"/>
  <c r="AA40" i="9"/>
  <c r="X42" i="9"/>
  <c r="O11" i="2" a="1"/>
  <c r="O11" i="2" s="1"/>
  <c r="P11" i="2" s="1"/>
  <c r="Y11" i="2" a="1"/>
  <c r="Y11" i="2" s="1"/>
  <c r="Z11" i="2" s="1"/>
  <c r="AA43" i="9"/>
  <c r="AF14" i="9" a="1"/>
  <c r="AF14" i="9" s="1"/>
  <c r="AH14" i="9" s="1"/>
  <c r="X43" i="9"/>
  <c r="V11" i="2" a="1"/>
  <c r="V11" i="2" s="1"/>
  <c r="W11" i="2" s="1"/>
  <c r="X44" i="9"/>
  <c r="X40" i="9"/>
  <c r="X39" i="9"/>
  <c r="H11" i="2" a="1"/>
  <c r="H11" i="2" s="1"/>
  <c r="I11" i="2" s="1"/>
  <c r="AA42" i="9"/>
  <c r="AA41" i="9"/>
  <c r="R11" i="2" a="1"/>
  <c r="R11" i="2" s="1"/>
  <c r="S11" i="2" s="1"/>
  <c r="AJ14" i="9" l="1" a="1"/>
  <c r="AJ14" i="9" s="1"/>
  <c r="AI14" i="9" a="1"/>
  <c r="AI14" i="9" s="1"/>
  <c r="AL14" i="9" s="1" a="1"/>
  <c r="AL14" i="9" s="1"/>
  <c r="AH15" i="9"/>
  <c r="AH19" i="9"/>
  <c r="AH18" i="9"/>
  <c r="AH16" i="9"/>
  <c r="AH17" i="9"/>
  <c r="AK14" i="9" l="1"/>
  <c r="AJ16" i="9" a="1"/>
  <c r="AJ16" i="9" s="1"/>
  <c r="AJ18" i="9" a="1"/>
  <c r="AJ18" i="9" s="1"/>
  <c r="AI17" i="9" a="1"/>
  <c r="AI17" i="9" s="1"/>
  <c r="AL17" i="9" s="1" a="1"/>
  <c r="AL17" i="9" s="1"/>
  <c r="AJ19" i="9" a="1"/>
  <c r="AJ19" i="9" s="1"/>
  <c r="AJ15" i="9" a="1"/>
  <c r="AJ15" i="9" s="1"/>
  <c r="AI19" i="9" a="1"/>
  <c r="AI19" i="9" s="1"/>
  <c r="AL19" i="9" s="1" a="1"/>
  <c r="AL19" i="9" s="1"/>
  <c r="AI15" i="9" a="1"/>
  <c r="AI15" i="9" s="1"/>
  <c r="AL15" i="9" s="1" a="1"/>
  <c r="AL15" i="9" s="1"/>
  <c r="AJ17" i="9" a="1"/>
  <c r="AJ17" i="9" s="1"/>
  <c r="AI18" i="9" a="1"/>
  <c r="AI18" i="9" s="1"/>
  <c r="AI16" i="9" a="1"/>
  <c r="AI16" i="9" s="1"/>
  <c r="AK16" i="9" s="1"/>
  <c r="AK17" i="9" l="1"/>
  <c r="AK18" i="9"/>
  <c r="AL18" i="9" a="1"/>
  <c r="AL18" i="9" s="1"/>
  <c r="AK19" i="9"/>
  <c r="AL16" i="9" a="1"/>
  <c r="AL16" i="9" s="1"/>
  <c r="AK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<sst xmlns="http://schemas.openxmlformats.org/spreadsheetml/2006/main" count="402" uniqueCount="148">
  <si>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</si>
  <si>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</si>
  <si>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</si>
  <si>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</si>
  <si>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</si>
  <si>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</si>
  <si>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</si>
  <si>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</si>
  <si>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</si>
  <si>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</si>
  <si>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</si>
  <si>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</si>
  <si>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</si>
  <si>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Budget</t>
  </si>
  <si>
    <t>PY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</si>
  <si>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</si>
  <si>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</si>
  <si>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</si>
  <si>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</si>
  <si>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</si>
  <si>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</si>
  <si>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</si>
  <si>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</si>
  <si>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</si>
  <si>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</si>
  <si>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</si>
  <si>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</si>
  <si>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</si>
  <si>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</si>
  <si>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</si>
  <si>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</si>
  <si>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</si>
  <si>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</si>
  <si>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</si>
  <si>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</si>
  <si>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</si>
  <si>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</si>
  <si>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</si>
  <si>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</si>
  <si>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</si>
  <si>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</si>
  <si>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</si>
  <si>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</si>
  <si>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</si>
  <si>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</si>
  <si>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</si>
  <si>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</si>
  <si>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</si>
  <si>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</si>
  <si>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</si>
  <si>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</si>
  <si>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</si>
  <si>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</si>
  <si>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</si>
  <si>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</si>
  <si>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</si>
  <si>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</si>
  <si>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</si>
  <si>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</si>
  <si>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</si>
  <si>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</si>
  <si>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</si>
  <si>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</si>
  <si>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</si>
  <si>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</si>
  <si>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</si>
  <si>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</si>
  <si>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</si>
  <si>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</si>
  <si>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</si>
  <si>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</si>
  <si>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</si>
  <si>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</si>
  <si>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</si>
  <si>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</si>
  <si>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</si>
  <si>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</si>
  <si>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</si>
  <si>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</si>
  <si>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App to Division Allocation</t>
  </si>
  <si>
    <t/>
  </si>
  <si>
    <t>218 / 166 / 0</t>
  </si>
  <si>
    <t>255 / 202 / 33</t>
  </si>
  <si>
    <t>256 / 227 / 137</t>
  </si>
  <si>
    <t>For Drop-Down selections</t>
  </si>
  <si>
    <t>Selected Information (Form Controls)</t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</si>
  <si>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</si>
  <si>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</si>
  <si>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</si>
  <si>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</si>
  <si>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</si>
  <si>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</si>
  <si>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</si>
  <si>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</si>
  <si>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r>
      <t>%</t>
    </r>
    <r>
      <rPr>
        <sz val="11"/>
        <color theme="1"/>
        <rFont val="Times New Roman"/>
        <family val="1"/>
      </rPr>
      <t>▲</t>
    </r>
    <r>
      <rPr>
        <sz val="11"/>
        <color theme="1"/>
        <rFont val="Arial"/>
        <family val="2"/>
      </rPr>
      <t>PY</t>
    </r>
  </si>
  <si>
    <r>
      <t>%</t>
    </r>
    <r>
      <rPr>
        <sz val="11"/>
        <color theme="1"/>
        <rFont val="Times New Roman"/>
        <family val="1"/>
      </rPr>
      <t>▲B</t>
    </r>
  </si>
  <si>
    <t>Table Scroll position</t>
  </si>
  <si>
    <t>Min Rev %</t>
  </si>
  <si>
    <t>Max Rev %</t>
  </si>
  <si>
    <t>Calculations for data bar in Scrolling table</t>
  </si>
  <si>
    <t>Min Profit%</t>
  </si>
  <si>
    <t>Max Profit %</t>
  </si>
  <si>
    <t>Min Cash%</t>
  </si>
  <si>
    <t>Max Cash%</t>
  </si>
  <si>
    <t>Calculations for header</t>
  </si>
  <si>
    <t>Revenue A-B</t>
  </si>
  <si>
    <t>Profit A-B</t>
  </si>
  <si>
    <t>Cash A-B</t>
  </si>
  <si>
    <t>Top 6 / Bottom 6 by KPI</t>
  </si>
  <si>
    <t>Fixed KPI: Revenue</t>
  </si>
  <si>
    <t>Fixed Top 6</t>
  </si>
  <si>
    <t>Basic - Unsorted</t>
  </si>
  <si>
    <t>Sorted</t>
  </si>
  <si>
    <t>KPI Selection</t>
  </si>
  <si>
    <t>Revenue %</t>
  </si>
  <si>
    <t>Profit %</t>
  </si>
  <si>
    <t>Cash %</t>
  </si>
  <si>
    <t>Label Position</t>
  </si>
  <si>
    <t>Label Shown</t>
  </si>
  <si>
    <t>Top / Bottom Selection</t>
  </si>
  <si>
    <t>Profit Scroll Decision</t>
  </si>
  <si>
    <t>PY checkbok</t>
  </si>
  <si>
    <t>Budget Checkbox</t>
  </si>
  <si>
    <t xml:space="preserve">Actual </t>
  </si>
  <si>
    <t>Profit Line Chart</t>
  </si>
  <si>
    <t>Data Preparation for Chart</t>
  </si>
  <si>
    <t>INSTRUCTIONS</t>
  </si>
  <si>
    <t xml:space="preserve">General </t>
  </si>
  <si>
    <t>▪ Select your Point of view from the drop-down box on the dashboard page</t>
  </si>
  <si>
    <t>▪ Refresh the data to retrieve from the database</t>
  </si>
  <si>
    <t>▪ That's it!</t>
  </si>
  <si>
    <t>Beware</t>
  </si>
  <si>
    <t>Do not overwrite the formulas in the Calculation Tab.</t>
  </si>
  <si>
    <t>Keep protection on for the Dashboard tab to make sure nothing is unintentionally shifted.</t>
  </si>
  <si>
    <t>Feel free to remove sheet protection. Go to Review and click "unprotect sheet" - there is no password.</t>
  </si>
  <si>
    <t>Links</t>
  </si>
  <si>
    <t>Dashboard</t>
  </si>
  <si>
    <t>Presentation of results</t>
  </si>
  <si>
    <t>Calculation</t>
  </si>
  <si>
    <t>Raw preparation for Dashboard</t>
  </si>
  <si>
    <t>Raw Data</t>
  </si>
  <si>
    <t>Raw data, retrieved directly from Oracle database</t>
  </si>
  <si>
    <t>Additional resources</t>
  </si>
  <si>
    <t>View complete file on intranet (example for internet link)</t>
  </si>
  <si>
    <t>Version Control</t>
  </si>
  <si>
    <t>▪ Added additional calculations for % columns</t>
  </si>
  <si>
    <t>▪ changed KPI sorting to be based on % budget variance instead of full values</t>
  </si>
  <si>
    <t>▪ Included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</si>
</sst>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_-* #,##0_-;\-* #,##0_-;_-* &quot;-&quot;??_-;_-@_-"/>
    <numFmt numFmtId="168" formatCode="_-&quot;$&quot;* #,##0_-;\-&quot;$&quot;* #,##0_-;_-&quot;$&quot;* &quot;-&quot;??_-;_-@_-"/>
    <numFmt numFmtId="169" formatCode="[$-409]d\-mmm\-yy;@"/>
  </numFmts>
  <fonts count="1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8"/>
      <color theme="0"/>
      <name val="Arial"/>
      <family val="2"/>
    </font>
    <font>
      <b/>
      <sz val="14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FA170"/>
        <bgColor indexed="64"/>
      </patternFill>
    </fill>
    <fill>
      <patternFill patternType="solid">
        <fgColor rgb="FFFFFE6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rgb="FFFFCA21"/>
        <bgColor indexed="64"/>
      </patternFill>
    </fill>
    <fill>
      <patternFill patternType="solid">
        <fgColor rgb="FFC89800"/>
        <bgColor indexed="64"/>
      </patternFill>
    </fill>
    <fill>
      <patternFill patternType="solid">
        <fgColor rgb="FFDAA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rgb="FFFFC000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3" borderId="2" xfId="0" applyFont="1" applyFill="1" applyBorder="1"/>
    <xf numFmtId="0" fontId="2" fillId="4" borderId="0" xfId="0" applyFont="1" applyFill="1"/>
    <xf numFmtId="0" fontId="0" fillId="0" borderId="2" xfId="0" applyBorder="1"/>
    <xf numFmtId="0" fontId="0" fillId="5" borderId="0" xfId="0" applyFill="1"/>
    <xf numFmtId="0" fontId="0" fillId="5" borderId="3" xfId="0" applyFill="1" applyBorder="1"/>
    <xf numFmtId="0" fontId="0" fillId="5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1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13" borderId="0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9" fontId="0" fillId="0" borderId="0" xfId="3" applyFont="1"/>
    <xf numFmtId="9" fontId="0" fillId="0" borderId="0" xfId="3" applyFont="1" applyBorder="1"/>
    <xf numFmtId="166" fontId="0" fillId="0" borderId="0" xfId="3" applyNumberFormat="1" applyFont="1"/>
    <xf numFmtId="166" fontId="0" fillId="0" borderId="0" xfId="3" applyNumberFormat="1" applyFont="1" applyBorder="1"/>
    <xf numFmtId="167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Continuous"/>
    </xf>
    <xf numFmtId="0" fontId="0" fillId="11" borderId="0" xfId="0" applyFill="1" applyAlignment="1">
      <alignment horizontal="center"/>
    </xf>
    <xf numFmtId="0" fontId="0" fillId="15" borderId="0" xfId="0" applyFill="1"/>
    <xf numFmtId="167" fontId="0" fillId="15" borderId="0" xfId="1" applyNumberFormat="1" applyFont="1" applyFill="1"/>
    <xf numFmtId="166" fontId="0" fillId="15" borderId="0" xfId="3" applyNumberFormat="1" applyFont="1" applyFill="1"/>
    <xf numFmtId="166" fontId="0" fillId="15" borderId="0" xfId="0" applyNumberFormat="1" applyFill="1"/>
    <xf numFmtId="0" fontId="0" fillId="15" borderId="0" xfId="0" applyFill="1" applyAlignment="1">
      <alignment horizontal="center"/>
    </xf>
    <xf numFmtId="164" fontId="0" fillId="0" borderId="0" xfId="2" applyFont="1"/>
    <xf numFmtId="168" fontId="0" fillId="0" borderId="0" xfId="2" applyNumberFormat="1" applyFont="1"/>
    <xf numFmtId="167" fontId="0" fillId="0" borderId="0" xfId="1" applyNumberFormat="1" applyFont="1" applyBorder="1"/>
    <xf numFmtId="167" fontId="0" fillId="0" borderId="4" xfId="1" applyNumberFormat="1" applyFont="1" applyBorder="1"/>
    <xf numFmtId="167" fontId="0" fillId="13" borderId="0" xfId="1" applyNumberFormat="1" applyFont="1" applyFill="1" applyBorder="1" applyAlignment="1">
      <alignment horizontal="left"/>
    </xf>
    <xf numFmtId="167" fontId="0" fillId="10" borderId="0" xfId="1" applyNumberFormat="1" applyFont="1" applyFill="1" applyBorder="1" applyAlignment="1">
      <alignment horizontal="left"/>
    </xf>
    <xf numFmtId="167" fontId="0" fillId="12" borderId="0" xfId="1" applyNumberFormat="1" applyFont="1" applyFill="1" applyBorder="1" applyAlignment="1">
      <alignment horizontal="left"/>
    </xf>
    <xf numFmtId="166" fontId="0" fillId="0" borderId="4" xfId="3" applyNumberFormat="1" applyFont="1" applyBorder="1"/>
    <xf numFmtId="3" fontId="0" fillId="0" borderId="0" xfId="0" applyNumberFormat="1"/>
    <xf numFmtId="0" fontId="0" fillId="13" borderId="0" xfId="0" applyFill="1" applyAlignment="1">
      <alignment horizontal="centerContinuous"/>
    </xf>
    <xf numFmtId="0" fontId="7" fillId="8" borderId="0" xfId="0" applyFont="1" applyFill="1" applyAlignment="1">
      <alignment horizontal="centerContinuous"/>
    </xf>
    <xf numFmtId="0" fontId="0" fillId="16" borderId="0" xfId="0" applyFill="1"/>
    <xf numFmtId="0" fontId="0" fillId="16" borderId="13" xfId="0" applyFill="1" applyBorder="1"/>
    <xf numFmtId="0" fontId="0" fillId="0" borderId="14" xfId="0" applyBorder="1" applyAlignment="1">
      <alignment horizontal="centerContinuous"/>
    </xf>
    <xf numFmtId="0" fontId="0" fillId="0" borderId="14" xfId="0" applyBorder="1"/>
    <xf numFmtId="0" fontId="0" fillId="12" borderId="14" xfId="0" applyFill="1" applyBorder="1"/>
    <xf numFmtId="0" fontId="0" fillId="0" borderId="14" xfId="0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4" borderId="0" xfId="0" applyFill="1" applyAlignment="1">
      <alignment horizontal="left"/>
    </xf>
    <xf numFmtId="0" fontId="0" fillId="11" borderId="0" xfId="0" applyFill="1" applyAlignment="1">
      <alignment horizontal="left"/>
    </xf>
    <xf numFmtId="167" fontId="0" fillId="0" borderId="0" xfId="0" applyNumberFormat="1"/>
    <xf numFmtId="0" fontId="0" fillId="17" borderId="0" xfId="0" applyFill="1"/>
    <xf numFmtId="0" fontId="10" fillId="17" borderId="0" xfId="0" applyFont="1" applyFill="1"/>
    <xf numFmtId="0" fontId="0" fillId="16" borderId="15" xfId="0" applyFill="1" applyBorder="1"/>
    <xf numFmtId="0" fontId="11" fillId="16" borderId="16" xfId="0" quotePrefix="1" applyFont="1" applyFill="1" applyBorder="1"/>
    <xf numFmtId="0" fontId="11" fillId="16" borderId="16" xfId="0" applyFont="1" applyFill="1" applyBorder="1"/>
    <xf numFmtId="0" fontId="0" fillId="16" borderId="16" xfId="0" applyFill="1" applyBorder="1"/>
    <xf numFmtId="0" fontId="12" fillId="0" borderId="0" xfId="0" applyFont="1" applyAlignment="1">
      <alignment horizontal="left" vertical="center"/>
    </xf>
    <xf numFmtId="169" fontId="7" fillId="16" borderId="16" xfId="0" applyNumberFormat="1" applyFont="1" applyFill="1" applyBorder="1" applyAlignment="1">
      <alignment horizontal="left"/>
    </xf>
    <xf numFmtId="0" fontId="9" fillId="0" borderId="0" xfId="4"/>
    <xf numFmtId="0" fontId="7" fillId="11" borderId="0" xfId="0" applyFont="1" applyFill="1" applyAlignment="1" applyProtection="1">
      <alignment horizontal="left"/>
      <protection locked="0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6">
    <dxf>
      <font>
        <color rgb="FFFF7A5B"/>
      </font>
    </dxf>
    <dxf>
      <font>
        <color rgb="FF92D050"/>
      </font>
    </dxf>
    <dxf>
      <font>
        <color rgb="FFFF7A5B"/>
      </font>
    </dxf>
    <dxf>
      <font>
        <color rgb="FF92D050"/>
      </font>
    </dxf>
    <dxf>
      <font>
        <color rgb="FFFF7A5B"/>
      </font>
    </dxf>
    <dxf>
      <font>
        <color rgb="FF92D050"/>
      </font>
    </dxf>
  </dxfs>
  <tableStyles count="0" defaultTableStyle="TableStyleMedium2" defaultPivotStyle="PivotStyleLight16"/>
  <colors>
    <mruColors>
      <color rgb="FFFFE389"/>
      <color rgb="FFFFCA21"/>
      <color rgb="FFDAA600"/>
      <color rgb="FFFFFE64"/>
      <color rgb="FFC89800"/>
      <color rgb="FFFF7A5B"/>
      <color rgb="FFFFDB69"/>
      <color rgb="FFAFA170"/>
      <color rgb="FFAFFFFF"/>
      <color rgb="FFCCE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51513768288838E-2"/>
          <c:y val="0.21703696676469658"/>
          <c:w val="0.93888888888888888"/>
          <c:h val="0.676807722397192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Calculation!$AI$13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Calculation!$AH$14:$AH$19</c:f>
              <c:strCache>
                <c:ptCount val="6"/>
                <c:pt idx="0">
                  <c:v>Strex</c:v>
                </c:pt>
                <c:pt idx="1">
                  <c:v>Amplefio</c:v>
                </c:pt>
                <c:pt idx="2">
                  <c:v>Atmos</c:v>
                </c:pt>
                <c:pt idx="3">
                  <c:v>Scrap</c:v>
                </c:pt>
                <c:pt idx="4">
                  <c:v>Misty Wash</c:v>
                </c:pt>
                <c:pt idx="5">
                  <c:v>Accord</c:v>
                </c:pt>
              </c:strCache>
            </c:strRef>
          </c:cat>
          <c:val>
            <c:numRef>
              <c:f>Calculation!$AI$14:$AI$19</c:f>
              <c:numCache>
                <c:formatCode>#,##0</c:formatCode>
                <c:ptCount val="6"/>
                <c:pt idx="0">
                  <c:v>8152</c:v>
                </c:pt>
                <c:pt idx="1">
                  <c:v>8250</c:v>
                </c:pt>
                <c:pt idx="2">
                  <c:v>10675</c:v>
                </c:pt>
                <c:pt idx="3">
                  <c:v>13307</c:v>
                </c:pt>
                <c:pt idx="4">
                  <c:v>30399.599999999999</c:v>
                </c:pt>
                <c:pt idx="5">
                  <c:v>17760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8-4D01-AAED-728175051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006201215"/>
        <c:axId val="2006208287"/>
      </c:barChart>
      <c:lineChart>
        <c:grouping val="standard"/>
        <c:varyColors val="0"/>
        <c:ser>
          <c:idx val="1"/>
          <c:order val="1"/>
          <c:tx>
            <c:strRef>
              <c:f>Calculation!$AJ$13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152400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cat>
            <c:strRef>
              <c:f>Calculation!$AH$14:$AH$19</c:f>
              <c:strCache>
                <c:ptCount val="6"/>
                <c:pt idx="0">
                  <c:v>Strex</c:v>
                </c:pt>
                <c:pt idx="1">
                  <c:v>Amplefio</c:v>
                </c:pt>
                <c:pt idx="2">
                  <c:v>Atmos</c:v>
                </c:pt>
                <c:pt idx="3">
                  <c:v>Scrap</c:v>
                </c:pt>
                <c:pt idx="4">
                  <c:v>Misty Wash</c:v>
                </c:pt>
                <c:pt idx="5">
                  <c:v>Accord</c:v>
                </c:pt>
              </c:strCache>
            </c:strRef>
          </c:cat>
          <c:val>
            <c:numRef>
              <c:f>Calculation!$AJ$14:$AJ$19</c:f>
              <c:numCache>
                <c:formatCode>#,##0</c:formatCode>
                <c:ptCount val="6"/>
                <c:pt idx="0">
                  <c:v>9698</c:v>
                </c:pt>
                <c:pt idx="1">
                  <c:v>8899</c:v>
                </c:pt>
                <c:pt idx="2">
                  <c:v>11178</c:v>
                </c:pt>
                <c:pt idx="3">
                  <c:v>13448</c:v>
                </c:pt>
                <c:pt idx="4">
                  <c:v>30237.199999999997</c:v>
                </c:pt>
                <c:pt idx="5">
                  <c:v>16854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8-4D01-AAED-728175051901}"/>
            </c:ext>
          </c:extLst>
        </c:ser>
        <c:ser>
          <c:idx val="2"/>
          <c:order val="2"/>
          <c:tx>
            <c:strRef>
              <c:f>Calculation!$AK$13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CB65D42-F10F-447E-B222-81C70A6A4D53}" type="CELLRANGE">
                      <a:rPr lang="en-US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18-4D01-AAED-72817505190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85FC1B-0725-440A-9CD8-70514DA17BBC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18-4D01-AAED-7281750519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630BC35-9122-460D-A662-B3DCD8155975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18-4D01-AAED-72817505190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CC22D5A-E251-4AE1-864F-8B05A83AF236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18-4D01-AAED-72817505190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CE99DB-116E-4CCF-AC76-8FF325B28F60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18-4D01-AAED-72817505190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81C1233-2EF3-46B2-A735-FDAEB90C5A05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18-4D01-AAED-728175051901}"/>
                </c:ext>
              </c:extLst>
            </c:dLbl>
            <c:spPr>
              <a:noFill/>
              <a:ln w="19050">
                <a:solidFill>
                  <a:srgbClr val="DAA6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Calculation!$AK$14:$AK$19</c:f>
              <c:numCache>
                <c:formatCode>#,##0</c:formatCode>
                <c:ptCount val="6"/>
                <c:pt idx="0">
                  <c:v>9698</c:v>
                </c:pt>
                <c:pt idx="1">
                  <c:v>8899</c:v>
                </c:pt>
                <c:pt idx="2">
                  <c:v>11178</c:v>
                </c:pt>
                <c:pt idx="3">
                  <c:v>13448</c:v>
                </c:pt>
                <c:pt idx="4">
                  <c:v>30399.599999999999</c:v>
                </c:pt>
                <c:pt idx="5">
                  <c:v>17760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Calculation!$AL$14:$AL$19</c15:f>
                <c15:dlblRangeCache>
                  <c:ptCount val="6"/>
                  <c:pt idx="0">
                    <c:v>-16% | 8,152</c:v>
                  </c:pt>
                  <c:pt idx="1">
                    <c:v>-7% | 8,250</c:v>
                  </c:pt>
                  <c:pt idx="2">
                    <c:v>-4% | 10,675</c:v>
                  </c:pt>
                  <c:pt idx="3">
                    <c:v>-1% | 13,307</c:v>
                  </c:pt>
                  <c:pt idx="4">
                    <c:v>1% | 30,400</c:v>
                  </c:pt>
                  <c:pt idx="5">
                    <c:v>5% | 17,760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2718-4D01-AAED-728175051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201215"/>
        <c:axId val="2006208287"/>
      </c:lineChart>
      <c:catAx>
        <c:axId val="200620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06208287"/>
        <c:crosses val="autoZero"/>
        <c:auto val="1"/>
        <c:lblAlgn val="ctr"/>
        <c:lblOffset val="100"/>
        <c:noMultiLvlLbl val="0"/>
      </c:catAx>
      <c:valAx>
        <c:axId val="200620828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0620121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5.2838145231845997E-2"/>
          <c:y val="4.6529965004374417E-2"/>
          <c:w val="0.4329194779971875"/>
          <c:h val="6.694861727749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7448770738521"/>
          <c:y val="0.10359542823104557"/>
          <c:w val="0.81870778652668419"/>
          <c:h val="0.7561895173408667"/>
        </c:manualLayout>
      </c:layout>
      <c:lineChart>
        <c:grouping val="standard"/>
        <c:varyColors val="0"/>
        <c:ser>
          <c:idx val="1"/>
          <c:order val="0"/>
          <c:tx>
            <c:v>PY</c:v>
          </c:tx>
          <c:spPr>
            <a:ln w="28575" cap="rnd">
              <a:solidFill>
                <a:srgbClr val="FFE389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38-4043-970B-7366DDF113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Calculation!$AU$14:$AU$25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Calculation!$AW$14:$AW$25</c:f>
              <c:numCache>
                <c:formatCode>_-* #,##0_-;\-* #,##0_-;_-* "-"??_-;_-@_-</c:formatCode>
                <c:ptCount val="12"/>
                <c:pt idx="0">
                  <c:v>2</c:v>
                </c:pt>
                <c:pt idx="1">
                  <c:v>38</c:v>
                </c:pt>
                <c:pt idx="2">
                  <c:v>89</c:v>
                </c:pt>
                <c:pt idx="3">
                  <c:v>179</c:v>
                </c:pt>
                <c:pt idx="4">
                  <c:v>234</c:v>
                </c:pt>
                <c:pt idx="5">
                  <c:v>341</c:v>
                </c:pt>
                <c:pt idx="6">
                  <c:v>459</c:v>
                </c:pt>
                <c:pt idx="7">
                  <c:v>536</c:v>
                </c:pt>
                <c:pt idx="8">
                  <c:v>629</c:v>
                </c:pt>
                <c:pt idx="9">
                  <c:v>656</c:v>
                </c:pt>
                <c:pt idx="10">
                  <c:v>641</c:v>
                </c:pt>
                <c:pt idx="11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8-4043-970B-7366DDF11332}"/>
            </c:ext>
          </c:extLst>
        </c:ser>
        <c:ser>
          <c:idx val="2"/>
          <c:order val="1"/>
          <c:tx>
            <c:strRef>
              <c:f>Calculation!$AX$13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FFCA2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38-4043-970B-7366DDF113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Calculation!$AU$14:$AU$25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Calculation!$AX$14:$AX$25</c:f>
              <c:numCache>
                <c:formatCode>_-* #,##0_-;\-* #,##0_-;_-* "-"??_-;_-@_-</c:formatCode>
                <c:ptCount val="12"/>
                <c:pt idx="0">
                  <c:v>71</c:v>
                </c:pt>
                <c:pt idx="1">
                  <c:v>142</c:v>
                </c:pt>
                <c:pt idx="2">
                  <c:v>247</c:v>
                </c:pt>
                <c:pt idx="3">
                  <c:v>307</c:v>
                </c:pt>
                <c:pt idx="4">
                  <c:v>395</c:v>
                </c:pt>
                <c:pt idx="5">
                  <c:v>461</c:v>
                </c:pt>
                <c:pt idx="6">
                  <c:v>564</c:v>
                </c:pt>
                <c:pt idx="7">
                  <c:v>645</c:v>
                </c:pt>
                <c:pt idx="8">
                  <c:v>688</c:v>
                </c:pt>
                <c:pt idx="9">
                  <c:v>706</c:v>
                </c:pt>
                <c:pt idx="10">
                  <c:v>664</c:v>
                </c:pt>
                <c:pt idx="11">
                  <c:v>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8-4043-970B-7366DDF11332}"/>
            </c:ext>
          </c:extLst>
        </c:ser>
        <c:ser>
          <c:idx val="0"/>
          <c:order val="2"/>
          <c:tx>
            <c:strRef>
              <c:f>Calculation!$AV$13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Calculation!$AU$14:$AU$25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Calculation!$AV$14:$AV$25</c:f>
              <c:numCache>
                <c:formatCode>General</c:formatCode>
                <c:ptCount val="12"/>
                <c:pt idx="0">
                  <c:v>82</c:v>
                </c:pt>
                <c:pt idx="1">
                  <c:v>134</c:v>
                </c:pt>
                <c:pt idx="2">
                  <c:v>187</c:v>
                </c:pt>
                <c:pt idx="3">
                  <c:v>244</c:v>
                </c:pt>
                <c:pt idx="4">
                  <c:v>338</c:v>
                </c:pt>
                <c:pt idx="5">
                  <c:v>408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38-4043-970B-7366DDF11332}"/>
            </c:ext>
          </c:extLst>
        </c:ser>
        <c:ser>
          <c:idx val="3"/>
          <c:order val="3"/>
          <c:tx>
            <c:strRef>
              <c:f>Calculation!$AY$13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Calculation!$AY$14:$AY$25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38-4043-970B-7366DDF11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840192"/>
        <c:axId val="689841856"/>
      </c:lineChart>
      <c:catAx>
        <c:axId val="68984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9841856"/>
        <c:crosses val="autoZero"/>
        <c:auto val="1"/>
        <c:lblAlgn val="ctr"/>
        <c:lblOffset val="100"/>
        <c:noMultiLvlLbl val="0"/>
      </c:catAx>
      <c:valAx>
        <c:axId val="6898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984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25" r="0.25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26" fmlaLink="Calculation!$D$4" fmlaRange="Calculation!$C$14:$C$16" noThreeD="1" sel="3" val="0"/>
</file>

<file path=xl/ctrlProps/ctrlProp2.xml><?xml version="1.0" encoding="utf-8"?>
<formControlPr xmlns="http://schemas.microsoft.com/office/spreadsheetml/2009/9/main" objectType="Scroll" dx="26" fmlaLink="Calculation!$D$5" max="11" min="1" noThreeD="1" page="5"/>
</file>

<file path=xl/ctrlProps/ctrlProp3.xml><?xml version="1.0" encoding="utf-8"?>
<formControlPr xmlns="http://schemas.microsoft.com/office/spreadsheetml/2009/9/main" objectType="List" dx="26" fmlaLink="Calculation!$D$6" fmlaRange="Calculation!$D$14:$D$16" noThreeD="1" sel="1" val="0"/>
</file>

<file path=xl/ctrlProps/ctrlProp4.xml><?xml version="1.0" encoding="utf-8"?>
<formControlPr xmlns="http://schemas.microsoft.com/office/spreadsheetml/2009/9/main" objectType="Radio" firstButton="1" fmlaLink="Calculation!$D$7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Scroll" dx="26" fmlaLink="Calculation!$D$8" horiz="1" max="20" min="1" page="5" val="3"/>
</file>

<file path=xl/ctrlProps/ctrlProp7.xml><?xml version="1.0" encoding="utf-8"?>
<formControlPr xmlns="http://schemas.microsoft.com/office/spreadsheetml/2009/9/main" objectType="CheckBox" checked="Checked" fmlaLink="Calculation!$D$9" lockText="1" noThreeD="1"/>
</file>

<file path=xl/ctrlProps/ctrlProp8.xml><?xml version="1.0" encoding="utf-8"?>
<formControlPr xmlns="http://schemas.microsoft.com/office/spreadsheetml/2009/9/main" objectType="CheckBox" checked="Checked" fmlaLink="Calculation!$D$10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297180</xdr:colOff>
      <xdr:row>0</xdr:row>
      <xdr:rowOff>144780</xdr:rowOff>
    </xdr:from>
    <xdr:to>
      <xdr:col>26</xdr:col>
      <xdr:colOff>106680</xdr:colOff>
      <xdr:row>6</xdr:row>
      <xdr:rowOff>91440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360920" y="144780"/>
          <a:ext cx="1737360" cy="99822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Cash</a:t>
          </a:r>
          <a:endParaRPr lang="en-NG" sz="18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670560</xdr:colOff>
          <xdr:row>5</xdr:row>
          <xdr:rowOff>7620</xdr:rowOff>
        </xdr:from>
        <xdr:to>
          <xdr:col>7</xdr:col>
          <xdr:colOff>266700</xdr:colOff>
          <xdr:row>6</xdr:row>
          <xdr:rowOff>7620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137160</xdr:colOff>
          <xdr:row>10</xdr:row>
          <xdr:rowOff>7620</xdr:rowOff>
        </xdr:from>
        <xdr:to>
          <xdr:col>27</xdr:col>
          <xdr:colOff>0</xdr:colOff>
          <xdr:row>19</xdr:row>
          <xdr:rowOff>160020</xdr:rowOff>
        </xdr:to>
        <xdr:sp macro="" textlink="">
          <xdr:nvSpPr>
            <xdr:cNvPr id="2055" name="Scroll Ba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7620</xdr:colOff>
      <xdr:row>0</xdr:row>
      <xdr:rowOff>144780</xdr:rowOff>
    </xdr:from>
    <xdr:to>
      <xdr:col>3</xdr:col>
      <xdr:colOff>137160</xdr:colOff>
      <xdr:row>3</xdr:row>
      <xdr:rowOff>22663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44780"/>
          <a:ext cx="403860" cy="403663"/>
        </a:xfrm>
        <a:prstGeom prst="rect">
          <a:avLst/>
        </a:prstGeom>
      </xdr:spPr>
    </xdr:pic>
    <xdr:clientData/>
  </xdr:twoCellAnchor>
  <xdr:twoCellAnchor>
    <xdr:from>
      <xdr:col>21</xdr:col>
      <xdr:colOff>304800</xdr:colOff>
      <xdr:row>4</xdr:row>
      <xdr:rowOff>160020</xdr:rowOff>
    </xdr:from>
    <xdr:to>
      <xdr:col>24</xdr:col>
      <xdr:colOff>160020</xdr:colOff>
      <xdr:row>6</xdr:row>
      <xdr:rowOff>106680</xdr:rowOff>
    </xdr:to>
    <xdr:sp macro="" textlink="Calculation!O41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368540" y="861060"/>
          <a:ext cx="1074420" cy="297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E2CA898-295A-4AFC-A030-E7C9EA84D296}" type="TxLink">
            <a:rPr lang="en-US" sz="9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pPr algn="l"/>
            <a:t>-$3,314 </a:t>
          </a:fld>
          <a:endParaRPr lang="en-NG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129540</xdr:colOff>
      <xdr:row>0</xdr:row>
      <xdr:rowOff>144780</xdr:rowOff>
    </xdr:from>
    <xdr:to>
      <xdr:col>16</xdr:col>
      <xdr:colOff>22860</xdr:colOff>
      <xdr:row>6</xdr:row>
      <xdr:rowOff>121920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113711" y="144780"/>
          <a:ext cx="1613263" cy="1022169"/>
          <a:chOff x="4320540" y="144780"/>
          <a:chExt cx="1607820" cy="1028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4320540" y="144780"/>
            <a:ext cx="1592580" cy="99822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Revenue</a:t>
            </a:r>
            <a:endParaRPr lang="en-NG" sz="1800" b="1">
              <a:solidFill>
                <a:sysClr val="windowText" lastClr="000000"/>
              </a:solidFill>
            </a:endParaRPr>
          </a:p>
        </xdr:txBody>
      </xdr:sp>
      <xdr:sp macro="" textlink="Calculation!O39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4389120" y="876300"/>
            <a:ext cx="71628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EF98C739-BFDC-4A43-B92F-C25CB56E9807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 $8,514 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39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5013960" y="868680"/>
            <a:ext cx="9144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9235A9EE-36DC-4CD0-A3E9-5660A2E0E2EE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Over Budget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O36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564380" y="518160"/>
            <a:ext cx="122682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7AA5352C-379C-4383-8B99-1C21992B32D4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$189,978.50 </a:t>
            </a:fld>
            <a:endParaRPr lang="en-NG" sz="1400" b="0"/>
          </a:p>
        </xdr:txBody>
      </xdr:sp>
    </xdr:grpSp>
    <xdr:clientData/>
  </xdr:twoCellAnchor>
  <xdr:twoCellAnchor>
    <xdr:from>
      <xdr:col>24</xdr:col>
      <xdr:colOff>38100</xdr:colOff>
      <xdr:row>4</xdr:row>
      <xdr:rowOff>144780</xdr:rowOff>
    </xdr:from>
    <xdr:to>
      <xdr:col>27</xdr:col>
      <xdr:colOff>45720</xdr:colOff>
      <xdr:row>6</xdr:row>
      <xdr:rowOff>60960</xdr:rowOff>
    </xdr:to>
    <xdr:sp macro="" textlink="Calculation!P41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321040" y="845820"/>
          <a:ext cx="105918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938C1A6-1FF1-49F8-BC9F-7AEA629547F3}" type="TxLink">
            <a:rPr lang="en-US" sz="9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pPr algn="l"/>
            <a:t>Under Budget</a:t>
          </a:fld>
          <a:endParaRPr lang="en-NG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7620</xdr:colOff>
      <xdr:row>0</xdr:row>
      <xdr:rowOff>144780</xdr:rowOff>
    </xdr:from>
    <xdr:to>
      <xdr:col>21</xdr:col>
      <xdr:colOff>297181</xdr:colOff>
      <xdr:row>6</xdr:row>
      <xdr:rowOff>91440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5711734" y="144780"/>
          <a:ext cx="1704704" cy="991689"/>
          <a:chOff x="5905500" y="144780"/>
          <a:chExt cx="1668781" cy="99822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5905500" y="144780"/>
            <a:ext cx="1661160" cy="998220"/>
          </a:xfrm>
          <a:prstGeom prst="rect">
            <a:avLst/>
          </a:prstGeom>
          <a:solidFill>
            <a:srgbClr val="FFFE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Profit</a:t>
            </a:r>
            <a:endParaRPr lang="en-NG" sz="1800" b="1">
              <a:solidFill>
                <a:sysClr val="windowText" lastClr="000000"/>
              </a:solidFill>
            </a:endParaRPr>
          </a:p>
        </xdr:txBody>
      </xdr:sp>
      <xdr:sp macro="" textlink="Calculation!O40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5951220" y="853440"/>
            <a:ext cx="838200" cy="289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7F85BEDD-DE44-4F06-92E1-726767A472B2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 $747 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40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650492" y="853440"/>
            <a:ext cx="923789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834AB566-C5C0-406B-B98B-421A753F0EF5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Over Budget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36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6332220" y="487680"/>
            <a:ext cx="115062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3D7826AE-12B9-4BDB-89CB-4B3CF485670A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$8,869.20 </a:t>
            </a:fld>
            <a:endParaRPr lang="en-NG" sz="1800" b="0"/>
          </a:p>
        </xdr:txBody>
      </xdr:sp>
    </xdr:grpSp>
    <xdr:clientData/>
  </xdr:twoCellAnchor>
  <xdr:twoCellAnchor>
    <xdr:from>
      <xdr:col>4</xdr:col>
      <xdr:colOff>373380</xdr:colOff>
      <xdr:row>0</xdr:row>
      <xdr:rowOff>15240</xdr:rowOff>
    </xdr:from>
    <xdr:to>
      <xdr:col>10</xdr:col>
      <xdr:colOff>396240</xdr:colOff>
      <xdr:row>2</xdr:row>
      <xdr:rowOff>137160</xdr:rowOff>
    </xdr:to>
    <xdr:sp macro="" textlink="Calculation!N36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005840" y="15240"/>
          <a:ext cx="2941320" cy="472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DC7ECDC-D040-4FAA-92EA-44302168349F}" type="TxLink">
            <a:rPr lang="en-US" sz="1800" b="1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Utility Apps</a:t>
          </a:fld>
          <a:endParaRPr lang="en-NG" sz="2400" b="1"/>
        </a:p>
      </xdr:txBody>
    </xdr:sp>
    <xdr:clientData/>
  </xdr:twoCellAnchor>
  <xdr:twoCellAnchor>
    <xdr:from>
      <xdr:col>22</xdr:col>
      <xdr:colOff>160020</xdr:colOff>
      <xdr:row>2</xdr:row>
      <xdr:rowOff>144780</xdr:rowOff>
    </xdr:from>
    <xdr:to>
      <xdr:col>26</xdr:col>
      <xdr:colOff>129540</xdr:colOff>
      <xdr:row>4</xdr:row>
      <xdr:rowOff>91440</xdr:rowOff>
    </xdr:to>
    <xdr:sp macro="" textlink="Calculation!Q36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734300" y="495300"/>
          <a:ext cx="1386840" cy="297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B0A9590-0CDB-49E4-9BF4-CB071D2BC22A}" type="TxLink">
            <a:rPr lang="en-US" sz="1400" b="0" i="0" u="none" strike="noStrike">
              <a:solidFill>
                <a:sysClr val="windowText" lastClr="000000"/>
              </a:solidFill>
              <a:latin typeface="Arial"/>
              <a:cs typeface="Arial"/>
            </a:rPr>
            <a:pPr algn="l"/>
            <a:t> $91,467.10 </a:t>
          </a:fld>
          <a:endParaRPr lang="en-NG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632460</xdr:colOff>
      <xdr:row>22</xdr:row>
      <xdr:rowOff>7620</xdr:rowOff>
    </xdr:from>
    <xdr:to>
      <xdr:col>15</xdr:col>
      <xdr:colOff>617220</xdr:colOff>
      <xdr:row>34</xdr:row>
      <xdr:rowOff>45720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22</xdr:row>
          <xdr:rowOff>121920</xdr:rowOff>
        </xdr:from>
        <xdr:to>
          <xdr:col>4</xdr:col>
          <xdr:colOff>647700</xdr:colOff>
          <xdr:row>25</xdr:row>
          <xdr:rowOff>152400</xdr:rowOff>
        </xdr:to>
        <xdr:sp macro="" textlink="">
          <xdr:nvSpPr>
            <xdr:cNvPr id="2057" name="List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26</xdr:row>
          <xdr:rowOff>144780</xdr:rowOff>
        </xdr:from>
        <xdr:to>
          <xdr:col>5</xdr:col>
          <xdr:colOff>15240</xdr:colOff>
          <xdr:row>28</xdr:row>
          <xdr:rowOff>99060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28</xdr:row>
          <xdr:rowOff>15240</xdr:rowOff>
        </xdr:from>
        <xdr:to>
          <xdr:col>5</xdr:col>
          <xdr:colOff>15240</xdr:colOff>
          <xdr:row>29</xdr:row>
          <xdr:rowOff>144780</xdr:rowOff>
        </xdr:to>
        <xdr:sp macro="" textlink="">
          <xdr:nvSpPr>
            <xdr:cNvPr id="2059" name="Option 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6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30480</xdr:colOff>
      <xdr:row>30</xdr:row>
      <xdr:rowOff>106680</xdr:rowOff>
    </xdr:from>
    <xdr:to>
      <xdr:col>4</xdr:col>
      <xdr:colOff>723900</xdr:colOff>
      <xdr:row>34</xdr:row>
      <xdr:rowOff>60960</xdr:rowOff>
    </xdr:to>
    <xdr:sp macro="" textlink="Calculation!AH11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4800" y="5364480"/>
          <a:ext cx="1051560" cy="655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B8FCD51-FD8C-4F93-9DD7-CA64EE11BA3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Bottom 6 sorted based on % ▲ B</a:t>
          </a:fld>
          <a:endParaRPr lang="en-NG" sz="1000" b="0"/>
        </a:p>
      </xdr:txBody>
    </xdr:sp>
    <xdr:clientData/>
  </xdr:twoCellAnchor>
  <xdr:twoCellAnchor>
    <xdr:from>
      <xdr:col>17</xdr:col>
      <xdr:colOff>60960</xdr:colOff>
      <xdr:row>22</xdr:row>
      <xdr:rowOff>83820</xdr:rowOff>
    </xdr:from>
    <xdr:to>
      <xdr:col>27</xdr:col>
      <xdr:colOff>601980</xdr:colOff>
      <xdr:row>34</xdr:row>
      <xdr:rowOff>129540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129540</xdr:colOff>
      <xdr:row>20</xdr:row>
      <xdr:rowOff>76200</xdr:rowOff>
    </xdr:from>
    <xdr:to>
      <xdr:col>16</xdr:col>
      <xdr:colOff>0</xdr:colOff>
      <xdr:row>21</xdr:row>
      <xdr:rowOff>167640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6700" y="3581400"/>
          <a:ext cx="5417820" cy="2667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Actual Profit</a:t>
          </a:r>
          <a:r>
            <a:rPr lang="en-US" sz="1200" b="1" baseline="0"/>
            <a:t> Vs. Budget</a:t>
          </a:r>
          <a:endParaRPr lang="en-NG" sz="1200" b="1"/>
        </a:p>
      </xdr:txBody>
    </xdr:sp>
    <xdr:clientData/>
  </xdr:twoCellAnchor>
  <xdr:twoCellAnchor>
    <xdr:from>
      <xdr:col>17</xdr:col>
      <xdr:colOff>7620</xdr:colOff>
      <xdr:row>20</xdr:row>
      <xdr:rowOff>76200</xdr:rowOff>
    </xdr:from>
    <xdr:to>
      <xdr:col>28</xdr:col>
      <xdr:colOff>0</xdr:colOff>
      <xdr:row>21</xdr:row>
      <xdr:rowOff>167640</xdr:rowOff>
    </xdr:to>
    <xdr:sp macro="" textlink="Calculation!AU10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68340" y="3581400"/>
          <a:ext cx="4274820" cy="2667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64CBBD7-704A-4C03-9F58-CC6AA33EE021}" type="TxLink">
            <a:rPr lang="en-US" sz="1200" b="1" i="0" u="none" strike="noStrike">
              <a:solidFill>
                <a:schemeClr val="bg1"/>
              </a:solidFill>
              <a:latin typeface="Arial"/>
              <a:cs typeface="Arial"/>
            </a:rPr>
            <a:pPr algn="l"/>
            <a:t>Profit for Infic</a:t>
          </a:fld>
          <a:endParaRPr lang="en-NG" sz="1200" b="1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487680</xdr:colOff>
          <xdr:row>20</xdr:row>
          <xdr:rowOff>114300</xdr:rowOff>
        </xdr:from>
        <xdr:to>
          <xdr:col>27</xdr:col>
          <xdr:colOff>640080</xdr:colOff>
          <xdr:row>21</xdr:row>
          <xdr:rowOff>106680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236220</xdr:colOff>
          <xdr:row>20</xdr:row>
          <xdr:rowOff>99060</xdr:rowOff>
        </xdr:from>
        <xdr:to>
          <xdr:col>24</xdr:col>
          <xdr:colOff>289560</xdr:colOff>
          <xdr:row>21</xdr:row>
          <xdr:rowOff>137160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617220</xdr:colOff>
          <xdr:row>20</xdr:row>
          <xdr:rowOff>83820</xdr:rowOff>
        </xdr:from>
        <xdr:to>
          <xdr:col>24</xdr:col>
          <xdr:colOff>381000</xdr:colOff>
          <xdr:row>21</xdr:row>
          <xdr:rowOff>137160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21</xdr:col>
      <xdr:colOff>304800</xdr:colOff>
      <xdr:row>0</xdr:row>
      <xdr:rowOff>144780</xdr:rowOff>
    </xdr:from>
    <xdr:to>
      <xdr:col>27</xdr:col>
      <xdr:colOff>53340</xdr:colOff>
      <xdr:row>6</xdr:row>
      <xdr:rowOff>106680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7424057" y="144780"/>
          <a:ext cx="2034540" cy="1006929"/>
          <a:chOff x="7368540" y="144780"/>
          <a:chExt cx="2019300" cy="1013460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7368540" y="144780"/>
            <a:ext cx="1737360" cy="99822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Cash</a:t>
            </a:r>
            <a:endParaRPr lang="en-NG" sz="1800" b="1">
              <a:solidFill>
                <a:sysClr val="windowText" lastClr="000000"/>
              </a:solidFill>
            </a:endParaRPr>
          </a:p>
        </xdr:txBody>
      </xdr:sp>
      <xdr:sp macro="" textlink="Calculation!O41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7376160" y="861060"/>
            <a:ext cx="107442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5E2CA898-295A-4AFC-A030-E7C9EA84D296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-$3,314 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41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8328660" y="845820"/>
            <a:ext cx="105918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4938C1A6-1FF1-49F8-BC9F-7AEA629547F3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Under Budget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Q36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7741920" y="495300"/>
            <a:ext cx="138684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0B0A9590-0CDB-49E4-9BF4-CB071D2BC22A}" type="TxLink">
              <a:rPr lang="en-US" sz="1400" b="0" i="0" u="none" strike="noStrike">
                <a:solidFill>
                  <a:sysClr val="windowText" lastClr="000000"/>
                </a:solidFill>
                <a:latin typeface="Arial"/>
                <a:cs typeface="Arial"/>
              </a:rPr>
              <a:pPr algn="l"/>
              <a:t> $91,467.10 </a:t>
            </a:fld>
            <a:endParaRPr lang="en-NG" sz="2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26</xdr:col>
      <xdr:colOff>152400</xdr:colOff>
      <xdr:row>0</xdr:row>
      <xdr:rowOff>121920</xdr:rowOff>
    </xdr:from>
    <xdr:to>
      <xdr:col>28</xdr:col>
      <xdr:colOff>0</xdr:colOff>
      <xdr:row>1</xdr:row>
      <xdr:rowOff>114300</xdr:rowOff>
    </xdr:to>
    <xdr:sp macro="" textlink="">
      <xdr:nvSpPr>
        <xdr:cNvPr id="22" name="Rectangle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144000" y="121920"/>
          <a:ext cx="861060" cy="16764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Instructions</a:t>
          </a:r>
          <a:endParaRPr lang="en-NG" sz="1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61987" y="1161099"/>
          <a:ext cx="8405813" cy="256222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11</xdr:col>
      <xdr:colOff>668656</xdr:colOff>
      <xdr:row>31</xdr:row>
      <xdr:rowOff>153245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5</xdr:col>
      <xdr:colOff>220980</xdr:colOff>
      <xdr:row>31</xdr:row>
      <xdr:rowOff>109539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209675" y="4220529"/>
          <a:ext cx="2272665" cy="132207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19</xdr:col>
      <xdr:colOff>45720</xdr:colOff>
      <xdr:row>3</xdr:row>
      <xdr:rowOff>7620</xdr:rowOff>
    </xdr:from>
    <xdr:to>
      <xdr:col>20</xdr:col>
      <xdr:colOff>165175</xdr:colOff>
      <xdr:row>6</xdr:row>
      <xdr:rowOff>58416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13929360" y="533400"/>
          <a:ext cx="790015" cy="5765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0</xdr:row>
      <xdr:rowOff>45721</xdr:rowOff>
    </xdr:from>
    <xdr:to>
      <xdr:col>0</xdr:col>
      <xdr:colOff>472440</xdr:colOff>
      <xdr:row>2</xdr:row>
      <xdr:rowOff>98864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45721"/>
          <a:ext cx="403860" cy="403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y_KPI_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AA600"/>
      </a:accent1>
      <a:accent2>
        <a:srgbClr val="FFCA21"/>
      </a:accent2>
      <a:accent3>
        <a:srgbClr val="FFE389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T51"/>
  <sheetViews>
    <sheetView workbookViewId="0">
      <selection activeCell="C38" sqref="A1:C38"/>
    </sheetView>
  </sheetViews>
  <sheetFormatPr defaultRowHeight="13.8" x14ac:dyDescent="0.25"/>
  <cols>
    <col min="1" max="1" width="16.59765625" customWidth="1"/>
    <col min="3" max="3" width="8.796875" customWidth="1"/>
  </cols>
  <sheetData>
    <row r="1" spans="1:46" x14ac:dyDescent="0.25">
      <c r="A1" t="s">
        <v>15</v>
      </c>
    </row>
    <row r="2" spans="1:46" x14ac:dyDescent="0.25">
      <c r="A2" s="30">
        <f>cur_year</f>
        <v>2024</v>
      </c>
      <c r="B2" s="30">
        <f>A2-1</f>
        <v>2023</v>
      </c>
    </row>
    <row r="3" spans="1:46" x14ac:dyDescent="0.25">
      <c r="B3" s="2" t="s">
        <v>0</v>
      </c>
      <c r="C3" s="3"/>
      <c r="D3" s="4"/>
      <c r="E3" s="5" t="s">
        <v>16</v>
      </c>
      <c r="F3" s="6"/>
      <c r="G3" s="7"/>
      <c r="H3" s="8" t="s">
        <v>13</v>
      </c>
      <c r="I3" s="8"/>
      <c r="J3" s="9"/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 t="s">
        <v>16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10"/>
      <c r="AI3" s="8" t="s">
        <v>13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B4" t="str">
        <f t="shared" ref="B4:AT4" si="0">B5&amp;B6&amp;B7&amp;B8</f>
        <v>2024DecActualRevenue</v>
      </c>
      <c r="C4" t="str">
        <f t="shared" si="0"/>
        <v>2024DecActualProfit</v>
      </c>
      <c r="D4" s="12" t="str">
        <f t="shared" si="0"/>
        <v>2024DecActualCash</v>
      </c>
      <c r="E4" t="str">
        <f t="shared" si="0"/>
        <v>2023DecActualRevenue</v>
      </c>
      <c r="F4" t="str">
        <f t="shared" si="0"/>
        <v>2023DecActualProfit</v>
      </c>
      <c r="G4" s="12" t="str">
        <f t="shared" si="0"/>
        <v>2023DecActualCash</v>
      </c>
      <c r="H4" t="str">
        <f t="shared" si="0"/>
        <v>2024DecBudgetRevenue</v>
      </c>
      <c r="I4" t="str">
        <f t="shared" si="0"/>
        <v>2024DecBudgetProfit</v>
      </c>
      <c r="J4" s="12" t="str">
        <f t="shared" si="0"/>
        <v>2024DecBudgetCash</v>
      </c>
      <c r="K4" s="13" t="str">
        <f t="shared" si="0"/>
        <v>2024JanActualProfit</v>
      </c>
      <c r="L4" s="13" t="str">
        <f t="shared" si="0"/>
        <v>2024FebActualProfit</v>
      </c>
      <c r="M4" s="13" t="str">
        <f t="shared" si="0"/>
        <v>2024MarActualProfit</v>
      </c>
      <c r="N4" s="13" t="str">
        <f t="shared" si="0"/>
        <v>2024AprActualProfit</v>
      </c>
      <c r="O4" s="13" t="str">
        <f t="shared" si="0"/>
        <v>2024MayActualProfit</v>
      </c>
      <c r="P4" s="13" t="str">
        <f t="shared" si="0"/>
        <v>2024JunActualProfit</v>
      </c>
      <c r="Q4" s="13" t="str">
        <f t="shared" si="0"/>
        <v>2024JulActualProfit</v>
      </c>
      <c r="R4" s="13" t="str">
        <f t="shared" si="0"/>
        <v>2024AugActualProfit</v>
      </c>
      <c r="S4" s="13" t="str">
        <f t="shared" si="0"/>
        <v>2024SepActualProfit</v>
      </c>
      <c r="T4" s="13" t="str">
        <f t="shared" si="0"/>
        <v>2024OctActualProfit</v>
      </c>
      <c r="U4" s="13" t="str">
        <f t="shared" si="0"/>
        <v>2024NovActualProfit</v>
      </c>
      <c r="V4" s="13" t="str">
        <f t="shared" si="0"/>
        <v>2024DecActualProfit</v>
      </c>
      <c r="W4" s="14" t="str">
        <f t="shared" si="0"/>
        <v>2023JanActualProfit</v>
      </c>
      <c r="X4" s="13" t="str">
        <f t="shared" si="0"/>
        <v>2023FebActualProfit</v>
      </c>
      <c r="Y4" s="13" t="str">
        <f t="shared" si="0"/>
        <v>2023MarActualProfit</v>
      </c>
      <c r="Z4" s="13" t="str">
        <f t="shared" si="0"/>
        <v>2023AprActualProfit</v>
      </c>
      <c r="AA4" s="13" t="str">
        <f t="shared" si="0"/>
        <v>2023MayActualProfit</v>
      </c>
      <c r="AB4" s="13" t="str">
        <f t="shared" si="0"/>
        <v>2023JunActualProfit</v>
      </c>
      <c r="AC4" s="13" t="str">
        <f t="shared" si="0"/>
        <v>2023JulActualProfit</v>
      </c>
      <c r="AD4" s="13" t="str">
        <f t="shared" si="0"/>
        <v>2023AugActualProfit</v>
      </c>
      <c r="AE4" s="13" t="str">
        <f t="shared" si="0"/>
        <v>2023SepActualProfit</v>
      </c>
      <c r="AF4" s="13" t="str">
        <f t="shared" si="0"/>
        <v>2023OctActualProfit</v>
      </c>
      <c r="AG4" s="13" t="str">
        <f t="shared" si="0"/>
        <v>2023NovActualProfit</v>
      </c>
      <c r="AH4" s="15" t="str">
        <f t="shared" si="0"/>
        <v>2023DecActualProfit</v>
      </c>
      <c r="AI4" s="13" t="str">
        <f t="shared" si="0"/>
        <v>2024JanBudgetProfit</v>
      </c>
      <c r="AJ4" s="13" t="str">
        <f t="shared" si="0"/>
        <v>2024FebBudgetProfit</v>
      </c>
      <c r="AK4" s="13" t="str">
        <f t="shared" si="0"/>
        <v>2024MarBudgetProfit</v>
      </c>
      <c r="AL4" s="13" t="str">
        <f t="shared" si="0"/>
        <v>2024AprBudgetProfit</v>
      </c>
      <c r="AM4" s="13" t="str">
        <f t="shared" si="0"/>
        <v>2024MayBudgetProfit</v>
      </c>
      <c r="AN4" s="13" t="str">
        <f t="shared" si="0"/>
        <v>2024JunBudgetProfit</v>
      </c>
      <c r="AO4" s="13" t="str">
        <f t="shared" si="0"/>
        <v>2024JulBudgetProfit</v>
      </c>
      <c r="AP4" s="13" t="str">
        <f t="shared" si="0"/>
        <v>2024AugBudgetProfit</v>
      </c>
      <c r="AQ4" s="13" t="str">
        <f t="shared" si="0"/>
        <v>2024SepBudgetProfit</v>
      </c>
      <c r="AR4" s="13" t="str">
        <f t="shared" si="0"/>
        <v>2024OctBudgetProfit</v>
      </c>
      <c r="AS4" s="13" t="str">
        <f t="shared" si="0"/>
        <v>2024NovBudgetProfit</v>
      </c>
      <c r="AT4" s="13" t="str">
        <f t="shared" si="0"/>
        <v>2024DecBudgetProfit</v>
      </c>
    </row>
    <row r="5" spans="1:46" x14ac:dyDescent="0.25">
      <c r="B5" s="16">
        <f t="shared" ref="B5:D5" si="1">$A$2</f>
        <v>2024</v>
      </c>
      <c r="C5" s="16">
        <f t="shared" si="1"/>
        <v>2024</v>
      </c>
      <c r="D5" s="17">
        <f t="shared" si="1"/>
        <v>2024</v>
      </c>
      <c r="E5" s="16">
        <f t="shared" ref="E5:G5" si="2">$B$2</f>
        <v>2023</v>
      </c>
      <c r="F5" s="16">
        <f t="shared" si="2"/>
        <v>2023</v>
      </c>
      <c r="G5" s="17">
        <f t="shared" si="2"/>
        <v>2023</v>
      </c>
      <c r="H5" s="16">
        <f t="shared" ref="H5:J5" si="3">$A$2</f>
        <v>2024</v>
      </c>
      <c r="I5" s="16">
        <f t="shared" si="3"/>
        <v>2024</v>
      </c>
      <c r="J5" s="17">
        <f t="shared" si="3"/>
        <v>2024</v>
      </c>
      <c r="K5" s="18">
        <f t="shared" ref="K5:V5" si="4">$A$2</f>
        <v>2024</v>
      </c>
      <c r="L5" s="18">
        <f t="shared" si="4"/>
        <v>2024</v>
      </c>
      <c r="M5" s="18">
        <f t="shared" si="4"/>
        <v>2024</v>
      </c>
      <c r="N5" s="18">
        <f t="shared" si="4"/>
        <v>2024</v>
      </c>
      <c r="O5" s="18">
        <f t="shared" si="4"/>
        <v>2024</v>
      </c>
      <c r="P5" s="18">
        <f t="shared" si="4"/>
        <v>2024</v>
      </c>
      <c r="Q5" s="18">
        <f t="shared" si="4"/>
        <v>2024</v>
      </c>
      <c r="R5" s="18">
        <f t="shared" si="4"/>
        <v>2024</v>
      </c>
      <c r="S5" s="18">
        <f t="shared" si="4"/>
        <v>2024</v>
      </c>
      <c r="T5" s="18">
        <f t="shared" si="4"/>
        <v>2024</v>
      </c>
      <c r="U5" s="18">
        <f t="shared" si="4"/>
        <v>2024</v>
      </c>
      <c r="V5" s="18">
        <f t="shared" si="4"/>
        <v>2024</v>
      </c>
      <c r="W5" s="19">
        <f t="shared" ref="W5:AH5" si="5">$B$2</f>
        <v>2023</v>
      </c>
      <c r="X5" s="18">
        <f t="shared" si="5"/>
        <v>2023</v>
      </c>
      <c r="Y5" s="18">
        <f t="shared" si="5"/>
        <v>2023</v>
      </c>
      <c r="Z5" s="18">
        <f t="shared" si="5"/>
        <v>2023</v>
      </c>
      <c r="AA5" s="18">
        <f t="shared" si="5"/>
        <v>2023</v>
      </c>
      <c r="AB5" s="18">
        <f t="shared" si="5"/>
        <v>2023</v>
      </c>
      <c r="AC5" s="18">
        <f t="shared" si="5"/>
        <v>2023</v>
      </c>
      <c r="AD5" s="18">
        <f t="shared" si="5"/>
        <v>2023</v>
      </c>
      <c r="AE5" s="18">
        <f t="shared" si="5"/>
        <v>2023</v>
      </c>
      <c r="AF5" s="18">
        <f t="shared" si="5"/>
        <v>2023</v>
      </c>
      <c r="AG5" s="18">
        <f t="shared" si="5"/>
        <v>2023</v>
      </c>
      <c r="AH5" s="20">
        <f t="shared" si="5"/>
        <v>2023</v>
      </c>
      <c r="AI5" s="18">
        <f t="shared" ref="AI5:AT5" si="6">$A$2</f>
        <v>2024</v>
      </c>
      <c r="AJ5" s="18">
        <f t="shared" si="6"/>
        <v>2024</v>
      </c>
      <c r="AK5" s="18">
        <f t="shared" si="6"/>
        <v>2024</v>
      </c>
      <c r="AL5" s="18">
        <f t="shared" si="6"/>
        <v>2024</v>
      </c>
      <c r="AM5" s="18">
        <f t="shared" si="6"/>
        <v>2024</v>
      </c>
      <c r="AN5" s="18">
        <f t="shared" si="6"/>
        <v>2024</v>
      </c>
      <c r="AO5" s="18">
        <f t="shared" si="6"/>
        <v>2024</v>
      </c>
      <c r="AP5" s="18">
        <f t="shared" si="6"/>
        <v>2024</v>
      </c>
      <c r="AQ5" s="18">
        <f t="shared" si="6"/>
        <v>2024</v>
      </c>
      <c r="AR5" s="18">
        <f t="shared" si="6"/>
        <v>2024</v>
      </c>
      <c r="AS5" s="18">
        <f t="shared" si="6"/>
        <v>2024</v>
      </c>
      <c r="AT5" s="18">
        <f t="shared" si="6"/>
        <v>2024</v>
      </c>
    </row>
    <row r="6" spans="1:46" x14ac:dyDescent="0.25">
      <c r="B6" s="16" t="str">
        <f t="shared" ref="B6:J6" si="7">cur_month</f>
        <v>Dec</v>
      </c>
      <c r="C6" s="16" t="str">
        <f t="shared" si="7"/>
        <v>Dec</v>
      </c>
      <c r="D6" s="17" t="str">
        <f t="shared" si="7"/>
        <v>Dec</v>
      </c>
      <c r="E6" s="16" t="str">
        <f t="shared" si="7"/>
        <v>Dec</v>
      </c>
      <c r="F6" s="16" t="str">
        <f t="shared" si="7"/>
        <v>Dec</v>
      </c>
      <c r="G6" s="17" t="str">
        <f t="shared" si="7"/>
        <v>Dec</v>
      </c>
      <c r="H6" s="16" t="str">
        <f t="shared" si="7"/>
        <v>Dec</v>
      </c>
      <c r="I6" s="16" t="str">
        <f t="shared" si="7"/>
        <v>Dec</v>
      </c>
      <c r="J6" s="17" t="str">
        <f t="shared" si="7"/>
        <v>Dec</v>
      </c>
      <c r="K6" s="18" t="s">
        <v>18</v>
      </c>
      <c r="L6" s="18" t="s">
        <v>19</v>
      </c>
      <c r="M6" s="18" t="s">
        <v>20</v>
      </c>
      <c r="N6" s="18" t="s">
        <v>21</v>
      </c>
      <c r="O6" s="18" t="s">
        <v>22</v>
      </c>
      <c r="P6" s="18" t="s">
        <v>17</v>
      </c>
      <c r="Q6" s="18" t="s">
        <v>23</v>
      </c>
      <c r="R6" s="18" t="s">
        <v>24</v>
      </c>
      <c r="S6" s="18" t="s">
        <v>25</v>
      </c>
      <c r="T6" s="18" t="s">
        <v>26</v>
      </c>
      <c r="U6" s="18" t="s">
        <v>27</v>
      </c>
      <c r="V6" s="20" t="s">
        <v>28</v>
      </c>
      <c r="W6" s="18" t="s">
        <v>18</v>
      </c>
      <c r="X6" s="18" t="s">
        <v>19</v>
      </c>
      <c r="Y6" s="18" t="s">
        <v>20</v>
      </c>
      <c r="Z6" s="18" t="s">
        <v>21</v>
      </c>
      <c r="AA6" s="18" t="s">
        <v>22</v>
      </c>
      <c r="AB6" s="18" t="s">
        <v>17</v>
      </c>
      <c r="AC6" s="18" t="s">
        <v>23</v>
      </c>
      <c r="AD6" s="18" t="s">
        <v>24</v>
      </c>
      <c r="AE6" s="18" t="s">
        <v>25</v>
      </c>
      <c r="AF6" s="18" t="s">
        <v>26</v>
      </c>
      <c r="AG6" s="18" t="s">
        <v>27</v>
      </c>
      <c r="AH6" s="20" t="s">
        <v>28</v>
      </c>
      <c r="AI6" s="18" t="s">
        <v>18</v>
      </c>
      <c r="AJ6" s="18" t="s">
        <v>19</v>
      </c>
      <c r="AK6" s="18" t="s">
        <v>20</v>
      </c>
      <c r="AL6" s="18" t="s">
        <v>21</v>
      </c>
      <c r="AM6" s="18" t="s">
        <v>22</v>
      </c>
      <c r="AN6" s="18" t="s">
        <v>17</v>
      </c>
      <c r="AO6" s="18" t="s">
        <v>23</v>
      </c>
      <c r="AP6" s="18" t="s">
        <v>24</v>
      </c>
      <c r="AQ6" s="18" t="s">
        <v>25</v>
      </c>
      <c r="AR6" s="18" t="s">
        <v>26</v>
      </c>
      <c r="AS6" s="18" t="s">
        <v>27</v>
      </c>
      <c r="AT6" s="18" t="s">
        <v>28</v>
      </c>
    </row>
    <row r="7" spans="1:46" x14ac:dyDescent="0.25">
      <c r="B7" s="16" t="s">
        <v>0</v>
      </c>
      <c r="C7" s="16" t="s">
        <v>0</v>
      </c>
      <c r="D7" s="17" t="s">
        <v>0</v>
      </c>
      <c r="E7" s="16" t="s">
        <v>0</v>
      </c>
      <c r="F7" s="16" t="s">
        <v>0</v>
      </c>
      <c r="G7" s="17" t="s">
        <v>0</v>
      </c>
      <c r="H7" s="16" t="s">
        <v>13</v>
      </c>
      <c r="I7" s="16" t="s">
        <v>13</v>
      </c>
      <c r="J7" s="17" t="s">
        <v>13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8" t="s">
        <v>0</v>
      </c>
      <c r="Q7" s="18" t="s">
        <v>0</v>
      </c>
      <c r="R7" s="18" t="s">
        <v>0</v>
      </c>
      <c r="S7" s="18" t="s">
        <v>0</v>
      </c>
      <c r="T7" s="18" t="s">
        <v>0</v>
      </c>
      <c r="U7" s="18" t="s">
        <v>0</v>
      </c>
      <c r="V7" s="18" t="s">
        <v>0</v>
      </c>
      <c r="W7" s="19" t="s">
        <v>0</v>
      </c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18" t="s">
        <v>0</v>
      </c>
      <c r="AF7" s="18" t="s">
        <v>0</v>
      </c>
      <c r="AG7" s="18" t="s">
        <v>0</v>
      </c>
      <c r="AH7" s="20" t="s">
        <v>0</v>
      </c>
      <c r="AI7" s="18" t="s">
        <v>13</v>
      </c>
      <c r="AJ7" s="18" t="s">
        <v>13</v>
      </c>
      <c r="AK7" s="18" t="s">
        <v>13</v>
      </c>
      <c r="AL7" s="18" t="s">
        <v>13</v>
      </c>
      <c r="AM7" s="18" t="s">
        <v>13</v>
      </c>
      <c r="AN7" s="18" t="s">
        <v>13</v>
      </c>
      <c r="AO7" s="18" t="s">
        <v>13</v>
      </c>
      <c r="AP7" s="18" t="s">
        <v>13</v>
      </c>
      <c r="AQ7" s="18" t="s">
        <v>13</v>
      </c>
      <c r="AR7" s="18" t="s">
        <v>13</v>
      </c>
      <c r="AS7" s="18" t="s">
        <v>13</v>
      </c>
      <c r="AT7" s="18" t="s">
        <v>13</v>
      </c>
    </row>
    <row r="8" spans="1:46" x14ac:dyDescent="0.25">
      <c r="A8" s="21"/>
      <c r="B8" s="22" t="s">
        <v>29</v>
      </c>
      <c r="C8" s="22" t="s">
        <v>30</v>
      </c>
      <c r="D8" s="23" t="s">
        <v>31</v>
      </c>
      <c r="E8" s="22" t="s">
        <v>29</v>
      </c>
      <c r="F8" s="22" t="s">
        <v>30</v>
      </c>
      <c r="G8" s="23" t="s">
        <v>31</v>
      </c>
      <c r="H8" s="22" t="s">
        <v>29</v>
      </c>
      <c r="I8" s="22" t="s">
        <v>30</v>
      </c>
      <c r="J8" s="23" t="s">
        <v>31</v>
      </c>
      <c r="K8" s="24" t="s">
        <v>30</v>
      </c>
      <c r="L8" s="24" t="s">
        <v>30</v>
      </c>
      <c r="M8" s="24" t="s">
        <v>30</v>
      </c>
      <c r="N8" s="24" t="s">
        <v>30</v>
      </c>
      <c r="O8" s="24" t="s">
        <v>30</v>
      </c>
      <c r="P8" s="24" t="s">
        <v>30</v>
      </c>
      <c r="Q8" s="24" t="s">
        <v>30</v>
      </c>
      <c r="R8" s="24" t="s">
        <v>30</v>
      </c>
      <c r="S8" s="24" t="s">
        <v>30</v>
      </c>
      <c r="T8" s="24" t="s">
        <v>30</v>
      </c>
      <c r="U8" s="24" t="s">
        <v>30</v>
      </c>
      <c r="V8" s="24" t="s">
        <v>30</v>
      </c>
      <c r="W8" s="25" t="s">
        <v>30</v>
      </c>
      <c r="X8" s="24" t="s">
        <v>30</v>
      </c>
      <c r="Y8" s="24" t="s">
        <v>30</v>
      </c>
      <c r="Z8" s="24" t="s">
        <v>30</v>
      </c>
      <c r="AA8" s="24" t="s">
        <v>30</v>
      </c>
      <c r="AB8" s="24" t="s">
        <v>30</v>
      </c>
      <c r="AC8" s="24" t="s">
        <v>30</v>
      </c>
      <c r="AD8" s="24" t="s">
        <v>30</v>
      </c>
      <c r="AE8" s="24" t="s">
        <v>30</v>
      </c>
      <c r="AF8" s="24" t="s">
        <v>30</v>
      </c>
      <c r="AG8" s="24" t="s">
        <v>30</v>
      </c>
      <c r="AH8" s="26" t="s">
        <v>30</v>
      </c>
      <c r="AI8" s="24" t="s">
        <v>30</v>
      </c>
      <c r="AJ8" s="24" t="s">
        <v>30</v>
      </c>
      <c r="AK8" s="24" t="s">
        <v>30</v>
      </c>
      <c r="AL8" s="24" t="s">
        <v>30</v>
      </c>
      <c r="AM8" s="24" t="s">
        <v>30</v>
      </c>
      <c r="AN8" s="24" t="s">
        <v>30</v>
      </c>
      <c r="AO8" s="24" t="s">
        <v>30</v>
      </c>
      <c r="AP8" s="24" t="s">
        <v>30</v>
      </c>
      <c r="AQ8" s="24" t="s">
        <v>30</v>
      </c>
      <c r="AR8" s="24" t="s">
        <v>30</v>
      </c>
      <c r="AS8" s="24" t="s">
        <v>30</v>
      </c>
      <c r="AT8" s="24" t="s">
        <v>30</v>
      </c>
    </row>
    <row r="9" spans="1:46" x14ac:dyDescent="0.25">
      <c r="A9" t="s">
        <v>32</v>
      </c>
      <c r="B9">
        <v>162643</v>
      </c>
      <c r="C9">
        <v>9359</v>
      </c>
      <c r="D9" s="12">
        <v>103058</v>
      </c>
      <c r="E9">
        <v>159773</v>
      </c>
      <c r="F9">
        <v>9241</v>
      </c>
      <c r="G9" s="12">
        <v>103723</v>
      </c>
      <c r="H9">
        <v>164760</v>
      </c>
      <c r="I9">
        <v>9443</v>
      </c>
      <c r="J9" s="12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7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2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28" t="s">
        <v>33</v>
      </c>
      <c r="B10">
        <v>14432</v>
      </c>
      <c r="C10">
        <v>240</v>
      </c>
      <c r="D10" s="12">
        <v>11099</v>
      </c>
      <c r="E10">
        <v>13699</v>
      </c>
      <c r="F10">
        <v>210</v>
      </c>
      <c r="G10" s="12">
        <v>12058</v>
      </c>
      <c r="H10">
        <v>15113</v>
      </c>
      <c r="I10">
        <v>363</v>
      </c>
      <c r="J10" s="12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7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2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28" t="s">
        <v>34</v>
      </c>
      <c r="B11">
        <v>17990</v>
      </c>
      <c r="C11">
        <v>1166</v>
      </c>
      <c r="D11" s="12">
        <v>7137</v>
      </c>
      <c r="E11">
        <v>16395</v>
      </c>
      <c r="F11">
        <v>1003</v>
      </c>
      <c r="G11" s="12">
        <v>7423</v>
      </c>
      <c r="H11">
        <v>18181</v>
      </c>
      <c r="I11">
        <v>1223</v>
      </c>
      <c r="J11" s="12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7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2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28" t="s">
        <v>35</v>
      </c>
      <c r="B12">
        <v>15117</v>
      </c>
      <c r="C12">
        <v>1613</v>
      </c>
      <c r="D12" s="12">
        <v>5828</v>
      </c>
      <c r="E12">
        <v>14138</v>
      </c>
      <c r="F12">
        <v>1200</v>
      </c>
      <c r="G12" s="12">
        <v>6212</v>
      </c>
      <c r="H12">
        <v>13455</v>
      </c>
      <c r="I12">
        <v>1400</v>
      </c>
      <c r="J12" s="12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7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2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28" t="s">
        <v>36</v>
      </c>
      <c r="B13">
        <v>11154</v>
      </c>
      <c r="C13">
        <v>731</v>
      </c>
      <c r="D13" s="12">
        <v>8008</v>
      </c>
      <c r="E13">
        <v>11502</v>
      </c>
      <c r="F13">
        <v>499</v>
      </c>
      <c r="G13" s="12">
        <v>8953</v>
      </c>
      <c r="H13">
        <v>12031</v>
      </c>
      <c r="I13">
        <v>641</v>
      </c>
      <c r="J13" s="12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7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2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28" t="s">
        <v>37</v>
      </c>
      <c r="B14">
        <v>11022</v>
      </c>
      <c r="C14">
        <v>550</v>
      </c>
      <c r="D14" s="12">
        <v>9000</v>
      </c>
      <c r="E14">
        <v>14644</v>
      </c>
      <c r="F14">
        <v>780</v>
      </c>
      <c r="G14" s="12">
        <v>8670</v>
      </c>
      <c r="H14">
        <v>13112</v>
      </c>
      <c r="I14">
        <v>474</v>
      </c>
      <c r="J14" s="12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7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2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28" t="s">
        <v>38</v>
      </c>
      <c r="B15">
        <v>8905</v>
      </c>
      <c r="C15">
        <v>469</v>
      </c>
      <c r="D15" s="12">
        <v>6026</v>
      </c>
      <c r="E15">
        <v>8796</v>
      </c>
      <c r="F15">
        <v>316</v>
      </c>
      <c r="G15" s="12">
        <v>6251</v>
      </c>
      <c r="H15">
        <v>9096</v>
      </c>
      <c r="I15">
        <v>620</v>
      </c>
      <c r="J15" s="12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7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2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28" t="s">
        <v>39</v>
      </c>
      <c r="B16">
        <v>16735</v>
      </c>
      <c r="C16">
        <v>800</v>
      </c>
      <c r="D16" s="12">
        <v>10149</v>
      </c>
      <c r="E16">
        <v>17503</v>
      </c>
      <c r="F16">
        <v>1083</v>
      </c>
      <c r="G16" s="12">
        <v>10507</v>
      </c>
      <c r="H16">
        <v>18207</v>
      </c>
      <c r="I16">
        <v>1176</v>
      </c>
      <c r="J16" s="12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7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2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28" t="s">
        <v>40</v>
      </c>
      <c r="B17">
        <v>3635</v>
      </c>
      <c r="C17">
        <v>96</v>
      </c>
      <c r="D17" s="12">
        <v>2050</v>
      </c>
      <c r="E17">
        <v>2337</v>
      </c>
      <c r="F17">
        <v>90</v>
      </c>
      <c r="G17" s="12">
        <v>1585</v>
      </c>
      <c r="H17">
        <v>3579</v>
      </c>
      <c r="I17">
        <v>184</v>
      </c>
      <c r="J17" s="12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7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2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28" t="s">
        <v>41</v>
      </c>
      <c r="B18">
        <v>15627</v>
      </c>
      <c r="C18">
        <v>1996</v>
      </c>
      <c r="D18" s="12">
        <v>9397</v>
      </c>
      <c r="E18">
        <v>15357</v>
      </c>
      <c r="F18">
        <v>1908</v>
      </c>
      <c r="G18" s="12">
        <v>9702</v>
      </c>
      <c r="H18">
        <v>14634</v>
      </c>
      <c r="I18">
        <v>1584</v>
      </c>
      <c r="J18" s="12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7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2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28" t="s">
        <v>42</v>
      </c>
      <c r="B19">
        <v>7270</v>
      </c>
      <c r="C19">
        <v>150</v>
      </c>
      <c r="D19" s="12">
        <v>8948</v>
      </c>
      <c r="E19">
        <v>7119</v>
      </c>
      <c r="F19">
        <v>349</v>
      </c>
      <c r="G19" s="12">
        <v>8520</v>
      </c>
      <c r="H19">
        <v>7158</v>
      </c>
      <c r="I19">
        <v>120</v>
      </c>
      <c r="J19" s="12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7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2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43</v>
      </c>
      <c r="B20">
        <v>5955</v>
      </c>
      <c r="C20">
        <v>260</v>
      </c>
      <c r="D20" s="12">
        <v>5931</v>
      </c>
      <c r="E20">
        <v>5612</v>
      </c>
      <c r="F20">
        <v>233</v>
      </c>
      <c r="G20" s="12">
        <v>5128</v>
      </c>
      <c r="H20">
        <v>5977</v>
      </c>
      <c r="I20">
        <v>210</v>
      </c>
      <c r="J20" s="12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7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2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28" t="s">
        <v>44</v>
      </c>
      <c r="B21">
        <v>7666</v>
      </c>
      <c r="C21">
        <v>274</v>
      </c>
      <c r="D21" s="12">
        <v>6624</v>
      </c>
      <c r="E21">
        <v>5060</v>
      </c>
      <c r="F21">
        <v>369</v>
      </c>
      <c r="G21" s="12">
        <v>5174</v>
      </c>
      <c r="H21">
        <v>7099</v>
      </c>
      <c r="I21">
        <v>230</v>
      </c>
      <c r="J21" s="12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7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2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28" t="s">
        <v>45</v>
      </c>
      <c r="B22">
        <v>10857</v>
      </c>
      <c r="C22">
        <v>281</v>
      </c>
      <c r="D22" s="12">
        <v>4396</v>
      </c>
      <c r="E22">
        <v>10547</v>
      </c>
      <c r="F22">
        <v>281</v>
      </c>
      <c r="G22" s="12">
        <v>4979</v>
      </c>
      <c r="H22">
        <v>10799</v>
      </c>
      <c r="I22">
        <v>333</v>
      </c>
      <c r="J22" s="12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7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2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28" t="s">
        <v>46</v>
      </c>
      <c r="B23">
        <v>9873</v>
      </c>
      <c r="C23">
        <v>370</v>
      </c>
      <c r="D23" s="12">
        <v>7076</v>
      </c>
      <c r="E23">
        <v>11069</v>
      </c>
      <c r="F23">
        <v>652</v>
      </c>
      <c r="G23" s="12">
        <v>6853</v>
      </c>
      <c r="H23">
        <v>10500</v>
      </c>
      <c r="I23">
        <v>637</v>
      </c>
      <c r="J23" s="12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7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2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28" t="s">
        <v>47</v>
      </c>
      <c r="B24">
        <v>6405</v>
      </c>
      <c r="C24">
        <v>363</v>
      </c>
      <c r="D24" s="12">
        <v>1389</v>
      </c>
      <c r="E24">
        <v>5995</v>
      </c>
      <c r="F24">
        <v>268</v>
      </c>
      <c r="G24" s="12">
        <v>1708</v>
      </c>
      <c r="H24">
        <v>5819</v>
      </c>
      <c r="I24">
        <v>248</v>
      </c>
      <c r="J24" s="12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7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2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48</v>
      </c>
      <c r="B25">
        <v>210616</v>
      </c>
      <c r="C25">
        <v>12324.3</v>
      </c>
      <c r="D25" s="12">
        <v>95902.1</v>
      </c>
      <c r="E25">
        <v>199893.6</v>
      </c>
      <c r="F25">
        <v>9835.9000000000015</v>
      </c>
      <c r="G25" s="12">
        <v>101383.6</v>
      </c>
      <c r="H25">
        <v>198526.40000000002</v>
      </c>
      <c r="I25">
        <v>11343.8</v>
      </c>
      <c r="J25" s="12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7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2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s="29" t="s">
        <v>49</v>
      </c>
      <c r="B26">
        <v>11649</v>
      </c>
      <c r="C26">
        <v>802</v>
      </c>
      <c r="D26" s="12">
        <v>5956</v>
      </c>
      <c r="E26">
        <v>10414</v>
      </c>
      <c r="F26">
        <v>536</v>
      </c>
      <c r="G26" s="12">
        <v>6713</v>
      </c>
      <c r="H26">
        <v>10593</v>
      </c>
      <c r="I26">
        <v>554</v>
      </c>
      <c r="J26" s="12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7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2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s="29" t="s">
        <v>50</v>
      </c>
      <c r="B27">
        <v>7718</v>
      </c>
      <c r="C27">
        <v>876</v>
      </c>
      <c r="D27" s="12">
        <v>8432</v>
      </c>
      <c r="E27">
        <v>7282</v>
      </c>
      <c r="F27">
        <v>775</v>
      </c>
      <c r="G27" s="12">
        <v>8242</v>
      </c>
      <c r="H27">
        <v>6409</v>
      </c>
      <c r="I27">
        <v>654</v>
      </c>
      <c r="J27" s="12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7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2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s="29" t="s">
        <v>51</v>
      </c>
      <c r="B28">
        <v>15033</v>
      </c>
      <c r="C28">
        <v>469</v>
      </c>
      <c r="D28" s="12">
        <v>3512</v>
      </c>
      <c r="E28">
        <v>15064</v>
      </c>
      <c r="F28">
        <v>392</v>
      </c>
      <c r="G28" s="12">
        <v>3488</v>
      </c>
      <c r="H28">
        <v>12724</v>
      </c>
      <c r="I28">
        <v>530</v>
      </c>
      <c r="J28" s="12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7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2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s="29" t="s">
        <v>52</v>
      </c>
      <c r="B29">
        <v>21579</v>
      </c>
      <c r="C29">
        <v>920</v>
      </c>
      <c r="D29" s="12">
        <v>7461</v>
      </c>
      <c r="E29">
        <v>20686</v>
      </c>
      <c r="F29">
        <v>653</v>
      </c>
      <c r="G29" s="12">
        <v>8589</v>
      </c>
      <c r="H29">
        <v>20478</v>
      </c>
      <c r="I29">
        <v>658</v>
      </c>
      <c r="J29" s="12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7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2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s="29" t="s">
        <v>53</v>
      </c>
      <c r="B30">
        <v>27210.600000000002</v>
      </c>
      <c r="C30">
        <v>2903.4</v>
      </c>
      <c r="D30" s="12">
        <v>10490.4</v>
      </c>
      <c r="E30">
        <v>25448.400000000001</v>
      </c>
      <c r="F30">
        <v>2160</v>
      </c>
      <c r="G30" s="12">
        <v>11181.6</v>
      </c>
      <c r="H30">
        <v>24219</v>
      </c>
      <c r="I30">
        <v>2520</v>
      </c>
      <c r="J30" s="12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7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2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s="29" t="s">
        <v>54</v>
      </c>
      <c r="B31">
        <v>18700.5</v>
      </c>
      <c r="C31">
        <v>984.90000000000009</v>
      </c>
      <c r="D31" s="12">
        <v>12654.6</v>
      </c>
      <c r="E31">
        <v>18471.600000000002</v>
      </c>
      <c r="F31">
        <v>663.6</v>
      </c>
      <c r="G31" s="12">
        <v>13127.1</v>
      </c>
      <c r="H31">
        <v>19101.600000000002</v>
      </c>
      <c r="I31">
        <v>1302</v>
      </c>
      <c r="J31" s="12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7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2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s="29" t="s">
        <v>55</v>
      </c>
      <c r="B32">
        <v>45315.9</v>
      </c>
      <c r="C32">
        <v>1932</v>
      </c>
      <c r="D32" s="12">
        <v>15668.1</v>
      </c>
      <c r="E32">
        <v>43440.6</v>
      </c>
      <c r="F32">
        <v>1371.3</v>
      </c>
      <c r="G32" s="12">
        <v>18036.900000000001</v>
      </c>
      <c r="H32">
        <v>43003.8</v>
      </c>
      <c r="I32">
        <v>1381.8</v>
      </c>
      <c r="J32" s="12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7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2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s="29" t="s">
        <v>56</v>
      </c>
      <c r="B33">
        <v>35980</v>
      </c>
      <c r="C33">
        <v>2332</v>
      </c>
      <c r="D33" s="12">
        <v>14274</v>
      </c>
      <c r="E33">
        <v>32790</v>
      </c>
      <c r="F33">
        <v>2006</v>
      </c>
      <c r="G33" s="12">
        <v>14846</v>
      </c>
      <c r="H33">
        <v>36362</v>
      </c>
      <c r="I33">
        <v>2446</v>
      </c>
      <c r="J33" s="12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7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2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s="29" t="s">
        <v>57</v>
      </c>
      <c r="B34">
        <v>7657</v>
      </c>
      <c r="C34">
        <v>276</v>
      </c>
      <c r="D34" s="12">
        <v>5353</v>
      </c>
      <c r="E34">
        <v>5307</v>
      </c>
      <c r="F34">
        <v>170</v>
      </c>
      <c r="G34" s="12">
        <v>4710</v>
      </c>
      <c r="H34">
        <v>6431</v>
      </c>
      <c r="I34">
        <v>179</v>
      </c>
      <c r="J34" s="12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7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2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s="29" t="s">
        <v>58</v>
      </c>
      <c r="B35">
        <v>8126</v>
      </c>
      <c r="C35">
        <v>321</v>
      </c>
      <c r="D35" s="12">
        <v>6153</v>
      </c>
      <c r="E35">
        <v>9111</v>
      </c>
      <c r="F35">
        <v>567</v>
      </c>
      <c r="G35" s="12">
        <v>5959</v>
      </c>
      <c r="H35">
        <v>8642</v>
      </c>
      <c r="I35">
        <v>554</v>
      </c>
      <c r="J35" s="12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7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2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s="29" t="s">
        <v>59</v>
      </c>
      <c r="B36">
        <v>5272</v>
      </c>
      <c r="C36">
        <v>316</v>
      </c>
      <c r="D36" s="12">
        <v>1207</v>
      </c>
      <c r="E36">
        <v>4934</v>
      </c>
      <c r="F36">
        <v>233</v>
      </c>
      <c r="G36" s="12">
        <v>1485</v>
      </c>
      <c r="H36">
        <v>4789</v>
      </c>
      <c r="I36">
        <v>215</v>
      </c>
      <c r="J36" s="12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7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2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s="29" t="s">
        <v>60</v>
      </c>
      <c r="B37">
        <v>6375</v>
      </c>
      <c r="C37">
        <v>192</v>
      </c>
      <c r="D37" s="12">
        <v>4741</v>
      </c>
      <c r="E37">
        <v>6945</v>
      </c>
      <c r="F37">
        <v>309</v>
      </c>
      <c r="G37" s="12">
        <v>5006</v>
      </c>
      <c r="H37">
        <v>5774</v>
      </c>
      <c r="I37">
        <v>350</v>
      </c>
      <c r="J37" s="12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7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2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61</v>
      </c>
      <c r="B38">
        <v>189978.5</v>
      </c>
      <c r="C38">
        <v>8869.2000000000007</v>
      </c>
      <c r="D38" s="12">
        <v>91467.1</v>
      </c>
      <c r="E38">
        <v>187118.2</v>
      </c>
      <c r="F38">
        <v>7865.9000000000005</v>
      </c>
      <c r="G38" s="12">
        <v>97100.299999999988</v>
      </c>
      <c r="H38">
        <v>181464.8</v>
      </c>
      <c r="I38">
        <v>8122.2</v>
      </c>
      <c r="J38" s="12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7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2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28" t="s">
        <v>62</v>
      </c>
      <c r="B39">
        <v>6353</v>
      </c>
      <c r="C39">
        <v>762</v>
      </c>
      <c r="D39" s="12">
        <v>7332</v>
      </c>
      <c r="E39">
        <v>5993</v>
      </c>
      <c r="F39">
        <v>674</v>
      </c>
      <c r="G39" s="12">
        <v>7167</v>
      </c>
      <c r="H39">
        <v>5275</v>
      </c>
      <c r="I39">
        <v>568</v>
      </c>
      <c r="J39" s="12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7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2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28" t="s">
        <v>63</v>
      </c>
      <c r="B40">
        <v>12373</v>
      </c>
      <c r="C40">
        <v>408</v>
      </c>
      <c r="D40" s="12">
        <v>3054</v>
      </c>
      <c r="E40">
        <v>12398</v>
      </c>
      <c r="F40">
        <v>341</v>
      </c>
      <c r="G40" s="12">
        <v>3033</v>
      </c>
      <c r="H40">
        <v>10472</v>
      </c>
      <c r="I40">
        <v>461</v>
      </c>
      <c r="J40" s="12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7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2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28" t="s">
        <v>64</v>
      </c>
      <c r="B41">
        <v>17760</v>
      </c>
      <c r="C41">
        <v>800</v>
      </c>
      <c r="D41" s="12">
        <v>6488</v>
      </c>
      <c r="E41">
        <v>17025</v>
      </c>
      <c r="F41">
        <v>568</v>
      </c>
      <c r="G41" s="12">
        <v>7469</v>
      </c>
      <c r="H41">
        <v>16854</v>
      </c>
      <c r="I41">
        <v>572</v>
      </c>
      <c r="J41" s="12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7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2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28" t="s">
        <v>65</v>
      </c>
      <c r="B42">
        <v>30399.599999999999</v>
      </c>
      <c r="C42">
        <v>786.8</v>
      </c>
      <c r="D42" s="12">
        <v>12308.8</v>
      </c>
      <c r="E42">
        <v>29531.599999999999</v>
      </c>
      <c r="F42">
        <v>786.8</v>
      </c>
      <c r="G42" s="12">
        <v>13941.199999999999</v>
      </c>
      <c r="H42">
        <v>30237.199999999997</v>
      </c>
      <c r="I42">
        <v>932.4</v>
      </c>
      <c r="J42" s="12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7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2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28" t="s">
        <v>66</v>
      </c>
      <c r="B43">
        <v>20400</v>
      </c>
      <c r="C43">
        <v>614.40000000000009</v>
      </c>
      <c r="D43" s="12">
        <v>15171.2</v>
      </c>
      <c r="E43">
        <v>22224</v>
      </c>
      <c r="F43">
        <v>988.80000000000007</v>
      </c>
      <c r="G43" s="12">
        <v>16019.2</v>
      </c>
      <c r="H43">
        <v>18476.8</v>
      </c>
      <c r="I43">
        <v>1120</v>
      </c>
      <c r="J43" s="12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7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2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28" t="s">
        <v>67</v>
      </c>
      <c r="B44">
        <v>21088</v>
      </c>
      <c r="C44">
        <v>1264</v>
      </c>
      <c r="D44" s="12">
        <v>4828</v>
      </c>
      <c r="E44">
        <v>19736</v>
      </c>
      <c r="F44">
        <v>932</v>
      </c>
      <c r="G44" s="12">
        <v>5940</v>
      </c>
      <c r="H44">
        <v>19156</v>
      </c>
      <c r="I44">
        <v>860</v>
      </c>
      <c r="J44" s="12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7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2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68</v>
      </c>
      <c r="B45">
        <v>23736.9</v>
      </c>
      <c r="C45">
        <v>1012.0000000000001</v>
      </c>
      <c r="D45" s="12">
        <v>8207.1</v>
      </c>
      <c r="E45">
        <v>22754.600000000002</v>
      </c>
      <c r="F45">
        <v>718.30000000000007</v>
      </c>
      <c r="G45" s="12">
        <v>9447.9000000000015</v>
      </c>
      <c r="H45">
        <v>22525.800000000003</v>
      </c>
      <c r="I45">
        <v>723.80000000000007</v>
      </c>
      <c r="J45" s="12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7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2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28" t="s">
        <v>69</v>
      </c>
      <c r="B46">
        <v>6302</v>
      </c>
      <c r="C46">
        <v>240</v>
      </c>
      <c r="D46" s="12">
        <v>4655</v>
      </c>
      <c r="E46">
        <v>5400</v>
      </c>
      <c r="F46">
        <v>190</v>
      </c>
      <c r="G46" s="12">
        <v>4096</v>
      </c>
      <c r="H46">
        <v>5293</v>
      </c>
      <c r="I46">
        <v>156</v>
      </c>
      <c r="J46" s="12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7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2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28" t="s">
        <v>70</v>
      </c>
      <c r="B47">
        <v>10675</v>
      </c>
      <c r="C47">
        <v>128</v>
      </c>
      <c r="D47" s="12">
        <v>8210</v>
      </c>
      <c r="E47">
        <v>10133</v>
      </c>
      <c r="F47">
        <v>89</v>
      </c>
      <c r="G47" s="12">
        <v>8179</v>
      </c>
      <c r="H47">
        <v>11178</v>
      </c>
      <c r="I47">
        <v>190</v>
      </c>
      <c r="J47" s="12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7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2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28" t="s">
        <v>71</v>
      </c>
      <c r="B48">
        <v>13307</v>
      </c>
      <c r="C48">
        <v>862</v>
      </c>
      <c r="D48" s="12">
        <v>5279</v>
      </c>
      <c r="E48">
        <v>12127</v>
      </c>
      <c r="F48">
        <v>742</v>
      </c>
      <c r="G48" s="12">
        <v>5491</v>
      </c>
      <c r="H48">
        <v>13448</v>
      </c>
      <c r="I48">
        <v>905</v>
      </c>
      <c r="J48" s="12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7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2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28" t="s">
        <v>72</v>
      </c>
      <c r="B49">
        <v>11182</v>
      </c>
      <c r="C49">
        <v>1193</v>
      </c>
      <c r="D49" s="12">
        <v>4311</v>
      </c>
      <c r="E49">
        <v>10457</v>
      </c>
      <c r="F49">
        <v>890</v>
      </c>
      <c r="G49" s="12">
        <v>4595</v>
      </c>
      <c r="H49">
        <v>9952</v>
      </c>
      <c r="I49">
        <v>810</v>
      </c>
      <c r="J49" s="12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7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2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28" t="s">
        <v>73</v>
      </c>
      <c r="B50">
        <v>8250</v>
      </c>
      <c r="C50">
        <v>541</v>
      </c>
      <c r="D50" s="12">
        <v>5923</v>
      </c>
      <c r="E50">
        <v>8507</v>
      </c>
      <c r="F50">
        <v>369</v>
      </c>
      <c r="G50" s="12">
        <v>6622</v>
      </c>
      <c r="H50">
        <v>8899</v>
      </c>
      <c r="I50">
        <v>474</v>
      </c>
      <c r="J50" s="12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7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2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28" t="s">
        <v>74</v>
      </c>
      <c r="B51">
        <v>8152</v>
      </c>
      <c r="C51">
        <v>258</v>
      </c>
      <c r="D51" s="12">
        <v>5700</v>
      </c>
      <c r="E51">
        <v>10832</v>
      </c>
      <c r="F51">
        <v>577</v>
      </c>
      <c r="G51" s="12">
        <v>5100</v>
      </c>
      <c r="H51">
        <v>9698</v>
      </c>
      <c r="I51">
        <v>350</v>
      </c>
      <c r="J51" s="12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7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2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E45"/>
  <sheetViews>
    <sheetView showGridLines="0" tabSelected="1" zoomScale="70" zoomScaleNormal="70" workbookViewId="0">
      <selection activeCell="F18" sqref="F18"/>
    </sheetView>
  </sheetViews>
  <sheetFormatPr defaultColWidth="0" defaultRowHeight="13.8" zeroHeight="1" x14ac:dyDescent="0.25"/>
  <cols>
    <col min="1" max="3" width="1.796875" customWidth="1"/>
    <col min="4" max="4" width="2.8984375" bestFit="1" customWidth="1"/>
    <col min="5" max="5" width="10.19921875" bestFit="1" customWidth="1"/>
    <col min="6" max="6" width="7.59765625" bestFit="1" customWidth="1"/>
    <col min="7" max="7" width="0.69921875" customWidth="1"/>
    <col min="8" max="8" width="6.69921875" bestFit="1" customWidth="1"/>
    <col min="9" max="9" width="8.796875" customWidth="1"/>
    <col min="10" max="10" width="0.5" customWidth="1"/>
    <col min="11" max="11" width="6.59765625" bestFit="1" customWidth="1"/>
    <col min="12" max="12" width="2.69921875" bestFit="1" customWidth="1"/>
    <col min="13" max="13" width="6.59765625" bestFit="1" customWidth="1"/>
    <col min="14" max="14" width="0.3984375" customWidth="1"/>
    <col min="15" max="15" width="6.69921875" bestFit="1" customWidth="1"/>
    <col min="16" max="16" width="8.796875" customWidth="1"/>
    <col min="17" max="17" width="1" customWidth="1"/>
    <col min="18" max="18" width="6.59765625" bestFit="1" customWidth="1"/>
    <col min="19" max="19" width="2.69921875" bestFit="1" customWidth="1"/>
    <col min="20" max="20" width="7.59765625" bestFit="1" customWidth="1"/>
    <col min="21" max="21" width="0.69921875" customWidth="1"/>
    <col min="22" max="22" width="6.69921875" bestFit="1" customWidth="1"/>
    <col min="23" max="23" width="8.796875" customWidth="1"/>
    <col min="24" max="24" width="0.5" customWidth="1"/>
    <col min="25" max="25" width="6.59765625" bestFit="1" customWidth="1"/>
    <col min="26" max="26" width="2.69921875" bestFit="1" customWidth="1"/>
    <col min="27" max="27" width="4.5" customWidth="1"/>
    <col min="28" max="28" width="8.796875" customWidth="1"/>
    <col min="29" max="29" width="8.69921875" hidden="1" customWidth="1"/>
    <col min="30" max="30" width="12.59765625" hidden="1" customWidth="1"/>
    <col min="31" max="31" width="3.19921875" hidden="1" customWidth="1"/>
    <col min="32" max="16384" width="8.796875" hidden="1"/>
  </cols>
  <sheetData>
    <row r="1" spans="2:31" x14ac:dyDescent="0.25"/>
    <row r="2" spans="2:31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2:31" x14ac:dyDescent="0.2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2:31" x14ac:dyDescent="0.25">
      <c r="B4" s="33"/>
      <c r="C4" s="33"/>
      <c r="D4" s="33"/>
      <c r="E4" s="33" t="s">
        <v>75</v>
      </c>
      <c r="F4" s="95">
        <v>2024</v>
      </c>
      <c r="G4" s="59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2:31" x14ac:dyDescent="0.25">
      <c r="B5" s="33"/>
      <c r="C5" s="33"/>
      <c r="D5" s="33"/>
      <c r="E5" s="33" t="s">
        <v>76</v>
      </c>
      <c r="F5" s="95" t="s">
        <v>28</v>
      </c>
      <c r="G5" s="59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2:31" x14ac:dyDescent="0.25">
      <c r="B6" s="33"/>
      <c r="C6" s="33"/>
      <c r="D6" s="33"/>
      <c r="E6" s="33" t="s">
        <v>77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 spans="2:3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 spans="2:31" x14ac:dyDescent="0.25">
      <c r="B8" s="33"/>
      <c r="F8" s="58" t="s">
        <v>29</v>
      </c>
      <c r="G8" s="58"/>
      <c r="H8" s="58"/>
      <c r="I8" s="58"/>
      <c r="J8" s="58"/>
      <c r="K8" s="58"/>
      <c r="L8" s="78"/>
      <c r="M8" s="58" t="s">
        <v>30</v>
      </c>
      <c r="N8" s="58"/>
      <c r="O8" s="58"/>
      <c r="P8" s="58"/>
      <c r="Q8" s="58"/>
      <c r="R8" s="58"/>
      <c r="S8" s="78"/>
      <c r="T8" s="58" t="s">
        <v>31</v>
      </c>
      <c r="U8" s="58"/>
      <c r="V8" s="58"/>
      <c r="W8" s="58"/>
      <c r="X8" s="58"/>
      <c r="Y8" s="58"/>
      <c r="Z8" s="58"/>
      <c r="AB8" s="33"/>
      <c r="AC8" s="33"/>
      <c r="AD8" s="33"/>
      <c r="AE8" s="33"/>
    </row>
    <row r="9" spans="2:31" x14ac:dyDescent="0.25">
      <c r="B9" s="33"/>
      <c r="F9" t="s">
        <v>0</v>
      </c>
      <c r="H9" t="s">
        <v>94</v>
      </c>
      <c r="K9" t="s">
        <v>95</v>
      </c>
      <c r="L9" s="79"/>
      <c r="M9" t="s">
        <v>0</v>
      </c>
      <c r="O9" t="s">
        <v>94</v>
      </c>
      <c r="R9" t="s">
        <v>95</v>
      </c>
      <c r="S9" s="79"/>
      <c r="T9" t="s">
        <v>0</v>
      </c>
      <c r="V9" t="s">
        <v>94</v>
      </c>
      <c r="Y9" t="s">
        <v>95</v>
      </c>
      <c r="AB9" s="33"/>
      <c r="AC9" s="33"/>
      <c r="AD9" s="33"/>
      <c r="AE9" s="33"/>
    </row>
    <row r="10" spans="2:31" x14ac:dyDescent="0.25">
      <c r="B10" s="33"/>
      <c r="F10" s="35"/>
      <c r="H10" s="33"/>
      <c r="I10" s="33"/>
      <c r="K10" s="34"/>
      <c r="L10" s="80"/>
      <c r="M10" s="35"/>
      <c r="O10" s="33"/>
      <c r="P10" s="33"/>
      <c r="R10" s="34"/>
      <c r="S10" s="80"/>
      <c r="T10" s="35"/>
      <c r="V10" s="33"/>
      <c r="W10" s="33"/>
      <c r="Y10" s="34"/>
      <c r="Z10" s="34"/>
      <c r="AB10" s="33"/>
      <c r="AC10" s="33"/>
      <c r="AD10" s="33"/>
      <c r="AE10" s="33"/>
    </row>
    <row r="11" spans="2:31" x14ac:dyDescent="0.25">
      <c r="B11" s="33"/>
      <c r="D11" cm="1">
        <f t="array" ref="D11">INDEX(Calculation!M14:M$34,Calculation!$D$5)</f>
        <v>1</v>
      </c>
      <c r="E11" t="str" cm="1">
        <f t="array" ref="E11">INDEX(Calculation!N14:N$34,Calculation!$D$5)</f>
        <v>Commuta</v>
      </c>
      <c r="F11" s="56" cm="1">
        <f t="array" ref="F11">INDEX(Calculation!O14:O$34,Calculation!$D$5)</f>
        <v>6353</v>
      </c>
      <c r="H11" s="54" cm="1">
        <f t="array" ref="H11">INDEX(Calculation!X14:X$34,Calculation!$D$5)</f>
        <v>6.0070081762055728E-2</v>
      </c>
      <c r="I11" s="57">
        <f>H11</f>
        <v>6.0070081762055728E-2</v>
      </c>
      <c r="K11" s="54" cm="1">
        <f t="array" ref="K11">INDEX(Calculation!AA14:AA$34,Calculation!$D$5)</f>
        <v>0.20436018957345972</v>
      </c>
      <c r="L11" s="81" t="str">
        <f>IF(K11="","",IF(K11&lt;-0.05,"▼",IF(K11&gt;0.05,"▲","")))</f>
        <v>▲</v>
      </c>
      <c r="M11" s="56" cm="1">
        <f t="array" ref="M11">INDEX(Calculation!P14:P$34,Calculation!$D$5)</f>
        <v>762</v>
      </c>
      <c r="O11" s="54" cm="1">
        <f t="array" ref="O11">INDEX(Calculation!Y14:Y$34,Calculation!$D$5)</f>
        <v>0.13056379821958458</v>
      </c>
      <c r="P11" s="57">
        <f>O11</f>
        <v>0.13056379821958458</v>
      </c>
      <c r="R11" s="54" cm="1">
        <f t="array" ref="R11">INDEX(Calculation!AB14:AB$34,Calculation!$D$5)</f>
        <v>0.34154929577464788</v>
      </c>
      <c r="S11" s="81" t="str">
        <f>IF(R11="","",IF(R11&lt;-0.05,"▼",IF(R11&gt;0.05,"▲","")))</f>
        <v>▲</v>
      </c>
      <c r="T11" s="56" cm="1">
        <f t="array" ref="T11">INDEX(Calculation!Q14:Q$34,Calculation!$D$5)</f>
        <v>7332</v>
      </c>
      <c r="V11" s="54" cm="1">
        <f t="array" ref="V11">INDEX(Calculation!Z14:Z$34,Calculation!$D$5)</f>
        <v>2.3022185014650483E-2</v>
      </c>
      <c r="W11" s="57">
        <f>V11</f>
        <v>2.3022185014650483E-2</v>
      </c>
      <c r="Y11" s="54" cm="1">
        <f t="array" ref="Y11">INDEX(Calculation!AC14:AC$34,Calculation!$D$5)</f>
        <v>1.4528850145288501E-2</v>
      </c>
      <c r="Z11" s="37" t="str">
        <f>IF(Y11="","",IF(Y11&lt;-0.05,"▼",IF(Y11&gt;0.05,"▲","")))</f>
        <v/>
      </c>
      <c r="AB11" s="33"/>
      <c r="AC11" s="33"/>
      <c r="AD11" s="33"/>
      <c r="AE11" s="33"/>
    </row>
    <row r="12" spans="2:31" x14ac:dyDescent="0.25">
      <c r="B12" s="33"/>
      <c r="C12" s="60"/>
      <c r="D12" s="60" cm="1">
        <f t="array" ref="D12">INDEX(Calculation!M15:M$34,Calculation!$D$5)</f>
        <v>2</v>
      </c>
      <c r="E12" s="60" t="str" cm="1">
        <f t="array" ref="E12">INDEX(Calculation!N15:N$34,Calculation!$D$5)</f>
        <v>Infic</v>
      </c>
      <c r="F12" s="61" cm="1">
        <f t="array" ref="F12">INDEX(Calculation!O15:O$34,Calculation!$D$5)</f>
        <v>12373</v>
      </c>
      <c r="G12" s="60"/>
      <c r="H12" s="62" cm="1">
        <f t="array" ref="H12">INDEX(Calculation!X15:X$34,Calculation!$D$5)</f>
        <v>-2.0164542668172285E-3</v>
      </c>
      <c r="I12" s="63">
        <f t="shared" ref="I12:I20" si="0">H12</f>
        <v>-2.0164542668172285E-3</v>
      </c>
      <c r="J12" s="60"/>
      <c r="K12" s="62" cm="1">
        <f t="array" ref="K12">INDEX(Calculation!AA15:AA$34,Calculation!$D$5)</f>
        <v>0.18153170359052712</v>
      </c>
      <c r="L12" s="82" t="str">
        <f t="shared" ref="L12:L20" si="1">IF(K12="","",IF(K12&lt;-0.05,"▼",IF(K12&gt;0.05,"▲","")))</f>
        <v>▲</v>
      </c>
      <c r="M12" s="61" cm="1">
        <f t="array" ref="M12">INDEX(Calculation!P15:P$34,Calculation!$D$5)</f>
        <v>408</v>
      </c>
      <c r="N12" s="60"/>
      <c r="O12" s="62" cm="1">
        <f t="array" ref="O12">INDEX(Calculation!Y15:Y$34,Calculation!$D$5)</f>
        <v>0.19648093841642228</v>
      </c>
      <c r="P12" s="63">
        <f t="shared" ref="P12:P20" si="2">O12</f>
        <v>0.19648093841642228</v>
      </c>
      <c r="Q12" s="60"/>
      <c r="R12" s="62" cm="1">
        <f t="array" ref="R12">INDEX(Calculation!AB15:AB$34,Calculation!$D$5)</f>
        <v>-0.11496746203904555</v>
      </c>
      <c r="S12" s="82" t="str">
        <f t="shared" ref="S12:S20" si="3">IF(R12="","",IF(R12&lt;-0.05,"▼",IF(R12&gt;0.05,"▲","")))</f>
        <v>▼</v>
      </c>
      <c r="T12" s="61" cm="1">
        <f t="array" ref="T12">INDEX(Calculation!Q15:Q$34,Calculation!$D$5)</f>
        <v>3054</v>
      </c>
      <c r="U12" s="60"/>
      <c r="V12" s="62" cm="1">
        <f t="array" ref="V12">INDEX(Calculation!Z15:Z$34,Calculation!$D$5)</f>
        <v>6.923837784371909E-3</v>
      </c>
      <c r="W12" s="63">
        <f t="shared" ref="W12:W20" si="4">V12</f>
        <v>6.923837784371909E-3</v>
      </c>
      <c r="X12" s="60"/>
      <c r="Y12" s="62" cm="1">
        <f t="array" ref="Y12">INDEX(Calculation!AC15:AC$34,Calculation!$D$5)</f>
        <v>4.9484536082474224E-2</v>
      </c>
      <c r="Z12" s="64" t="str">
        <f t="shared" ref="Z12:Z20" si="5">IF(Y12="","",IF(Y12&lt;-0.05,"▼",IF(Y12&gt;0.05,"▲","")))</f>
        <v/>
      </c>
      <c r="AA12" s="60"/>
      <c r="AB12" s="33"/>
      <c r="AC12" s="33"/>
      <c r="AD12" s="33"/>
      <c r="AE12" s="33"/>
    </row>
    <row r="13" spans="2:31" x14ac:dyDescent="0.25">
      <c r="B13" s="33"/>
      <c r="D13" cm="1">
        <f t="array" ref="D13">INDEX(Calculation!M16:M$34,Calculation!$D$5)</f>
        <v>3</v>
      </c>
      <c r="E13" t="str" cm="1">
        <f t="array" ref="E13">INDEX(Calculation!N16:N$34,Calculation!$D$5)</f>
        <v>Accord</v>
      </c>
      <c r="F13" s="56" cm="1">
        <f t="array" ref="F13">INDEX(Calculation!O16:O$34,Calculation!$D$5)</f>
        <v>17760</v>
      </c>
      <c r="H13" s="54" cm="1">
        <f t="array" ref="H13">INDEX(Calculation!X16:X$34,Calculation!$D$5)</f>
        <v>4.3171806167400878E-2</v>
      </c>
      <c r="I13" s="57">
        <f t="shared" si="0"/>
        <v>4.3171806167400878E-2</v>
      </c>
      <c r="K13" s="54" cm="1">
        <f t="array" ref="K13">INDEX(Calculation!AA16:AA$34,Calculation!$D$5)</f>
        <v>5.3755784976860094E-2</v>
      </c>
      <c r="L13" s="81" t="str">
        <f t="shared" si="1"/>
        <v>▲</v>
      </c>
      <c r="M13" s="56" cm="1">
        <f t="array" ref="M13">INDEX(Calculation!P16:P$34,Calculation!$D$5)</f>
        <v>800</v>
      </c>
      <c r="O13" s="54" cm="1">
        <f t="array" ref="O13">INDEX(Calculation!Y16:Y$34,Calculation!$D$5)</f>
        <v>0.40845070422535212</v>
      </c>
      <c r="P13" s="57">
        <f t="shared" si="2"/>
        <v>0.40845070422535212</v>
      </c>
      <c r="R13" s="54" cm="1">
        <f t="array" ref="R13">INDEX(Calculation!AB16:AB$34,Calculation!$D$5)</f>
        <v>0.39860139860139859</v>
      </c>
      <c r="S13" s="81" t="str">
        <f t="shared" si="3"/>
        <v>▲</v>
      </c>
      <c r="T13" s="56" cm="1">
        <f t="array" ref="T13">INDEX(Calculation!Q16:Q$34,Calculation!$D$5)</f>
        <v>6488</v>
      </c>
      <c r="V13" s="54" cm="1">
        <f t="array" ref="V13">INDEX(Calculation!Z16:Z$34,Calculation!$D$5)</f>
        <v>-0.13134288392020352</v>
      </c>
      <c r="W13" s="57">
        <f t="shared" si="4"/>
        <v>-0.13134288392020352</v>
      </c>
      <c r="Y13" s="54" cm="1">
        <f t="array" ref="Y13">INDEX(Calculation!AC16:AC$34,Calculation!$D$5)</f>
        <v>-1.8605354711843897E-2</v>
      </c>
      <c r="Z13" s="37" t="str">
        <f t="shared" si="5"/>
        <v/>
      </c>
      <c r="AB13" s="33"/>
      <c r="AC13" s="33"/>
      <c r="AD13" s="33"/>
      <c r="AE13" s="33"/>
    </row>
    <row r="14" spans="2:31" x14ac:dyDescent="0.25">
      <c r="B14" s="33"/>
      <c r="C14" s="60"/>
      <c r="D14" s="60" cm="1">
        <f t="array" ref="D14">INDEX(Calculation!M17:M$34,Calculation!$D$5)</f>
        <v>4</v>
      </c>
      <c r="E14" s="60" t="str" cm="1">
        <f t="array" ref="E14">INDEX(Calculation!N17:N$34,Calculation!$D$5)</f>
        <v>Misty Wash</v>
      </c>
      <c r="F14" s="61" cm="1">
        <f t="array" ref="F14">INDEX(Calculation!O17:O$34,Calculation!$D$5)</f>
        <v>30399.599999999999</v>
      </c>
      <c r="G14" s="60"/>
      <c r="H14" s="62" cm="1">
        <f t="array" ref="H14">INDEX(Calculation!X17:X$34,Calculation!$D$5)</f>
        <v>2.9392244240068269E-2</v>
      </c>
      <c r="I14" s="63">
        <f t="shared" si="0"/>
        <v>2.9392244240068269E-2</v>
      </c>
      <c r="J14" s="60"/>
      <c r="K14" s="62" cm="1">
        <f t="array" ref="K14">INDEX(Calculation!AA17:AA$34,Calculation!$D$5)</f>
        <v>5.3708676729327274E-3</v>
      </c>
      <c r="L14" s="82" t="str">
        <f t="shared" si="1"/>
        <v/>
      </c>
      <c r="M14" s="61" cm="1">
        <f t="array" ref="M14">INDEX(Calculation!P17:P$34,Calculation!$D$5)</f>
        <v>786.8</v>
      </c>
      <c r="N14" s="60"/>
      <c r="O14" s="62" cm="1">
        <f t="array" ref="O14">INDEX(Calculation!Y17:Y$34,Calculation!$D$5)</f>
        <v>0</v>
      </c>
      <c r="P14" s="63">
        <f t="shared" si="2"/>
        <v>0</v>
      </c>
      <c r="Q14" s="60"/>
      <c r="R14" s="62" cm="1">
        <f t="array" ref="R14">INDEX(Calculation!AB17:AB$34,Calculation!$D$5)</f>
        <v>-0.15615615615615619</v>
      </c>
      <c r="S14" s="82" t="str">
        <f t="shared" si="3"/>
        <v>▼</v>
      </c>
      <c r="T14" s="61" cm="1">
        <f t="array" ref="T14">INDEX(Calculation!Q17:Q$34,Calculation!$D$5)</f>
        <v>12308.8</v>
      </c>
      <c r="U14" s="60"/>
      <c r="V14" s="62" cm="1">
        <f t="array" ref="V14">INDEX(Calculation!Z17:Z$34,Calculation!$D$5)</f>
        <v>-0.11709178549909618</v>
      </c>
      <c r="W14" s="63">
        <f t="shared" si="4"/>
        <v>-0.11709178549909618</v>
      </c>
      <c r="X14" s="60"/>
      <c r="Y14" s="62" cm="1">
        <f t="array" ref="Y14">INDEX(Calculation!AC17:AC$34,Calculation!$D$5)</f>
        <v>-8.014228918183719E-2</v>
      </c>
      <c r="Z14" s="64" t="str">
        <f t="shared" si="5"/>
        <v>▼</v>
      </c>
      <c r="AA14" s="60"/>
      <c r="AB14" s="33"/>
      <c r="AC14" s="33"/>
      <c r="AD14" s="33"/>
      <c r="AE14" s="33"/>
    </row>
    <row r="15" spans="2:31" x14ac:dyDescent="0.25">
      <c r="B15" s="33"/>
      <c r="D15" cm="1">
        <f t="array" ref="D15">INDEX(Calculation!M18:M$34,Calculation!$D$5)</f>
        <v>5</v>
      </c>
      <c r="E15" t="str" cm="1">
        <f t="array" ref="E15">INDEX(Calculation!N18:N$34,Calculation!$D$5)</f>
        <v>Twenty20</v>
      </c>
      <c r="F15" s="56" cm="1">
        <f t="array" ref="F15">INDEX(Calculation!O18:O$34,Calculation!$D$5)</f>
        <v>20400</v>
      </c>
      <c r="H15" s="54" cm="1">
        <f t="array" ref="H15">INDEX(Calculation!X18:X$34,Calculation!$D$5)</f>
        <v>-8.2073434125269976E-2</v>
      </c>
      <c r="I15" s="57">
        <f t="shared" si="0"/>
        <v>-8.2073434125269976E-2</v>
      </c>
      <c r="K15" s="54" cm="1">
        <f t="array" ref="K15">INDEX(Calculation!AA18:AA$34,Calculation!$D$5)</f>
        <v>0.10408728784205061</v>
      </c>
      <c r="L15" s="81" t="str">
        <f t="shared" si="1"/>
        <v>▲</v>
      </c>
      <c r="M15" s="56" cm="1">
        <f t="array" ref="M15">INDEX(Calculation!P18:P$34,Calculation!$D$5)</f>
        <v>614.40000000000009</v>
      </c>
      <c r="O15" s="54" cm="1">
        <f t="array" ref="O15">INDEX(Calculation!Y18:Y$34,Calculation!$D$5)</f>
        <v>-0.37864077669902907</v>
      </c>
      <c r="P15" s="57">
        <f t="shared" si="2"/>
        <v>-0.37864077669902907</v>
      </c>
      <c r="R15" s="54" cm="1">
        <f t="array" ref="R15">INDEX(Calculation!AB18:AB$34,Calculation!$D$5)</f>
        <v>-0.45142857142857135</v>
      </c>
      <c r="S15" s="81" t="str">
        <f t="shared" si="3"/>
        <v>▼</v>
      </c>
      <c r="T15" s="56" cm="1">
        <f t="array" ref="T15">INDEX(Calculation!Q18:Q$34,Calculation!$D$5)</f>
        <v>15171.2</v>
      </c>
      <c r="V15" s="54" cm="1">
        <f t="array" ref="V15">INDEX(Calculation!Z18:Z$34,Calculation!$D$5)</f>
        <v>-5.2936476228525764E-2</v>
      </c>
      <c r="W15" s="57">
        <f t="shared" si="4"/>
        <v>-5.2936476228525764E-2</v>
      </c>
      <c r="Y15" s="54" cm="1">
        <f t="array" ref="Y15">INDEX(Calculation!AC18:AC$34,Calculation!$D$5)</f>
        <v>6.6111985608275178E-2</v>
      </c>
      <c r="Z15" s="37" t="str">
        <f t="shared" si="5"/>
        <v>▲</v>
      </c>
      <c r="AB15" s="33"/>
      <c r="AC15" s="33"/>
      <c r="AD15" s="33"/>
      <c r="AE15" s="33"/>
    </row>
    <row r="16" spans="2:31" x14ac:dyDescent="0.25">
      <c r="B16" s="33"/>
      <c r="C16" s="60"/>
      <c r="D16" s="60" cm="1">
        <f t="array" ref="D16">INDEX(Calculation!M19:M$34,Calculation!$D$5)</f>
        <v>6</v>
      </c>
      <c r="E16" s="60" t="str" cm="1">
        <f t="array" ref="E16">INDEX(Calculation!N19:N$34,Calculation!$D$5)</f>
        <v>Tanox</v>
      </c>
      <c r="F16" s="61" cm="1">
        <f t="array" ref="F16">INDEX(Calculation!O19:O$34,Calculation!$D$5)</f>
        <v>21088</v>
      </c>
      <c r="G16" s="60"/>
      <c r="H16" s="62" cm="1">
        <f t="array" ref="H16">INDEX(Calculation!X19:X$34,Calculation!$D$5)</f>
        <v>6.8504256181597084E-2</v>
      </c>
      <c r="I16" s="63">
        <f t="shared" si="0"/>
        <v>6.8504256181597084E-2</v>
      </c>
      <c r="J16" s="60"/>
      <c r="K16" s="62" cm="1">
        <f t="array" ref="K16">INDEX(Calculation!AA19:AA$34,Calculation!$D$5)</f>
        <v>0.10085612862810607</v>
      </c>
      <c r="L16" s="82" t="str">
        <f t="shared" si="1"/>
        <v>▲</v>
      </c>
      <c r="M16" s="61" cm="1">
        <f t="array" ref="M16">INDEX(Calculation!P19:P$34,Calculation!$D$5)</f>
        <v>1264</v>
      </c>
      <c r="N16" s="60"/>
      <c r="O16" s="62" cm="1">
        <f t="array" ref="O16">INDEX(Calculation!Y19:Y$34,Calculation!$D$5)</f>
        <v>0.35622317596566522</v>
      </c>
      <c r="P16" s="63">
        <f t="shared" si="2"/>
        <v>0.35622317596566522</v>
      </c>
      <c r="Q16" s="60"/>
      <c r="R16" s="62" cm="1">
        <f t="array" ref="R16">INDEX(Calculation!AB19:AB$34,Calculation!$D$5)</f>
        <v>0.4697674418604651</v>
      </c>
      <c r="S16" s="82" t="str">
        <f t="shared" si="3"/>
        <v>▲</v>
      </c>
      <c r="T16" s="61" cm="1">
        <f t="array" ref="T16">INDEX(Calculation!Q19:Q$34,Calculation!$D$5)</f>
        <v>4828</v>
      </c>
      <c r="U16" s="60"/>
      <c r="V16" s="62" cm="1">
        <f t="array" ref="V16">INDEX(Calculation!Z19:Z$34,Calculation!$D$5)</f>
        <v>-0.18720538720538721</v>
      </c>
      <c r="W16" s="63">
        <f t="shared" si="4"/>
        <v>-0.18720538720538721</v>
      </c>
      <c r="X16" s="60"/>
      <c r="Y16" s="62" cm="1">
        <f t="array" ref="Y16">INDEX(Calculation!AC19:AC$34,Calculation!$D$5)</f>
        <v>-0.37654958677685951</v>
      </c>
      <c r="Z16" s="64" t="str">
        <f t="shared" si="5"/>
        <v>▼</v>
      </c>
      <c r="AA16" s="60"/>
      <c r="AB16" s="33"/>
      <c r="AC16" s="33"/>
      <c r="AD16" s="33"/>
      <c r="AE16" s="33"/>
    </row>
    <row r="17" spans="2:31" x14ac:dyDescent="0.25">
      <c r="B17" s="33"/>
      <c r="D17" cm="1">
        <f t="array" ref="D17">INDEX(Calculation!M20:M$34,Calculation!$D$5)</f>
        <v>7</v>
      </c>
      <c r="E17" t="str" cm="1">
        <f t="array" ref="E17">INDEX(Calculation!N20:N$34,Calculation!$D$5)</f>
        <v>Minor Liar</v>
      </c>
      <c r="F17" s="56" cm="1">
        <f t="array" ref="F17">INDEX(Calculation!O20:O$34,Calculation!$D$5)</f>
        <v>23736.9</v>
      </c>
      <c r="H17" s="54" cm="1">
        <f t="array" ref="H17">INDEX(Calculation!X20:X$34,Calculation!$D$5)</f>
        <v>4.3169293241806017E-2</v>
      </c>
      <c r="I17" s="57">
        <f t="shared" si="0"/>
        <v>4.3169293241806017E-2</v>
      </c>
      <c r="K17" s="54" cm="1">
        <f t="array" ref="K17">INDEX(Calculation!AA20:AA$34,Calculation!$D$5)</f>
        <v>5.3765016114854895E-2</v>
      </c>
      <c r="L17" s="81" t="str">
        <f t="shared" si="1"/>
        <v>▲</v>
      </c>
      <c r="M17" s="56" cm="1">
        <f t="array" ref="M17">INDEX(Calculation!P20:P$34,Calculation!$D$5)</f>
        <v>1012.0000000000001</v>
      </c>
      <c r="O17" s="54" cm="1">
        <f t="array" ref="O17">INDEX(Calculation!Y20:Y$34,Calculation!$D$5)</f>
        <v>0.40888208269525272</v>
      </c>
      <c r="P17" s="57">
        <f t="shared" si="2"/>
        <v>0.40888208269525272</v>
      </c>
      <c r="R17" s="54" cm="1">
        <f t="array" ref="R17">INDEX(Calculation!AB20:AB$34,Calculation!$D$5)</f>
        <v>0.3981762917933131</v>
      </c>
      <c r="S17" s="81" t="str">
        <f t="shared" si="3"/>
        <v>▲</v>
      </c>
      <c r="T17" s="56" cm="1">
        <f t="array" ref="T17">INDEX(Calculation!Q20:Q$34,Calculation!$D$5)</f>
        <v>8207.1</v>
      </c>
      <c r="V17" s="54" cm="1">
        <f t="array" ref="V17">INDEX(Calculation!Z20:Z$34,Calculation!$D$5)</f>
        <v>-0.13133077191756909</v>
      </c>
      <c r="W17" s="57">
        <f t="shared" si="4"/>
        <v>-0.13133077191756909</v>
      </c>
      <c r="Y17" s="54" cm="1">
        <f t="array" ref="Y17">INDEX(Calculation!AC20:AC$34,Calculation!$D$5)</f>
        <v>-1.8547750591949529E-2</v>
      </c>
      <c r="Z17" s="37" t="str">
        <f t="shared" si="5"/>
        <v/>
      </c>
      <c r="AB17" s="33"/>
      <c r="AC17" s="33"/>
      <c r="AD17" s="33"/>
      <c r="AE17" s="33"/>
    </row>
    <row r="18" spans="2:31" x14ac:dyDescent="0.25">
      <c r="B18" s="33"/>
      <c r="C18" s="60"/>
      <c r="D18" s="60" cm="1">
        <f t="array" ref="D18">INDEX(Calculation!M21:M$34,Calculation!$D$5)</f>
        <v>8</v>
      </c>
      <c r="E18" s="60" t="str" cm="1">
        <f t="array" ref="E18">INDEX(Calculation!N21:N$34,Calculation!$D$5)</f>
        <v>Mosquit</v>
      </c>
      <c r="F18" s="61" cm="1">
        <f t="array" ref="F18">INDEX(Calculation!O21:O$34,Calculation!$D$5)</f>
        <v>6302</v>
      </c>
      <c r="G18" s="60"/>
      <c r="H18" s="62" cm="1">
        <f t="array" ref="H18">INDEX(Calculation!X21:X$34,Calculation!$D$5)</f>
        <v>0.16703703703703704</v>
      </c>
      <c r="I18" s="63">
        <f t="shared" si="0"/>
        <v>0.16703703703703704</v>
      </c>
      <c r="J18" s="60"/>
      <c r="K18" s="62" cm="1">
        <f t="array" ref="K18">INDEX(Calculation!AA21:AA$34,Calculation!$D$5)</f>
        <v>0.19062913281692803</v>
      </c>
      <c r="L18" s="82" t="str">
        <f t="shared" si="1"/>
        <v>▲</v>
      </c>
      <c r="M18" s="61" cm="1">
        <f t="array" ref="M18">INDEX(Calculation!P21:P$34,Calculation!$D$5)</f>
        <v>240</v>
      </c>
      <c r="N18" s="60"/>
      <c r="O18" s="62" cm="1">
        <f t="array" ref="O18">INDEX(Calculation!Y21:Y$34,Calculation!$D$5)</f>
        <v>0.26315789473684209</v>
      </c>
      <c r="P18" s="63">
        <f t="shared" si="2"/>
        <v>0.26315789473684209</v>
      </c>
      <c r="Q18" s="60"/>
      <c r="R18" s="62" cm="1">
        <f t="array" ref="R18">INDEX(Calculation!AB21:AB$34,Calculation!$D$5)</f>
        <v>0.53846153846153844</v>
      </c>
      <c r="S18" s="82" t="str">
        <f t="shared" si="3"/>
        <v>▲</v>
      </c>
      <c r="T18" s="61" cm="1">
        <f t="array" ref="T18">INDEX(Calculation!Q21:Q$34,Calculation!$D$5)</f>
        <v>4655</v>
      </c>
      <c r="U18" s="60"/>
      <c r="V18" s="62" cm="1">
        <f t="array" ref="V18">INDEX(Calculation!Z21:Z$34,Calculation!$D$5)</f>
        <v>0.136474609375</v>
      </c>
      <c r="W18" s="63">
        <f t="shared" si="4"/>
        <v>0.136474609375</v>
      </c>
      <c r="X18" s="60"/>
      <c r="Y18" s="62" cm="1">
        <f t="array" ref="Y18">INDEX(Calculation!AC21:AC$34,Calculation!$D$5)</f>
        <v>3.1236154186973859E-2</v>
      </c>
      <c r="Z18" s="64" t="str">
        <f t="shared" si="5"/>
        <v/>
      </c>
      <c r="AA18" s="60"/>
      <c r="AB18" s="33"/>
      <c r="AC18" s="33"/>
      <c r="AD18" s="33"/>
      <c r="AE18" s="33"/>
    </row>
    <row r="19" spans="2:31" x14ac:dyDescent="0.25">
      <c r="B19" s="33"/>
      <c r="D19" cm="1">
        <f t="array" ref="D19">INDEX(Calculation!M22:M$34,Calculation!$D$5)</f>
        <v>9</v>
      </c>
      <c r="E19" t="str" cm="1">
        <f t="array" ref="E19">INDEX(Calculation!N22:N$34,Calculation!$D$5)</f>
        <v>Atmos</v>
      </c>
      <c r="F19" s="56" cm="1">
        <f t="array" ref="F19">INDEX(Calculation!O22:O$34,Calculation!$D$5)</f>
        <v>10675</v>
      </c>
      <c r="H19" s="54" cm="1">
        <f t="array" ref="H19">INDEX(Calculation!X22:X$34,Calculation!$D$5)</f>
        <v>5.34886015987368E-2</v>
      </c>
      <c r="I19" s="57">
        <f t="shared" si="0"/>
        <v>5.34886015987368E-2</v>
      </c>
      <c r="K19" s="54" cm="1">
        <f t="array" ref="K19">INDEX(Calculation!AA22:AA$34,Calculation!$D$5)</f>
        <v>-4.4999105385578816E-2</v>
      </c>
      <c r="L19" s="81" t="str">
        <f t="shared" si="1"/>
        <v/>
      </c>
      <c r="M19" s="56" cm="1">
        <f t="array" ref="M19">INDEX(Calculation!P22:P$34,Calculation!$D$5)</f>
        <v>128</v>
      </c>
      <c r="O19" s="54" cm="1">
        <f t="array" ref="O19">INDEX(Calculation!Y22:Y$34,Calculation!$D$5)</f>
        <v>0.43820224719101125</v>
      </c>
      <c r="P19" s="57">
        <f t="shared" si="2"/>
        <v>0.43820224719101125</v>
      </c>
      <c r="R19" s="54" cm="1">
        <f t="array" ref="R19">INDEX(Calculation!AB22:AB$34,Calculation!$D$5)</f>
        <v>-0.32631578947368423</v>
      </c>
      <c r="S19" s="81" t="str">
        <f t="shared" si="3"/>
        <v>▼</v>
      </c>
      <c r="T19" s="56" cm="1">
        <f t="array" ref="T19">INDEX(Calculation!Q22:Q$34,Calculation!$D$5)</f>
        <v>8210</v>
      </c>
      <c r="V19" s="54" cm="1">
        <f t="array" ref="V19">INDEX(Calculation!Z22:Z$34,Calculation!$D$5)</f>
        <v>3.7901944002934345E-3</v>
      </c>
      <c r="W19" s="57">
        <f t="shared" si="4"/>
        <v>3.7901944002934345E-3</v>
      </c>
      <c r="Y19" s="54" cm="1">
        <f t="array" ref="Y19">INDEX(Calculation!AC22:AC$34,Calculation!$D$5)</f>
        <v>2.4968789013732832E-2</v>
      </c>
      <c r="Z19" s="37" t="str">
        <f t="shared" si="5"/>
        <v/>
      </c>
      <c r="AB19" s="33"/>
      <c r="AC19" s="33"/>
      <c r="AD19" s="33"/>
      <c r="AE19" s="33"/>
    </row>
    <row r="20" spans="2:31" x14ac:dyDescent="0.25">
      <c r="B20" s="33"/>
      <c r="C20" s="60"/>
      <c r="D20" s="60" cm="1">
        <f t="array" ref="D20">INDEX(Calculation!M23:M$34,Calculation!$D$5)</f>
        <v>10</v>
      </c>
      <c r="E20" s="60" t="str" cm="1">
        <f t="array" ref="E20">INDEX(Calculation!N23:N$34,Calculation!$D$5)</f>
        <v>Scrap</v>
      </c>
      <c r="F20" s="61" cm="1">
        <f t="array" ref="F20">INDEX(Calculation!O23:O$34,Calculation!$D$5)</f>
        <v>13307</v>
      </c>
      <c r="G20" s="60"/>
      <c r="H20" s="62" cm="1">
        <f t="array" ref="H20">INDEX(Calculation!X23:X$34,Calculation!$D$5)</f>
        <v>9.730353756081471E-2</v>
      </c>
      <c r="I20" s="63">
        <f t="shared" si="0"/>
        <v>9.730353756081471E-2</v>
      </c>
      <c r="J20" s="60"/>
      <c r="K20" s="62" cm="1">
        <f t="array" ref="K20">INDEX(Calculation!AA23:AA$34,Calculation!$D$5)</f>
        <v>-1.0484830458060678E-2</v>
      </c>
      <c r="L20" s="82" t="str">
        <f t="shared" si="1"/>
        <v/>
      </c>
      <c r="M20" s="61" cm="1">
        <f t="array" ref="M20">INDEX(Calculation!P23:P$34,Calculation!$D$5)</f>
        <v>862</v>
      </c>
      <c r="N20" s="60"/>
      <c r="O20" s="62" cm="1">
        <f t="array" ref="O20">INDEX(Calculation!Y23:Y$34,Calculation!$D$5)</f>
        <v>0.16172506738544473</v>
      </c>
      <c r="P20" s="63">
        <f t="shared" si="2"/>
        <v>0.16172506738544473</v>
      </c>
      <c r="Q20" s="60"/>
      <c r="R20" s="62" cm="1">
        <f t="array" ref="R20">INDEX(Calculation!AB23:AB$34,Calculation!$D$5)</f>
        <v>-4.7513812154696133E-2</v>
      </c>
      <c r="S20" s="82" t="str">
        <f t="shared" si="3"/>
        <v/>
      </c>
      <c r="T20" s="61" cm="1">
        <f t="array" ref="T20">INDEX(Calculation!Q23:Q$34,Calculation!$D$5)</f>
        <v>5279</v>
      </c>
      <c r="U20" s="60"/>
      <c r="V20" s="62" cm="1">
        <f t="array" ref="V20">INDEX(Calculation!Z23:Z$34,Calculation!$D$5)</f>
        <v>-3.8608632307412127E-2</v>
      </c>
      <c r="W20" s="63">
        <f t="shared" si="4"/>
        <v>-3.8608632307412127E-2</v>
      </c>
      <c r="X20" s="60"/>
      <c r="Y20" s="62" cm="1">
        <f t="array" ref="Y20">INDEX(Calculation!AC23:AC$34,Calculation!$D$5)</f>
        <v>-0.12916529198284393</v>
      </c>
      <c r="Z20" s="64" t="str">
        <f t="shared" si="5"/>
        <v>▼</v>
      </c>
      <c r="AA20" s="60"/>
      <c r="AB20" s="33"/>
      <c r="AC20" s="33"/>
      <c r="AD20" s="33"/>
      <c r="AE20" s="33"/>
    </row>
    <row r="21" spans="2:31" x14ac:dyDescent="0.25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spans="2:31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2:31" x14ac:dyDescent="0.25">
      <c r="B23" s="33"/>
      <c r="C23" s="76"/>
      <c r="D23" s="76"/>
      <c r="E23" s="77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33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33"/>
    </row>
    <row r="24" spans="2:31" x14ac:dyDescent="0.25">
      <c r="B24" s="33"/>
      <c r="C24" s="76"/>
      <c r="D24" s="76"/>
      <c r="E24" s="77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33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33"/>
    </row>
    <row r="25" spans="2:31" x14ac:dyDescent="0.25">
      <c r="B25" s="33"/>
      <c r="C25" s="76"/>
      <c r="D25" s="76"/>
      <c r="E25" s="77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33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33"/>
    </row>
    <row r="26" spans="2:31" x14ac:dyDescent="0.25">
      <c r="B26" s="33"/>
      <c r="C26" s="76"/>
      <c r="D26" s="76"/>
      <c r="E26" s="77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33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33"/>
    </row>
    <row r="27" spans="2:31" x14ac:dyDescent="0.25">
      <c r="B27" s="33"/>
      <c r="C27" s="76"/>
      <c r="D27" s="76"/>
      <c r="E27" s="77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33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33"/>
    </row>
    <row r="28" spans="2:31" x14ac:dyDescent="0.25">
      <c r="B28" s="33"/>
      <c r="C28" s="76"/>
      <c r="D28" s="76"/>
      <c r="E28" s="77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33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33"/>
    </row>
    <row r="29" spans="2:31" x14ac:dyDescent="0.25">
      <c r="B29" s="33"/>
      <c r="C29" s="76"/>
      <c r="D29" s="76"/>
      <c r="E29" s="77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33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33"/>
    </row>
    <row r="30" spans="2:31" x14ac:dyDescent="0.25">
      <c r="B30" s="33"/>
      <c r="C30" s="76"/>
      <c r="D30" s="76"/>
      <c r="E30" s="77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33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33"/>
    </row>
    <row r="31" spans="2:31" x14ac:dyDescent="0.25">
      <c r="B31" s="33"/>
      <c r="C31" s="76"/>
      <c r="D31" s="76"/>
      <c r="E31" s="77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33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33"/>
    </row>
    <row r="32" spans="2:31" x14ac:dyDescent="0.25">
      <c r="B32" s="33"/>
      <c r="C32" s="76"/>
      <c r="D32" s="76"/>
      <c r="E32" s="77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33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33"/>
    </row>
    <row r="33" spans="2:31" x14ac:dyDescent="0.25">
      <c r="B33" s="33"/>
      <c r="C33" s="76"/>
      <c r="D33" s="76"/>
      <c r="E33" s="77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33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33"/>
    </row>
    <row r="34" spans="2:31" x14ac:dyDescent="0.25">
      <c r="B34" s="33"/>
      <c r="C34" s="76"/>
      <c r="D34" s="76"/>
      <c r="E34" s="77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33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33"/>
    </row>
    <row r="35" spans="2:31" x14ac:dyDescent="0.25">
      <c r="B35" s="33"/>
      <c r="C35" s="76"/>
      <c r="D35" s="76"/>
      <c r="E35" s="77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33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33"/>
    </row>
    <row r="36" spans="2:31" hidden="1" x14ac:dyDescent="0.25">
      <c r="B36" s="33"/>
      <c r="C36" s="33"/>
      <c r="D36" s="76"/>
      <c r="E36" s="77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33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33"/>
    </row>
    <row r="37" spans="2:31" hidden="1" x14ac:dyDescent="0.25">
      <c r="B37" s="33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3"/>
      <c r="T37" s="33"/>
      <c r="U37" s="33"/>
      <c r="V37" s="76"/>
      <c r="W37" s="76"/>
      <c r="X37" s="76"/>
      <c r="Y37" s="76"/>
      <c r="Z37" s="76"/>
      <c r="AA37" s="76"/>
      <c r="AB37" s="76"/>
      <c r="AC37" s="76"/>
      <c r="AD37" s="76"/>
      <c r="AE37" s="33"/>
    </row>
    <row r="38" spans="2:31" hidden="1" x14ac:dyDescent="0.25">
      <c r="B38" s="33"/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3"/>
      <c r="T38" s="33"/>
      <c r="U38" s="33"/>
      <c r="V38" s="76"/>
      <c r="W38" s="76"/>
      <c r="X38" s="76"/>
      <c r="Y38" s="76"/>
      <c r="Z38" s="76"/>
      <c r="AA38" s="76"/>
      <c r="AB38" s="76"/>
      <c r="AC38" s="76"/>
      <c r="AD38" s="76"/>
      <c r="AE38" s="33"/>
    </row>
    <row r="39" spans="2:31" hidden="1" x14ac:dyDescent="0.25">
      <c r="B39" s="33"/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3"/>
      <c r="T39" s="33"/>
      <c r="U39" s="33"/>
      <c r="V39" s="76"/>
      <c r="W39" s="76"/>
      <c r="X39" s="76"/>
      <c r="Y39" s="76"/>
      <c r="Z39" s="76"/>
      <c r="AA39" s="76"/>
      <c r="AB39" s="76"/>
      <c r="AC39" s="76"/>
      <c r="AD39" s="76"/>
      <c r="AE39" s="33"/>
    </row>
    <row r="40" spans="2:31" hidden="1" x14ac:dyDescent="0.25">
      <c r="B40" s="33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3"/>
      <c r="T40" s="33"/>
      <c r="U40" s="33"/>
      <c r="V40" s="76"/>
      <c r="W40" s="76"/>
      <c r="X40" s="76"/>
      <c r="Y40" s="76"/>
      <c r="Z40" s="76"/>
      <c r="AA40" s="76"/>
      <c r="AB40" s="76"/>
      <c r="AC40" s="76"/>
      <c r="AD40" s="76"/>
      <c r="AE40" s="33"/>
    </row>
    <row r="41" spans="2:31" hidden="1" x14ac:dyDescent="0.25">
      <c r="B41" s="33"/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3"/>
      <c r="T41" s="33"/>
      <c r="U41" s="33"/>
      <c r="V41" s="76"/>
      <c r="W41" s="76"/>
      <c r="X41" s="76"/>
      <c r="Y41" s="76"/>
      <c r="Z41" s="76"/>
      <c r="AA41" s="76"/>
      <c r="AB41" s="76"/>
      <c r="AC41" s="76"/>
      <c r="AD41" s="76"/>
      <c r="AE41" s="33"/>
    </row>
    <row r="42" spans="2:31" hidden="1" x14ac:dyDescent="0.25">
      <c r="B42" s="33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3"/>
      <c r="T42" s="33"/>
      <c r="U42" s="33"/>
      <c r="V42" s="76"/>
      <c r="W42" s="76"/>
      <c r="X42" s="76"/>
      <c r="Y42" s="76"/>
      <c r="Z42" s="76"/>
      <c r="AA42" s="76"/>
      <c r="AB42" s="76"/>
      <c r="AC42" s="76"/>
      <c r="AD42" s="76"/>
      <c r="AE42" s="33"/>
    </row>
    <row r="43" spans="2:31" hidden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</row>
    <row r="44" spans="2:31" hidden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</row>
    <row r="45" spans="2:31" hidden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</row>
  </sheetData>
  <sheetProtection algorithmName="SHA-512" hashValue="eNZ1UdSjAVyCkcfp40IoFqDLGBXmvNNHVdfulr4hEtzuGxJVAij2JnZ0hnLelRiMGovThS+WVSb95bQ8THfq9A==" saltValue="LRdPWMu1RLS91LASNCfIkg==" spinCount="100000" sheet="1" objects="1" scenarios="1"/>
  <conditionalFormatting sqref="L11:L20">
    <cfRule type="cellIs" dxfId="5" priority="5" operator="equal">
      <formula>"▲"</formula>
    </cfRule>
    <cfRule type="cellIs" dxfId="4" priority="6" operator="equal">
      <formula>"▼"</formula>
    </cfRule>
  </conditionalFormatting>
  <conditionalFormatting sqref="S11:S20">
    <cfRule type="cellIs" dxfId="3" priority="3" operator="equal">
      <formula>"▲"</formula>
    </cfRule>
    <cfRule type="cellIs" dxfId="2" priority="4" operator="equal">
      <formula>"▼"</formula>
    </cfRule>
  </conditionalFormatting>
  <conditionalFormatting sqref="Z11:Z20">
    <cfRule type="cellIs" dxfId="1" priority="1" operator="equal">
      <formula>"▲"</formula>
    </cfRule>
    <cfRule type="cellIs" dxfId="0" priority="2" operator="equal">
      <formula>"▼"</formula>
    </cfRule>
  </conditionalFormatting>
  <dataValidations count="1">
    <dataValidation type="textLength" errorStyle="warning" operator="equal" allowBlank="1" showInputMessage="1" showErrorMessage="1" error="Incorrect Value, kindly input the year in &quot;YYYY&quot;_x000a_" promptTitle="Year" prompt="Kindly input Year as YYYY" sqref="F4:G4" xr:uid="{AD0E5C1D-DECC-4A69-B6ED-0C7CE5B16319}">
      <formula1>4</formula1>
    </dataValidation>
  </dataValidations>
  <pageMargins left="0.7" right="0.7" top="0.75" bottom="0.75" header="0.3" footer="0.3"/>
  <pageSetup paperSize="9" scale="9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Drop Down 6">
              <controlPr defaultSize="0" autoLine="0" autoPict="0">
                <anchor moveWithCells="1">
                  <from>
                    <xdr:col>4</xdr:col>
                    <xdr:colOff>670560</xdr:colOff>
                    <xdr:row>5</xdr:row>
                    <xdr:rowOff>7620</xdr:rowOff>
                  </from>
                  <to>
                    <xdr:col>7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Scroll Bar 7">
              <controlPr defaultSize="0" autoPict="0">
                <anchor moveWithCells="1">
                  <from>
                    <xdr:col>26</xdr:col>
                    <xdr:colOff>137160</xdr:colOff>
                    <xdr:row>10</xdr:row>
                    <xdr:rowOff>7620</xdr:rowOff>
                  </from>
                  <to>
                    <xdr:col>27</xdr:col>
                    <xdr:colOff>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6" name="List Box 9">
              <controlPr defaultSize="0" autoLine="0" autoPict="0">
                <anchor moveWithCells="1">
                  <from>
                    <xdr:col>2</xdr:col>
                    <xdr:colOff>99060</xdr:colOff>
                    <xdr:row>22</xdr:row>
                    <xdr:rowOff>121920</xdr:rowOff>
                  </from>
                  <to>
                    <xdr:col>4</xdr:col>
                    <xdr:colOff>647700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7" name="Option Button 10">
              <controlPr defaultSize="0" autoFill="0" autoLine="0" autoPict="0">
                <anchor moveWithCells="1">
                  <from>
                    <xdr:col>3</xdr:col>
                    <xdr:colOff>45720</xdr:colOff>
                    <xdr:row>26</xdr:row>
                    <xdr:rowOff>144780</xdr:rowOff>
                  </from>
                  <to>
                    <xdr:col>5</xdr:col>
                    <xdr:colOff>15240</xdr:colOff>
                    <xdr:row>28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Option Button 11">
              <controlPr defaultSize="0" autoFill="0" autoLine="0" autoPict="0">
                <anchor moveWithCells="1">
                  <from>
                    <xdr:col>3</xdr:col>
                    <xdr:colOff>45720</xdr:colOff>
                    <xdr:row>28</xdr:row>
                    <xdr:rowOff>15240</xdr:rowOff>
                  </from>
                  <to>
                    <xdr:col>5</xdr:col>
                    <xdr:colOff>15240</xdr:colOff>
                    <xdr:row>29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Scroll Bar 17">
              <controlPr defaultSize="0" autoPict="0">
                <anchor moveWithCells="1">
                  <from>
                    <xdr:col>24</xdr:col>
                    <xdr:colOff>487680</xdr:colOff>
                    <xdr:row>20</xdr:row>
                    <xdr:rowOff>114300</xdr:rowOff>
                  </from>
                  <to>
                    <xdr:col>27</xdr:col>
                    <xdr:colOff>640080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22</xdr:col>
                    <xdr:colOff>236220</xdr:colOff>
                    <xdr:row>20</xdr:row>
                    <xdr:rowOff>99060</xdr:rowOff>
                  </from>
                  <to>
                    <xdr:col>24</xdr:col>
                    <xdr:colOff>289560</xdr:colOff>
                    <xdr:row>21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22</xdr:col>
                    <xdr:colOff>617220</xdr:colOff>
                    <xdr:row>20</xdr:row>
                    <xdr:rowOff>83820</xdr:rowOff>
                  </from>
                  <to>
                    <xdr:col>24</xdr:col>
                    <xdr:colOff>381000</xdr:colOff>
                    <xdr:row>21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3" id="{7A8E7934-07F5-4A9A-A74E-48145024CA32}">
            <x14:dataBar minLength="0" maxLength="100" showValue="0" gradient="0">
              <x14:cfvo type="num">
                <xm:f>Calculation!$X$39</xm:f>
              </x14:cfvo>
              <x14:cfvo type="num">
                <xm:f>Calculation!$X$40</xm:f>
              </x14:cfvo>
              <x14:fillColor rgb="FFFFB628"/>
              <x14:negativeFillColor theme="0" tint="-0.34998626667073579"/>
              <x14:axisColor theme="0"/>
            </x14:dataBar>
          </x14:cfRule>
          <xm:sqref>I11:I20</xm:sqref>
        </x14:conditionalFormatting>
        <x14:conditionalFormatting xmlns:xm="http://schemas.microsoft.com/office/excel/2006/main">
          <x14:cfRule type="dataBar" priority="11" id="{73B1A878-A42C-4CD7-89DC-F2559835393F}">
            <x14:dataBar minLength="0" maxLength="100" showValue="0" gradient="0">
              <x14:cfvo type="num">
                <xm:f>Calculation!$X$41</xm:f>
              </x14:cfvo>
              <x14:cfvo type="num">
                <xm:f>Calculation!$X$42</xm:f>
              </x14:cfvo>
              <x14:fillColor rgb="FFFFB628"/>
              <x14:negativeFillColor theme="0" tint="-0.34998626667073579"/>
              <x14:axisColor theme="0"/>
            </x14:dataBar>
          </x14:cfRule>
          <xm:sqref>P11:P20</xm:sqref>
        </x14:conditionalFormatting>
        <x14:conditionalFormatting xmlns:xm="http://schemas.microsoft.com/office/excel/2006/main">
          <x14:cfRule type="dataBar" priority="9" id="{7B783F5B-35A5-475A-AC2B-E3DB724E39BE}">
            <x14:dataBar minLength="0" maxLength="100" showValue="0" gradient="0">
              <x14:cfvo type="num">
                <xm:f>Calculation!$X$43</xm:f>
              </x14:cfvo>
              <x14:cfvo type="num">
                <xm:f>Calculation!$X$44</xm:f>
              </x14:cfvo>
              <x14:fillColor rgb="FFFFB628"/>
              <x14:negativeFillColor theme="0" tint="-0.34998626667073579"/>
              <x14:axisColor theme="0"/>
            </x14:dataBar>
          </x14:cfRule>
          <xm:sqref>W11:W20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 down" xr:uid="{E3908F51-07C8-44AF-948A-0E62D2D5CBA8}">
          <x14:formula1>
            <xm:f>Calculation!$B$14:$B$25</xm:f>
          </x14:formula1>
          <xm:sqref>F5:G5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CEFF-D61E-423B-8FDC-63D00D0B45CB}">
  <sheetPr codeName="Sheet3"/>
  <dimension ref="B1:P41"/>
  <sheetViews>
    <sheetView showGridLines="0" workbookViewId="0">
      <selection activeCell="D23" sqref="D23"/>
    </sheetView>
  </sheetViews>
  <sheetFormatPr defaultRowHeight="13.8" x14ac:dyDescent="0.25"/>
  <cols>
    <col min="1" max="1" width="9" customWidth="1"/>
    <col min="2" max="2" width="1.8984375" customWidth="1"/>
    <col min="4" max="4" width="9.5" bestFit="1" customWidth="1"/>
  </cols>
  <sheetData>
    <row r="1" spans="2:16" ht="7.5" customHeight="1" x14ac:dyDescent="0.25"/>
    <row r="2" spans="2:16" ht="4.5" customHeight="1" x14ac:dyDescent="0.25"/>
    <row r="3" spans="2:16" ht="8.25" customHeight="1" x14ac:dyDescent="0.25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2:16" ht="22.8" x14ac:dyDescent="0.4">
      <c r="B4" s="86"/>
      <c r="C4" s="87" t="s">
        <v>126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2:16" x14ac:dyDescent="0.25">
      <c r="B5" s="86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6"/>
    </row>
    <row r="6" spans="2:16" ht="17.399999999999999" x14ac:dyDescent="0.3">
      <c r="B6" s="86"/>
      <c r="C6" s="89"/>
      <c r="D6" s="90" t="s">
        <v>127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86"/>
    </row>
    <row r="7" spans="2:16" x14ac:dyDescent="0.25">
      <c r="B7" s="86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86"/>
    </row>
    <row r="8" spans="2:16" x14ac:dyDescent="0.25">
      <c r="B8" s="86"/>
      <c r="C8" s="91"/>
      <c r="D8" s="91" t="s">
        <v>128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86"/>
    </row>
    <row r="9" spans="2:16" x14ac:dyDescent="0.25">
      <c r="B9" s="86"/>
      <c r="C9" s="91"/>
      <c r="D9" s="92" t="s">
        <v>129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86"/>
    </row>
    <row r="10" spans="2:16" x14ac:dyDescent="0.25">
      <c r="B10" s="86"/>
      <c r="C10" s="91"/>
      <c r="D10" s="91" t="s">
        <v>130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86"/>
    </row>
    <row r="11" spans="2:16" x14ac:dyDescent="0.25">
      <c r="B11" s="86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86"/>
    </row>
    <row r="12" spans="2:16" ht="17.399999999999999" x14ac:dyDescent="0.3">
      <c r="B12" s="86"/>
      <c r="C12" s="91"/>
      <c r="D12" s="90" t="s">
        <v>131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86"/>
    </row>
    <row r="13" spans="2:16" x14ac:dyDescent="0.25">
      <c r="B13" s="86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86"/>
    </row>
    <row r="14" spans="2:16" x14ac:dyDescent="0.25">
      <c r="B14" s="86"/>
      <c r="C14" s="91"/>
      <c r="D14" s="91" t="s">
        <v>132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86"/>
    </row>
    <row r="15" spans="2:16" x14ac:dyDescent="0.25">
      <c r="B15" s="86"/>
      <c r="C15" s="91"/>
      <c r="D15" s="91" t="s">
        <v>133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86"/>
    </row>
    <row r="16" spans="2:16" x14ac:dyDescent="0.25">
      <c r="B16" s="86"/>
      <c r="C16" s="91"/>
      <c r="D16" s="91" t="s">
        <v>134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86"/>
    </row>
    <row r="17" spans="2:16" x14ac:dyDescent="0.25">
      <c r="B17" s="86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86"/>
    </row>
    <row r="18" spans="2:16" x14ac:dyDescent="0.25">
      <c r="B18" s="86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86"/>
    </row>
    <row r="19" spans="2:16" x14ac:dyDescent="0.25"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</row>
    <row r="21" spans="2:16" ht="22.8" x14ac:dyDescent="0.4">
      <c r="B21" s="86"/>
      <c r="C21" s="87" t="s">
        <v>135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2" spans="2:16" x14ac:dyDescent="0.25">
      <c r="B22" s="86"/>
      <c r="C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6"/>
    </row>
    <row r="23" spans="2:16" x14ac:dyDescent="0.25">
      <c r="B23" s="86"/>
      <c r="C23" s="91"/>
      <c r="D23" s="94" t="s">
        <v>136</v>
      </c>
      <c r="E23" s="91"/>
      <c r="F23" s="91" t="s">
        <v>137</v>
      </c>
      <c r="G23" s="91"/>
      <c r="H23" s="91"/>
      <c r="I23" s="91"/>
      <c r="J23" s="91"/>
      <c r="K23" s="91"/>
      <c r="L23" s="91"/>
      <c r="M23" s="91"/>
      <c r="N23" s="91"/>
      <c r="O23" s="91"/>
      <c r="P23" s="86"/>
    </row>
    <row r="24" spans="2:16" x14ac:dyDescent="0.25">
      <c r="B24" s="86"/>
      <c r="C24" s="91"/>
      <c r="D24" s="94" t="s">
        <v>138</v>
      </c>
      <c r="E24" s="91"/>
      <c r="F24" s="91" t="s">
        <v>139</v>
      </c>
      <c r="G24" s="91"/>
      <c r="H24" s="91"/>
      <c r="I24" s="91"/>
      <c r="J24" s="91"/>
      <c r="K24" s="91"/>
      <c r="L24" s="91"/>
      <c r="M24" s="91"/>
      <c r="N24" s="91"/>
      <c r="O24" s="91"/>
      <c r="P24" s="86"/>
    </row>
    <row r="25" spans="2:16" x14ac:dyDescent="0.25">
      <c r="B25" s="86"/>
      <c r="C25" s="91"/>
      <c r="D25" s="94" t="s">
        <v>140</v>
      </c>
      <c r="E25" s="91"/>
      <c r="F25" s="91" t="s">
        <v>141</v>
      </c>
      <c r="G25" s="91"/>
      <c r="H25" s="91"/>
      <c r="I25" s="91"/>
      <c r="J25" s="91"/>
      <c r="K25" s="91"/>
      <c r="L25" s="91"/>
      <c r="M25" s="91"/>
      <c r="N25" s="91"/>
      <c r="O25" s="91"/>
      <c r="P25" s="86"/>
    </row>
    <row r="26" spans="2:16" x14ac:dyDescent="0.25">
      <c r="B26" s="86"/>
      <c r="C26" s="91"/>
      <c r="D26" t="s">
        <v>142</v>
      </c>
      <c r="E26" s="91"/>
      <c r="F26" s="91" t="s">
        <v>143</v>
      </c>
      <c r="G26" s="91"/>
      <c r="H26" s="91"/>
      <c r="I26" s="91"/>
      <c r="J26" s="91"/>
      <c r="K26" s="91"/>
      <c r="L26" s="91"/>
      <c r="M26" s="91"/>
      <c r="N26" s="91"/>
      <c r="O26" s="91"/>
      <c r="P26" s="86"/>
    </row>
    <row r="27" spans="2:16" x14ac:dyDescent="0.25">
      <c r="B27" s="86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86"/>
    </row>
    <row r="28" spans="2:16" x14ac:dyDescent="0.25"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</row>
    <row r="30" spans="2:16" ht="22.8" x14ac:dyDescent="0.4">
      <c r="B30" s="86"/>
      <c r="C30" s="87" t="s">
        <v>144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</row>
    <row r="31" spans="2:16" x14ac:dyDescent="0.25">
      <c r="B31" s="86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6"/>
    </row>
    <row r="32" spans="2:16" x14ac:dyDescent="0.25">
      <c r="B32" s="86"/>
      <c r="C32" s="91"/>
      <c r="D32" s="93">
        <v>42955</v>
      </c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86"/>
    </row>
    <row r="33" spans="2:16" x14ac:dyDescent="0.25">
      <c r="B33" s="86"/>
      <c r="C33" s="91"/>
      <c r="D33" s="91" t="s">
        <v>145</v>
      </c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86"/>
    </row>
    <row r="34" spans="2:16" x14ac:dyDescent="0.25">
      <c r="B34" s="86"/>
      <c r="C34" s="91"/>
      <c r="D34" s="92" t="s">
        <v>146</v>
      </c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86"/>
    </row>
    <row r="35" spans="2:16" x14ac:dyDescent="0.25">
      <c r="B35" s="86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86"/>
    </row>
    <row r="36" spans="2:16" x14ac:dyDescent="0.25">
      <c r="B36" s="86"/>
      <c r="C36" s="91"/>
      <c r="D36" s="93">
        <v>42988</v>
      </c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86"/>
    </row>
    <row r="37" spans="2:16" x14ac:dyDescent="0.25">
      <c r="B37" s="86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86"/>
    </row>
    <row r="38" spans="2:16" x14ac:dyDescent="0.25">
      <c r="B38" s="86"/>
      <c r="C38" s="91"/>
      <c r="D38" s="91" t="s">
        <v>147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86"/>
    </row>
    <row r="39" spans="2:16" x14ac:dyDescent="0.25">
      <c r="B39" s="86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86"/>
    </row>
    <row r="40" spans="2:16" x14ac:dyDescent="0.25">
      <c r="B40" s="86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86"/>
    </row>
    <row r="41" spans="2:16" x14ac:dyDescent="0.25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</row>
  </sheetData>
  <hyperlinks>
    <hyperlink ref="D23" location="Dashboard!A1" display="Dashboard" xr:uid="{1397038C-1898-416C-9620-BF1EDCD140CF}"/>
    <hyperlink ref="D24" location="Calculation!A1" display="Calculation" xr:uid="{13FA3262-B04E-4189-A2F3-B5BF9F3738D4}"/>
    <hyperlink ref="D25" location="Data!A1" display="Raw Data" xr:uid="{7F6C17CD-F8D1-4CF5-8EF8-B14865CDDB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F20A-0D29-44ED-A654-959C50C5D100}">
  <sheetPr codeName="Sheet4"/>
  <dimension ref="B2:AY44"/>
  <sheetViews>
    <sheetView topLeftCell="M1" zoomScale="85" zoomScaleNormal="85" workbookViewId="0">
      <selection activeCell="N20" sqref="N20 Q20 T20"/>
    </sheetView>
  </sheetViews>
  <sheetFormatPr defaultRowHeight="13.8" x14ac:dyDescent="0.25"/>
  <cols>
    <col min="3" max="3" width="19.8984375" bestFit="1" customWidth="1"/>
    <col min="7" max="7" width="16.19921875" customWidth="1"/>
    <col min="8" max="8" width="10.19921875" bestFit="1" customWidth="1"/>
    <col min="9" max="9" width="10.69921875" customWidth="1"/>
    <col min="13" max="13" width="5.8984375" style="37" customWidth="1"/>
    <col min="14" max="14" width="14.796875" style="46" bestFit="1" customWidth="1"/>
    <col min="15" max="15" width="14.09765625" customWidth="1"/>
    <col min="16" max="16" width="12.8984375" customWidth="1"/>
    <col min="17" max="17" width="14.296875" customWidth="1"/>
    <col min="18" max="18" width="12.69921875" bestFit="1" customWidth="1"/>
    <col min="19" max="19" width="10.59765625" bestFit="1" customWidth="1"/>
    <col min="20" max="21" width="12.69921875" bestFit="1" customWidth="1"/>
    <col min="22" max="22" width="11.59765625" bestFit="1" customWidth="1"/>
    <col min="23" max="23" width="13.296875" customWidth="1"/>
    <col min="24" max="24" width="9.796875" customWidth="1"/>
    <col min="30" max="30" width="4.59765625" customWidth="1"/>
    <col min="32" max="32" width="14.5" bestFit="1" customWidth="1"/>
    <col min="33" max="33" width="1" customWidth="1"/>
    <col min="34" max="34" width="17.296875" bestFit="1" customWidth="1"/>
    <col min="35" max="35" width="13" customWidth="1"/>
    <col min="36" max="36" width="12.3984375" customWidth="1"/>
    <col min="37" max="37" width="12.796875" bestFit="1" customWidth="1"/>
    <col min="38" max="38" width="14" customWidth="1"/>
    <col min="42" max="42" width="10.8984375" bestFit="1" customWidth="1"/>
    <col min="43" max="45" width="10.59765625" bestFit="1" customWidth="1"/>
    <col min="46" max="46" width="3" customWidth="1"/>
  </cols>
  <sheetData>
    <row r="2" spans="2:51" x14ac:dyDescent="0.25">
      <c r="B2" s="36" t="s">
        <v>85</v>
      </c>
      <c r="C2" s="36"/>
      <c r="D2" s="36"/>
      <c r="E2" s="36"/>
      <c r="M2" s="45" t="s">
        <v>86</v>
      </c>
      <c r="N2" s="45"/>
      <c r="O2" s="35"/>
      <c r="P2" s="35"/>
      <c r="Q2" s="35"/>
      <c r="R2" s="35"/>
      <c r="S2" s="35"/>
      <c r="T2" s="35"/>
      <c r="U2" s="35"/>
      <c r="AE2" s="45" t="s">
        <v>108</v>
      </c>
      <c r="AF2" s="45"/>
      <c r="AG2" s="35"/>
      <c r="AH2" s="35"/>
      <c r="AI2" s="35"/>
      <c r="AP2" s="33" t="s">
        <v>124</v>
      </c>
      <c r="AQ2" s="33"/>
      <c r="AR2" s="33"/>
      <c r="AS2" s="33"/>
      <c r="AU2" s="33" t="s">
        <v>125</v>
      </c>
      <c r="AV2" s="33"/>
      <c r="AW2" s="33"/>
      <c r="AX2" s="33"/>
      <c r="AY2" s="33"/>
    </row>
    <row r="4" spans="2:51" x14ac:dyDescent="0.25">
      <c r="C4" t="s">
        <v>78</v>
      </c>
      <c r="D4">
        <v>3</v>
      </c>
      <c r="AE4" s="37"/>
      <c r="AF4" s="46"/>
    </row>
    <row r="5" spans="2:51" x14ac:dyDescent="0.25">
      <c r="C5" t="s">
        <v>96</v>
      </c>
      <c r="D5">
        <v>1</v>
      </c>
    </row>
    <row r="6" spans="2:51" x14ac:dyDescent="0.25">
      <c r="C6" t="s">
        <v>113</v>
      </c>
      <c r="D6">
        <v>1</v>
      </c>
    </row>
    <row r="7" spans="2:51" x14ac:dyDescent="0.25">
      <c r="C7" t="s">
        <v>119</v>
      </c>
      <c r="D7">
        <v>2</v>
      </c>
      <c r="O7" t="str">
        <f t="array" ref="O7">O8&amp;O9&amp;O10&amp;O11</f>
        <v>2024DecActualRevenue</v>
      </c>
      <c r="P7" t="str">
        <f t="array" ref="P7">P8&amp;P9&amp;P10&amp;P11</f>
        <v>2024DecActualProfit</v>
      </c>
      <c r="Q7" t="str">
        <f t="array" ref="Q7">Q8&amp;Q9&amp;Q10&amp;Q11</f>
        <v>2024DecActualCash</v>
      </c>
      <c r="R7" t="str">
        <f t="array" ref="R7">R8&amp;R9&amp;R10&amp;R11</f>
        <v>2023DecActualRevenue</v>
      </c>
      <c r="S7" t="str">
        <f t="array" ref="S7">S8&amp;S9&amp;S10&amp;S11</f>
        <v>2023DecActualProfit</v>
      </c>
      <c r="T7" t="str">
        <f t="array" ref="T7">T8&amp;T9&amp;T10&amp;T11</f>
        <v>2023DecActualCash</v>
      </c>
      <c r="U7" t="str">
        <f t="array" ref="U7">U8&amp;U9&amp;U10&amp;U11</f>
        <v>2024DecBudgetRevenue</v>
      </c>
      <c r="V7" t="str">
        <f t="array" ref="V7">V8&amp;V9&amp;V10&amp;V11</f>
        <v>2024DecBudgetProfit</v>
      </c>
      <c r="W7" t="str">
        <f t="array" ref="W7">W8&amp;W9&amp;W10&amp;W11</f>
        <v>2024DecBudgetCash</v>
      </c>
    </row>
    <row r="8" spans="2:51" x14ac:dyDescent="0.25">
      <c r="C8" t="s">
        <v>120</v>
      </c>
      <c r="D8">
        <v>3</v>
      </c>
      <c r="O8" s="46">
        <f>cur_year</f>
        <v>2024</v>
      </c>
      <c r="P8" s="46">
        <f>cur_year</f>
        <v>2024</v>
      </c>
      <c r="Q8" s="46">
        <f>cur_year</f>
        <v>2024</v>
      </c>
      <c r="R8" s="46">
        <f>cur_year-1</f>
        <v>2023</v>
      </c>
      <c r="S8" s="46">
        <f>cur_year-1</f>
        <v>2023</v>
      </c>
      <c r="T8" s="46">
        <f>cur_year-1</f>
        <v>2023</v>
      </c>
      <c r="U8" s="46">
        <f>cur_year</f>
        <v>2024</v>
      </c>
      <c r="V8" s="46">
        <f>cur_year</f>
        <v>2024</v>
      </c>
      <c r="W8" s="46">
        <f>cur_year</f>
        <v>2024</v>
      </c>
      <c r="X8" s="46"/>
      <c r="Y8" s="46"/>
      <c r="Z8" s="46"/>
      <c r="AA8" s="46"/>
      <c r="AB8" s="46"/>
      <c r="AC8" s="46"/>
      <c r="AH8" t="s">
        <v>109</v>
      </c>
    </row>
    <row r="9" spans="2:51" x14ac:dyDescent="0.25">
      <c r="C9" t="s">
        <v>121</v>
      </c>
      <c r="D9" t="b">
        <v>1</v>
      </c>
      <c r="O9" t="str">
        <f t="shared" ref="O9:W9" si="0">cur_month</f>
        <v>Dec</v>
      </c>
      <c r="P9" t="str">
        <f t="shared" si="0"/>
        <v>Dec</v>
      </c>
      <c r="Q9" t="str">
        <f t="shared" si="0"/>
        <v>Dec</v>
      </c>
      <c r="R9" t="str">
        <f t="shared" si="0"/>
        <v>Dec</v>
      </c>
      <c r="S9" t="str">
        <f t="shared" si="0"/>
        <v>Dec</v>
      </c>
      <c r="T9" t="str">
        <f t="shared" si="0"/>
        <v>Dec</v>
      </c>
      <c r="U9" t="str">
        <f t="shared" si="0"/>
        <v>Dec</v>
      </c>
      <c r="V9" t="str">
        <f t="shared" si="0"/>
        <v>Dec</v>
      </c>
      <c r="W9" t="str">
        <f t="shared" si="0"/>
        <v>Dec</v>
      </c>
      <c r="AH9" t="s">
        <v>110</v>
      </c>
    </row>
    <row r="10" spans="2:51" x14ac:dyDescent="0.25">
      <c r="C10" t="s">
        <v>122</v>
      </c>
      <c r="D10" t="b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13</v>
      </c>
      <c r="V10" t="s">
        <v>13</v>
      </c>
      <c r="W10" t="s">
        <v>13</v>
      </c>
      <c r="AP10" s="32" t="str" cm="1">
        <f t="array" ref="AP10">INDEX($G$13:$I$34,D8,D4)</f>
        <v>Infic</v>
      </c>
      <c r="AU10" t="str">
        <f>"Profit for "&amp;AP10</f>
        <v>Profit for Infic</v>
      </c>
    </row>
    <row r="11" spans="2:51" x14ac:dyDescent="0.25">
      <c r="O11" t="s">
        <v>29</v>
      </c>
      <c r="P11" t="s">
        <v>30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30</v>
      </c>
      <c r="W11" t="s">
        <v>31</v>
      </c>
      <c r="AH11" s="75" t="str">
        <f>CHOOSE($D$7,"Top 6 ","Bottom 6")&amp;" sorted based on % ▲ B"</f>
        <v>Bottom 6 sorted based on % ▲ B</v>
      </c>
      <c r="AI11" s="75"/>
      <c r="AJ11" s="75"/>
    </row>
    <row r="12" spans="2:51" x14ac:dyDescent="0.25">
      <c r="B12" s="36" t="s">
        <v>84</v>
      </c>
      <c r="C12" s="36"/>
      <c r="D12" s="36"/>
      <c r="E12" s="36"/>
      <c r="G12" s="36" t="s">
        <v>79</v>
      </c>
      <c r="H12" s="36"/>
      <c r="I12" s="36"/>
      <c r="J12" s="36"/>
      <c r="K12" s="36"/>
      <c r="O12" s="31" t="s">
        <v>0</v>
      </c>
      <c r="P12" s="31"/>
      <c r="Q12" s="31"/>
      <c r="R12" s="31" t="s">
        <v>14</v>
      </c>
      <c r="S12" s="31"/>
      <c r="T12" s="31"/>
      <c r="U12" s="31" t="s">
        <v>13</v>
      </c>
      <c r="V12" s="31"/>
      <c r="W12" s="31"/>
      <c r="X12" s="31" t="s">
        <v>89</v>
      </c>
      <c r="Y12" s="31"/>
      <c r="Z12" s="31"/>
      <c r="AA12" s="31" t="s">
        <v>90</v>
      </c>
      <c r="AB12" s="31"/>
      <c r="AC12" s="31"/>
      <c r="AE12" s="74" t="s">
        <v>111</v>
      </c>
      <c r="AF12" s="74"/>
      <c r="AH12" s="32" t="s">
        <v>112</v>
      </c>
      <c r="AI12" s="74" t="str" cm="1">
        <f t="array" ref="AI12">AI13&amp;" "&amp;INDEX($U$13:$W$13,$D$6)&amp;" Vs. "&amp;AJ13</f>
        <v>Actual Revenue Vs. Budget</v>
      </c>
      <c r="AJ12" s="74"/>
      <c r="AP12" s="84"/>
      <c r="AQ12" s="83">
        <f>cur_year</f>
        <v>2024</v>
      </c>
      <c r="AR12" s="84">
        <f>AQ12-1</f>
        <v>2023</v>
      </c>
      <c r="AS12" s="83">
        <f>AQ12</f>
        <v>2024</v>
      </c>
      <c r="AV12" s="83">
        <f t="shared" ref="AV12:AX13" si="1">AQ12</f>
        <v>2024</v>
      </c>
      <c r="AW12" s="84">
        <f t="shared" si="1"/>
        <v>2023</v>
      </c>
      <c r="AX12" s="83">
        <f t="shared" si="1"/>
        <v>2024</v>
      </c>
      <c r="AY12" s="33" t="s">
        <v>117</v>
      </c>
    </row>
    <row r="13" spans="2:51" x14ac:dyDescent="0.25">
      <c r="G13" s="38" t="str">
        <f t="array" ref="G13:I13">TRANSPOSE(C14:C16)</f>
        <v>Productivity Apps</v>
      </c>
      <c r="H13" s="39" t="str">
        <v>Game Apps</v>
      </c>
      <c r="I13" s="40" t="str">
        <v>Utility Apps</v>
      </c>
      <c r="M13" s="51" t="s">
        <v>87</v>
      </c>
      <c r="N13" s="51" t="s">
        <v>88</v>
      </c>
      <c r="O13" s="48" t="s">
        <v>29</v>
      </c>
      <c r="P13" s="48" t="s">
        <v>30</v>
      </c>
      <c r="Q13" s="48" t="s">
        <v>31</v>
      </c>
      <c r="R13" s="49" t="s">
        <v>29</v>
      </c>
      <c r="S13" s="49" t="s">
        <v>30</v>
      </c>
      <c r="T13" s="49" t="s">
        <v>31</v>
      </c>
      <c r="U13" s="50" t="s">
        <v>29</v>
      </c>
      <c r="V13" s="50" t="s">
        <v>30</v>
      </c>
      <c r="W13" s="50" t="s">
        <v>31</v>
      </c>
      <c r="X13" s="49" t="s">
        <v>91</v>
      </c>
      <c r="Y13" s="49" t="s">
        <v>92</v>
      </c>
      <c r="Z13" s="49" t="s">
        <v>93</v>
      </c>
      <c r="AA13" s="50" t="s">
        <v>114</v>
      </c>
      <c r="AB13" s="50" t="s">
        <v>115</v>
      </c>
      <c r="AC13" s="50" t="s">
        <v>116</v>
      </c>
      <c r="AE13" s="50" t="s">
        <v>88</v>
      </c>
      <c r="AF13" s="49" t="str" cm="1">
        <f t="array" ref="AF13">INDEX($AA$13:$AC$13,$D$6)&amp;" ▲ B"</f>
        <v>Revenue % ▲ B</v>
      </c>
      <c r="AG13" s="35"/>
      <c r="AH13" s="48" t="s">
        <v>88</v>
      </c>
      <c r="AI13" s="49" t="s">
        <v>0</v>
      </c>
      <c r="AJ13" s="50" t="s">
        <v>13</v>
      </c>
      <c r="AK13" s="33" t="s">
        <v>117</v>
      </c>
      <c r="AL13" s="33" t="s">
        <v>118</v>
      </c>
      <c r="AP13" s="84" t="s">
        <v>76</v>
      </c>
      <c r="AQ13" s="83" t="s">
        <v>0</v>
      </c>
      <c r="AR13" s="84" t="s">
        <v>0</v>
      </c>
      <c r="AS13" s="83" t="s">
        <v>13</v>
      </c>
      <c r="AU13" s="84" t="s">
        <v>76</v>
      </c>
      <c r="AV13" s="83" t="str">
        <f t="shared" si="1"/>
        <v>Actual</v>
      </c>
      <c r="AW13" s="84" t="str">
        <f t="shared" si="1"/>
        <v>Actual</v>
      </c>
      <c r="AX13" s="83" t="str">
        <f t="shared" si="1"/>
        <v>Budget</v>
      </c>
      <c r="AY13" s="33" t="s">
        <v>123</v>
      </c>
    </row>
    <row r="14" spans="2:51" x14ac:dyDescent="0.25">
      <c r="B14" t="s">
        <v>18</v>
      </c>
      <c r="C14" t="s">
        <v>32</v>
      </c>
      <c r="D14" s="16" t="s">
        <v>29</v>
      </c>
      <c r="G14" s="41" t="s">
        <v>33</v>
      </c>
      <c r="H14" s="29" t="s">
        <v>49</v>
      </c>
      <c r="I14" s="42" t="s">
        <v>62</v>
      </c>
      <c r="M14" s="37">
        <f>IF(N14&lt;&gt;"",ROW(A1),"")</f>
        <v>1</v>
      </c>
      <c r="N14" s="46" t="str" cm="1">
        <f t="array" ref="N14">IF(G14&lt;&gt;"",INDEX(G14:I14,,$D$4),"")</f>
        <v>Commuta</v>
      </c>
      <c r="O14" s="56">
        <f>IF($N14&lt;&gt;"",INDEX(Data!$B$9:$J$55,MATCH($N14,Data!$A$9:$A$51,0),MATCH(O$7,Data!$B$4:$AT$4,0)),"")</f>
        <v>6353</v>
      </c>
      <c r="P14" s="56">
        <f>IF($N14&lt;&gt;"",INDEX(Data!$B$9:$J$55,MATCH($N14,Data!$A$9:$A$51,0),MATCH(P$7,Data!$B$4:$AT$4,0)),"")</f>
        <v>762</v>
      </c>
      <c r="Q14" s="56">
        <f>IF($N14&lt;&gt;"",INDEX(Data!$B$9:$J$55,MATCH($N14,Data!$A$9:$A$51,0),MATCH(Q$7,Data!$B$4:$AT$4,0)),"")</f>
        <v>7332</v>
      </c>
      <c r="R14" s="56">
        <f>IF($N14&lt;&gt;"",INDEX(Data!$B$9:$J$55,MATCH($N14,Data!$A$9:$A$51,0),MATCH(R$7,Data!$B$4:$AT$4,0)),"")</f>
        <v>5993</v>
      </c>
      <c r="S14" s="56">
        <f>IF($N14&lt;&gt;"",INDEX(Data!$B$9:$J$55,MATCH($N14,Data!$A$9:$A$51,0),MATCH(S$7,Data!$B$4:$AT$4,0)),"")</f>
        <v>674</v>
      </c>
      <c r="T14" s="56">
        <f>IF($N14&lt;&gt;"",INDEX(Data!$B$9:$J$55,MATCH($N14,Data!$A$9:$A$51,0),MATCH(T$7,Data!$B$4:$AT$4,0)),"")</f>
        <v>7167</v>
      </c>
      <c r="U14" s="56">
        <f>IF($N14&lt;&gt;"",INDEX(Data!$B$9:$J$55,MATCH($N14,Data!$A$9:$A$51,0),MATCH(U$7,Data!$B$4:$AT$4,0)),"")</f>
        <v>5275</v>
      </c>
      <c r="V14" s="56">
        <f>IF($N14&lt;&gt;"",INDEX(Data!$B$9:$J$55,MATCH($N14,Data!$A$9:$A$51,0),MATCH(V$7,Data!$B$4:$AT$4,0)),"")</f>
        <v>568</v>
      </c>
      <c r="W14" s="56">
        <f>IF($N14&lt;&gt;"",INDEX(Data!$B$9:$J$55,MATCH($N14,Data!$A$9:$A$51,0),MATCH(W$7,Data!$B$4:$AT$4,0)),"")</f>
        <v>7227</v>
      </c>
      <c r="X14" s="55">
        <f>IF($N14&lt;&gt;"",(O14-R14)/R14,"")</f>
        <v>6.0070081762055728E-2</v>
      </c>
      <c r="Y14" s="55">
        <f t="shared" ref="Y14:Z14" si="2">IF($N14&lt;&gt;"",(P14-S14)/S14,"")</f>
        <v>0.13056379821958458</v>
      </c>
      <c r="Z14" s="55">
        <f t="shared" si="2"/>
        <v>2.3022185014650483E-2</v>
      </c>
      <c r="AA14" s="55">
        <f>IF($N14&lt;&gt;"",(O14-U14)/U14,"")</f>
        <v>0.20436018957345972</v>
      </c>
      <c r="AB14" s="55">
        <f t="shared" ref="AB14:AC14" si="3">IF($N14&lt;&gt;"",(P14-V14)/V14,"")</f>
        <v>0.34154929577464788</v>
      </c>
      <c r="AC14" s="55">
        <f t="shared" si="3"/>
        <v>1.4528850145288501E-2</v>
      </c>
      <c r="AE14" t="str">
        <f t="shared" ref="AE14:AE34" si="4">N14</f>
        <v>Commuta</v>
      </c>
      <c r="AF14" s="57" cm="1">
        <f t="array" ref="AF14">IF(AE14="","",INDEX(AA14:AC14,$D$6)+(ROW()/10000000000)+N("No row function was used to achieve a unique value to sort"))</f>
        <v>0.20436019097345973</v>
      </c>
      <c r="AG14" s="35"/>
      <c r="AH14" t="str">
        <f>INDEX($AE$14:$AE$34,MATCH(CHOOSE($D$7,LARGE($AF$14:$AF$34,$M14),SMALL($AF$14:$AF$34,$M14)),$AF$14:$AF$34,0))</f>
        <v>Strex</v>
      </c>
      <c r="AI14" s="73" cm="1">
        <f t="array" ref="AI14">INDEX($O$14:$Q$34,MATCH($AH14,$N$14:$N$34,0),$D$6)</f>
        <v>8152</v>
      </c>
      <c r="AJ14" s="73" cm="1">
        <f t="array" ref="AJ14">INDEX($U$14:$W$34,MATCH($AH14,$N$14:$N$34,0),$D$6)</f>
        <v>9698</v>
      </c>
      <c r="AK14" s="73">
        <f>MAX(AI14:AJ14)</f>
        <v>9698</v>
      </c>
      <c r="AL14" t="str" cm="1">
        <f t="array" ref="AL14">TEXT(INDEX($AA$14:$AC$34,MATCH(AH14,$AE$14:$AE$34,0),$D$6),"0%")&amp;" | "&amp;TEXT(AI14,"#,##0")</f>
        <v>-16% | 8,152</v>
      </c>
      <c r="AP14" t="s">
        <v>18</v>
      </c>
      <c r="AQ14" s="56" cm="1">
        <f t="array" ref="AQ14">INDEX(Data!$K$9:$AT$51,MATCH(Calculation!$AP$10,Data!$A$9:$A$51,0),MATCH(Calculation!AQ$12&amp;Calculation!$AP14&amp;Calculation!AQ$13,INDEX(Data!$K$5:$AT$5&amp;Data!$K$6:$AT$6&amp;Data!$K$7:$AT$7,),0))</f>
        <v>82</v>
      </c>
      <c r="AR14" s="56" cm="1">
        <f t="array" ref="AR14">INDEX(Data!$K$9:$AT$51,MATCH(Calculation!$AP$10,Data!$A$9:$A$51,0),MATCH(Calculation!AR$12&amp;Calculation!$AP14&amp;Calculation!AR$13,INDEX(Data!$K$5:$AT$5&amp;Data!$K$6:$AT$6&amp;Data!$K$7:$AT$7,),0))</f>
        <v>2</v>
      </c>
      <c r="AS14" s="56" cm="1">
        <f t="array" ref="AS14">INDEX(Data!$K$9:$AT$51,MATCH(Calculation!$AP$10,Data!$A$9:$A$51,0),MATCH(Calculation!AS$12&amp;Calculation!$AP14&amp;Calculation!AS$13,INDEX(Data!$K$5:$AT$5&amp;Data!$K$6:$AT$6&amp;Data!$K$7:$AT$7,),0))</f>
        <v>71</v>
      </c>
      <c r="AU14" t="str">
        <f>LEFT(AP14,1)</f>
        <v>J</v>
      </c>
      <c r="AV14">
        <f>IF(MATCH(cur_month,$AP$14:$AP$25,0)&gt;=ROWS(AP14:$AP$14),AQ14,NA())</f>
        <v>82</v>
      </c>
      <c r="AW14" s="85">
        <f>IF($D$9,AR14,NA())</f>
        <v>2</v>
      </c>
      <c r="AX14" s="85">
        <f>IF($D$10,AS14,NA())</f>
        <v>71</v>
      </c>
      <c r="AY14" t="e">
        <f t="shared" ref="AY14:AY25" si="5">IF(cur_month=AP14,AQ14,NA())</f>
        <v>#N/A</v>
      </c>
    </row>
    <row r="15" spans="2:51" x14ac:dyDescent="0.25">
      <c r="B15" t="s">
        <v>19</v>
      </c>
      <c r="C15" t="s">
        <v>48</v>
      </c>
      <c r="D15" s="16" t="s">
        <v>30</v>
      </c>
      <c r="G15" s="41" t="s">
        <v>34</v>
      </c>
      <c r="H15" s="29" t="s">
        <v>50</v>
      </c>
      <c r="I15" s="42" t="s">
        <v>63</v>
      </c>
      <c r="M15" s="37">
        <f t="shared" ref="M15:M34" si="6">IF(N15&lt;&gt;"",ROW(A2),"")</f>
        <v>2</v>
      </c>
      <c r="N15" s="46" t="str" cm="1">
        <f t="array" ref="N15">IF(G15&lt;&gt;"",INDEX(G15:I15,,$D$4),"")</f>
        <v>Infic</v>
      </c>
      <c r="O15" s="56">
        <f>IF($N15&lt;&gt;"",INDEX(Data!$B$9:$J$55,MATCH($N15,Data!$A$9:$A$51,0),MATCH(O$7,Data!$B$4:$AT$4,0)),"")</f>
        <v>12373</v>
      </c>
      <c r="P15" s="56">
        <f>IF($N15&lt;&gt;"",INDEX(Data!$B$9:$J$55,MATCH($N15,Data!$A$9:$A$51,0),MATCH(P$7,Data!$B$4:$AT$4,0)),"")</f>
        <v>408</v>
      </c>
      <c r="Q15" s="56">
        <f>IF($N15&lt;&gt;"",INDEX(Data!$B$9:$J$55,MATCH($N15,Data!$A$9:$A$51,0),MATCH(Q$7,Data!$B$4:$AT$4,0)),"")</f>
        <v>3054</v>
      </c>
      <c r="R15" s="56">
        <f>IF($N15&lt;&gt;"",INDEX(Data!$B$9:$J$55,MATCH($N15,Data!$A$9:$A$51,0),MATCH(R$7,Data!$B$4:$AT$4,0)),"")</f>
        <v>12398</v>
      </c>
      <c r="S15" s="56">
        <f>IF($N15&lt;&gt;"",INDEX(Data!$B$9:$J$55,MATCH($N15,Data!$A$9:$A$51,0),MATCH(S$7,Data!$B$4:$AT$4,0)),"")</f>
        <v>341</v>
      </c>
      <c r="T15" s="56">
        <f>IF($N15&lt;&gt;"",INDEX(Data!$B$9:$J$55,MATCH($N15,Data!$A$9:$A$51,0),MATCH(T$7,Data!$B$4:$AT$4,0)),"")</f>
        <v>3033</v>
      </c>
      <c r="U15" s="56">
        <f>IF($N15&lt;&gt;"",INDEX(Data!$B$9:$J$55,MATCH($N15,Data!$A$9:$A$51,0),MATCH(U$7,Data!$B$4:$AT$4,0)),"")</f>
        <v>10472</v>
      </c>
      <c r="V15" s="56">
        <f>IF($N15&lt;&gt;"",INDEX(Data!$B$9:$J$55,MATCH($N15,Data!$A$9:$A$51,0),MATCH(V$7,Data!$B$4:$AT$4,0)),"")</f>
        <v>461</v>
      </c>
      <c r="W15" s="56">
        <f>IF($N15&lt;&gt;"",INDEX(Data!$B$9:$J$55,MATCH($N15,Data!$A$9:$A$51,0),MATCH(W$7,Data!$B$4:$AT$4,0)),"")</f>
        <v>2910</v>
      </c>
      <c r="X15" s="55">
        <f t="shared" ref="X15:X34" si="7">IF($N15&lt;&gt;"",(O15-R15)/R15,"")</f>
        <v>-2.0164542668172285E-3</v>
      </c>
      <c r="Y15" s="55">
        <f t="shared" ref="Y15:Y26" si="8">IF($N15&lt;&gt;"",(P15-S15)/S15,"")</f>
        <v>0.19648093841642228</v>
      </c>
      <c r="Z15" s="55">
        <f t="shared" ref="Z15:Z26" si="9">IF($N15&lt;&gt;"",(Q15-T15)/T15,"")</f>
        <v>6.923837784371909E-3</v>
      </c>
      <c r="AA15" s="55">
        <f t="shared" ref="AA15:AA26" si="10">IF($N15&lt;&gt;"",(O15-U15)/U15,"")</f>
        <v>0.18153170359052712</v>
      </c>
      <c r="AB15" s="55">
        <f t="shared" ref="AB15:AB26" si="11">IF($N15&lt;&gt;"",(P15-V15)/V15,"")</f>
        <v>-0.11496746203904555</v>
      </c>
      <c r="AC15" s="55">
        <f t="shared" ref="AC15:AC26" si="12">IF($N15&lt;&gt;"",(Q15-W15)/W15,"")</f>
        <v>4.9484536082474224E-2</v>
      </c>
      <c r="AE15" t="str">
        <f t="shared" si="4"/>
        <v>Infic</v>
      </c>
      <c r="AF15" s="57" cm="1">
        <f t="array" ref="AF15">IF(AE15="","",INDEX(AA15:AC15,$D$6)+(ROW()/10000000000)+N("No row function was used to achieve a unique value to sort"))</f>
        <v>0.18153170509052713</v>
      </c>
      <c r="AG15" s="35"/>
      <c r="AH15" t="str">
        <f t="shared" ref="AH15:AH19" si="13">INDEX($AE$14:$AE$34,MATCH(CHOOSE($D$7,LARGE($AF$14:$AF$34,$M15),SMALL($AF$14:$AF$34,$M15)),$AF$14:$AF$34,0))</f>
        <v>Amplefio</v>
      </c>
      <c r="AI15" s="73" cm="1">
        <f t="array" ref="AI15">INDEX($O$14:$Q$34,MATCH($AH15,$N$14:$N$34,0),$D$6)</f>
        <v>8250</v>
      </c>
      <c r="AJ15" s="73" cm="1">
        <f t="array" ref="AJ15">INDEX($U$14:$W$34,MATCH($AH15,$N$14:$N$34,0),$D$6)</f>
        <v>8899</v>
      </c>
      <c r="AK15" s="73">
        <f t="shared" ref="AK15:AK19" si="14">MAX(AI15:AJ15)</f>
        <v>8899</v>
      </c>
      <c r="AL15" t="str" cm="1">
        <f t="array" ref="AL15">TEXT(INDEX($AA$14:$AC$34,MATCH(AH15,$AE$14:$AE$34,0),$D$6),"0%")&amp;" | "&amp;TEXT(AI15,"#,##0")</f>
        <v>-7% | 8,250</v>
      </c>
      <c r="AP15" t="s">
        <v>19</v>
      </c>
      <c r="AQ15" s="56" cm="1">
        <f t="array" ref="AQ15">INDEX(Data!$K$9:$AT$51,MATCH(Calculation!$AP$10,Data!$A$9:$A$51,0),MATCH(Calculation!AQ$12&amp;Calculation!$AP15&amp;Calculation!AQ$13,INDEX(Data!$K$5:$AT$5&amp;Data!$K$6:$AT$6&amp;Data!$K$7:$AT$7,),0))</f>
        <v>134</v>
      </c>
      <c r="AR15" s="56" cm="1">
        <f t="array" ref="AR15">INDEX(Data!$K$9:$AT$51,MATCH(Calculation!$AP$10,Data!$A$9:$A$51,0),MATCH(Calculation!AR$12&amp;Calculation!$AP15&amp;Calculation!AR$13,INDEX(Data!$K$5:$AT$5&amp;Data!$K$6:$AT$6&amp;Data!$K$7:$AT$7,),0))</f>
        <v>38</v>
      </c>
      <c r="AS15" s="56" cm="1">
        <f t="array" ref="AS15">INDEX(Data!$K$9:$AT$51,MATCH(Calculation!$AP$10,Data!$A$9:$A$51,0),MATCH(Calculation!AS$12&amp;Calculation!$AP15&amp;Calculation!AS$13,INDEX(Data!$K$5:$AT$5&amp;Data!$K$6:$AT$6&amp;Data!$K$7:$AT$7,),0))</f>
        <v>142</v>
      </c>
      <c r="AU15" t="str">
        <f t="shared" ref="AU15:AU25" si="15">LEFT(AP15,1)</f>
        <v>F</v>
      </c>
      <c r="AV15">
        <f>IF(MATCH(cur_month,$AP$14:$AP$25,0)&gt;=ROWS(AP$14:$AP15),AQ15,NA())</f>
        <v>134</v>
      </c>
      <c r="AW15" s="85">
        <f t="shared" ref="AW15:AW25" si="16">IF($D$9,AR15,NA())</f>
        <v>38</v>
      </c>
      <c r="AX15" s="85">
        <f t="shared" ref="AX15:AX25" si="17">IF($D$10,AS15,NA())</f>
        <v>142</v>
      </c>
      <c r="AY15" t="e">
        <f t="shared" si="5"/>
        <v>#N/A</v>
      </c>
    </row>
    <row r="16" spans="2:51" x14ac:dyDescent="0.25">
      <c r="B16" t="s">
        <v>20</v>
      </c>
      <c r="C16" t="s">
        <v>61</v>
      </c>
      <c r="D16" s="16" t="s">
        <v>31</v>
      </c>
      <c r="G16" s="41" t="s">
        <v>35</v>
      </c>
      <c r="H16" s="29" t="s">
        <v>51</v>
      </c>
      <c r="I16" s="42" t="s">
        <v>64</v>
      </c>
      <c r="M16" s="37">
        <f t="shared" si="6"/>
        <v>3</v>
      </c>
      <c r="N16" s="46" t="str" cm="1">
        <f t="array" ref="N16">IF(G16&lt;&gt;"",INDEX(G16:I16,,$D$4),"")</f>
        <v>Accord</v>
      </c>
      <c r="O16" s="56">
        <f>IF($N16&lt;&gt;"",INDEX(Data!$B$9:$J$55,MATCH($N16,Data!$A$9:$A$51,0),MATCH(O$7,Data!$B$4:$AT$4,0)),"")</f>
        <v>17760</v>
      </c>
      <c r="P16" s="56">
        <f>IF($N16&lt;&gt;"",INDEX(Data!$B$9:$J$55,MATCH($N16,Data!$A$9:$A$51,0),MATCH(P$7,Data!$B$4:$AT$4,0)),"")</f>
        <v>800</v>
      </c>
      <c r="Q16" s="56">
        <f>IF($N16&lt;&gt;"",INDEX(Data!$B$9:$J$55,MATCH($N16,Data!$A$9:$A$51,0),MATCH(Q$7,Data!$B$4:$AT$4,0)),"")</f>
        <v>6488</v>
      </c>
      <c r="R16" s="56">
        <f>IF($N16&lt;&gt;"",INDEX(Data!$B$9:$J$55,MATCH($N16,Data!$A$9:$A$51,0),MATCH(R$7,Data!$B$4:$AT$4,0)),"")</f>
        <v>17025</v>
      </c>
      <c r="S16" s="56">
        <f>IF($N16&lt;&gt;"",INDEX(Data!$B$9:$J$55,MATCH($N16,Data!$A$9:$A$51,0),MATCH(S$7,Data!$B$4:$AT$4,0)),"")</f>
        <v>568</v>
      </c>
      <c r="T16" s="56">
        <f>IF($N16&lt;&gt;"",INDEX(Data!$B$9:$J$55,MATCH($N16,Data!$A$9:$A$51,0),MATCH(T$7,Data!$B$4:$AT$4,0)),"")</f>
        <v>7469</v>
      </c>
      <c r="U16" s="56">
        <f>IF($N16&lt;&gt;"",INDEX(Data!$B$9:$J$55,MATCH($N16,Data!$A$9:$A$51,0),MATCH(U$7,Data!$B$4:$AT$4,0)),"")</f>
        <v>16854</v>
      </c>
      <c r="V16" s="56">
        <f>IF($N16&lt;&gt;"",INDEX(Data!$B$9:$J$55,MATCH($N16,Data!$A$9:$A$51,0),MATCH(V$7,Data!$B$4:$AT$4,0)),"")</f>
        <v>572</v>
      </c>
      <c r="W16" s="56">
        <f>IF($N16&lt;&gt;"",INDEX(Data!$B$9:$J$55,MATCH($N16,Data!$A$9:$A$51,0),MATCH(W$7,Data!$B$4:$AT$4,0)),"")</f>
        <v>6611</v>
      </c>
      <c r="X16" s="55">
        <f t="shared" si="7"/>
        <v>4.3171806167400878E-2</v>
      </c>
      <c r="Y16" s="55">
        <f t="shared" si="8"/>
        <v>0.40845070422535212</v>
      </c>
      <c r="Z16" s="55">
        <f t="shared" si="9"/>
        <v>-0.13134288392020352</v>
      </c>
      <c r="AA16" s="55">
        <f t="shared" si="10"/>
        <v>5.3755784976860094E-2</v>
      </c>
      <c r="AB16" s="55">
        <f t="shared" si="11"/>
        <v>0.39860139860139859</v>
      </c>
      <c r="AC16" s="55">
        <f t="shared" si="12"/>
        <v>-1.8605354711843897E-2</v>
      </c>
      <c r="AE16" t="str">
        <f t="shared" si="4"/>
        <v>Accord</v>
      </c>
      <c r="AF16" s="57" cm="1">
        <f t="array" ref="AF16">IF(AE16="","",INDEX(AA16:AC16,$D$6)+(ROW()/10000000000)+N("No row function was used to achieve a unique value to sort"))</f>
        <v>5.3755786576860094E-2</v>
      </c>
      <c r="AG16" s="35"/>
      <c r="AH16" t="str">
        <f t="shared" si="13"/>
        <v>Atmos</v>
      </c>
      <c r="AI16" s="73" cm="1">
        <f t="array" ref="AI16">INDEX($O$14:$Q$34,MATCH($AH16,$N$14:$N$34,0),$D$6)</f>
        <v>10675</v>
      </c>
      <c r="AJ16" s="73" cm="1">
        <f t="array" ref="AJ16">INDEX($U$14:$W$34,MATCH($AH16,$N$14:$N$34,0),$D$6)</f>
        <v>11178</v>
      </c>
      <c r="AK16" s="73">
        <f t="shared" si="14"/>
        <v>11178</v>
      </c>
      <c r="AL16" t="str" cm="1">
        <f t="array" ref="AL16">TEXT(INDEX($AA$14:$AC$34,MATCH(AH16,$AE$14:$AE$34,0),$D$6),"0%")&amp;" | "&amp;TEXT(AI16,"#,##0")</f>
        <v>-4% | 10,675</v>
      </c>
      <c r="AP16" t="s">
        <v>20</v>
      </c>
      <c r="AQ16" s="56" cm="1">
        <f t="array" ref="AQ16">INDEX(Data!$K$9:$AT$51,MATCH(Calculation!$AP$10,Data!$A$9:$A$51,0),MATCH(Calculation!AQ$12&amp;Calculation!$AP16&amp;Calculation!AQ$13,INDEX(Data!$K$5:$AT$5&amp;Data!$K$6:$AT$6&amp;Data!$K$7:$AT$7,),0))</f>
        <v>187</v>
      </c>
      <c r="AR16" s="56" cm="1">
        <f t="array" ref="AR16">INDEX(Data!$K$9:$AT$51,MATCH(Calculation!$AP$10,Data!$A$9:$A$51,0),MATCH(Calculation!AR$12&amp;Calculation!$AP16&amp;Calculation!AR$13,INDEX(Data!$K$5:$AT$5&amp;Data!$K$6:$AT$6&amp;Data!$K$7:$AT$7,),0))</f>
        <v>89</v>
      </c>
      <c r="AS16" s="56" cm="1">
        <f t="array" ref="AS16">INDEX(Data!$K$9:$AT$51,MATCH(Calculation!$AP$10,Data!$A$9:$A$51,0),MATCH(Calculation!AS$12&amp;Calculation!$AP16&amp;Calculation!AS$13,INDEX(Data!$K$5:$AT$5&amp;Data!$K$6:$AT$6&amp;Data!$K$7:$AT$7,),0))</f>
        <v>247</v>
      </c>
      <c r="AU16" t="str">
        <f t="shared" si="15"/>
        <v>M</v>
      </c>
      <c r="AV16">
        <f>IF(MATCH(cur_month,$AP$14:$AP$25,0)&gt;=ROWS(AP$14:$AP16),AQ16,NA())</f>
        <v>187</v>
      </c>
      <c r="AW16" s="85">
        <f t="shared" si="16"/>
        <v>89</v>
      </c>
      <c r="AX16" s="85">
        <f t="shared" si="17"/>
        <v>247</v>
      </c>
      <c r="AY16" t="e">
        <f t="shared" si="5"/>
        <v>#N/A</v>
      </c>
    </row>
    <row r="17" spans="2:51" x14ac:dyDescent="0.25">
      <c r="B17" t="s">
        <v>21</v>
      </c>
      <c r="G17" s="41" t="s">
        <v>36</v>
      </c>
      <c r="H17" s="29" t="s">
        <v>52</v>
      </c>
      <c r="I17" s="42" t="s">
        <v>65</v>
      </c>
      <c r="M17" s="37">
        <f t="shared" si="6"/>
        <v>4</v>
      </c>
      <c r="N17" s="46" t="str" cm="1">
        <f t="array" ref="N17">IF(G17&lt;&gt;"",INDEX(G17:I17,,$D$4),"")</f>
        <v>Misty Wash</v>
      </c>
      <c r="O17" s="56">
        <f>IF($N17&lt;&gt;"",INDEX(Data!$B$9:$J$55,MATCH($N17,Data!$A$9:$A$51,0),MATCH(O$7,Data!$B$4:$AT$4,0)),"")</f>
        <v>30399.599999999999</v>
      </c>
      <c r="P17" s="56">
        <f>IF($N17&lt;&gt;"",INDEX(Data!$B$9:$J$55,MATCH($N17,Data!$A$9:$A$51,0),MATCH(P$7,Data!$B$4:$AT$4,0)),"")</f>
        <v>786.8</v>
      </c>
      <c r="Q17" s="56">
        <f>IF($N17&lt;&gt;"",INDEX(Data!$B$9:$J$55,MATCH($N17,Data!$A$9:$A$51,0),MATCH(Q$7,Data!$B$4:$AT$4,0)),"")</f>
        <v>12308.8</v>
      </c>
      <c r="R17" s="56">
        <f>IF($N17&lt;&gt;"",INDEX(Data!$B$9:$J$55,MATCH($N17,Data!$A$9:$A$51,0),MATCH(R$7,Data!$B$4:$AT$4,0)),"")</f>
        <v>29531.599999999999</v>
      </c>
      <c r="S17" s="56">
        <f>IF($N17&lt;&gt;"",INDEX(Data!$B$9:$J$55,MATCH($N17,Data!$A$9:$A$51,0),MATCH(S$7,Data!$B$4:$AT$4,0)),"")</f>
        <v>786.8</v>
      </c>
      <c r="T17" s="56">
        <f>IF($N17&lt;&gt;"",INDEX(Data!$B$9:$J$55,MATCH($N17,Data!$A$9:$A$51,0),MATCH(T$7,Data!$B$4:$AT$4,0)),"")</f>
        <v>13941.199999999999</v>
      </c>
      <c r="U17" s="56">
        <f>IF($N17&lt;&gt;"",INDEX(Data!$B$9:$J$55,MATCH($N17,Data!$A$9:$A$51,0),MATCH(U$7,Data!$B$4:$AT$4,0)),"")</f>
        <v>30237.199999999997</v>
      </c>
      <c r="V17" s="56">
        <f>IF($N17&lt;&gt;"",INDEX(Data!$B$9:$J$55,MATCH($N17,Data!$A$9:$A$51,0),MATCH(V$7,Data!$B$4:$AT$4,0)),"")</f>
        <v>932.4</v>
      </c>
      <c r="W17" s="56">
        <f>IF($N17&lt;&gt;"",INDEX(Data!$B$9:$J$55,MATCH($N17,Data!$A$9:$A$51,0),MATCH(W$7,Data!$B$4:$AT$4,0)),"")</f>
        <v>13381.199999999999</v>
      </c>
      <c r="X17" s="55">
        <f t="shared" si="7"/>
        <v>2.9392244240068269E-2</v>
      </c>
      <c r="Y17" s="55">
        <f t="shared" si="8"/>
        <v>0</v>
      </c>
      <c r="Z17" s="55">
        <f t="shared" si="9"/>
        <v>-0.11709178549909618</v>
      </c>
      <c r="AA17" s="55">
        <f t="shared" si="10"/>
        <v>5.3708676729327274E-3</v>
      </c>
      <c r="AB17" s="55">
        <f t="shared" si="11"/>
        <v>-0.15615615615615619</v>
      </c>
      <c r="AC17" s="55">
        <f t="shared" si="12"/>
        <v>-8.014228918183719E-2</v>
      </c>
      <c r="AE17" t="str">
        <f t="shared" si="4"/>
        <v>Misty Wash</v>
      </c>
      <c r="AF17" s="57" cm="1">
        <f t="array" ref="AF17">IF(AE17="","",INDEX(AA17:AC17,$D$6)+(ROW()/10000000000)+N("No row function was used to achieve a unique value to sort"))</f>
        <v>5.3708693729327276E-3</v>
      </c>
      <c r="AG17" s="35"/>
      <c r="AH17" t="str">
        <f t="shared" si="13"/>
        <v>Scrap</v>
      </c>
      <c r="AI17" s="73" cm="1">
        <f t="array" ref="AI17">INDEX($O$14:$Q$34,MATCH($AH17,$N$14:$N$34,0),$D$6)</f>
        <v>13307</v>
      </c>
      <c r="AJ17" s="73" cm="1">
        <f t="array" ref="AJ17">INDEX($U$14:$W$34,MATCH($AH17,$N$14:$N$34,0),$D$6)</f>
        <v>13448</v>
      </c>
      <c r="AK17" s="73">
        <f t="shared" si="14"/>
        <v>13448</v>
      </c>
      <c r="AL17" t="str" cm="1">
        <f t="array" ref="AL17">TEXT(INDEX($AA$14:$AC$34,MATCH(AH17,$AE$14:$AE$34,0),$D$6),"0%")&amp;" | "&amp;TEXT(AI17,"#,##0")</f>
        <v>-1% | 13,307</v>
      </c>
      <c r="AP17" t="s">
        <v>21</v>
      </c>
      <c r="AQ17" s="56" cm="1">
        <f t="array" ref="AQ17">INDEX(Data!$K$9:$AT$51,MATCH(Calculation!$AP$10,Data!$A$9:$A$51,0),MATCH(Calculation!AQ$12&amp;Calculation!$AP17&amp;Calculation!AQ$13,INDEX(Data!$K$5:$AT$5&amp;Data!$K$6:$AT$6&amp;Data!$K$7:$AT$7,),0))</f>
        <v>244</v>
      </c>
      <c r="AR17" s="56" cm="1">
        <f t="array" ref="AR17">INDEX(Data!$K$9:$AT$51,MATCH(Calculation!$AP$10,Data!$A$9:$A$51,0),MATCH(Calculation!AR$12&amp;Calculation!$AP17&amp;Calculation!AR$13,INDEX(Data!$K$5:$AT$5&amp;Data!$K$6:$AT$6&amp;Data!$K$7:$AT$7,),0))</f>
        <v>179</v>
      </c>
      <c r="AS17" s="56" cm="1">
        <f t="array" ref="AS17">INDEX(Data!$K$9:$AT$51,MATCH(Calculation!$AP$10,Data!$A$9:$A$51,0),MATCH(Calculation!AS$12&amp;Calculation!$AP17&amp;Calculation!AS$13,INDEX(Data!$K$5:$AT$5&amp;Data!$K$6:$AT$6&amp;Data!$K$7:$AT$7,),0))</f>
        <v>307</v>
      </c>
      <c r="AU17" t="str">
        <f t="shared" si="15"/>
        <v>A</v>
      </c>
      <c r="AV17">
        <f>IF(MATCH(cur_month,$AP$14:$AP$25,0)&gt;=ROWS(AP$14:$AP17),AQ17,NA())</f>
        <v>244</v>
      </c>
      <c r="AW17" s="85">
        <f t="shared" si="16"/>
        <v>179</v>
      </c>
      <c r="AX17" s="85">
        <f t="shared" si="17"/>
        <v>307</v>
      </c>
      <c r="AY17" t="e">
        <f t="shared" si="5"/>
        <v>#N/A</v>
      </c>
    </row>
    <row r="18" spans="2:51" x14ac:dyDescent="0.25">
      <c r="B18" t="s">
        <v>22</v>
      </c>
      <c r="G18" s="41" t="s">
        <v>37</v>
      </c>
      <c r="H18" s="29" t="s">
        <v>53</v>
      </c>
      <c r="I18" s="42" t="s">
        <v>66</v>
      </c>
      <c r="M18" s="37">
        <f t="shared" si="6"/>
        <v>5</v>
      </c>
      <c r="N18" s="46" t="str" cm="1">
        <f t="array" ref="N18">IF(G18&lt;&gt;"",INDEX(G18:I18,,$D$4),"")</f>
        <v>Twenty20</v>
      </c>
      <c r="O18" s="56">
        <f>IF($N18&lt;&gt;"",INDEX(Data!$B$9:$J$55,MATCH($N18,Data!$A$9:$A$51,0),MATCH(O$7,Data!$B$4:$AT$4,0)),"")</f>
        <v>20400</v>
      </c>
      <c r="P18" s="56">
        <f>IF($N18&lt;&gt;"",INDEX(Data!$B$9:$J$55,MATCH($N18,Data!$A$9:$A$51,0),MATCH(P$7,Data!$B$4:$AT$4,0)),"")</f>
        <v>614.40000000000009</v>
      </c>
      <c r="Q18" s="56">
        <f>IF($N18&lt;&gt;"",INDEX(Data!$B$9:$J$55,MATCH($N18,Data!$A$9:$A$51,0),MATCH(Q$7,Data!$B$4:$AT$4,0)),"")</f>
        <v>15171.2</v>
      </c>
      <c r="R18" s="56">
        <f>IF($N18&lt;&gt;"",INDEX(Data!$B$9:$J$55,MATCH($N18,Data!$A$9:$A$51,0),MATCH(R$7,Data!$B$4:$AT$4,0)),"")</f>
        <v>22224</v>
      </c>
      <c r="S18" s="56">
        <f>IF($N18&lt;&gt;"",INDEX(Data!$B$9:$J$55,MATCH($N18,Data!$A$9:$A$51,0),MATCH(S$7,Data!$B$4:$AT$4,0)),"")</f>
        <v>988.80000000000007</v>
      </c>
      <c r="T18" s="56">
        <f>IF($N18&lt;&gt;"",INDEX(Data!$B$9:$J$55,MATCH($N18,Data!$A$9:$A$51,0),MATCH(T$7,Data!$B$4:$AT$4,0)),"")</f>
        <v>16019.2</v>
      </c>
      <c r="U18" s="56">
        <f>IF($N18&lt;&gt;"",INDEX(Data!$B$9:$J$55,MATCH($N18,Data!$A$9:$A$51,0),MATCH(U$7,Data!$B$4:$AT$4,0)),"")</f>
        <v>18476.8</v>
      </c>
      <c r="V18" s="56">
        <f>IF($N18&lt;&gt;"",INDEX(Data!$B$9:$J$55,MATCH($N18,Data!$A$9:$A$51,0),MATCH(V$7,Data!$B$4:$AT$4,0)),"")</f>
        <v>1120</v>
      </c>
      <c r="W18" s="56">
        <f>IF($N18&lt;&gt;"",INDEX(Data!$B$9:$J$55,MATCH($N18,Data!$A$9:$A$51,0),MATCH(W$7,Data!$B$4:$AT$4,0)),"")</f>
        <v>14230.400000000001</v>
      </c>
      <c r="X18" s="55">
        <f t="shared" si="7"/>
        <v>-8.2073434125269976E-2</v>
      </c>
      <c r="Y18" s="55">
        <f t="shared" si="8"/>
        <v>-0.37864077669902907</v>
      </c>
      <c r="Z18" s="55">
        <f t="shared" si="9"/>
        <v>-5.2936476228525764E-2</v>
      </c>
      <c r="AA18" s="55">
        <f t="shared" si="10"/>
        <v>0.10408728784205061</v>
      </c>
      <c r="AB18" s="55">
        <f t="shared" si="11"/>
        <v>-0.45142857142857135</v>
      </c>
      <c r="AC18" s="55">
        <f t="shared" si="12"/>
        <v>6.6111985608275178E-2</v>
      </c>
      <c r="AE18" t="str">
        <f t="shared" si="4"/>
        <v>Twenty20</v>
      </c>
      <c r="AF18" s="57" cm="1">
        <f t="array" ref="AF18">IF(AE18="","",INDEX(AA18:AC18,$D$6)+(ROW()/10000000000)+N("No row function was used to achieve a unique value to sort"))</f>
        <v>0.10408728964205061</v>
      </c>
      <c r="AG18" s="35"/>
      <c r="AH18" t="str">
        <f t="shared" si="13"/>
        <v>Misty Wash</v>
      </c>
      <c r="AI18" s="73" cm="1">
        <f t="array" ref="AI18">INDEX($O$14:$Q$34,MATCH($AH18,$N$14:$N$34,0),$D$6)</f>
        <v>30399.599999999999</v>
      </c>
      <c r="AJ18" s="73" cm="1">
        <f t="array" ref="AJ18">INDEX($U$14:$W$34,MATCH($AH18,$N$14:$N$34,0),$D$6)</f>
        <v>30237.199999999997</v>
      </c>
      <c r="AK18" s="73">
        <f t="shared" si="14"/>
        <v>30399.599999999999</v>
      </c>
      <c r="AL18" t="str" cm="1">
        <f t="array" ref="AL18">TEXT(INDEX($AA$14:$AC$34,MATCH(AH18,$AE$14:$AE$34,0),$D$6),"0%")&amp;" | "&amp;TEXT(AI18,"#,##0")</f>
        <v>1% | 30,400</v>
      </c>
      <c r="AP18" t="s">
        <v>22</v>
      </c>
      <c r="AQ18" s="56" cm="1">
        <f t="array" ref="AQ18">INDEX(Data!$K$9:$AT$51,MATCH(Calculation!$AP$10,Data!$A$9:$A$51,0),MATCH(Calculation!AQ$12&amp;Calculation!$AP18&amp;Calculation!AQ$13,INDEX(Data!$K$5:$AT$5&amp;Data!$K$6:$AT$6&amp;Data!$K$7:$AT$7,),0))</f>
        <v>338</v>
      </c>
      <c r="AR18" s="56" cm="1">
        <f t="array" ref="AR18">INDEX(Data!$K$9:$AT$51,MATCH(Calculation!$AP$10,Data!$A$9:$A$51,0),MATCH(Calculation!AR$12&amp;Calculation!$AP18&amp;Calculation!AR$13,INDEX(Data!$K$5:$AT$5&amp;Data!$K$6:$AT$6&amp;Data!$K$7:$AT$7,),0))</f>
        <v>234</v>
      </c>
      <c r="AS18" s="56" cm="1">
        <f t="array" ref="AS18">INDEX(Data!$K$9:$AT$51,MATCH(Calculation!$AP$10,Data!$A$9:$A$51,0),MATCH(Calculation!AS$12&amp;Calculation!$AP18&amp;Calculation!AS$13,INDEX(Data!$K$5:$AT$5&amp;Data!$K$6:$AT$6&amp;Data!$K$7:$AT$7,),0))</f>
        <v>395</v>
      </c>
      <c r="AU18" t="str">
        <f t="shared" si="15"/>
        <v>M</v>
      </c>
      <c r="AV18">
        <f>IF(MATCH(cur_month,$AP$14:$AP$25,0)&gt;=ROWS(AP$14:$AP18),AQ18,NA())</f>
        <v>338</v>
      </c>
      <c r="AW18" s="85">
        <f t="shared" si="16"/>
        <v>234</v>
      </c>
      <c r="AX18" s="85">
        <f t="shared" si="17"/>
        <v>395</v>
      </c>
      <c r="AY18" t="e">
        <f t="shared" si="5"/>
        <v>#N/A</v>
      </c>
    </row>
    <row r="19" spans="2:51" x14ac:dyDescent="0.25">
      <c r="B19" t="s">
        <v>17</v>
      </c>
      <c r="G19" s="41" t="s">
        <v>38</v>
      </c>
      <c r="H19" s="29" t="s">
        <v>54</v>
      </c>
      <c r="I19" s="42" t="s">
        <v>67</v>
      </c>
      <c r="M19" s="37">
        <f t="shared" si="6"/>
        <v>6</v>
      </c>
      <c r="N19" s="46" t="str" cm="1">
        <f t="array" ref="N19">IF(G19&lt;&gt;"",INDEX(G19:I19,,$D$4),"")</f>
        <v>Tanox</v>
      </c>
      <c r="O19" s="56">
        <f>IF($N19&lt;&gt;"",INDEX(Data!$B$9:$J$55,MATCH($N19,Data!$A$9:$A$51,0),MATCH(O$7,Data!$B$4:$AT$4,0)),"")</f>
        <v>21088</v>
      </c>
      <c r="P19" s="56">
        <f>IF($N19&lt;&gt;"",INDEX(Data!$B$9:$J$55,MATCH($N19,Data!$A$9:$A$51,0),MATCH(P$7,Data!$B$4:$AT$4,0)),"")</f>
        <v>1264</v>
      </c>
      <c r="Q19" s="56">
        <f>IF($N19&lt;&gt;"",INDEX(Data!$B$9:$J$55,MATCH($N19,Data!$A$9:$A$51,0),MATCH(Q$7,Data!$B$4:$AT$4,0)),"")</f>
        <v>4828</v>
      </c>
      <c r="R19" s="56">
        <f>IF($N19&lt;&gt;"",INDEX(Data!$B$9:$J$55,MATCH($N19,Data!$A$9:$A$51,0),MATCH(R$7,Data!$B$4:$AT$4,0)),"")</f>
        <v>19736</v>
      </c>
      <c r="S19" s="56">
        <f>IF($N19&lt;&gt;"",INDEX(Data!$B$9:$J$55,MATCH($N19,Data!$A$9:$A$51,0),MATCH(S$7,Data!$B$4:$AT$4,0)),"")</f>
        <v>932</v>
      </c>
      <c r="T19" s="56">
        <f>IF($N19&lt;&gt;"",INDEX(Data!$B$9:$J$55,MATCH($N19,Data!$A$9:$A$51,0),MATCH(T$7,Data!$B$4:$AT$4,0)),"")</f>
        <v>5940</v>
      </c>
      <c r="U19" s="56">
        <f>IF($N19&lt;&gt;"",INDEX(Data!$B$9:$J$55,MATCH($N19,Data!$A$9:$A$51,0),MATCH(U$7,Data!$B$4:$AT$4,0)),"")</f>
        <v>19156</v>
      </c>
      <c r="V19" s="56">
        <f>IF($N19&lt;&gt;"",INDEX(Data!$B$9:$J$55,MATCH($N19,Data!$A$9:$A$51,0),MATCH(V$7,Data!$B$4:$AT$4,0)),"")</f>
        <v>860</v>
      </c>
      <c r="W19" s="56">
        <f>IF($N19&lt;&gt;"",INDEX(Data!$B$9:$J$55,MATCH($N19,Data!$A$9:$A$51,0),MATCH(W$7,Data!$B$4:$AT$4,0)),"")</f>
        <v>7744</v>
      </c>
      <c r="X19" s="55">
        <f t="shared" si="7"/>
        <v>6.8504256181597084E-2</v>
      </c>
      <c r="Y19" s="55">
        <f t="shared" si="8"/>
        <v>0.35622317596566522</v>
      </c>
      <c r="Z19" s="55">
        <f t="shared" si="9"/>
        <v>-0.18720538720538721</v>
      </c>
      <c r="AA19" s="55">
        <f t="shared" si="10"/>
        <v>0.10085612862810607</v>
      </c>
      <c r="AB19" s="55">
        <f t="shared" si="11"/>
        <v>0.4697674418604651</v>
      </c>
      <c r="AC19" s="55">
        <f t="shared" si="12"/>
        <v>-0.37654958677685951</v>
      </c>
      <c r="AE19" t="str">
        <f t="shared" si="4"/>
        <v>Tanox</v>
      </c>
      <c r="AF19" s="57" cm="1">
        <f t="array" ref="AF19">IF(AE19="","",INDEX(AA19:AC19,$D$6)+(ROW()/10000000000)+N("No row function was used to achieve a unique value to sort"))</f>
        <v>0.10085613052810607</v>
      </c>
      <c r="AG19" s="35"/>
      <c r="AH19" t="str">
        <f t="shared" si="13"/>
        <v>Accord</v>
      </c>
      <c r="AI19" s="73" cm="1">
        <f t="array" ref="AI19">INDEX($O$14:$Q$34,MATCH($AH19,$N$14:$N$34,0),$D$6)</f>
        <v>17760</v>
      </c>
      <c r="AJ19" s="73" cm="1">
        <f t="array" ref="AJ19">INDEX($U$14:$W$34,MATCH($AH19,$N$14:$N$34,0),$D$6)</f>
        <v>16854</v>
      </c>
      <c r="AK19" s="73">
        <f t="shared" si="14"/>
        <v>17760</v>
      </c>
      <c r="AL19" t="str" cm="1">
        <f t="array" ref="AL19">TEXT(INDEX($AA$14:$AC$34,MATCH(AH19,$AE$14:$AE$34,0),$D$6),"0%")&amp;" | "&amp;TEXT(AI19,"#,##0")</f>
        <v>5% | 17,760</v>
      </c>
      <c r="AP19" t="s">
        <v>17</v>
      </c>
      <c r="AQ19" s="56" cm="1">
        <f t="array" ref="AQ19">INDEX(Data!$K$9:$AT$51,MATCH(Calculation!$AP$10,Data!$A$9:$A$51,0),MATCH(Calculation!AQ$12&amp;Calculation!$AP19&amp;Calculation!AQ$13,INDEX(Data!$K$5:$AT$5&amp;Data!$K$6:$AT$6&amp;Data!$K$7:$AT$7,),0))</f>
        <v>408</v>
      </c>
      <c r="AR19" s="56" cm="1">
        <f t="array" ref="AR19">INDEX(Data!$K$9:$AT$51,MATCH(Calculation!$AP$10,Data!$A$9:$A$51,0),MATCH(Calculation!AR$12&amp;Calculation!$AP19&amp;Calculation!AR$13,INDEX(Data!$K$5:$AT$5&amp;Data!$K$6:$AT$6&amp;Data!$K$7:$AT$7,),0))</f>
        <v>341</v>
      </c>
      <c r="AS19" s="56" cm="1">
        <f t="array" ref="AS19">INDEX(Data!$K$9:$AT$51,MATCH(Calculation!$AP$10,Data!$A$9:$A$51,0),MATCH(Calculation!AS$12&amp;Calculation!$AP19&amp;Calculation!AS$13,INDEX(Data!$K$5:$AT$5&amp;Data!$K$6:$AT$6&amp;Data!$K$7:$AT$7,),0))</f>
        <v>461</v>
      </c>
      <c r="AU19" t="str">
        <f t="shared" si="15"/>
        <v>J</v>
      </c>
      <c r="AV19">
        <f>IF(MATCH(cur_month,$AP$14:$AP$25,0)&gt;=ROWS(AP$14:$AP19),AQ19,NA())</f>
        <v>408</v>
      </c>
      <c r="AW19" s="85">
        <f t="shared" si="16"/>
        <v>341</v>
      </c>
      <c r="AX19" s="85">
        <f t="shared" si="17"/>
        <v>461</v>
      </c>
      <c r="AY19" t="e">
        <f t="shared" si="5"/>
        <v>#N/A</v>
      </c>
    </row>
    <row r="20" spans="2:51" x14ac:dyDescent="0.25">
      <c r="B20" t="s">
        <v>23</v>
      </c>
      <c r="G20" s="41" t="s">
        <v>39</v>
      </c>
      <c r="H20" s="29" t="s">
        <v>55</v>
      </c>
      <c r="I20" s="42" t="s">
        <v>68</v>
      </c>
      <c r="M20" s="37">
        <f t="shared" si="6"/>
        <v>7</v>
      </c>
      <c r="N20" s="46" t="str" cm="1">
        <f t="array" ref="N20">IF(G20&lt;&gt;"",INDEX(G20:I20,,$D$4),"")</f>
        <v>Minor Liar</v>
      </c>
      <c r="O20" s="56">
        <f>IF($N20&lt;&gt;"",INDEX(Data!$B$9:$J$55,MATCH($N20,Data!$A$9:$A$51,0),MATCH(O$7,Data!$B$4:$AT$4,0)),"")</f>
        <v>23736.9</v>
      </c>
      <c r="P20" s="56">
        <f>IF($N20&lt;&gt;"",INDEX(Data!$B$9:$J$55,MATCH($N20,Data!$A$9:$A$51,0),MATCH(P$7,Data!$B$4:$AT$4,0)),"")</f>
        <v>1012.0000000000001</v>
      </c>
      <c r="Q20" s="56">
        <f>IF($N20&lt;&gt;"",INDEX(Data!$B$9:$J$55,MATCH($N20,Data!$A$9:$A$51,0),MATCH(Q$7,Data!$B$4:$AT$4,0)),"")</f>
        <v>8207.1</v>
      </c>
      <c r="R20" s="56">
        <f>IF($N20&lt;&gt;"",INDEX(Data!$B$9:$J$55,MATCH($N20,Data!$A$9:$A$51,0),MATCH(R$7,Data!$B$4:$AT$4,0)),"")</f>
        <v>22754.600000000002</v>
      </c>
      <c r="S20" s="56">
        <f>IF($N20&lt;&gt;"",INDEX(Data!$B$9:$J$55,MATCH($N20,Data!$A$9:$A$51,0),MATCH(S$7,Data!$B$4:$AT$4,0)),"")</f>
        <v>718.30000000000007</v>
      </c>
      <c r="T20" s="56">
        <f>IF($N20&lt;&gt;"",INDEX(Data!$B$9:$J$55,MATCH($N20,Data!$A$9:$A$51,0),MATCH(T$7,Data!$B$4:$AT$4,0)),"")</f>
        <v>9447.9000000000015</v>
      </c>
      <c r="U20" s="56">
        <f>IF($N20&lt;&gt;"",INDEX(Data!$B$9:$J$55,MATCH($N20,Data!$A$9:$A$51,0),MATCH(U$7,Data!$B$4:$AT$4,0)),"")</f>
        <v>22525.800000000003</v>
      </c>
      <c r="V20" s="56">
        <f>IF($N20&lt;&gt;"",INDEX(Data!$B$9:$J$55,MATCH($N20,Data!$A$9:$A$51,0),MATCH(V$7,Data!$B$4:$AT$4,0)),"")</f>
        <v>723.80000000000007</v>
      </c>
      <c r="W20" s="56">
        <f>IF($N20&lt;&gt;"",INDEX(Data!$B$9:$J$55,MATCH($N20,Data!$A$9:$A$51,0),MATCH(W$7,Data!$B$4:$AT$4,0)),"")</f>
        <v>8362.2000000000007</v>
      </c>
      <c r="X20" s="55">
        <f t="shared" si="7"/>
        <v>4.3169293241806017E-2</v>
      </c>
      <c r="Y20" s="55">
        <f t="shared" si="8"/>
        <v>0.40888208269525272</v>
      </c>
      <c r="Z20" s="55">
        <f t="shared" si="9"/>
        <v>-0.13133077191756909</v>
      </c>
      <c r="AA20" s="55">
        <f t="shared" si="10"/>
        <v>5.3765016114854895E-2</v>
      </c>
      <c r="AB20" s="55">
        <f t="shared" si="11"/>
        <v>0.3981762917933131</v>
      </c>
      <c r="AC20" s="55">
        <f t="shared" si="12"/>
        <v>-1.8547750591949529E-2</v>
      </c>
      <c r="AE20" t="str">
        <f t="shared" si="4"/>
        <v>Minor Liar</v>
      </c>
      <c r="AF20" s="57" cm="1">
        <f t="array" ref="AF20">IF(AE20="","",INDEX(AA20:AC20,$D$6)+(ROW()/10000000000)+N("No row function was used to achieve a unique value to sort"))</f>
        <v>5.3765018114854894E-2</v>
      </c>
      <c r="AG20" s="35"/>
      <c r="AP20" t="s">
        <v>23</v>
      </c>
      <c r="AQ20" s="56" cm="1">
        <f t="array" ref="AQ20">INDEX(Data!$K$9:$AT$51,MATCH(Calculation!$AP$10,Data!$A$9:$A$51,0),MATCH(Calculation!AQ$12&amp;Calculation!$AP20&amp;Calculation!AQ$13,INDEX(Data!$K$5:$AT$5&amp;Data!$K$6:$AT$6&amp;Data!$K$7:$AT$7,),0))</f>
        <v>0</v>
      </c>
      <c r="AR20" s="56" cm="1">
        <f t="array" ref="AR20">INDEX(Data!$K$9:$AT$51,MATCH(Calculation!$AP$10,Data!$A$9:$A$51,0),MATCH(Calculation!AR$12&amp;Calculation!$AP20&amp;Calculation!AR$13,INDEX(Data!$K$5:$AT$5&amp;Data!$K$6:$AT$6&amp;Data!$K$7:$AT$7,),0))</f>
        <v>459</v>
      </c>
      <c r="AS20" s="56" cm="1">
        <f t="array" ref="AS20">INDEX(Data!$K$9:$AT$51,MATCH(Calculation!$AP$10,Data!$A$9:$A$51,0),MATCH(Calculation!AS$12&amp;Calculation!$AP20&amp;Calculation!AS$13,INDEX(Data!$K$5:$AT$5&amp;Data!$K$6:$AT$6&amp;Data!$K$7:$AT$7,),0))</f>
        <v>564</v>
      </c>
      <c r="AU20" t="str">
        <f t="shared" si="15"/>
        <v>J</v>
      </c>
      <c r="AV20">
        <f>IF(MATCH(cur_month,$AP$14:$AP$25,0)&gt;=ROWS(AP$14:$AP20),AQ20,NA())</f>
        <v>0</v>
      </c>
      <c r="AW20" s="85">
        <f t="shared" si="16"/>
        <v>459</v>
      </c>
      <c r="AX20" s="85">
        <f t="shared" si="17"/>
        <v>564</v>
      </c>
      <c r="AY20" t="e">
        <f t="shared" si="5"/>
        <v>#N/A</v>
      </c>
    </row>
    <row r="21" spans="2:51" x14ac:dyDescent="0.25">
      <c r="B21" t="s">
        <v>24</v>
      </c>
      <c r="G21" s="41" t="s">
        <v>40</v>
      </c>
      <c r="H21" s="29" t="s">
        <v>56</v>
      </c>
      <c r="I21" s="42" t="s">
        <v>69</v>
      </c>
      <c r="M21" s="37">
        <f t="shared" si="6"/>
        <v>8</v>
      </c>
      <c r="N21" s="46" t="str" cm="1">
        <f t="array" ref="N21">IF(G21&lt;&gt;"",INDEX(G21:I21,,$D$4),"")</f>
        <v>Mosquit</v>
      </c>
      <c r="O21" s="56">
        <f>IF($N21&lt;&gt;"",INDEX(Data!$B$9:$J$55,MATCH($N21,Data!$A$9:$A$51,0),MATCH(O$7,Data!$B$4:$AT$4,0)),"")</f>
        <v>6302</v>
      </c>
      <c r="P21" s="56">
        <f>IF($N21&lt;&gt;"",INDEX(Data!$B$9:$J$55,MATCH($N21,Data!$A$9:$A$51,0),MATCH(P$7,Data!$B$4:$AT$4,0)),"")</f>
        <v>240</v>
      </c>
      <c r="Q21" s="56">
        <f>IF($N21&lt;&gt;"",INDEX(Data!$B$9:$J$55,MATCH($N21,Data!$A$9:$A$51,0),MATCH(Q$7,Data!$B$4:$AT$4,0)),"")</f>
        <v>4655</v>
      </c>
      <c r="R21" s="56">
        <f>IF($N21&lt;&gt;"",INDEX(Data!$B$9:$J$55,MATCH($N21,Data!$A$9:$A$51,0),MATCH(R$7,Data!$B$4:$AT$4,0)),"")</f>
        <v>5400</v>
      </c>
      <c r="S21" s="56">
        <f>IF($N21&lt;&gt;"",INDEX(Data!$B$9:$J$55,MATCH($N21,Data!$A$9:$A$51,0),MATCH(S$7,Data!$B$4:$AT$4,0)),"")</f>
        <v>190</v>
      </c>
      <c r="T21" s="56">
        <f>IF($N21&lt;&gt;"",INDEX(Data!$B$9:$J$55,MATCH($N21,Data!$A$9:$A$51,0),MATCH(T$7,Data!$B$4:$AT$4,0)),"")</f>
        <v>4096</v>
      </c>
      <c r="U21" s="56">
        <f>IF($N21&lt;&gt;"",INDEX(Data!$B$9:$J$55,MATCH($N21,Data!$A$9:$A$51,0),MATCH(U$7,Data!$B$4:$AT$4,0)),"")</f>
        <v>5293</v>
      </c>
      <c r="V21" s="56">
        <f>IF($N21&lt;&gt;"",INDEX(Data!$B$9:$J$55,MATCH($N21,Data!$A$9:$A$51,0),MATCH(V$7,Data!$B$4:$AT$4,0)),"")</f>
        <v>156</v>
      </c>
      <c r="W21" s="56">
        <f>IF($N21&lt;&gt;"",INDEX(Data!$B$9:$J$55,MATCH($N21,Data!$A$9:$A$51,0),MATCH(W$7,Data!$B$4:$AT$4,0)),"")</f>
        <v>4514</v>
      </c>
      <c r="X21" s="55">
        <f t="shared" si="7"/>
        <v>0.16703703703703704</v>
      </c>
      <c r="Y21" s="55">
        <f t="shared" si="8"/>
        <v>0.26315789473684209</v>
      </c>
      <c r="Z21" s="55">
        <f t="shared" si="9"/>
        <v>0.136474609375</v>
      </c>
      <c r="AA21" s="55">
        <f t="shared" si="10"/>
        <v>0.19062913281692803</v>
      </c>
      <c r="AB21" s="55">
        <f t="shared" si="11"/>
        <v>0.53846153846153844</v>
      </c>
      <c r="AC21" s="55">
        <f t="shared" si="12"/>
        <v>3.1236154186973859E-2</v>
      </c>
      <c r="AE21" t="str">
        <f t="shared" si="4"/>
        <v>Mosquit</v>
      </c>
      <c r="AF21" s="57" cm="1">
        <f t="array" ref="AF21">IF(AE21="","",INDEX(AA21:AC21,$D$6)+(ROW()/10000000000)+N("No row function was used to achieve a unique value to sort"))</f>
        <v>0.19062913491692804</v>
      </c>
      <c r="AG21" s="35"/>
      <c r="AI21" s="52"/>
      <c r="AP21" t="s">
        <v>24</v>
      </c>
      <c r="AQ21" s="56" cm="1">
        <f t="array" ref="AQ21">INDEX(Data!$K$9:$AT$51,MATCH(Calculation!$AP$10,Data!$A$9:$A$51,0),MATCH(Calculation!AQ$12&amp;Calculation!$AP21&amp;Calculation!AQ$13,INDEX(Data!$K$5:$AT$5&amp;Data!$K$6:$AT$6&amp;Data!$K$7:$AT$7,),0))</f>
        <v>0</v>
      </c>
      <c r="AR21" s="56" cm="1">
        <f t="array" ref="AR21">INDEX(Data!$K$9:$AT$51,MATCH(Calculation!$AP$10,Data!$A$9:$A$51,0),MATCH(Calculation!AR$12&amp;Calculation!$AP21&amp;Calculation!AR$13,INDEX(Data!$K$5:$AT$5&amp;Data!$K$6:$AT$6&amp;Data!$K$7:$AT$7,),0))</f>
        <v>536</v>
      </c>
      <c r="AS21" s="56" cm="1">
        <f t="array" ref="AS21">INDEX(Data!$K$9:$AT$51,MATCH(Calculation!$AP$10,Data!$A$9:$A$51,0),MATCH(Calculation!AS$12&amp;Calculation!$AP21&amp;Calculation!AS$13,INDEX(Data!$K$5:$AT$5&amp;Data!$K$6:$AT$6&amp;Data!$K$7:$AT$7,),0))</f>
        <v>645</v>
      </c>
      <c r="AU21" t="str">
        <f t="shared" si="15"/>
        <v>A</v>
      </c>
      <c r="AV21">
        <f>IF(MATCH(cur_month,$AP$14:$AP$25,0)&gt;=ROWS(AP$14:$AP21),AQ21,NA())</f>
        <v>0</v>
      </c>
      <c r="AW21" s="85">
        <f t="shared" si="16"/>
        <v>536</v>
      </c>
      <c r="AX21" s="85">
        <f t="shared" si="17"/>
        <v>645</v>
      </c>
      <c r="AY21" t="e">
        <f t="shared" si="5"/>
        <v>#N/A</v>
      </c>
    </row>
    <row r="22" spans="2:51" x14ac:dyDescent="0.25">
      <c r="B22" t="s">
        <v>25</v>
      </c>
      <c r="G22" s="41" t="s">
        <v>41</v>
      </c>
      <c r="H22" s="29" t="s">
        <v>57</v>
      </c>
      <c r="I22" s="42" t="s">
        <v>70</v>
      </c>
      <c r="M22" s="37">
        <f t="shared" si="6"/>
        <v>9</v>
      </c>
      <c r="N22" s="46" t="str" cm="1">
        <f t="array" ref="N22">IF(G22&lt;&gt;"",INDEX(G22:I22,,$D$4),"")</f>
        <v>Atmos</v>
      </c>
      <c r="O22" s="56">
        <f>IF($N22&lt;&gt;"",INDEX(Data!$B$9:$J$55,MATCH($N22,Data!$A$9:$A$51,0),MATCH(O$7,Data!$B$4:$AT$4,0)),"")</f>
        <v>10675</v>
      </c>
      <c r="P22" s="56">
        <f>IF($N22&lt;&gt;"",INDEX(Data!$B$9:$J$55,MATCH($N22,Data!$A$9:$A$51,0),MATCH(P$7,Data!$B$4:$AT$4,0)),"")</f>
        <v>128</v>
      </c>
      <c r="Q22" s="56">
        <f>IF($N22&lt;&gt;"",INDEX(Data!$B$9:$J$55,MATCH($N22,Data!$A$9:$A$51,0),MATCH(Q$7,Data!$B$4:$AT$4,0)),"")</f>
        <v>8210</v>
      </c>
      <c r="R22" s="56">
        <f>IF($N22&lt;&gt;"",INDEX(Data!$B$9:$J$55,MATCH($N22,Data!$A$9:$A$51,0),MATCH(R$7,Data!$B$4:$AT$4,0)),"")</f>
        <v>10133</v>
      </c>
      <c r="S22" s="56">
        <f>IF($N22&lt;&gt;"",INDEX(Data!$B$9:$J$55,MATCH($N22,Data!$A$9:$A$51,0),MATCH(S$7,Data!$B$4:$AT$4,0)),"")</f>
        <v>89</v>
      </c>
      <c r="T22" s="56">
        <f>IF($N22&lt;&gt;"",INDEX(Data!$B$9:$J$55,MATCH($N22,Data!$A$9:$A$51,0),MATCH(T$7,Data!$B$4:$AT$4,0)),"")</f>
        <v>8179</v>
      </c>
      <c r="U22" s="56">
        <f>IF($N22&lt;&gt;"",INDEX(Data!$B$9:$J$55,MATCH($N22,Data!$A$9:$A$51,0),MATCH(U$7,Data!$B$4:$AT$4,0)),"")</f>
        <v>11178</v>
      </c>
      <c r="V22" s="56">
        <f>IF($N22&lt;&gt;"",INDEX(Data!$B$9:$J$55,MATCH($N22,Data!$A$9:$A$51,0),MATCH(V$7,Data!$B$4:$AT$4,0)),"")</f>
        <v>190</v>
      </c>
      <c r="W22" s="56">
        <f>IF($N22&lt;&gt;"",INDEX(Data!$B$9:$J$55,MATCH($N22,Data!$A$9:$A$51,0),MATCH(W$7,Data!$B$4:$AT$4,0)),"")</f>
        <v>8010</v>
      </c>
      <c r="X22" s="55">
        <f t="shared" si="7"/>
        <v>5.34886015987368E-2</v>
      </c>
      <c r="Y22" s="55">
        <f t="shared" si="8"/>
        <v>0.43820224719101125</v>
      </c>
      <c r="Z22" s="55">
        <f t="shared" si="9"/>
        <v>3.7901944002934345E-3</v>
      </c>
      <c r="AA22" s="55">
        <f t="shared" si="10"/>
        <v>-4.4999105385578816E-2</v>
      </c>
      <c r="AB22" s="55">
        <f t="shared" si="11"/>
        <v>-0.32631578947368423</v>
      </c>
      <c r="AC22" s="55">
        <f t="shared" si="12"/>
        <v>2.4968789013732832E-2</v>
      </c>
      <c r="AE22" t="str">
        <f t="shared" si="4"/>
        <v>Atmos</v>
      </c>
      <c r="AF22" s="57" cm="1">
        <f t="array" ref="AF22">IF(AE22="","",INDEX(AA22:AC22,$D$6)+(ROW()/10000000000)+N("No row function was used to achieve a unique value to sort"))</f>
        <v>-4.4999103185578815E-2</v>
      </c>
      <c r="AG22" s="35"/>
      <c r="AP22" t="s">
        <v>25</v>
      </c>
      <c r="AQ22" s="56" cm="1">
        <f t="array" ref="AQ22">INDEX(Data!$K$9:$AT$51,MATCH(Calculation!$AP$10,Data!$A$9:$A$51,0),MATCH(Calculation!AQ$12&amp;Calculation!$AP22&amp;Calculation!AQ$13,INDEX(Data!$K$5:$AT$5&amp;Data!$K$6:$AT$6&amp;Data!$K$7:$AT$7,),0))</f>
        <v>0</v>
      </c>
      <c r="AR22" s="56" cm="1">
        <f t="array" ref="AR22">INDEX(Data!$K$9:$AT$51,MATCH(Calculation!$AP$10,Data!$A$9:$A$51,0),MATCH(Calculation!AR$12&amp;Calculation!$AP22&amp;Calculation!AR$13,INDEX(Data!$K$5:$AT$5&amp;Data!$K$6:$AT$6&amp;Data!$K$7:$AT$7,),0))</f>
        <v>629</v>
      </c>
      <c r="AS22" s="56" cm="1">
        <f t="array" ref="AS22">INDEX(Data!$K$9:$AT$51,MATCH(Calculation!$AP$10,Data!$A$9:$A$51,0),MATCH(Calculation!AS$12&amp;Calculation!$AP22&amp;Calculation!AS$13,INDEX(Data!$K$5:$AT$5&amp;Data!$K$6:$AT$6&amp;Data!$K$7:$AT$7,),0))</f>
        <v>688</v>
      </c>
      <c r="AU22" t="str">
        <f t="shared" si="15"/>
        <v>S</v>
      </c>
      <c r="AV22">
        <f>IF(MATCH(cur_month,$AP$14:$AP$25,0)&gt;=ROWS(AP$14:$AP22),AQ22,NA())</f>
        <v>0</v>
      </c>
      <c r="AW22" s="85">
        <f t="shared" si="16"/>
        <v>629</v>
      </c>
      <c r="AX22" s="85">
        <f t="shared" si="17"/>
        <v>688</v>
      </c>
      <c r="AY22" t="e">
        <f t="shared" si="5"/>
        <v>#N/A</v>
      </c>
    </row>
    <row r="23" spans="2:51" x14ac:dyDescent="0.25">
      <c r="B23" t="s">
        <v>26</v>
      </c>
      <c r="G23" s="41" t="s">
        <v>42</v>
      </c>
      <c r="H23" s="29" t="s">
        <v>58</v>
      </c>
      <c r="I23" s="42" t="s">
        <v>71</v>
      </c>
      <c r="M23" s="37">
        <f t="shared" si="6"/>
        <v>10</v>
      </c>
      <c r="N23" s="46" t="str" cm="1">
        <f t="array" ref="N23">IF(G23&lt;&gt;"",INDEX(G23:I23,,$D$4),"")</f>
        <v>Scrap</v>
      </c>
      <c r="O23" s="56">
        <f>IF($N23&lt;&gt;"",INDEX(Data!$B$9:$J$55,MATCH($N23,Data!$A$9:$A$51,0),MATCH(O$7,Data!$B$4:$AT$4,0)),"")</f>
        <v>13307</v>
      </c>
      <c r="P23" s="56">
        <f>IF($N23&lt;&gt;"",INDEX(Data!$B$9:$J$55,MATCH($N23,Data!$A$9:$A$51,0),MATCH(P$7,Data!$B$4:$AT$4,0)),"")</f>
        <v>862</v>
      </c>
      <c r="Q23" s="56">
        <f>IF($N23&lt;&gt;"",INDEX(Data!$B$9:$J$55,MATCH($N23,Data!$A$9:$A$51,0),MATCH(Q$7,Data!$B$4:$AT$4,0)),"")</f>
        <v>5279</v>
      </c>
      <c r="R23" s="56">
        <f>IF($N23&lt;&gt;"",INDEX(Data!$B$9:$J$55,MATCH($N23,Data!$A$9:$A$51,0),MATCH(R$7,Data!$B$4:$AT$4,0)),"")</f>
        <v>12127</v>
      </c>
      <c r="S23" s="56">
        <f>IF($N23&lt;&gt;"",INDEX(Data!$B$9:$J$55,MATCH($N23,Data!$A$9:$A$51,0),MATCH(S$7,Data!$B$4:$AT$4,0)),"")</f>
        <v>742</v>
      </c>
      <c r="T23" s="56">
        <f>IF($N23&lt;&gt;"",INDEX(Data!$B$9:$J$55,MATCH($N23,Data!$A$9:$A$51,0),MATCH(T$7,Data!$B$4:$AT$4,0)),"")</f>
        <v>5491</v>
      </c>
      <c r="U23" s="56">
        <f>IF($N23&lt;&gt;"",INDEX(Data!$B$9:$J$55,MATCH($N23,Data!$A$9:$A$51,0),MATCH(U$7,Data!$B$4:$AT$4,0)),"")</f>
        <v>13448</v>
      </c>
      <c r="V23" s="56">
        <f>IF($N23&lt;&gt;"",INDEX(Data!$B$9:$J$55,MATCH($N23,Data!$A$9:$A$51,0),MATCH(V$7,Data!$B$4:$AT$4,0)),"")</f>
        <v>905</v>
      </c>
      <c r="W23" s="56">
        <f>IF($N23&lt;&gt;"",INDEX(Data!$B$9:$J$55,MATCH($N23,Data!$A$9:$A$51,0),MATCH(W$7,Data!$B$4:$AT$4,0)),"")</f>
        <v>6062</v>
      </c>
      <c r="X23" s="55">
        <f t="shared" si="7"/>
        <v>9.730353756081471E-2</v>
      </c>
      <c r="Y23" s="55">
        <f t="shared" si="8"/>
        <v>0.16172506738544473</v>
      </c>
      <c r="Z23" s="55">
        <f t="shared" si="9"/>
        <v>-3.8608632307412127E-2</v>
      </c>
      <c r="AA23" s="55">
        <f t="shared" si="10"/>
        <v>-1.0484830458060678E-2</v>
      </c>
      <c r="AB23" s="55">
        <f t="shared" si="11"/>
        <v>-4.7513812154696133E-2</v>
      </c>
      <c r="AC23" s="55">
        <f t="shared" si="12"/>
        <v>-0.12916529198284393</v>
      </c>
      <c r="AE23" t="str">
        <f t="shared" si="4"/>
        <v>Scrap</v>
      </c>
      <c r="AF23" s="57" cm="1">
        <f t="array" ref="AF23">IF(AE23="","",INDEX(AA23:AC23,$D$6)+(ROW()/10000000000)+N("No row function was used to achieve a unique value to sort"))</f>
        <v>-1.0484828158060679E-2</v>
      </c>
      <c r="AG23" s="35"/>
      <c r="AI23" s="73"/>
      <c r="AJ23" s="73"/>
      <c r="AP23" t="s">
        <v>26</v>
      </c>
      <c r="AQ23" s="56" cm="1">
        <f t="array" ref="AQ23">INDEX(Data!$K$9:$AT$51,MATCH(Calculation!$AP$10,Data!$A$9:$A$51,0),MATCH(Calculation!AQ$12&amp;Calculation!$AP23&amp;Calculation!AQ$13,INDEX(Data!$K$5:$AT$5&amp;Data!$K$6:$AT$6&amp;Data!$K$7:$AT$7,),0))</f>
        <v>0</v>
      </c>
      <c r="AR23" s="56" cm="1">
        <f t="array" ref="AR23">INDEX(Data!$K$9:$AT$51,MATCH(Calculation!$AP$10,Data!$A$9:$A$51,0),MATCH(Calculation!AR$12&amp;Calculation!$AP23&amp;Calculation!AR$13,INDEX(Data!$K$5:$AT$5&amp;Data!$K$6:$AT$6&amp;Data!$K$7:$AT$7,),0))</f>
        <v>656</v>
      </c>
      <c r="AS23" s="56" cm="1">
        <f t="array" ref="AS23">INDEX(Data!$K$9:$AT$51,MATCH(Calculation!$AP$10,Data!$A$9:$A$51,0),MATCH(Calculation!AS$12&amp;Calculation!$AP23&amp;Calculation!AS$13,INDEX(Data!$K$5:$AT$5&amp;Data!$K$6:$AT$6&amp;Data!$K$7:$AT$7,),0))</f>
        <v>706</v>
      </c>
      <c r="AU23" t="str">
        <f t="shared" si="15"/>
        <v>O</v>
      </c>
      <c r="AV23">
        <f>IF(MATCH(cur_month,$AP$14:$AP$25,0)&gt;=ROWS(AP$14:$AP23),AQ23,NA())</f>
        <v>0</v>
      </c>
      <c r="AW23" s="85">
        <f t="shared" si="16"/>
        <v>656</v>
      </c>
      <c r="AX23" s="85">
        <f t="shared" si="17"/>
        <v>706</v>
      </c>
      <c r="AY23" t="e">
        <f t="shared" si="5"/>
        <v>#N/A</v>
      </c>
    </row>
    <row r="24" spans="2:51" x14ac:dyDescent="0.25">
      <c r="B24" t="s">
        <v>27</v>
      </c>
      <c r="G24" s="41" t="s">
        <v>43</v>
      </c>
      <c r="H24" s="29" t="s">
        <v>59</v>
      </c>
      <c r="I24" s="42" t="s">
        <v>72</v>
      </c>
      <c r="M24" s="37">
        <f t="shared" si="6"/>
        <v>11</v>
      </c>
      <c r="N24" s="46" t="str" cm="1">
        <f t="array" ref="N24">IF(G24&lt;&gt;"",INDEX(G24:I24,,$D$4),"")</f>
        <v>Motocyco</v>
      </c>
      <c r="O24" s="56">
        <f>IF($N24&lt;&gt;"",INDEX(Data!$B$9:$J$55,MATCH($N24,Data!$A$9:$A$51,0),MATCH(O$7,Data!$B$4:$AT$4,0)),"")</f>
        <v>11182</v>
      </c>
      <c r="P24" s="56">
        <f>IF($N24&lt;&gt;"",INDEX(Data!$B$9:$J$55,MATCH($N24,Data!$A$9:$A$51,0),MATCH(P$7,Data!$B$4:$AT$4,0)),"")</f>
        <v>1193</v>
      </c>
      <c r="Q24" s="56">
        <f>IF($N24&lt;&gt;"",INDEX(Data!$B$9:$J$55,MATCH($N24,Data!$A$9:$A$51,0),MATCH(Q$7,Data!$B$4:$AT$4,0)),"")</f>
        <v>4311</v>
      </c>
      <c r="R24" s="56">
        <f>IF($N24&lt;&gt;"",INDEX(Data!$B$9:$J$55,MATCH($N24,Data!$A$9:$A$51,0),MATCH(R$7,Data!$B$4:$AT$4,0)),"")</f>
        <v>10457</v>
      </c>
      <c r="S24" s="56">
        <f>IF($N24&lt;&gt;"",INDEX(Data!$B$9:$J$55,MATCH($N24,Data!$A$9:$A$51,0),MATCH(S$7,Data!$B$4:$AT$4,0)),"")</f>
        <v>890</v>
      </c>
      <c r="T24" s="56">
        <f>IF($N24&lt;&gt;"",INDEX(Data!$B$9:$J$55,MATCH($N24,Data!$A$9:$A$51,0),MATCH(T$7,Data!$B$4:$AT$4,0)),"")</f>
        <v>4595</v>
      </c>
      <c r="U24" s="56">
        <f>IF($N24&lt;&gt;"",INDEX(Data!$B$9:$J$55,MATCH($N24,Data!$A$9:$A$51,0),MATCH(U$7,Data!$B$4:$AT$4,0)),"")</f>
        <v>9952</v>
      </c>
      <c r="V24" s="56">
        <f>IF($N24&lt;&gt;"",INDEX(Data!$B$9:$J$55,MATCH($N24,Data!$A$9:$A$51,0),MATCH(V$7,Data!$B$4:$AT$4,0)),"")</f>
        <v>810</v>
      </c>
      <c r="W24" s="56">
        <f>IF($N24&lt;&gt;"",INDEX(Data!$B$9:$J$55,MATCH($N24,Data!$A$9:$A$51,0),MATCH(W$7,Data!$B$4:$AT$4,0)),"")</f>
        <v>4298</v>
      </c>
      <c r="X24" s="55">
        <f t="shared" si="7"/>
        <v>6.9331548245194607E-2</v>
      </c>
      <c r="Y24" s="55">
        <f t="shared" si="8"/>
        <v>0.34044943820224721</v>
      </c>
      <c r="Z24" s="55">
        <f t="shared" si="9"/>
        <v>-6.1806311207834599E-2</v>
      </c>
      <c r="AA24" s="55">
        <f t="shared" si="10"/>
        <v>0.12359324758842444</v>
      </c>
      <c r="AB24" s="55">
        <f t="shared" si="11"/>
        <v>0.47283950617283949</v>
      </c>
      <c r="AC24" s="55">
        <f t="shared" si="12"/>
        <v>3.0246626337831549E-3</v>
      </c>
      <c r="AE24" t="str">
        <f t="shared" si="4"/>
        <v>Motocyco</v>
      </c>
      <c r="AF24" s="57" cm="1">
        <f t="array" ref="AF24">IF(AE24="","",INDEX(AA24:AC24,$D$6)+(ROW()/10000000000)+N("No row function was used to achieve a unique value to sort"))</f>
        <v>0.12359324998842444</v>
      </c>
      <c r="AG24" s="35"/>
      <c r="AI24" s="73"/>
      <c r="AJ24" s="73"/>
      <c r="AP24" t="s">
        <v>27</v>
      </c>
      <c r="AQ24" s="56" cm="1">
        <f t="array" ref="AQ24">INDEX(Data!$K$9:$AT$51,MATCH(Calculation!$AP$10,Data!$A$9:$A$51,0),MATCH(Calculation!AQ$12&amp;Calculation!$AP24&amp;Calculation!AQ$13,INDEX(Data!$K$5:$AT$5&amp;Data!$K$6:$AT$6&amp;Data!$K$7:$AT$7,),0))</f>
        <v>0</v>
      </c>
      <c r="AR24" s="56" cm="1">
        <f t="array" ref="AR24">INDEX(Data!$K$9:$AT$51,MATCH(Calculation!$AP$10,Data!$A$9:$A$51,0),MATCH(Calculation!AR$12&amp;Calculation!$AP24&amp;Calculation!AR$13,INDEX(Data!$K$5:$AT$5&amp;Data!$K$6:$AT$6&amp;Data!$K$7:$AT$7,),0))</f>
        <v>641</v>
      </c>
      <c r="AS24" s="56" cm="1">
        <f t="array" ref="AS24">INDEX(Data!$K$9:$AT$51,MATCH(Calculation!$AP$10,Data!$A$9:$A$51,0),MATCH(Calculation!AS$12&amp;Calculation!$AP24&amp;Calculation!AS$13,INDEX(Data!$K$5:$AT$5&amp;Data!$K$6:$AT$6&amp;Data!$K$7:$AT$7,),0))</f>
        <v>664</v>
      </c>
      <c r="AU24" t="str">
        <f t="shared" si="15"/>
        <v>N</v>
      </c>
      <c r="AV24">
        <f>IF(MATCH(cur_month,$AP$14:$AP$25,0)&gt;=ROWS(AP$14:$AP24),AQ24,NA())</f>
        <v>0</v>
      </c>
      <c r="AW24" s="85">
        <f t="shared" si="16"/>
        <v>641</v>
      </c>
      <c r="AX24" s="85">
        <f t="shared" si="17"/>
        <v>664</v>
      </c>
      <c r="AY24" t="e">
        <f t="shared" si="5"/>
        <v>#N/A</v>
      </c>
    </row>
    <row r="25" spans="2:51" x14ac:dyDescent="0.25">
      <c r="B25" t="s">
        <v>28</v>
      </c>
      <c r="G25" s="41" t="s">
        <v>44</v>
      </c>
      <c r="H25" s="29" t="s">
        <v>60</v>
      </c>
      <c r="I25" s="42" t="s">
        <v>73</v>
      </c>
      <c r="M25" s="37">
        <f t="shared" si="6"/>
        <v>12</v>
      </c>
      <c r="N25" s="46" t="str" cm="1">
        <f t="array" ref="N25">IF(G25&lt;&gt;"",INDEX(G25:I25,,$D$4),"")</f>
        <v>Amplefio</v>
      </c>
      <c r="O25" s="56">
        <f>IF($N25&lt;&gt;"",INDEX(Data!$B$9:$J$55,MATCH($N25,Data!$A$9:$A$51,0),MATCH(O$7,Data!$B$4:$AT$4,0)),"")</f>
        <v>8250</v>
      </c>
      <c r="P25" s="56">
        <f>IF($N25&lt;&gt;"",INDEX(Data!$B$9:$J$55,MATCH($N25,Data!$A$9:$A$51,0),MATCH(P$7,Data!$B$4:$AT$4,0)),"")</f>
        <v>541</v>
      </c>
      <c r="Q25" s="56">
        <f>IF($N25&lt;&gt;"",INDEX(Data!$B$9:$J$55,MATCH($N25,Data!$A$9:$A$51,0),MATCH(Q$7,Data!$B$4:$AT$4,0)),"")</f>
        <v>5923</v>
      </c>
      <c r="R25" s="56">
        <f>IF($N25&lt;&gt;"",INDEX(Data!$B$9:$J$55,MATCH($N25,Data!$A$9:$A$51,0),MATCH(R$7,Data!$B$4:$AT$4,0)),"")</f>
        <v>8507</v>
      </c>
      <c r="S25" s="56">
        <f>IF($N25&lt;&gt;"",INDEX(Data!$B$9:$J$55,MATCH($N25,Data!$A$9:$A$51,0),MATCH(S$7,Data!$B$4:$AT$4,0)),"")</f>
        <v>369</v>
      </c>
      <c r="T25" s="56">
        <f>IF($N25&lt;&gt;"",INDEX(Data!$B$9:$J$55,MATCH($N25,Data!$A$9:$A$51,0),MATCH(T$7,Data!$B$4:$AT$4,0)),"")</f>
        <v>6622</v>
      </c>
      <c r="U25" s="56">
        <f>IF($N25&lt;&gt;"",INDEX(Data!$B$9:$J$55,MATCH($N25,Data!$A$9:$A$51,0),MATCH(U$7,Data!$B$4:$AT$4,0)),"")</f>
        <v>8899</v>
      </c>
      <c r="V25" s="56">
        <f>IF($N25&lt;&gt;"",INDEX(Data!$B$9:$J$55,MATCH($N25,Data!$A$9:$A$51,0),MATCH(V$7,Data!$B$4:$AT$4,0)),"")</f>
        <v>474</v>
      </c>
      <c r="W25" s="56">
        <f>IF($N25&lt;&gt;"",INDEX(Data!$B$9:$J$55,MATCH($N25,Data!$A$9:$A$51,0),MATCH(W$7,Data!$B$4:$AT$4,0)),"")</f>
        <v>6231</v>
      </c>
      <c r="X25" s="55">
        <f t="shared" si="7"/>
        <v>-3.0210414952392149E-2</v>
      </c>
      <c r="Y25" s="55">
        <f t="shared" si="8"/>
        <v>0.46612466124661245</v>
      </c>
      <c r="Z25" s="55">
        <f t="shared" si="9"/>
        <v>-0.10555723346421021</v>
      </c>
      <c r="AA25" s="55">
        <f t="shared" si="10"/>
        <v>-7.2929542645241041E-2</v>
      </c>
      <c r="AB25" s="55">
        <f t="shared" si="11"/>
        <v>0.14135021097046413</v>
      </c>
      <c r="AC25" s="55">
        <f t="shared" si="12"/>
        <v>-4.9430268014764883E-2</v>
      </c>
      <c r="AE25" t="str">
        <f t="shared" si="4"/>
        <v>Amplefio</v>
      </c>
      <c r="AF25" s="57" cm="1">
        <f t="array" ref="AF25">IF(AE25="","",INDEX(AA25:AC25,$D$6)+(ROW()/10000000000)+N("No row function was used to achieve a unique value to sort"))</f>
        <v>-7.2929540145241042E-2</v>
      </c>
      <c r="AG25" s="35"/>
      <c r="AI25" s="73"/>
      <c r="AJ25" s="73"/>
      <c r="AP25" t="s">
        <v>28</v>
      </c>
      <c r="AQ25" s="56" cm="1">
        <f t="array" ref="AQ25">INDEX(Data!$K$9:$AT$51,MATCH(Calculation!$AP$10,Data!$A$9:$A$51,0),MATCH(Calculation!AQ$12&amp;Calculation!$AP25&amp;Calculation!AQ$13,INDEX(Data!$K$5:$AT$5&amp;Data!$K$6:$AT$6&amp;Data!$K$7:$AT$7,),0))</f>
        <v>0</v>
      </c>
      <c r="AR25" s="56" cm="1">
        <f t="array" ref="AR25">INDEX(Data!$K$9:$AT$51,MATCH(Calculation!$AP$10,Data!$A$9:$A$51,0),MATCH(Calculation!AR$12&amp;Calculation!$AP25&amp;Calculation!AR$13,INDEX(Data!$K$5:$AT$5&amp;Data!$K$6:$AT$6&amp;Data!$K$7:$AT$7,),0))</f>
        <v>550</v>
      </c>
      <c r="AS25" s="56" cm="1">
        <f t="array" ref="AS25">INDEX(Data!$K$9:$AT$51,MATCH(Calculation!$AP$10,Data!$A$9:$A$51,0),MATCH(Calculation!AS$12&amp;Calculation!$AP25&amp;Calculation!AS$13,INDEX(Data!$K$5:$AT$5&amp;Data!$K$6:$AT$6&amp;Data!$K$7:$AT$7,),0))</f>
        <v>593</v>
      </c>
      <c r="AU25" t="str">
        <f t="shared" si="15"/>
        <v>D</v>
      </c>
      <c r="AV25">
        <f>IF(MATCH(cur_month,$AP$14:$AP$25,0)&gt;=ROWS(AP$14:$AP25),AQ25,NA())</f>
        <v>0</v>
      </c>
      <c r="AW25" s="85">
        <f t="shared" si="16"/>
        <v>550</v>
      </c>
      <c r="AX25" s="85">
        <f t="shared" si="17"/>
        <v>593</v>
      </c>
      <c r="AY25">
        <f t="shared" si="5"/>
        <v>0</v>
      </c>
    </row>
    <row r="26" spans="2:51" x14ac:dyDescent="0.25">
      <c r="G26" s="41" t="s">
        <v>45</v>
      </c>
      <c r="H26" s="29" t="s">
        <v>80</v>
      </c>
      <c r="I26" s="42" t="s">
        <v>74</v>
      </c>
      <c r="M26" s="37">
        <f t="shared" si="6"/>
        <v>13</v>
      </c>
      <c r="N26" s="46" t="str" cm="1">
        <f t="array" ref="N26">IF(G26&lt;&gt;"",INDEX(G26:I26,,$D$4),"")</f>
        <v>Strex</v>
      </c>
      <c r="O26" s="56">
        <f>IF($N26&lt;&gt;"",INDEX(Data!$B$9:$J$55,MATCH($N26,Data!$A$9:$A$51,0),MATCH(O$7,Data!$B$4:$AT$4,0)),"")</f>
        <v>8152</v>
      </c>
      <c r="P26" s="56">
        <f>IF($N26&lt;&gt;"",INDEX(Data!$B$9:$J$55,MATCH($N26,Data!$A$9:$A$51,0),MATCH(P$7,Data!$B$4:$AT$4,0)),"")</f>
        <v>258</v>
      </c>
      <c r="Q26" s="56">
        <f>IF($N26&lt;&gt;"",INDEX(Data!$B$9:$J$55,MATCH($N26,Data!$A$9:$A$51,0),MATCH(Q$7,Data!$B$4:$AT$4,0)),"")</f>
        <v>5700</v>
      </c>
      <c r="R26" s="56">
        <f>IF($N26&lt;&gt;"",INDEX(Data!$B$9:$J$55,MATCH($N26,Data!$A$9:$A$51,0),MATCH(R$7,Data!$B$4:$AT$4,0)),"")</f>
        <v>10832</v>
      </c>
      <c r="S26" s="56">
        <f>IF($N26&lt;&gt;"",INDEX(Data!$B$9:$J$55,MATCH($N26,Data!$A$9:$A$51,0),MATCH(S$7,Data!$B$4:$AT$4,0)),"")</f>
        <v>577</v>
      </c>
      <c r="T26" s="56">
        <f>IF($N26&lt;&gt;"",INDEX(Data!$B$9:$J$55,MATCH($N26,Data!$A$9:$A$51,0),MATCH(T$7,Data!$B$4:$AT$4,0)),"")</f>
        <v>5100</v>
      </c>
      <c r="U26" s="56">
        <f>IF($N26&lt;&gt;"",INDEX(Data!$B$9:$J$55,MATCH($N26,Data!$A$9:$A$51,0),MATCH(U$7,Data!$B$4:$AT$4,0)),"")</f>
        <v>9698</v>
      </c>
      <c r="V26" s="56">
        <f>IF($N26&lt;&gt;"",INDEX(Data!$B$9:$J$55,MATCH($N26,Data!$A$9:$A$51,0),MATCH(V$7,Data!$B$4:$AT$4,0)),"")</f>
        <v>350</v>
      </c>
      <c r="W26" s="56">
        <f>IF($N26&lt;&gt;"",INDEX(Data!$B$9:$J$55,MATCH($N26,Data!$A$9:$A$51,0),MATCH(W$7,Data!$B$4:$AT$4,0)),"")</f>
        <v>5200</v>
      </c>
      <c r="X26" s="55">
        <f t="shared" si="7"/>
        <v>-0.24741506646971936</v>
      </c>
      <c r="Y26" s="55">
        <f t="shared" si="8"/>
        <v>-0.55285961871750433</v>
      </c>
      <c r="Z26" s="55">
        <f t="shared" si="9"/>
        <v>0.11764705882352941</v>
      </c>
      <c r="AA26" s="55">
        <f t="shared" si="10"/>
        <v>-0.15941431222932564</v>
      </c>
      <c r="AB26" s="55">
        <f t="shared" si="11"/>
        <v>-0.26285714285714284</v>
      </c>
      <c r="AC26" s="55">
        <f t="shared" si="12"/>
        <v>9.6153846153846159E-2</v>
      </c>
      <c r="AE26" t="str">
        <f t="shared" si="4"/>
        <v>Strex</v>
      </c>
      <c r="AF26" s="57" cm="1">
        <f t="array" ref="AF26">IF(AE26="","",INDEX(AA26:AC26,$D$6)+(ROW()/10000000000)+N("No row function was used to achieve a unique value to sort"))</f>
        <v>-0.15941430962932565</v>
      </c>
      <c r="AG26" s="35"/>
      <c r="AI26" s="73"/>
      <c r="AJ26" s="73"/>
    </row>
    <row r="27" spans="2:51" x14ac:dyDescent="0.25">
      <c r="G27" s="41" t="s">
        <v>46</v>
      </c>
      <c r="H27" s="29" t="s">
        <v>80</v>
      </c>
      <c r="I27" s="42" t="s">
        <v>80</v>
      </c>
      <c r="M27" s="37" t="str">
        <f t="shared" si="6"/>
        <v/>
      </c>
      <c r="N27" s="46" t="str" cm="1">
        <f t="array" ref="N27">IF(G27&lt;&gt;"",INDEX(G27:I27,,$D$4),"")</f>
        <v/>
      </c>
      <c r="O27" s="56" t="str">
        <f>IF($N27&lt;&gt;"",INDEX(Data!$B$9:$J$55,MATCH($N27,Data!$A$9:$A$51,0),MATCH(O$7,Data!$B$4:$AT$4,0)),"")</f>
        <v/>
      </c>
      <c r="P27" s="56" t="str">
        <f>IF($N27&lt;&gt;"",INDEX(Data!$B$9:$J$55,MATCH($N27,Data!$A$9:$A$51,0),MATCH(P$7,Data!$B$4:$AT$4,0)),"")</f>
        <v/>
      </c>
      <c r="Q27" s="56" t="str">
        <f>IF($N27&lt;&gt;"",INDEX(Data!$B$9:$J$55,MATCH($N27,Data!$A$9:$A$51,0),MATCH(Q$7,Data!$B$4:$AT$4,0)),"")</f>
        <v/>
      </c>
      <c r="R27" s="56" t="str">
        <f>IF($N27&lt;&gt;"",INDEX(Data!$B$9:$J$55,MATCH($N27,Data!$A$9:$A$51,0),MATCH(R$7,Data!$B$4:$AT$4,0)),"")</f>
        <v/>
      </c>
      <c r="S27" s="56" t="str">
        <f>IF($N27&lt;&gt;"",INDEX(Data!$B$9:$J$55,MATCH($N27,Data!$A$9:$A$51,0),MATCH(S$7,Data!$B$4:$AT$4,0)),"")</f>
        <v/>
      </c>
      <c r="T27" s="56" t="str">
        <f>IF($N27&lt;&gt;"",INDEX(Data!$B$9:$J$55,MATCH($N27,Data!$A$9:$A$51,0),MATCH(T$7,Data!$B$4:$AT$4,0)),"")</f>
        <v/>
      </c>
      <c r="U27" s="56" t="str">
        <f>IF($N27&lt;&gt;"",INDEX(Data!$B$9:$J$55,MATCH($N27,Data!$A$9:$A$51,0),MATCH(U$7,Data!$B$4:$AT$4,0)),"")</f>
        <v/>
      </c>
      <c r="V27" s="56" t="str">
        <f>IF($N27&lt;&gt;"",INDEX(Data!$B$9:$J$55,MATCH($N27,Data!$A$9:$A$51,0),MATCH(V$7,Data!$B$4:$AT$4,0)),"")</f>
        <v/>
      </c>
      <c r="W27" s="56" t="str">
        <f>IF($N27&lt;&gt;"",INDEX(Data!$B$9:$J$55,MATCH($N27,Data!$A$9:$A$51,0),MATCH(W$7,Data!$B$4:$AT$4,0)),"")</f>
        <v/>
      </c>
      <c r="X27" s="55" t="str">
        <f t="shared" si="7"/>
        <v/>
      </c>
      <c r="Y27" s="55" t="str">
        <f t="shared" ref="Y27:Y34" si="18">IF($N27&lt;&gt;"",(P27-S27)/S27,"")</f>
        <v/>
      </c>
      <c r="Z27" s="55" t="str">
        <f t="shared" ref="Z27:Z34" si="19">IF($N27&lt;&gt;"",(Q27-T27)/T27,"")</f>
        <v/>
      </c>
      <c r="AA27" s="55" t="str">
        <f t="shared" ref="AA27:AA34" si="20">IF($N27&lt;&gt;"",(O27-U27)/U27,"")</f>
        <v/>
      </c>
      <c r="AB27" s="55" t="str">
        <f t="shared" ref="AB27:AB34" si="21">IF($N27&lt;&gt;"",(P27-V27)/V27,"")</f>
        <v/>
      </c>
      <c r="AC27" s="55" t="str">
        <f t="shared" ref="AC27:AC34" si="22">IF($N27&lt;&gt;"",(Q27-W27)/W27,"")</f>
        <v/>
      </c>
      <c r="AE27" t="str">
        <f t="shared" si="4"/>
        <v/>
      </c>
      <c r="AF27" s="57" t="str" cm="1">
        <f t="array" ref="AF27">IF(AE27="","",INDEX(AA27:AC27,$D$6)+(ROW()/10000000000)+N("No row function was used to achieve a unique value to sort"))</f>
        <v/>
      </c>
      <c r="AG27" s="35"/>
      <c r="AI27" s="73"/>
      <c r="AJ27" s="73"/>
    </row>
    <row r="28" spans="2:51" x14ac:dyDescent="0.25">
      <c r="G28" s="41" t="s">
        <v>47</v>
      </c>
      <c r="H28" s="29" t="s">
        <v>80</v>
      </c>
      <c r="I28" s="42" t="s">
        <v>80</v>
      </c>
      <c r="M28" s="37" t="str">
        <f t="shared" si="6"/>
        <v/>
      </c>
      <c r="N28" s="46" t="str" cm="1">
        <f t="array" ref="N28">IF(G28&lt;&gt;"",INDEX(G28:I28,,$D$4),"")</f>
        <v/>
      </c>
      <c r="O28" s="56" t="str">
        <f>IF($N28&lt;&gt;"",INDEX(Data!$B$9:$J$55,MATCH($N28,Data!$A$9:$A$51,0),MATCH(O$7,Data!$B$4:$AT$4,0)),"")</f>
        <v/>
      </c>
      <c r="P28" s="56" t="str">
        <f>IF($N28&lt;&gt;"",INDEX(Data!$B$9:$J$55,MATCH($N28,Data!$A$9:$A$51,0),MATCH(P$7,Data!$B$4:$AT$4,0)),"")</f>
        <v/>
      </c>
      <c r="Q28" s="56" t="str">
        <f>IF($N28&lt;&gt;"",INDEX(Data!$B$9:$J$55,MATCH($N28,Data!$A$9:$A$51,0),MATCH(Q$7,Data!$B$4:$AT$4,0)),"")</f>
        <v/>
      </c>
      <c r="R28" s="56" t="str">
        <f>IF($N28&lt;&gt;"",INDEX(Data!$B$9:$J$55,MATCH($N28,Data!$A$9:$A$51,0),MATCH(R$7,Data!$B$4:$AT$4,0)),"")</f>
        <v/>
      </c>
      <c r="S28" s="56" t="str">
        <f>IF($N28&lt;&gt;"",INDEX(Data!$B$9:$J$55,MATCH($N28,Data!$A$9:$A$51,0),MATCH(S$7,Data!$B$4:$AT$4,0)),"")</f>
        <v/>
      </c>
      <c r="T28" s="56" t="str">
        <f>IF($N28&lt;&gt;"",INDEX(Data!$B$9:$J$55,MATCH($N28,Data!$A$9:$A$51,0),MATCH(T$7,Data!$B$4:$AT$4,0)),"")</f>
        <v/>
      </c>
      <c r="U28" s="56" t="str">
        <f>IF($N28&lt;&gt;"",INDEX(Data!$B$9:$J$55,MATCH($N28,Data!$A$9:$A$51,0),MATCH(U$7,Data!$B$4:$AT$4,0)),"")</f>
        <v/>
      </c>
      <c r="V28" s="56" t="str">
        <f>IF($N28&lt;&gt;"",INDEX(Data!$B$9:$J$55,MATCH($N28,Data!$A$9:$A$51,0),MATCH(V$7,Data!$B$4:$AT$4,0)),"")</f>
        <v/>
      </c>
      <c r="W28" s="56" t="str">
        <f>IF($N28&lt;&gt;"",INDEX(Data!$B$9:$J$55,MATCH($N28,Data!$A$9:$A$51,0),MATCH(W$7,Data!$B$4:$AT$4,0)),"")</f>
        <v/>
      </c>
      <c r="X28" s="55" t="str">
        <f t="shared" si="7"/>
        <v/>
      </c>
      <c r="Y28" s="55" t="str">
        <f t="shared" si="18"/>
        <v/>
      </c>
      <c r="Z28" s="55" t="str">
        <f t="shared" si="19"/>
        <v/>
      </c>
      <c r="AA28" s="55" t="str">
        <f t="shared" si="20"/>
        <v/>
      </c>
      <c r="AB28" s="55" t="str">
        <f t="shared" si="21"/>
        <v/>
      </c>
      <c r="AC28" s="55" t="str">
        <f t="shared" si="22"/>
        <v/>
      </c>
      <c r="AE28" t="str">
        <f t="shared" si="4"/>
        <v/>
      </c>
      <c r="AF28" s="57" t="str" cm="1">
        <f t="array" ref="AF28">IF(AE28="","",INDEX(AA28:AC28,$D$6)+(ROW()/10000000000)+N("No row function was used to achieve a unique value to sort"))</f>
        <v/>
      </c>
      <c r="AG28" s="35"/>
      <c r="AI28" s="73"/>
      <c r="AJ28" s="73"/>
    </row>
    <row r="29" spans="2:51" x14ac:dyDescent="0.25">
      <c r="G29" s="41"/>
      <c r="H29" s="29"/>
      <c r="I29" s="42"/>
      <c r="M29" s="37" t="str">
        <f t="shared" si="6"/>
        <v/>
      </c>
      <c r="N29" s="46" t="str" cm="1">
        <f t="array" ref="N29">IF(G29&lt;&gt;"",INDEX(G29:I29,,$D$4),"")</f>
        <v/>
      </c>
      <c r="O29" s="56" t="str">
        <f>IF($N29&lt;&gt;"",INDEX(Data!$B$9:$J$55,MATCH($N29,Data!$A$9:$A$51,0),MATCH(O$7,Data!$B$4:$AT$4,0)),"")</f>
        <v/>
      </c>
      <c r="P29" s="56" t="str">
        <f>IF($N29&lt;&gt;"",INDEX(Data!$B$9:$J$55,MATCH($N29,Data!$A$9:$A$51,0),MATCH(P$7,Data!$B$4:$AT$4,0)),"")</f>
        <v/>
      </c>
      <c r="Q29" s="56" t="str">
        <f>IF($N29&lt;&gt;"",INDEX(Data!$B$9:$J$55,MATCH($N29,Data!$A$9:$A$51,0),MATCH(Q$7,Data!$B$4:$AT$4,0)),"")</f>
        <v/>
      </c>
      <c r="R29" s="56" t="str">
        <f>IF($N29&lt;&gt;"",INDEX(Data!$B$9:$J$55,MATCH($N29,Data!$A$9:$A$51,0),MATCH(R$7,Data!$B$4:$AT$4,0)),"")</f>
        <v/>
      </c>
      <c r="S29" s="56" t="str">
        <f>IF($N29&lt;&gt;"",INDEX(Data!$B$9:$J$55,MATCH($N29,Data!$A$9:$A$51,0),MATCH(S$7,Data!$B$4:$AT$4,0)),"")</f>
        <v/>
      </c>
      <c r="T29" s="56" t="str">
        <f>IF($N29&lt;&gt;"",INDEX(Data!$B$9:$J$55,MATCH($N29,Data!$A$9:$A$51,0),MATCH(T$7,Data!$B$4:$AT$4,0)),"")</f>
        <v/>
      </c>
      <c r="U29" s="56" t="str">
        <f>IF($N29&lt;&gt;"",INDEX(Data!$B$9:$J$55,MATCH($N29,Data!$A$9:$A$51,0),MATCH(U$7,Data!$B$4:$AT$4,0)),"")</f>
        <v/>
      </c>
      <c r="V29" s="56" t="str">
        <f>IF($N29&lt;&gt;"",INDEX(Data!$B$9:$J$55,MATCH($N29,Data!$A$9:$A$51,0),MATCH(V$7,Data!$B$4:$AT$4,0)),"")</f>
        <v/>
      </c>
      <c r="W29" s="56" t="str">
        <f>IF($N29&lt;&gt;"",INDEX(Data!$B$9:$J$55,MATCH($N29,Data!$A$9:$A$51,0),MATCH(W$7,Data!$B$4:$AT$4,0)),"")</f>
        <v/>
      </c>
      <c r="X29" s="55" t="str">
        <f t="shared" si="7"/>
        <v/>
      </c>
      <c r="Y29" s="55" t="str">
        <f t="shared" si="18"/>
        <v/>
      </c>
      <c r="Z29" s="55" t="str">
        <f t="shared" si="19"/>
        <v/>
      </c>
      <c r="AA29" s="55" t="str">
        <f t="shared" si="20"/>
        <v/>
      </c>
      <c r="AB29" s="55" t="str">
        <f t="shared" si="21"/>
        <v/>
      </c>
      <c r="AC29" s="55" t="str">
        <f t="shared" si="22"/>
        <v/>
      </c>
      <c r="AE29" t="str">
        <f t="shared" si="4"/>
        <v/>
      </c>
      <c r="AF29" s="57" t="str" cm="1">
        <f t="array" ref="AF29">IF(AE29="","",INDEX(AA29:AC29,$D$6)+(ROW()/10000000000)+N("No row function was used to achieve a unique value to sort"))</f>
        <v/>
      </c>
      <c r="AG29" s="35"/>
    </row>
    <row r="30" spans="2:51" x14ac:dyDescent="0.25">
      <c r="G30" s="41"/>
      <c r="H30" s="29"/>
      <c r="I30" s="42"/>
      <c r="M30" s="37" t="str">
        <f t="shared" si="6"/>
        <v/>
      </c>
      <c r="N30" s="46" t="str" cm="1">
        <f t="array" ref="N30">IF(G30&lt;&gt;"",INDEX(G30:I30,,$D$4),"")</f>
        <v/>
      </c>
      <c r="O30" s="56" t="str">
        <f>IF($N30&lt;&gt;"",INDEX(Data!$B$9:$J$55,MATCH($N30,Data!$A$9:$A$51,0),MATCH(O$7,Data!$B$4:$AT$4,0)),"")</f>
        <v/>
      </c>
      <c r="P30" s="56" t="str">
        <f>IF($N30&lt;&gt;"",INDEX(Data!$B$9:$J$55,MATCH($N30,Data!$A$9:$A$51,0),MATCH(P$7,Data!$B$4:$AT$4,0)),"")</f>
        <v/>
      </c>
      <c r="Q30" s="56" t="str">
        <f>IF($N30&lt;&gt;"",INDEX(Data!$B$9:$J$55,MATCH($N30,Data!$A$9:$A$51,0),MATCH(Q$7,Data!$B$4:$AT$4,0)),"")</f>
        <v/>
      </c>
      <c r="R30" s="56" t="str">
        <f>IF($N30&lt;&gt;"",INDEX(Data!$B$9:$J$55,MATCH($N30,Data!$A$9:$A$51,0),MATCH(R$7,Data!$B$4:$AT$4,0)),"")</f>
        <v/>
      </c>
      <c r="S30" s="56" t="str">
        <f>IF($N30&lt;&gt;"",INDEX(Data!$B$9:$J$55,MATCH($N30,Data!$A$9:$A$51,0),MATCH(S$7,Data!$B$4:$AT$4,0)),"")</f>
        <v/>
      </c>
      <c r="T30" s="56" t="str">
        <f>IF($N30&lt;&gt;"",INDEX(Data!$B$9:$J$55,MATCH($N30,Data!$A$9:$A$51,0),MATCH(T$7,Data!$B$4:$AT$4,0)),"")</f>
        <v/>
      </c>
      <c r="U30" s="56" t="str">
        <f>IF($N30&lt;&gt;"",INDEX(Data!$B$9:$J$55,MATCH($N30,Data!$A$9:$A$51,0),MATCH(U$7,Data!$B$4:$AT$4,0)),"")</f>
        <v/>
      </c>
      <c r="V30" s="56" t="str">
        <f>IF($N30&lt;&gt;"",INDEX(Data!$B$9:$J$55,MATCH($N30,Data!$A$9:$A$51,0),MATCH(V$7,Data!$B$4:$AT$4,0)),"")</f>
        <v/>
      </c>
      <c r="W30" s="56" t="str">
        <f>IF($N30&lt;&gt;"",INDEX(Data!$B$9:$J$55,MATCH($N30,Data!$A$9:$A$51,0),MATCH(W$7,Data!$B$4:$AT$4,0)),"")</f>
        <v/>
      </c>
      <c r="X30" s="55" t="str">
        <f t="shared" si="7"/>
        <v/>
      </c>
      <c r="Y30" s="55" t="str">
        <f t="shared" si="18"/>
        <v/>
      </c>
      <c r="Z30" s="55" t="str">
        <f t="shared" si="19"/>
        <v/>
      </c>
      <c r="AA30" s="55" t="str">
        <f t="shared" si="20"/>
        <v/>
      </c>
      <c r="AB30" s="55" t="str">
        <f t="shared" si="21"/>
        <v/>
      </c>
      <c r="AC30" s="55" t="str">
        <f t="shared" si="22"/>
        <v/>
      </c>
      <c r="AE30" t="str">
        <f t="shared" si="4"/>
        <v/>
      </c>
      <c r="AF30" s="57" t="str" cm="1">
        <f t="array" ref="AF30">IF(AE30="","",INDEX(AA30:AC30,$D$6)+(ROW()/10000000000)+N("No row function was used to achieve a unique value to sort"))</f>
        <v/>
      </c>
      <c r="AG30" s="35"/>
    </row>
    <row r="31" spans="2:51" x14ac:dyDescent="0.25">
      <c r="G31" s="41"/>
      <c r="H31" s="29"/>
      <c r="I31" s="42"/>
      <c r="M31" s="37" t="str">
        <f t="shared" si="6"/>
        <v/>
      </c>
      <c r="N31" s="46" t="str" cm="1">
        <f t="array" ref="N31">IF(G31&lt;&gt;"",INDEX(G31:I31,,$D$4),"")</f>
        <v/>
      </c>
      <c r="O31" s="56" t="str">
        <f>IF($N31&lt;&gt;"",INDEX(Data!$B$9:$J$55,MATCH($N31,Data!$A$9:$A$51,0),MATCH(O$7,Data!$B$4:$AT$4,0)),"")</f>
        <v/>
      </c>
      <c r="P31" s="56" t="str">
        <f>IF($N31&lt;&gt;"",INDEX(Data!$B$9:$J$55,MATCH($N31,Data!$A$9:$A$51,0),MATCH(P$7,Data!$B$4:$AT$4,0)),"")</f>
        <v/>
      </c>
      <c r="Q31" s="56" t="str">
        <f>IF($N31&lt;&gt;"",INDEX(Data!$B$9:$J$55,MATCH($N31,Data!$A$9:$A$51,0),MATCH(Q$7,Data!$B$4:$AT$4,0)),"")</f>
        <v/>
      </c>
      <c r="R31" s="56" t="str">
        <f>IF($N31&lt;&gt;"",INDEX(Data!$B$9:$J$55,MATCH($N31,Data!$A$9:$A$51,0),MATCH(R$7,Data!$B$4:$AT$4,0)),"")</f>
        <v/>
      </c>
      <c r="S31" s="56" t="str">
        <f>IF($N31&lt;&gt;"",INDEX(Data!$B$9:$J$55,MATCH($N31,Data!$A$9:$A$51,0),MATCH(S$7,Data!$B$4:$AT$4,0)),"")</f>
        <v/>
      </c>
      <c r="T31" s="56" t="str">
        <f>IF($N31&lt;&gt;"",INDEX(Data!$B$9:$J$55,MATCH($N31,Data!$A$9:$A$51,0),MATCH(T$7,Data!$B$4:$AT$4,0)),"")</f>
        <v/>
      </c>
      <c r="U31" s="56" t="str">
        <f>IF($N31&lt;&gt;"",INDEX(Data!$B$9:$J$55,MATCH($N31,Data!$A$9:$A$51,0),MATCH(U$7,Data!$B$4:$AT$4,0)),"")</f>
        <v/>
      </c>
      <c r="V31" s="56" t="str">
        <f>IF($N31&lt;&gt;"",INDEX(Data!$B$9:$J$55,MATCH($N31,Data!$A$9:$A$51,0),MATCH(V$7,Data!$B$4:$AT$4,0)),"")</f>
        <v/>
      </c>
      <c r="W31" s="56" t="str">
        <f>IF($N31&lt;&gt;"",INDEX(Data!$B$9:$J$55,MATCH($N31,Data!$A$9:$A$51,0),MATCH(W$7,Data!$B$4:$AT$4,0)),"")</f>
        <v/>
      </c>
      <c r="X31" s="55" t="str">
        <f t="shared" si="7"/>
        <v/>
      </c>
      <c r="Y31" s="55" t="str">
        <f t="shared" si="18"/>
        <v/>
      </c>
      <c r="Z31" s="55" t="str">
        <f t="shared" si="19"/>
        <v/>
      </c>
      <c r="AA31" s="55" t="str">
        <f t="shared" si="20"/>
        <v/>
      </c>
      <c r="AB31" s="55" t="str">
        <f t="shared" si="21"/>
        <v/>
      </c>
      <c r="AC31" s="55" t="str">
        <f t="shared" si="22"/>
        <v/>
      </c>
      <c r="AE31" t="str">
        <f t="shared" si="4"/>
        <v/>
      </c>
      <c r="AF31" s="57" t="str" cm="1">
        <f t="array" ref="AF31">IF(AE31="","",INDEX(AA31:AC31,$D$6)+(ROW()/10000000000)+N("No row function was used to achieve a unique value to sort"))</f>
        <v/>
      </c>
      <c r="AG31" s="35"/>
    </row>
    <row r="32" spans="2:51" x14ac:dyDescent="0.25">
      <c r="G32" s="41"/>
      <c r="H32" s="29"/>
      <c r="I32" s="42"/>
      <c r="M32" s="37" t="str">
        <f t="shared" si="6"/>
        <v/>
      </c>
      <c r="N32" s="46" t="str" cm="1">
        <f t="array" ref="N32">IF(G32&lt;&gt;"",INDEX(G32:I32,,$D$4),"")</f>
        <v/>
      </c>
      <c r="O32" s="56" t="str">
        <f>IF($N32&lt;&gt;"",INDEX(Data!$B$9:$J$55,MATCH($N32,Data!$A$9:$A$51,0),MATCH(O$7,Data!$B$4:$AT$4,0)),"")</f>
        <v/>
      </c>
      <c r="P32" s="56" t="str">
        <f>IF($N32&lt;&gt;"",INDEX(Data!$B$9:$J$55,MATCH($N32,Data!$A$9:$A$51,0),MATCH(P$7,Data!$B$4:$AT$4,0)),"")</f>
        <v/>
      </c>
      <c r="Q32" s="56" t="str">
        <f>IF($N32&lt;&gt;"",INDEX(Data!$B$9:$J$55,MATCH($N32,Data!$A$9:$A$51,0),MATCH(Q$7,Data!$B$4:$AT$4,0)),"")</f>
        <v/>
      </c>
      <c r="R32" s="56" t="str">
        <f>IF($N32&lt;&gt;"",INDEX(Data!$B$9:$J$55,MATCH($N32,Data!$A$9:$A$51,0),MATCH(R$7,Data!$B$4:$AT$4,0)),"")</f>
        <v/>
      </c>
      <c r="S32" s="56" t="str">
        <f>IF($N32&lt;&gt;"",INDEX(Data!$B$9:$J$55,MATCH($N32,Data!$A$9:$A$51,0),MATCH(S$7,Data!$B$4:$AT$4,0)),"")</f>
        <v/>
      </c>
      <c r="T32" s="56" t="str">
        <f>IF($N32&lt;&gt;"",INDEX(Data!$B$9:$J$55,MATCH($N32,Data!$A$9:$A$51,0),MATCH(T$7,Data!$B$4:$AT$4,0)),"")</f>
        <v/>
      </c>
      <c r="U32" s="56" t="str">
        <f>IF($N32&lt;&gt;"",INDEX(Data!$B$9:$J$55,MATCH($N32,Data!$A$9:$A$51,0),MATCH(U$7,Data!$B$4:$AT$4,0)),"")</f>
        <v/>
      </c>
      <c r="V32" s="56" t="str">
        <f>IF($N32&lt;&gt;"",INDEX(Data!$B$9:$J$55,MATCH($N32,Data!$A$9:$A$51,0),MATCH(V$7,Data!$B$4:$AT$4,0)),"")</f>
        <v/>
      </c>
      <c r="W32" s="56" t="str">
        <f>IF($N32&lt;&gt;"",INDEX(Data!$B$9:$J$55,MATCH($N32,Data!$A$9:$A$51,0),MATCH(W$7,Data!$B$4:$AT$4,0)),"")</f>
        <v/>
      </c>
      <c r="X32" s="55" t="str">
        <f t="shared" si="7"/>
        <v/>
      </c>
      <c r="Y32" s="55" t="str">
        <f t="shared" si="18"/>
        <v/>
      </c>
      <c r="Z32" s="55" t="str">
        <f t="shared" si="19"/>
        <v/>
      </c>
      <c r="AA32" s="55" t="str">
        <f t="shared" si="20"/>
        <v/>
      </c>
      <c r="AB32" s="55" t="str">
        <f t="shared" si="21"/>
        <v/>
      </c>
      <c r="AC32" s="55" t="str">
        <f t="shared" si="22"/>
        <v/>
      </c>
      <c r="AE32" t="str">
        <f t="shared" si="4"/>
        <v/>
      </c>
      <c r="AF32" s="57" t="str" cm="1">
        <f t="array" ref="AF32">IF(AE32="","",INDEX(AA32:AC32,$D$6)+(ROW()/10000000000)+N("No row function was used to achieve a unique value to sort"))</f>
        <v/>
      </c>
      <c r="AG32" s="35"/>
    </row>
    <row r="33" spans="7:33" x14ac:dyDescent="0.25">
      <c r="G33" s="41"/>
      <c r="H33" s="29"/>
      <c r="I33" s="42"/>
      <c r="M33" s="37" t="str">
        <f t="shared" si="6"/>
        <v/>
      </c>
      <c r="N33" s="46" t="str" cm="1">
        <f t="array" ref="N33">IF(G33&lt;&gt;"",INDEX(G33:I33,,$D$4),"")</f>
        <v/>
      </c>
      <c r="O33" s="67" t="str">
        <f>IF($N33&lt;&gt;"",INDEX(Data!$B$9:$J$55,MATCH($N33,Data!$A$9:$A$51,0),MATCH(O$7,Data!$B$4:$AT$4,0)),"")</f>
        <v/>
      </c>
      <c r="P33" s="67" t="str">
        <f>IF($N33&lt;&gt;"",INDEX(Data!$B$9:$J$55,MATCH($N33,Data!$A$9:$A$51,0),MATCH(P$7,Data!$B$4:$AT$4,0)),"")</f>
        <v/>
      </c>
      <c r="Q33" s="67" t="str">
        <f>IF($N33&lt;&gt;"",INDEX(Data!$B$9:$J$55,MATCH($N33,Data!$A$9:$A$51,0),MATCH(Q$7,Data!$B$4:$AT$4,0)),"")</f>
        <v/>
      </c>
      <c r="R33" s="67" t="str">
        <f>IF($N33&lt;&gt;"",INDEX(Data!$B$9:$J$55,MATCH($N33,Data!$A$9:$A$51,0),MATCH(R$7,Data!$B$4:$AT$4,0)),"")</f>
        <v/>
      </c>
      <c r="S33" s="67" t="str">
        <f>IF($N33&lt;&gt;"",INDEX(Data!$B$9:$J$55,MATCH($N33,Data!$A$9:$A$51,0),MATCH(S$7,Data!$B$4:$AT$4,0)),"")</f>
        <v/>
      </c>
      <c r="T33" s="67" t="str">
        <f>IF($N33&lt;&gt;"",INDEX(Data!$B$9:$J$55,MATCH($N33,Data!$A$9:$A$51,0),MATCH(T$7,Data!$B$4:$AT$4,0)),"")</f>
        <v/>
      </c>
      <c r="U33" s="67" t="str">
        <f>IF($N33&lt;&gt;"",INDEX(Data!$B$9:$J$55,MATCH($N33,Data!$A$9:$A$51,0),MATCH(U$7,Data!$B$4:$AT$4,0)),"")</f>
        <v/>
      </c>
      <c r="V33" s="67" t="str">
        <f>IF($N33&lt;&gt;"",INDEX(Data!$B$9:$J$55,MATCH($N33,Data!$A$9:$A$51,0),MATCH(V$7,Data!$B$4:$AT$4,0)),"")</f>
        <v/>
      </c>
      <c r="W33" s="67" t="str">
        <f>IF($N33&lt;&gt;"",INDEX(Data!$B$9:$J$55,MATCH($N33,Data!$A$9:$A$51,0),MATCH(W$7,Data!$B$4:$AT$4,0)),"")</f>
        <v/>
      </c>
      <c r="X33" s="55" t="str">
        <f t="shared" si="7"/>
        <v/>
      </c>
      <c r="Y33" s="55" t="str">
        <f t="shared" si="18"/>
        <v/>
      </c>
      <c r="Z33" s="55" t="str">
        <f t="shared" si="19"/>
        <v/>
      </c>
      <c r="AA33" s="55" t="str">
        <f t="shared" si="20"/>
        <v/>
      </c>
      <c r="AB33" s="55" t="str">
        <f t="shared" si="21"/>
        <v/>
      </c>
      <c r="AC33" s="55" t="str">
        <f t="shared" si="22"/>
        <v/>
      </c>
      <c r="AE33" t="str">
        <f t="shared" si="4"/>
        <v/>
      </c>
      <c r="AF33" s="57" t="str" cm="1">
        <f t="array" ref="AF33">IF(AE33="","",INDEX(AA33:AC33,$D$6)+(ROW()/10000000000)+N("No row function was used to achieve a unique value to sort"))</f>
        <v/>
      </c>
      <c r="AG33" s="35"/>
    </row>
    <row r="34" spans="7:33" x14ac:dyDescent="0.25">
      <c r="G34" s="43"/>
      <c r="H34" s="21"/>
      <c r="I34" s="44"/>
      <c r="M34" s="47" t="str">
        <f t="shared" si="6"/>
        <v/>
      </c>
      <c r="N34" s="22" t="str" cm="1">
        <f t="array" ref="N34">IF(G34&lt;&gt;"",INDEX(G34:I34,,$D$4),"")</f>
        <v/>
      </c>
      <c r="O34" s="68" t="str">
        <f>IF($N34&lt;&gt;"",INDEX(Data!$B$9:$J$55,MATCH($N34,Data!$A$9:$A$51,0),MATCH(O$7,Data!$B$4:$AT$4,0)),"")</f>
        <v/>
      </c>
      <c r="P34" s="68" t="str">
        <f>IF($N34&lt;&gt;"",INDEX(Data!$B$9:$J$55,MATCH($N34,Data!$A$9:$A$51,0),MATCH(P$7,Data!$B$4:$AT$4,0)),"")</f>
        <v/>
      </c>
      <c r="Q34" s="68" t="str">
        <f>IF($N34&lt;&gt;"",INDEX(Data!$B$9:$J$55,MATCH($N34,Data!$A$9:$A$51,0),MATCH(Q$7,Data!$B$4:$AT$4,0)),"")</f>
        <v/>
      </c>
      <c r="R34" s="68" t="str">
        <f>IF($N34&lt;&gt;"",INDEX(Data!$B$9:$J$55,MATCH($N34,Data!$A$9:$A$51,0),MATCH(R$7,Data!$B$4:$AT$4,0)),"")</f>
        <v/>
      </c>
      <c r="S34" s="68" t="str">
        <f>IF($N34&lt;&gt;"",INDEX(Data!$B$9:$J$55,MATCH($N34,Data!$A$9:$A$51,0),MATCH(S$7,Data!$B$4:$AT$4,0)),"")</f>
        <v/>
      </c>
      <c r="T34" s="68" t="str">
        <f>IF($N34&lt;&gt;"",INDEX(Data!$B$9:$J$55,MATCH($N34,Data!$A$9:$A$51,0),MATCH(T$7,Data!$B$4:$AT$4,0)),"")</f>
        <v/>
      </c>
      <c r="U34" s="68" t="str">
        <f>IF($N34&lt;&gt;"",INDEX(Data!$B$9:$J$55,MATCH($N34,Data!$A$9:$A$51,0),MATCH(U$7,Data!$B$4:$AT$4,0)),"")</f>
        <v/>
      </c>
      <c r="V34" s="68" t="str">
        <f>IF($N34&lt;&gt;"",INDEX(Data!$B$9:$J$55,MATCH($N34,Data!$A$9:$A$51,0),MATCH(V$7,Data!$B$4:$AT$4,0)),"")</f>
        <v/>
      </c>
      <c r="W34" s="68" t="str">
        <f>IF($N34&lt;&gt;"",INDEX(Data!$B$9:$J$55,MATCH($N34,Data!$A$9:$A$51,0),MATCH(W$7,Data!$B$4:$AT$4,0)),"")</f>
        <v/>
      </c>
      <c r="X34" s="72" t="str">
        <f t="shared" si="7"/>
        <v/>
      </c>
      <c r="Y34" s="72" t="str">
        <f t="shared" si="18"/>
        <v/>
      </c>
      <c r="Z34" s="72" t="str">
        <f t="shared" si="19"/>
        <v/>
      </c>
      <c r="AA34" s="72" t="str">
        <f t="shared" si="20"/>
        <v/>
      </c>
      <c r="AB34" s="72" t="str">
        <f t="shared" si="21"/>
        <v/>
      </c>
      <c r="AC34" s="72" t="str">
        <f t="shared" si="22"/>
        <v/>
      </c>
      <c r="AE34" t="str">
        <f t="shared" si="4"/>
        <v/>
      </c>
      <c r="AF34" s="57" t="str" cm="1">
        <f t="array" ref="AF34">IF(AE34="","",INDEX(AA34:AC34,$D$6)+(ROW()/10000000000)+N("No row function was used to achieve a unique value to sort"))</f>
        <v/>
      </c>
      <c r="AG34" s="35"/>
    </row>
    <row r="35" spans="7:33" x14ac:dyDescent="0.25">
      <c r="O35" s="69"/>
      <c r="P35" s="69"/>
      <c r="Q35" s="69"/>
      <c r="R35" s="70"/>
      <c r="S35" s="70"/>
      <c r="T35" s="70"/>
      <c r="U35" s="71"/>
      <c r="V35" s="71"/>
      <c r="W35" s="71"/>
      <c r="X35" s="49"/>
      <c r="Y35" s="49"/>
      <c r="Z35" s="49"/>
      <c r="AA35" s="50"/>
      <c r="AB35" s="50"/>
      <c r="AC35" s="50"/>
    </row>
    <row r="36" spans="7:33" x14ac:dyDescent="0.25">
      <c r="N36" s="46" t="str" cm="1">
        <f t="array" ref="N36">INDEX($G$13:$I$13,$D$4)</f>
        <v>Utility Apps</v>
      </c>
      <c r="O36" s="65">
        <f>IF($N36&lt;&gt;"",INDEX(Data!$B$9:$J$55,MATCH($N36,Data!$A$9:$A$51,0),MATCH(O$7,Data!$B$4:$AT$4,0)),"")</f>
        <v>189978.5</v>
      </c>
      <c r="P36" s="65">
        <f>IF($N36&lt;&gt;"",INDEX(Data!$B$9:$J$55,MATCH($N36,Data!$A$9:$A$51,0),MATCH(P$7,Data!$B$4:$AT$4,0)),"")</f>
        <v>8869.2000000000007</v>
      </c>
      <c r="Q36" s="65">
        <f>IF($N36&lt;&gt;"",INDEX(Data!$B$9:$J$55,MATCH($N36,Data!$A$9:$A$51,0),MATCH(Q$7,Data!$B$4:$AT$4,0)),"")</f>
        <v>91467.1</v>
      </c>
      <c r="R36" s="65">
        <f>IF($N36&lt;&gt;"",INDEX(Data!$B$9:$J$55,MATCH($N36,Data!$A$9:$A$51,0),MATCH(R$7,Data!$B$4:$AT$4,0)),"")</f>
        <v>187118.2</v>
      </c>
      <c r="S36" s="65">
        <f>IF($N36&lt;&gt;"",INDEX(Data!$B$9:$J$55,MATCH($N36,Data!$A$9:$A$51,0),MATCH(S$7,Data!$B$4:$AT$4,0)),"")</f>
        <v>7865.9000000000005</v>
      </c>
      <c r="T36" s="65">
        <f>IF($N36&lt;&gt;"",INDEX(Data!$B$9:$J$55,MATCH($N36,Data!$A$9:$A$51,0),MATCH(T$7,Data!$B$4:$AT$4,0)),"")</f>
        <v>97100.299999999988</v>
      </c>
      <c r="U36" s="65">
        <f>IF($N36&lt;&gt;"",INDEX(Data!$B$9:$J$55,MATCH($N36,Data!$A$9:$A$51,0),MATCH(U$7,Data!$B$4:$AT$4,0)),"")</f>
        <v>181464.8</v>
      </c>
      <c r="V36" s="65">
        <f>IF($N36&lt;&gt;"",INDEX(Data!$B$9:$J$55,MATCH($N36,Data!$A$9:$A$51,0),MATCH(V$7,Data!$B$4:$AT$4,0)),"")</f>
        <v>8122.2</v>
      </c>
      <c r="W36" s="65">
        <f>IF($N36&lt;&gt;"",INDEX(Data!$B$9:$J$55,MATCH($N36,Data!$A$9:$A$51,0),MATCH(W$7,Data!$B$4:$AT$4,0)),"")</f>
        <v>94780.800000000003</v>
      </c>
      <c r="X36" s="53">
        <f t="shared" ref="X36" si="23">IF($N36&lt;&gt;"",(O36-R36)/R36,"")</f>
        <v>1.5286059827424528E-2</v>
      </c>
      <c r="Y36" s="53">
        <f t="shared" ref="Y36" si="24">IF($N36&lt;&gt;"",(P36-S36)/S36,"")</f>
        <v>0.12755056636875628</v>
      </c>
      <c r="Z36" s="53">
        <f t="shared" ref="Z36" si="25">IF($N36&lt;&gt;"",(Q36-T36)/T36,"")</f>
        <v>-5.8014238884946633E-2</v>
      </c>
      <c r="AA36" s="53">
        <f t="shared" ref="AA36" si="26">IF($N36&lt;&gt;"",(O36-U36)/U36,"")</f>
        <v>4.6916536981276874E-2</v>
      </c>
      <c r="AB36" s="53">
        <f t="shared" ref="AB36" si="27">IF($N36&lt;&gt;"",(P36-V36)/V36,"")</f>
        <v>9.1970155869099623E-2</v>
      </c>
      <c r="AC36" s="53">
        <f t="shared" ref="AC36" si="28">IF($N36&lt;&gt;"",(Q36-W36)/W36,"")</f>
        <v>-3.4961722205341134E-2</v>
      </c>
    </row>
    <row r="38" spans="7:33" x14ac:dyDescent="0.25">
      <c r="N38" s="45" t="s">
        <v>104</v>
      </c>
      <c r="O38" s="45"/>
      <c r="P38" s="35"/>
      <c r="Q38" s="35"/>
      <c r="R38" s="35"/>
      <c r="S38" s="35"/>
      <c r="T38" s="35"/>
      <c r="W38" s="45" t="s">
        <v>99</v>
      </c>
      <c r="X38" s="45"/>
      <c r="Y38" s="35"/>
      <c r="Z38" s="35"/>
      <c r="AA38" s="35"/>
      <c r="AB38" s="35"/>
      <c r="AC38" s="35"/>
    </row>
    <row r="39" spans="7:33" x14ac:dyDescent="0.25">
      <c r="N39" s="46" t="s">
        <v>105</v>
      </c>
      <c r="O39" s="66">
        <f>O36-U36</f>
        <v>8513.7000000000116</v>
      </c>
      <c r="P39" t="str">
        <f>IF(O39&gt;0,"Over Budget","Under Budget")</f>
        <v>Over Budget</v>
      </c>
      <c r="W39" t="s">
        <v>97</v>
      </c>
      <c r="X39" s="57">
        <f>MIN(X14:X34)</f>
        <v>-0.24741506646971936</v>
      </c>
      <c r="Z39" t="s">
        <v>97</v>
      </c>
      <c r="AA39" s="57">
        <f>MIN(AA14:AA34)</f>
        <v>-0.15941431222932564</v>
      </c>
    </row>
    <row r="40" spans="7:33" x14ac:dyDescent="0.25">
      <c r="N40" s="46" t="s">
        <v>106</v>
      </c>
      <c r="O40" s="66">
        <f>P36-V36</f>
        <v>747.00000000000091</v>
      </c>
      <c r="P40" t="str">
        <f t="shared" ref="P40:P41" si="29">IF(O40&gt;0,"Over Budget","Under Budget")</f>
        <v>Over Budget</v>
      </c>
      <c r="W40" t="s">
        <v>98</v>
      </c>
      <c r="X40" s="57">
        <f>MAX(X14:X34)</f>
        <v>0.16703703703703704</v>
      </c>
      <c r="Z40" t="s">
        <v>98</v>
      </c>
      <c r="AA40" s="57">
        <f>MAX(AA14:AA34)</f>
        <v>0.20436018957345972</v>
      </c>
    </row>
    <row r="41" spans="7:33" x14ac:dyDescent="0.25">
      <c r="N41" s="46" t="s">
        <v>107</v>
      </c>
      <c r="O41" s="66">
        <f>Q36-W36</f>
        <v>-3313.6999999999971</v>
      </c>
      <c r="P41" t="str">
        <f t="shared" si="29"/>
        <v>Under Budget</v>
      </c>
      <c r="W41" t="s">
        <v>100</v>
      </c>
      <c r="X41" s="57">
        <f>MIN(Y14:Y34)</f>
        <v>-0.55285961871750433</v>
      </c>
      <c r="Z41" t="s">
        <v>100</v>
      </c>
      <c r="AA41" s="57">
        <f>MIN(AB14:AB34)</f>
        <v>-0.45142857142857135</v>
      </c>
    </row>
    <row r="42" spans="7:33" x14ac:dyDescent="0.25">
      <c r="O42" s="65"/>
      <c r="W42" t="s">
        <v>101</v>
      </c>
      <c r="X42" s="57">
        <f>MAX(Y14:Y34)</f>
        <v>0.46612466124661245</v>
      </c>
      <c r="Z42" t="s">
        <v>101</v>
      </c>
      <c r="AA42" s="57">
        <f>MAX(AB14:AB34)</f>
        <v>0.53846153846153844</v>
      </c>
    </row>
    <row r="43" spans="7:33" x14ac:dyDescent="0.25">
      <c r="W43" t="s">
        <v>102</v>
      </c>
      <c r="X43" s="57">
        <f>MIN(Z14:Z34)</f>
        <v>-0.18720538720538721</v>
      </c>
      <c r="Z43" t="s">
        <v>102</v>
      </c>
      <c r="AA43" s="57">
        <f>MIN(AC14:AC34)</f>
        <v>-0.37654958677685951</v>
      </c>
    </row>
    <row r="44" spans="7:33" x14ac:dyDescent="0.25">
      <c r="W44" t="s">
        <v>103</v>
      </c>
      <c r="X44" s="57">
        <f>MAX(Z14:Z34)</f>
        <v>0.136474609375</v>
      </c>
      <c r="Z44" t="s">
        <v>103</v>
      </c>
      <c r="AA44" s="57">
        <f>MAX(AC14:AC34)</f>
        <v>9.6153846153846159E-2</v>
      </c>
    </row>
  </sheetData>
  <phoneticPr fontId="5" type="noConversion"/>
  <pageMargins left="0.7" right="0.7" top="0.75" bottom="0.75" header="0.3" footer="0.3"/>
  <ignoredErrors>
    <ignoredError sqref="R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4:R21"/>
  <sheetViews>
    <sheetView workbookViewId="0">
      <selection activeCell="G31" sqref="G31"/>
    </sheetView>
  </sheetViews>
  <sheetFormatPr defaultRowHeight="13.8" x14ac:dyDescent="0.25"/>
  <cols>
    <col min="1" max="1" width="9" customWidth="1"/>
    <col min="5" max="5" width="7.3984375" customWidth="1"/>
    <col min="6" max="6" width="6.19921875" customWidth="1"/>
    <col min="13" max="13" width="17.19921875" customWidth="1"/>
    <col min="14" max="14" width="7.09765625" customWidth="1"/>
    <col min="16" max="16" width="12.09765625" customWidth="1"/>
    <col min="17" max="17" width="13" bestFit="1" customWidth="1"/>
  </cols>
  <sheetData>
    <row r="4" spans="2:18" x14ac:dyDescent="0.25">
      <c r="P4" t="s">
        <v>0</v>
      </c>
      <c r="Q4" t="s">
        <v>81</v>
      </c>
      <c r="R4" s="36"/>
    </row>
    <row r="5" spans="2:18" x14ac:dyDescent="0.25">
      <c r="P5" t="s">
        <v>13</v>
      </c>
      <c r="Q5" t="s">
        <v>82</v>
      </c>
      <c r="R5" s="34"/>
    </row>
    <row r="6" spans="2:18" x14ac:dyDescent="0.25">
      <c r="P6" t="s">
        <v>14</v>
      </c>
      <c r="Q6" t="s">
        <v>83</v>
      </c>
      <c r="R6" s="33"/>
    </row>
    <row r="9" spans="2:18" x14ac:dyDescent="0.25">
      <c r="N9" s="1"/>
    </row>
    <row r="10" spans="2:18" x14ac:dyDescent="0.25">
      <c r="P10" s="1"/>
    </row>
    <row r="11" spans="2:18" x14ac:dyDescent="0.25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8" x14ac:dyDescent="0.25">
      <c r="B12" t="s">
        <v>3</v>
      </c>
    </row>
    <row r="13" spans="2:18" x14ac:dyDescent="0.25">
      <c r="B13" t="s">
        <v>4</v>
      </c>
    </row>
    <row r="14" spans="2:18" x14ac:dyDescent="0.25">
      <c r="B14" t="s">
        <v>5</v>
      </c>
    </row>
    <row r="15" spans="2:18" x14ac:dyDescent="0.25">
      <c r="B15" t="s">
        <v>6</v>
      </c>
    </row>
    <row r="16" spans="2:18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</sheetData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C223F-1622-47A6-845C-2B00C5AF68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</vt:lpstr>
      <vt:lpstr>Dashboard</vt:lpstr>
      <vt:lpstr>Control</vt:lpstr>
      <vt:lpstr>Calculation</vt:lpstr>
      <vt:lpstr>Wireframe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Part of online Udemy Excel Dashboard course.</dc:description>
  <cp:lastModifiedBy>Emmanuel Idowu</cp:lastModifiedBy>
  <dcterms:created xsi:type="dcterms:W3CDTF">2017-03-13T09:30:03Z</dcterms:created>
  <dcterms:modified xsi:type="dcterms:W3CDTF">2024-09-11T15:21:53Z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