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75" windowHeight="6885" activeTab="1"/>
  </bookViews>
  <sheets>
    <sheet name="summary" sheetId="12" r:id="rId1"/>
    <sheet name="extractions" sheetId="1" r:id="rId2"/>
    <sheet name="chk1" sheetId="4" r:id="rId3"/>
    <sheet name="chk2" sheetId="15" r:id="rId4"/>
    <sheet name="chk5" sheetId="14" r:id="rId5"/>
    <sheet name="chk13" sheetId="9" r:id="rId6"/>
    <sheet name="chk17" sheetId="13" r:id="rId7"/>
  </sheets>
  <definedNames>
    <definedName name="_chk1">extractions!$E$43</definedName>
    <definedName name="_chk10">extractions!$CG$20</definedName>
    <definedName name="_chk11">extractions!$CX$20</definedName>
    <definedName name="_chk12">extractions!$DP$5</definedName>
    <definedName name="_chk13">extractions!$DU$6</definedName>
    <definedName name="_chk14">extractions!$DY$11</definedName>
    <definedName name="_chk15">extractions!$EC$5</definedName>
    <definedName name="_chk16">extractions!$FH$3</definedName>
    <definedName name="_chk17">extractions!$GU$1</definedName>
    <definedName name="_chk18">extractions!$GY$1</definedName>
    <definedName name="_chk2">extractions!$K$47</definedName>
    <definedName name="_chk3">extractions!$P$14</definedName>
    <definedName name="_chk4">extractions!$X$8</definedName>
    <definedName name="_chk5">extractions!$AB$8</definedName>
    <definedName name="_chk6">extractions!$AH$5</definedName>
    <definedName name="_chk7">extractions!$AM$5</definedName>
    <definedName name="_chk8">extractions!$BS$5</definedName>
    <definedName name="_chk9">extractions!$BY$4</definedName>
    <definedName name="AllBlocks">extractions!$DL$7:$DL$116</definedName>
    <definedName name="allowedLineTypes">'chk17'!$B$2:$B$170</definedName>
    <definedName name="allowedPlotScales">'chk2'!$A$2:$A$35</definedName>
    <definedName name="allowedScales">'chk2'!$B$2:$B$48</definedName>
    <definedName name="AnnotationSymbols">'chk13'!$E$1:$E$56</definedName>
    <definedName name="AppDate">extractions!$K$27</definedName>
    <definedName name="Approved">extractions!$K$34</definedName>
    <definedName name="blockname">extractions!$DL$7</definedName>
    <definedName name="building">extractions!$E$21</definedName>
    <definedName name="buildingNumberInTitle1">extractions!$M$15</definedName>
    <definedName name="CheckDate">extractions!$K$22</definedName>
    <definedName name="Checked">extractions!$K$29</definedName>
    <definedName name="chk10Summary">summary!$K$14</definedName>
    <definedName name="chk11Summary">summary!$L$14</definedName>
    <definedName name="chk12Summary">summary!$M$14</definedName>
    <definedName name="chk13Summary">summary!$N$14</definedName>
    <definedName name="chk14Summary">summary!$O$14</definedName>
    <definedName name="chk15Summary">summary!$P$14</definedName>
    <definedName name="chk16Summary">summary!$Q$14</definedName>
    <definedName name="chk17Summary">summary!$R$14</definedName>
    <definedName name="chk18Summary">summary!$S$14</definedName>
    <definedName name="chk1Summary">summary!$B$14</definedName>
    <definedName name="chk2Layer">extractions!$L$46</definedName>
    <definedName name="chk2Summary">summary!$C$14</definedName>
    <definedName name="chk3Summary">summary!$D$14</definedName>
    <definedName name="chk4Summary">summary!$E$14</definedName>
    <definedName name="chk5Summary">summary!$F$14</definedName>
    <definedName name="chk6Summary">summary!$G$14</definedName>
    <definedName name="chk7Summary">summary!$H$14</definedName>
    <definedName name="chk8Summary">summary!$I$14</definedName>
    <definedName name="chk9Summary">summary!$J$14</definedName>
    <definedName name="copyarea">extractions!$A$1:$GY$100</definedName>
    <definedName name="CrossCheck">extractions!$K$30</definedName>
    <definedName name="CrsDate">extractions!$K$23</definedName>
    <definedName name="Date">extractions!$B$2</definedName>
    <definedName name="dimEntities">extractions!$FR$2</definedName>
    <definedName name="dimScaleOk">extractions!$FH$2</definedName>
    <definedName name="dimstyle">extractions!$EJ$2</definedName>
    <definedName name="DimStyleNames">extractions!$EJ$2:$EJ$15</definedName>
    <definedName name="DimStyleScales">extractions!$EL$2:$EL$15</definedName>
    <definedName name="discipline">extractions!$E$24</definedName>
    <definedName name="Drawn">extractions!$K$28</definedName>
    <definedName name="dwgchecked">summary!$A$14</definedName>
    <definedName name="DwgDate">extractions!$K$21</definedName>
    <definedName name="dwgname">extractions!$D$5</definedName>
    <definedName name="DwgNum">extractions!$K$20</definedName>
    <definedName name="EngDate">extractions!$K$26</definedName>
    <definedName name="Engineer">extractions!$K$33</definedName>
    <definedName name="EqtCode">extractions!$K$35</definedName>
    <definedName name="expectedgridname">extractions!$X$22</definedName>
    <definedName name="expectedxreflayout">extractions!$P$9</definedName>
    <definedName name="File">extractions!$K$19</definedName>
    <definedName name="fileNameFormatOK">extractions!$B$3</definedName>
    <definedName name="fontProblem">extractions!$CX$19</definedName>
    <definedName name="fontsAccurate">extractions!$CU$6:$CU$19</definedName>
    <definedName name="Fwr">extractions!$K$11</definedName>
    <definedName name="hasAnnotation">extractions!$DU$5</definedName>
    <definedName name="hasBindError">extractions!$DN$6</definedName>
    <definedName name="hasDollarError">extractions!$DO$6</definedName>
    <definedName name="hasOriginProblem">extractions!$AH$4</definedName>
    <definedName name="hasPathProblem">extractions!$AM$4</definedName>
    <definedName name="hasTitleBlock">extractions!$K$36</definedName>
    <definedName name="IsCivil">extractions!$DY$5</definedName>
    <definedName name="IsDetail">extractions!$E$48</definedName>
    <definedName name="isDetail1">'chk1'!$K$56</definedName>
    <definedName name="isDetail2">'chk1'!#REF!</definedName>
    <definedName name="isEightLetters">extractions!$E$38</definedName>
    <definedName name="IsElevation">'chk1'!$K$55</definedName>
    <definedName name="IsEnlarged">extractions!$E$45</definedName>
    <definedName name="isEnlargedView1">'chk1'!$K$42</definedName>
    <definedName name="isEnlargedView2">'chk1'!$K$53</definedName>
    <definedName name="IsLayout">extractions!$E$40</definedName>
    <definedName name="isPurged">extractions!$GY$1</definedName>
    <definedName name="isRecordDrawing">extractions!$EE$5</definedName>
    <definedName name="IsSection">'chk1'!$K$54</definedName>
    <definedName name="IsView">extractions!$B$62</definedName>
    <definedName name="layer0ents">extractions!$BS$4</definedName>
    <definedName name="layer0model">extractions!$BR$11</definedName>
    <definedName name="layer0paper">extractions!$BS$11</definedName>
    <definedName name="layers">extractions!$CC$2</definedName>
    <definedName name="layoutOrViewInTitle">extractions!$M$18</definedName>
    <definedName name="legalHeights">extractions!$CT$6:$CT$19</definedName>
    <definedName name="legalStyles">extractions!$CW$2:$CY$5</definedName>
    <definedName name="letter1legal">extractions!$E$17</definedName>
    <definedName name="levelInTitle">extractions!$M$16</definedName>
    <definedName name="linetype">extractions!$GU$4</definedName>
    <definedName name="lineTypeError">extractions!$GV$4:$GV$39</definedName>
    <definedName name="modelall">extractions!$CG$18</definedName>
    <definedName name="modelblks">extractions!$CG$15</definedName>
    <definedName name="modelcircles">extractions!$CG$17</definedName>
    <definedName name="modellines">extractions!$CG$16</definedName>
    <definedName name="modeltext">extractions!$CG$14</definedName>
    <definedName name="nameProblem">extractions!$CX$16</definedName>
    <definedName name="NCAreas">'chk1'!$O$1:$O$16</definedName>
    <definedName name="NCBuilding">'chk1'!$K$1:$L$25</definedName>
    <definedName name="NCDetailsHighNum1">'chk1'!$M$56</definedName>
    <definedName name="NCDetailsHighNum2">'chk1'!#REF!</definedName>
    <definedName name="NCDetailsLowNum1">'chk1'!$L$56</definedName>
    <definedName name="NCDetailsLowNum2">'chk1'!#REF!</definedName>
    <definedName name="NCDisciplines">'chk1'!$D$1:$E$115</definedName>
    <definedName name="NCElevationsHighNum">'chk1'!$M$55</definedName>
    <definedName name="NCElevationsLowNum">'chk1'!$L$55</definedName>
    <definedName name="NCEnlargedHighNum1">'chk1'!$M$42</definedName>
    <definedName name="NCEnlargedHighNum2">'chk1'!$M$53</definedName>
    <definedName name="NCEnlargedLowNum1">'chk1'!$L$42</definedName>
    <definedName name="NCEnlargedLowNum2">'chk1'!$L$53</definedName>
    <definedName name="NCLevels">'chk1'!$W$1:$X$50</definedName>
    <definedName name="NCPlanKey">'chk1'!$Z$1:$AA$16</definedName>
    <definedName name="NCSectionsHighNum">'chk1'!$M$54</definedName>
    <definedName name="NCSectionsLowNum">'chk1'!$L$54</definedName>
    <definedName name="NCSeries">'chk1'!$K$42:$N$64</definedName>
    <definedName name="NCSpecial">'chk1'!$AC$1:$AD$9</definedName>
    <definedName name="northarrowangle">extractions!$DY$14</definedName>
    <definedName name="northarrowok">extractions!$DY$9</definedName>
    <definedName name="northarrowqty">extractions!$DY$13</definedName>
    <definedName name="northxscale">extractions!$DY$15</definedName>
    <definedName name="oddXrefs">'chk5'!$A$2:$A$104</definedName>
    <definedName name="OldNum">extractions!$K$10</definedName>
    <definedName name="oncorrectlayer">extractions!$K$46</definedName>
    <definedName name="originRange">extractions!$BG$2:$BG$40</definedName>
    <definedName name="overallSectorInTitle">extractions!$M$17</definedName>
    <definedName name="paperall">extractions!$CG$13</definedName>
    <definedName name="paperblks">extractions!$CG$10</definedName>
    <definedName name="papercircles">extractions!$CG$12</definedName>
    <definedName name="paperlines">extractions!$CG$11</definedName>
    <definedName name="papertext">extractions!$CG$9</definedName>
    <definedName name="pathRange">extractions!$BE$2:$BE$40</definedName>
    <definedName name="PlaDate">extractions!$K$25</definedName>
    <definedName name="Planning">extractions!$K$32</definedName>
    <definedName name="PlotScale">extractions!$K$13</definedName>
    <definedName name="plotscaleok">extractions!$K$45</definedName>
    <definedName name="properXrefFound">extractions!$P$12</definedName>
    <definedName name="purge">extractions!$B$4</definedName>
    <definedName name="Rev">extractions!$K$12</definedName>
    <definedName name="RevDescriptions">extractions!$ED$8:$ED$20</definedName>
    <definedName name="revInsert">extractions!$EB$8</definedName>
    <definedName name="revisionline">extractions!$EC$8</definedName>
    <definedName name="SafDate">extractions!$K$24</definedName>
    <definedName name="Safety">extractions!$K$31</definedName>
    <definedName name="Scale">extractions!$K$14</definedName>
    <definedName name="scaleformatok">extractions!$K$44</definedName>
    <definedName name="SecondLetterAllowed">extractions!$E$22</definedName>
    <definedName name="sector">extractions!$E$33</definedName>
    <definedName name="series">extractions!$E$36</definedName>
    <definedName name="styleHtProblem">extractions!$CX$18</definedName>
    <definedName name="SumLegal">extractions!$BP$2:$BP$40</definedName>
    <definedName name="SummaryNotes">summary!$T$14</definedName>
    <definedName name="textEntity">extractions!$DD$2</definedName>
    <definedName name="textHeightProblem">extractions!$CX$17</definedName>
    <definedName name="textHeightRemainder">extractions!$DA$2:$DA$151</definedName>
    <definedName name="textHts">extractions!$CQ$6:$CQ$19</definedName>
    <definedName name="textstyle">extractions!$CN$6</definedName>
    <definedName name="thisdwg">extractions!$B$1</definedName>
    <definedName name="Title1">extractions!$K$15</definedName>
    <definedName name="title1proper">extractions!$K$40</definedName>
    <definedName name="Title2">extractions!$K$16</definedName>
    <definedName name="title2proper">extractions!$K$41</definedName>
    <definedName name="Title3">extractions!$K$17</definedName>
    <definedName name="title3proper">extractions!$K$42</definedName>
    <definedName name="Title4">extractions!$K$18</definedName>
    <definedName name="title4proper">extractions!$K$43</definedName>
    <definedName name="title4WithKeyWord">'chk1'!$U$60</definedName>
    <definedName name="titleinmodel">extractions!$K$37</definedName>
    <definedName name="titleinpaper">extractions!$K$38</definedName>
    <definedName name="titleIsLayout">extractions!$K$43</definedName>
    <definedName name="titlelayer">extractions!$K$7</definedName>
    <definedName name="titleletter1">extractions!$E$6</definedName>
    <definedName name="titleletter2">extractions!$E$7</definedName>
    <definedName name="titleletter3">extractions!$E$8</definedName>
    <definedName name="titleletter4">extractions!$E$9</definedName>
    <definedName name="titleletter5">extractions!$E$10</definedName>
    <definedName name="titleletter6">extractions!$E$11</definedName>
    <definedName name="titleletter7">extractions!$E$12</definedName>
    <definedName name="titleletter78">extractions!$E$32</definedName>
    <definedName name="titleletter8">extractions!$E$13</definedName>
    <definedName name="titleletter9">extractions!$E$14</definedName>
    <definedName name="titleletters256">extractions!$E$26</definedName>
    <definedName name="titleletters34">extractions!$E$23</definedName>
    <definedName name="titleletters5678">extractions!$E$35</definedName>
    <definedName name="titleqtymodel">extractions!$K$4</definedName>
    <definedName name="titleqtypaper">extractions!$K$5</definedName>
    <definedName name="titleScaleAllowed">'chk2'!$D$12</definedName>
    <definedName name="titleSum">'chk5'!$C$40:$C$56</definedName>
    <definedName name="titleunique">extractions!$K$6</definedName>
    <definedName name="UniqueTitle">extractions!$K$39</definedName>
    <definedName name="Value5678">extractions!$E$44</definedName>
    <definedName name="xrefLetterTable">extractions!$T$8:$U$9</definedName>
    <definedName name="XrefList">extractions!$AS$2</definedName>
    <definedName name="xrefNameProper">extractions!$P$26</definedName>
    <definedName name="xrefnames">extractions!$AS$2:$AS$100</definedName>
    <definedName name="xrefsInModel">extractions!$CG$19</definedName>
  </definedNames>
  <calcPr calcId="125725"/>
</workbook>
</file>

<file path=xl/calcChain.xml><?xml version="1.0" encoding="utf-8"?>
<calcChain xmlns="http://schemas.openxmlformats.org/spreadsheetml/2006/main">
  <c r="K47" i="1"/>
  <c r="M14"/>
  <c r="CG20"/>
  <c r="DY9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2"/>
  <c r="D9" i="15"/>
  <c r="D8"/>
  <c r="D7"/>
  <c r="D6"/>
  <c r="D5"/>
  <c r="D4"/>
  <c r="D3"/>
  <c r="D2"/>
  <c r="T58" i="4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R58"/>
  <c r="R57"/>
  <c r="R56"/>
  <c r="R55"/>
  <c r="R54"/>
  <c r="R53"/>
  <c r="R52"/>
  <c r="R51"/>
  <c r="R50"/>
  <c r="R49"/>
  <c r="R48"/>
  <c r="R47"/>
  <c r="R46"/>
  <c r="R45"/>
  <c r="R44"/>
  <c r="T43"/>
  <c r="S43"/>
  <c r="R43"/>
  <c r="C41" i="14"/>
  <c r="C42"/>
  <c r="C43"/>
  <c r="C44"/>
  <c r="C45"/>
  <c r="C46"/>
  <c r="C47"/>
  <c r="C48"/>
  <c r="C49"/>
  <c r="C50"/>
  <c r="C51"/>
  <c r="C52"/>
  <c r="C53"/>
  <c r="C54"/>
  <c r="C55"/>
  <c r="C56"/>
  <c r="C40"/>
  <c r="K36" i="1" s="1"/>
  <c r="B41" i="14"/>
  <c r="B42"/>
  <c r="B43"/>
  <c r="B44"/>
  <c r="B45"/>
  <c r="B46"/>
  <c r="B47"/>
  <c r="B48"/>
  <c r="B49"/>
  <c r="B50"/>
  <c r="B51"/>
  <c r="B52"/>
  <c r="B53"/>
  <c r="B54"/>
  <c r="B55"/>
  <c r="B56"/>
  <c r="B40"/>
  <c r="CU19" i="1"/>
  <c r="CU18"/>
  <c r="CU17"/>
  <c r="CU16"/>
  <c r="CU15"/>
  <c r="CU14"/>
  <c r="CU13"/>
  <c r="CU12"/>
  <c r="CU11"/>
  <c r="CU10"/>
  <c r="CU9"/>
  <c r="CU7"/>
  <c r="CU6"/>
  <c r="CU8"/>
  <c r="CT7"/>
  <c r="CT8"/>
  <c r="CT9"/>
  <c r="CT10"/>
  <c r="CT11"/>
  <c r="CT12"/>
  <c r="CT13"/>
  <c r="CT14"/>
  <c r="CT15"/>
  <c r="CT16"/>
  <c r="CT17"/>
  <c r="CT18"/>
  <c r="CT19"/>
  <c r="CT6"/>
  <c r="BO40"/>
  <c r="BP40" s="1"/>
  <c r="BO39"/>
  <c r="BP39" s="1"/>
  <c r="BO38"/>
  <c r="BO37"/>
  <c r="BP37" s="1"/>
  <c r="BO36"/>
  <c r="BP36" s="1"/>
  <c r="BO35"/>
  <c r="BP35" s="1"/>
  <c r="BO34"/>
  <c r="BP34" s="1"/>
  <c r="BO33"/>
  <c r="BO32"/>
  <c r="BP32" s="1"/>
  <c r="BO31"/>
  <c r="BP31" s="1"/>
  <c r="BO30"/>
  <c r="BO29"/>
  <c r="BP29" s="1"/>
  <c r="BO28"/>
  <c r="BP28" s="1"/>
  <c r="BO27"/>
  <c r="BP27" s="1"/>
  <c r="BO26"/>
  <c r="BO25"/>
  <c r="BO24"/>
  <c r="BP24" s="1"/>
  <c r="BO23"/>
  <c r="BO22"/>
  <c r="BO21"/>
  <c r="BP21" s="1"/>
  <c r="BO20"/>
  <c r="BP20" s="1"/>
  <c r="BO19"/>
  <c r="BP19" s="1"/>
  <c r="BO18"/>
  <c r="BP18" s="1"/>
  <c r="BO17"/>
  <c r="BO16"/>
  <c r="BP16" s="1"/>
  <c r="BO15"/>
  <c r="BP15" s="1"/>
  <c r="BO14"/>
  <c r="BO13"/>
  <c r="BP13" s="1"/>
  <c r="BO12"/>
  <c r="BP12" s="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N5"/>
  <c r="BN4"/>
  <c r="BN3"/>
  <c r="BN2"/>
  <c r="BQ2"/>
  <c r="K45"/>
  <c r="FO4"/>
  <c r="FO5"/>
  <c r="FO6"/>
  <c r="FO7"/>
  <c r="FO8"/>
  <c r="FO9"/>
  <c r="FO10"/>
  <c r="FO11"/>
  <c r="FO12"/>
  <c r="FO13"/>
  <c r="FO14"/>
  <c r="BP23"/>
  <c r="BP14"/>
  <c r="BP17"/>
  <c r="BP22"/>
  <c r="BP25"/>
  <c r="BP26"/>
  <c r="BP30"/>
  <c r="BP33"/>
  <c r="BP38"/>
  <c r="BO41"/>
  <c r="BO42"/>
  <c r="BO43"/>
  <c r="BO44"/>
  <c r="BO45"/>
  <c r="BM3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2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2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3"/>
  <c r="BK4"/>
  <c r="BO4" s="1"/>
  <c r="BP4" s="1"/>
  <c r="BK5"/>
  <c r="BO5" s="1"/>
  <c r="BK6"/>
  <c r="BO6" s="1"/>
  <c r="BK7"/>
  <c r="BO7" s="1"/>
  <c r="BP7" s="1"/>
  <c r="BK8"/>
  <c r="BO8" s="1"/>
  <c r="BP8" s="1"/>
  <c r="BK9"/>
  <c r="BK10"/>
  <c r="BO10" s="1"/>
  <c r="BK11"/>
  <c r="BK12"/>
  <c r="BK13"/>
  <c r="BK14"/>
  <c r="BK15"/>
  <c r="BK2"/>
  <c r="CS7"/>
  <c r="CS8"/>
  <c r="CS9"/>
  <c r="CS10"/>
  <c r="CS11"/>
  <c r="CS12"/>
  <c r="CS13"/>
  <c r="CS14"/>
  <c r="CS15"/>
  <c r="CS16"/>
  <c r="CS17"/>
  <c r="CS18"/>
  <c r="CS19"/>
  <c r="CS20"/>
  <c r="CS21"/>
  <c r="CS22"/>
  <c r="CS23"/>
  <c r="CS24"/>
  <c r="CS25"/>
  <c r="CS6"/>
  <c r="L44"/>
  <c r="M44"/>
  <c r="EE5"/>
  <c r="FJ15"/>
  <c r="FJ16"/>
  <c r="FN3"/>
  <c r="FK3" s="1"/>
  <c r="FN4"/>
  <c r="FK4" s="1"/>
  <c r="FN5"/>
  <c r="FJ5" s="1"/>
  <c r="FI5" s="1"/>
  <c r="FN6"/>
  <c r="FJ6" s="1"/>
  <c r="FI6" s="1"/>
  <c r="FN7"/>
  <c r="FJ7" s="1"/>
  <c r="FI7" s="1"/>
  <c r="FN8"/>
  <c r="FJ8" s="1"/>
  <c r="FI8" s="1"/>
  <c r="FN9"/>
  <c r="FJ9" s="1"/>
  <c r="FI9" s="1"/>
  <c r="FN10"/>
  <c r="FJ10" s="1"/>
  <c r="FI10" s="1"/>
  <c r="FN11"/>
  <c r="FJ11" s="1"/>
  <c r="FI11" s="1"/>
  <c r="FN12"/>
  <c r="FJ12" s="1"/>
  <c r="FI12" s="1"/>
  <c r="FN13"/>
  <c r="FJ13" s="1"/>
  <c r="FI13" s="1"/>
  <c r="FN14"/>
  <c r="FJ14" s="1"/>
  <c r="FI14" s="1"/>
  <c r="FN2"/>
  <c r="FK2" s="1"/>
  <c r="C4" i="12"/>
  <c r="DO8" i="1"/>
  <c r="DO9"/>
  <c r="DO10"/>
  <c r="DO11"/>
  <c r="DO12"/>
  <c r="DO13"/>
  <c r="DO14"/>
  <c r="DO15"/>
  <c r="DO16"/>
  <c r="DO17"/>
  <c r="DO18"/>
  <c r="DO19"/>
  <c r="DO20"/>
  <c r="DO21"/>
  <c r="DO22"/>
  <c r="DO23"/>
  <c r="DO24"/>
  <c r="DO25"/>
  <c r="DO26"/>
  <c r="DO27"/>
  <c r="DO28"/>
  <c r="DO29"/>
  <c r="DO30"/>
  <c r="DO31"/>
  <c r="DO32"/>
  <c r="DO33"/>
  <c r="DO34"/>
  <c r="DO35"/>
  <c r="DO36"/>
  <c r="DO37"/>
  <c r="DO38"/>
  <c r="DO39"/>
  <c r="DO40"/>
  <c r="DO41"/>
  <c r="DO42"/>
  <c r="DO43"/>
  <c r="DO44"/>
  <c r="DO45"/>
  <c r="DO7"/>
  <c r="DN45"/>
  <c r="DN44"/>
  <c r="DN43"/>
  <c r="DN42"/>
  <c r="DN41"/>
  <c r="DN40"/>
  <c r="DN39"/>
  <c r="DN38"/>
  <c r="DN37"/>
  <c r="DN36"/>
  <c r="DN35"/>
  <c r="DN34"/>
  <c r="DN33"/>
  <c r="DN32"/>
  <c r="DN31"/>
  <c r="DN30"/>
  <c r="DN29"/>
  <c r="DN28"/>
  <c r="DN27"/>
  <c r="DN26"/>
  <c r="DN25"/>
  <c r="DN24"/>
  <c r="DN23"/>
  <c r="DN22"/>
  <c r="DN21"/>
  <c r="DN20"/>
  <c r="DN19"/>
  <c r="DN7"/>
  <c r="DN16"/>
  <c r="DN15"/>
  <c r="DN14"/>
  <c r="DN13"/>
  <c r="DN12"/>
  <c r="DN11"/>
  <c r="DN10"/>
  <c r="DN9"/>
  <c r="DN8"/>
  <c r="DN18"/>
  <c r="DN17"/>
  <c r="FO2"/>
  <c r="FO3"/>
  <c r="DY8"/>
  <c r="DC2"/>
  <c r="DA2"/>
  <c r="DC3"/>
  <c r="DB3" s="1"/>
  <c r="DA3" s="1"/>
  <c r="DC4"/>
  <c r="DB4" s="1"/>
  <c r="DA4" s="1"/>
  <c r="DC5"/>
  <c r="DB5" s="1"/>
  <c r="DA5" s="1"/>
  <c r="DC6"/>
  <c r="DB6" s="1"/>
  <c r="DA6" s="1"/>
  <c r="DC7"/>
  <c r="DB7" s="1"/>
  <c r="DA7" s="1"/>
  <c r="DC8"/>
  <c r="DB8" s="1"/>
  <c r="DA8" s="1"/>
  <c r="DC9"/>
  <c r="DB9" s="1"/>
  <c r="DA9" s="1"/>
  <c r="DC10"/>
  <c r="DB10" s="1"/>
  <c r="DA10" s="1"/>
  <c r="DC11"/>
  <c r="DB11" s="1"/>
  <c r="DA11" s="1"/>
  <c r="DC12"/>
  <c r="DB12" s="1"/>
  <c r="DA12" s="1"/>
  <c r="DC13"/>
  <c r="DB13" s="1"/>
  <c r="DA13" s="1"/>
  <c r="DC14"/>
  <c r="DB14" s="1"/>
  <c r="DA14" s="1"/>
  <c r="DC15"/>
  <c r="DB15" s="1"/>
  <c r="DA15" s="1"/>
  <c r="DC16"/>
  <c r="DB16" s="1"/>
  <c r="DA16" s="1"/>
  <c r="DC17"/>
  <c r="DB17" s="1"/>
  <c r="DA17" s="1"/>
  <c r="DC18"/>
  <c r="DB18" s="1"/>
  <c r="DA18" s="1"/>
  <c r="DC19"/>
  <c r="DB19" s="1"/>
  <c r="DA19" s="1"/>
  <c r="DC20"/>
  <c r="DB20" s="1"/>
  <c r="DA20" s="1"/>
  <c r="DC21"/>
  <c r="DB21" s="1"/>
  <c r="DA21" s="1"/>
  <c r="DC22"/>
  <c r="DB22" s="1"/>
  <c r="DA22" s="1"/>
  <c r="DC23"/>
  <c r="DB23" s="1"/>
  <c r="DA23" s="1"/>
  <c r="DC24"/>
  <c r="DB24" s="1"/>
  <c r="DA24" s="1"/>
  <c r="DC25"/>
  <c r="DB25" s="1"/>
  <c r="DA25" s="1"/>
  <c r="DC26"/>
  <c r="DB26" s="1"/>
  <c r="DA26" s="1"/>
  <c r="DC27"/>
  <c r="DB27" s="1"/>
  <c r="DA27" s="1"/>
  <c r="DC28"/>
  <c r="DB28" s="1"/>
  <c r="DA28" s="1"/>
  <c r="DC29"/>
  <c r="DB29" s="1"/>
  <c r="DA29" s="1"/>
  <c r="DC30"/>
  <c r="DB30" s="1"/>
  <c r="DA30" s="1"/>
  <c r="DC31"/>
  <c r="DB31" s="1"/>
  <c r="DA31" s="1"/>
  <c r="DC32"/>
  <c r="DB32" s="1"/>
  <c r="DA32" s="1"/>
  <c r="DC33"/>
  <c r="DB33" s="1"/>
  <c r="DA33" s="1"/>
  <c r="DC34"/>
  <c r="DB34" s="1"/>
  <c r="DA34" s="1"/>
  <c r="DC35"/>
  <c r="DB35" s="1"/>
  <c r="DA35" s="1"/>
  <c r="DC36"/>
  <c r="DB36" s="1"/>
  <c r="DA36" s="1"/>
  <c r="DC37"/>
  <c r="DB37" s="1"/>
  <c r="DA37" s="1"/>
  <c r="DC38"/>
  <c r="DB38" s="1"/>
  <c r="DA38" s="1"/>
  <c r="DC39"/>
  <c r="DB39" s="1"/>
  <c r="DA39" s="1"/>
  <c r="DC40"/>
  <c r="DB40" s="1"/>
  <c r="DA40" s="1"/>
  <c r="DC41"/>
  <c r="DB41" s="1"/>
  <c r="DA41" s="1"/>
  <c r="DC42"/>
  <c r="DB42" s="1"/>
  <c r="DA42" s="1"/>
  <c r="DC43"/>
  <c r="DB43" s="1"/>
  <c r="DA43" s="1"/>
  <c r="DC44"/>
  <c r="DB44" s="1"/>
  <c r="DA44" s="1"/>
  <c r="DC45"/>
  <c r="DB45" s="1"/>
  <c r="DA45" s="1"/>
  <c r="DC46"/>
  <c r="DB46" s="1"/>
  <c r="DA46" s="1"/>
  <c r="DC47"/>
  <c r="DB47" s="1"/>
  <c r="DA47" s="1"/>
  <c r="DC48"/>
  <c r="DB48" s="1"/>
  <c r="DA48" s="1"/>
  <c r="DC49"/>
  <c r="DB49" s="1"/>
  <c r="DA49" s="1"/>
  <c r="DC50"/>
  <c r="DB50" s="1"/>
  <c r="DA50" s="1"/>
  <c r="DC51"/>
  <c r="DB51" s="1"/>
  <c r="DA51" s="1"/>
  <c r="DC52"/>
  <c r="DB52" s="1"/>
  <c r="DA52" s="1"/>
  <c r="DC53"/>
  <c r="DB53" s="1"/>
  <c r="DA53" s="1"/>
  <c r="DC54"/>
  <c r="DB54" s="1"/>
  <c r="DA54" s="1"/>
  <c r="DC55"/>
  <c r="DB55" s="1"/>
  <c r="DA55" s="1"/>
  <c r="DC56"/>
  <c r="DB56" s="1"/>
  <c r="DA56" s="1"/>
  <c r="DC57"/>
  <c r="DB57" s="1"/>
  <c r="DA57" s="1"/>
  <c r="DC58"/>
  <c r="DB58" s="1"/>
  <c r="DA58" s="1"/>
  <c r="DC59"/>
  <c r="DB59" s="1"/>
  <c r="DA59" s="1"/>
  <c r="DC60"/>
  <c r="DB60" s="1"/>
  <c r="DA60" s="1"/>
  <c r="DC61"/>
  <c r="DB61" s="1"/>
  <c r="DA61" s="1"/>
  <c r="DC62"/>
  <c r="DB62" s="1"/>
  <c r="DA62" s="1"/>
  <c r="DC63"/>
  <c r="DB63" s="1"/>
  <c r="DA63" s="1"/>
  <c r="DC64"/>
  <c r="DB64" s="1"/>
  <c r="DA64" s="1"/>
  <c r="DC65"/>
  <c r="DB65" s="1"/>
  <c r="DA65" s="1"/>
  <c r="DC66"/>
  <c r="DB66" s="1"/>
  <c r="DA66" s="1"/>
  <c r="DC67"/>
  <c r="DB67" s="1"/>
  <c r="DA67" s="1"/>
  <c r="DC68"/>
  <c r="DB68" s="1"/>
  <c r="DA68" s="1"/>
  <c r="DC69"/>
  <c r="DB69" s="1"/>
  <c r="DA69" s="1"/>
  <c r="DC70"/>
  <c r="DB70" s="1"/>
  <c r="DA70" s="1"/>
  <c r="DC71"/>
  <c r="DB71" s="1"/>
  <c r="DA71" s="1"/>
  <c r="DC72"/>
  <c r="DB72" s="1"/>
  <c r="DA72" s="1"/>
  <c r="DC73"/>
  <c r="DB73" s="1"/>
  <c r="DA73" s="1"/>
  <c r="DC74"/>
  <c r="DB74" s="1"/>
  <c r="DA74" s="1"/>
  <c r="DC75"/>
  <c r="DB75" s="1"/>
  <c r="DA75" s="1"/>
  <c r="DC76"/>
  <c r="DB76" s="1"/>
  <c r="DA76" s="1"/>
  <c r="DC77"/>
  <c r="DB77" s="1"/>
  <c r="DA77" s="1"/>
  <c r="DC78"/>
  <c r="DB78" s="1"/>
  <c r="DA78" s="1"/>
  <c r="DC79"/>
  <c r="DB79"/>
  <c r="DA79" s="1"/>
  <c r="DC80"/>
  <c r="DB80" s="1"/>
  <c r="DA80" s="1"/>
  <c r="DC81"/>
  <c r="DB81" s="1"/>
  <c r="DA81" s="1"/>
  <c r="DC82"/>
  <c r="DB82" s="1"/>
  <c r="DA82" s="1"/>
  <c r="DC83"/>
  <c r="DB83" s="1"/>
  <c r="DA83" s="1"/>
  <c r="DC84"/>
  <c r="DB84" s="1"/>
  <c r="DA84" s="1"/>
  <c r="DC85"/>
  <c r="DB85" s="1"/>
  <c r="DA85" s="1"/>
  <c r="DC86"/>
  <c r="DB86" s="1"/>
  <c r="DA86" s="1"/>
  <c r="DC87"/>
  <c r="DB87" s="1"/>
  <c r="DA87" s="1"/>
  <c r="DC88"/>
  <c r="DB88" s="1"/>
  <c r="DA88" s="1"/>
  <c r="DC89"/>
  <c r="DB89" s="1"/>
  <c r="DA89" s="1"/>
  <c r="DC90"/>
  <c r="DB90" s="1"/>
  <c r="DA90" s="1"/>
  <c r="DC91"/>
  <c r="DB91" s="1"/>
  <c r="DA91" s="1"/>
  <c r="DC92"/>
  <c r="DB92" s="1"/>
  <c r="DA92" s="1"/>
  <c r="DC93"/>
  <c r="DB93" s="1"/>
  <c r="DA93" s="1"/>
  <c r="DC94"/>
  <c r="DB94" s="1"/>
  <c r="DA94" s="1"/>
  <c r="DC95"/>
  <c r="DB95" s="1"/>
  <c r="DA95" s="1"/>
  <c r="DC96"/>
  <c r="DB96" s="1"/>
  <c r="DA96" s="1"/>
  <c r="DC97"/>
  <c r="DB97" s="1"/>
  <c r="DA97" s="1"/>
  <c r="DC98"/>
  <c r="DB98" s="1"/>
  <c r="DA98" s="1"/>
  <c r="DC99"/>
  <c r="DB99" s="1"/>
  <c r="DA99" s="1"/>
  <c r="DC100"/>
  <c r="DB100" s="1"/>
  <c r="DA100" s="1"/>
  <c r="DC101"/>
  <c r="DB101" s="1"/>
  <c r="DA101" s="1"/>
  <c r="DC102"/>
  <c r="DB102" s="1"/>
  <c r="DA102" s="1"/>
  <c r="DC103"/>
  <c r="DB103" s="1"/>
  <c r="DA103" s="1"/>
  <c r="DC104"/>
  <c r="DB104" s="1"/>
  <c r="DA104" s="1"/>
  <c r="DC105"/>
  <c r="DB105" s="1"/>
  <c r="DA105" s="1"/>
  <c r="DC106"/>
  <c r="DB106" s="1"/>
  <c r="DA106" s="1"/>
  <c r="DC107"/>
  <c r="DB107" s="1"/>
  <c r="DA107" s="1"/>
  <c r="DC108"/>
  <c r="DB108" s="1"/>
  <c r="DA108" s="1"/>
  <c r="DC109"/>
  <c r="DB109" s="1"/>
  <c r="DA109" s="1"/>
  <c r="DC110"/>
  <c r="DB110" s="1"/>
  <c r="DA110" s="1"/>
  <c r="DC111"/>
  <c r="DB111" s="1"/>
  <c r="DA111" s="1"/>
  <c r="DC112"/>
  <c r="DB112" s="1"/>
  <c r="DA112" s="1"/>
  <c r="DC113"/>
  <c r="DB113" s="1"/>
  <c r="DA113" s="1"/>
  <c r="DC114"/>
  <c r="DB114" s="1"/>
  <c r="DA114" s="1"/>
  <c r="DC115"/>
  <c r="DB115" s="1"/>
  <c r="DA115" s="1"/>
  <c r="DC116"/>
  <c r="DB116" s="1"/>
  <c r="DA116" s="1"/>
  <c r="DC117"/>
  <c r="DB117" s="1"/>
  <c r="DA117" s="1"/>
  <c r="DC118"/>
  <c r="DB118" s="1"/>
  <c r="DA118" s="1"/>
  <c r="DC119"/>
  <c r="DB119" s="1"/>
  <c r="DA119" s="1"/>
  <c r="DC120"/>
  <c r="DB120" s="1"/>
  <c r="DA120" s="1"/>
  <c r="DC121"/>
  <c r="DB121" s="1"/>
  <c r="DA121" s="1"/>
  <c r="DC122"/>
  <c r="DB122" s="1"/>
  <c r="DA122" s="1"/>
  <c r="DC123"/>
  <c r="DB123" s="1"/>
  <c r="DA123" s="1"/>
  <c r="DC124"/>
  <c r="DB124" s="1"/>
  <c r="DA124" s="1"/>
  <c r="DC125"/>
  <c r="DB125" s="1"/>
  <c r="DA125" s="1"/>
  <c r="DC126"/>
  <c r="DB126" s="1"/>
  <c r="DA126" s="1"/>
  <c r="DC127"/>
  <c r="DB127" s="1"/>
  <c r="DA127" s="1"/>
  <c r="DC128"/>
  <c r="DB128" s="1"/>
  <c r="DA128" s="1"/>
  <c r="DC129"/>
  <c r="DB129" s="1"/>
  <c r="DA129" s="1"/>
  <c r="DC130"/>
  <c r="DB130" s="1"/>
  <c r="DA130" s="1"/>
  <c r="DC131"/>
  <c r="DB131" s="1"/>
  <c r="DA131" s="1"/>
  <c r="DC132"/>
  <c r="DB132" s="1"/>
  <c r="DA132" s="1"/>
  <c r="DC133"/>
  <c r="DB133" s="1"/>
  <c r="DA133" s="1"/>
  <c r="DC134"/>
  <c r="DB134" s="1"/>
  <c r="DA134" s="1"/>
  <c r="DC135"/>
  <c r="DB135" s="1"/>
  <c r="DA135" s="1"/>
  <c r="DC136"/>
  <c r="DB136" s="1"/>
  <c r="DA136" s="1"/>
  <c r="DC137"/>
  <c r="DB137" s="1"/>
  <c r="DA137" s="1"/>
  <c r="DC138"/>
  <c r="DB138" s="1"/>
  <c r="DA138" s="1"/>
  <c r="DC139"/>
  <c r="DB139" s="1"/>
  <c r="DA139" s="1"/>
  <c r="DC140"/>
  <c r="DB140" s="1"/>
  <c r="DA140" s="1"/>
  <c r="DC141"/>
  <c r="DB141" s="1"/>
  <c r="DA141" s="1"/>
  <c r="DC142"/>
  <c r="DB142" s="1"/>
  <c r="DA142" s="1"/>
  <c r="DC143"/>
  <c r="DB143" s="1"/>
  <c r="DA143" s="1"/>
  <c r="DC144"/>
  <c r="DB144" s="1"/>
  <c r="DA144" s="1"/>
  <c r="DC145"/>
  <c r="DB145" s="1"/>
  <c r="DA145" s="1"/>
  <c r="DC146"/>
  <c r="DB146" s="1"/>
  <c r="DA146" s="1"/>
  <c r="DC147"/>
  <c r="DB147" s="1"/>
  <c r="DA147" s="1"/>
  <c r="DC148"/>
  <c r="DB148" s="1"/>
  <c r="DA148" s="1"/>
  <c r="DC149"/>
  <c r="DB149" s="1"/>
  <c r="DA149" s="1"/>
  <c r="DC150"/>
  <c r="DB150" s="1"/>
  <c r="DA150" s="1"/>
  <c r="DC151"/>
  <c r="DB151" s="1"/>
  <c r="DA151" s="1"/>
  <c r="AM4"/>
  <c r="X6"/>
  <c r="M18"/>
  <c r="M17"/>
  <c r="M16"/>
  <c r="K37"/>
  <c r="K38"/>
  <c r="L46"/>
  <c r="K46" s="1"/>
  <c r="M15"/>
  <c r="K40" s="1"/>
  <c r="D4"/>
  <c r="D5"/>
  <c r="G15" s="1"/>
  <c r="E6"/>
  <c r="R17" s="1"/>
  <c r="E7"/>
  <c r="R18" s="1"/>
  <c r="E8"/>
  <c r="P19" s="1"/>
  <c r="E9"/>
  <c r="R20" s="1"/>
  <c r="E10"/>
  <c r="P21" s="1"/>
  <c r="E11"/>
  <c r="R22" s="1"/>
  <c r="E12"/>
  <c r="R23" s="1"/>
  <c r="E13"/>
  <c r="R24" s="1"/>
  <c r="E14"/>
  <c r="E44"/>
  <c r="GV24"/>
  <c r="GV25"/>
  <c r="GV26"/>
  <c r="GV27"/>
  <c r="GV28"/>
  <c r="GV29"/>
  <c r="GV30"/>
  <c r="GV31"/>
  <c r="GV32"/>
  <c r="GV33"/>
  <c r="GV34"/>
  <c r="GV35"/>
  <c r="GV36"/>
  <c r="GV37"/>
  <c r="GV38"/>
  <c r="GV39"/>
  <c r="GV5"/>
  <c r="GV6"/>
  <c r="GV7"/>
  <c r="GV8"/>
  <c r="GV9"/>
  <c r="GV10"/>
  <c r="GV11"/>
  <c r="GV12"/>
  <c r="GV13"/>
  <c r="GV14"/>
  <c r="GV15"/>
  <c r="GV16"/>
  <c r="GV17"/>
  <c r="GV18"/>
  <c r="GV19"/>
  <c r="GV20"/>
  <c r="GV21"/>
  <c r="GV22"/>
  <c r="GV23"/>
  <c r="GV4"/>
  <c r="BS5"/>
  <c r="D50" i="9"/>
  <c r="C50" s="1"/>
  <c r="D49"/>
  <c r="C49" s="1"/>
  <c r="D48"/>
  <c r="C48" s="1"/>
  <c r="D47"/>
  <c r="C47" s="1"/>
  <c r="D46"/>
  <c r="C46" s="1"/>
  <c r="D45"/>
  <c r="C45" s="1"/>
  <c r="D44"/>
  <c r="C44" s="1"/>
  <c r="D43"/>
  <c r="C43" s="1"/>
  <c r="D42"/>
  <c r="C42" s="1"/>
  <c r="D41"/>
  <c r="C41" s="1"/>
  <c r="D40"/>
  <c r="C40" s="1"/>
  <c r="D39"/>
  <c r="C39" s="1"/>
  <c r="D38"/>
  <c r="C38" s="1"/>
  <c r="D37"/>
  <c r="C37" s="1"/>
  <c r="D36"/>
  <c r="C36" s="1"/>
  <c r="D35"/>
  <c r="C35" s="1"/>
  <c r="D34"/>
  <c r="C34" s="1"/>
  <c r="D33"/>
  <c r="C33" s="1"/>
  <c r="D32"/>
  <c r="C32" s="1"/>
  <c r="D31"/>
  <c r="C31" s="1"/>
  <c r="D30"/>
  <c r="C30" s="1"/>
  <c r="D29"/>
  <c r="C29" s="1"/>
  <c r="D28"/>
  <c r="C28" s="1"/>
  <c r="D27"/>
  <c r="C27" s="1"/>
  <c r="D26"/>
  <c r="C26" s="1"/>
  <c r="D25"/>
  <c r="C25" s="1"/>
  <c r="D24"/>
  <c r="C24" s="1"/>
  <c r="D23"/>
  <c r="C23" s="1"/>
  <c r="D22"/>
  <c r="C22" s="1"/>
  <c r="D21"/>
  <c r="C21" s="1"/>
  <c r="D20"/>
  <c r="C20" s="1"/>
  <c r="D19"/>
  <c r="C19" s="1"/>
  <c r="D18"/>
  <c r="C18" s="1"/>
  <c r="D17"/>
  <c r="C17" s="1"/>
  <c r="D16"/>
  <c r="C16" s="1"/>
  <c r="D15"/>
  <c r="C15" s="1"/>
  <c r="D14"/>
  <c r="C14" s="1"/>
  <c r="D13"/>
  <c r="C13" s="1"/>
  <c r="D12"/>
  <c r="C12" s="1"/>
  <c r="D11"/>
  <c r="C11" s="1"/>
  <c r="D10"/>
  <c r="C10" s="1"/>
  <c r="D9"/>
  <c r="C9" s="1"/>
  <c r="D8"/>
  <c r="C8" s="1"/>
  <c r="D7"/>
  <c r="C7" s="1"/>
  <c r="D6"/>
  <c r="C6" s="1"/>
  <c r="D5"/>
  <c r="C5" s="1"/>
  <c r="D4"/>
  <c r="C4" s="1"/>
  <c r="D3"/>
  <c r="C3" s="1"/>
  <c r="D2"/>
  <c r="C2" s="1"/>
  <c r="D1"/>
  <c r="C1" s="1"/>
  <c r="K6" i="1"/>
  <c r="K39" s="1"/>
  <c r="D11" i="15" l="1"/>
  <c r="D12" s="1"/>
  <c r="K44" i="1" s="1"/>
  <c r="CX19"/>
  <c r="BO9"/>
  <c r="BP9" s="1"/>
  <c r="FL13"/>
  <c r="BO11"/>
  <c r="BP11" s="1"/>
  <c r="AH4"/>
  <c r="GU1"/>
  <c r="DO6"/>
  <c r="DQ7" s="1"/>
  <c r="BO3"/>
  <c r="BP3" s="1"/>
  <c r="DN6"/>
  <c r="DQ6" s="1"/>
  <c r="BO2"/>
  <c r="BP2" s="1"/>
  <c r="CX18"/>
  <c r="BP5"/>
  <c r="FL8"/>
  <c r="FK12"/>
  <c r="FK8"/>
  <c r="FL12"/>
  <c r="FL11"/>
  <c r="FK7"/>
  <c r="FL4"/>
  <c r="FJ4" s="1"/>
  <c r="FI4" s="1"/>
  <c r="FL6"/>
  <c r="FL2"/>
  <c r="FJ2" s="1"/>
  <c r="FI2" s="1"/>
  <c r="E20"/>
  <c r="FL3"/>
  <c r="FJ3" s="1"/>
  <c r="FI3" s="1"/>
  <c r="E21"/>
  <c r="G8" s="1"/>
  <c r="FL7"/>
  <c r="E29"/>
  <c r="FK11"/>
  <c r="BP10"/>
  <c r="BP6"/>
  <c r="FL5"/>
  <c r="FL9"/>
  <c r="FK13"/>
  <c r="FK9"/>
  <c r="FK5"/>
  <c r="FL10"/>
  <c r="FL14"/>
  <c r="FK14"/>
  <c r="FK10"/>
  <c r="FK6"/>
  <c r="CX16"/>
  <c r="E38"/>
  <c r="E26"/>
  <c r="P20"/>
  <c r="E32"/>
  <c r="E40" s="1"/>
  <c r="E35"/>
  <c r="E23"/>
  <c r="E24" s="1"/>
  <c r="G9" s="1"/>
  <c r="P17"/>
  <c r="E16"/>
  <c r="DY5"/>
  <c r="B62"/>
  <c r="AM5" s="1"/>
  <c r="P22"/>
  <c r="E17"/>
  <c r="P18"/>
  <c r="CX17"/>
  <c r="DU5"/>
  <c r="DU6" s="1"/>
  <c r="R26"/>
  <c r="K57" i="4" l="1"/>
  <c r="K55"/>
  <c r="K53"/>
  <c r="K51"/>
  <c r="K49"/>
  <c r="K47"/>
  <c r="K45"/>
  <c r="K43"/>
  <c r="K58"/>
  <c r="K56"/>
  <c r="K54"/>
  <c r="K52"/>
  <c r="K50"/>
  <c r="K48"/>
  <c r="K46"/>
  <c r="K44"/>
  <c r="E30" i="1"/>
  <c r="CX20"/>
  <c r="AB8"/>
  <c r="DP5"/>
  <c r="E22"/>
  <c r="E43" s="1"/>
  <c r="AH5"/>
  <c r="E47"/>
  <c r="DY6"/>
  <c r="P8"/>
  <c r="X5"/>
  <c r="E33"/>
  <c r="G12" s="1"/>
  <c r="K41"/>
  <c r="E36"/>
  <c r="G10" s="1"/>
  <c r="F11"/>
  <c r="K42"/>
  <c r="P26"/>
  <c r="P9" s="1"/>
  <c r="F12"/>
  <c r="E27"/>
  <c r="G11" s="1"/>
  <c r="G6"/>
  <c r="CG6"/>
  <c r="E39"/>
  <c r="E41"/>
  <c r="EC5"/>
  <c r="G7"/>
  <c r="E18"/>
  <c r="FH2"/>
  <c r="FH3" s="1"/>
  <c r="J46" i="4" l="1"/>
  <c r="U46"/>
  <c r="H50"/>
  <c r="U50"/>
  <c r="I54"/>
  <c r="U54"/>
  <c r="H58"/>
  <c r="U58"/>
  <c r="H45"/>
  <c r="U45"/>
  <c r="H49"/>
  <c r="U49"/>
  <c r="J53"/>
  <c r="U53"/>
  <c r="H57"/>
  <c r="U57"/>
  <c r="H44"/>
  <c r="U44"/>
  <c r="H48"/>
  <c r="U48"/>
  <c r="H52"/>
  <c r="U52"/>
  <c r="H56"/>
  <c r="U56"/>
  <c r="H43"/>
  <c r="U43"/>
  <c r="I47"/>
  <c r="U47"/>
  <c r="H51"/>
  <c r="U51"/>
  <c r="I55"/>
  <c r="U55"/>
  <c r="H60"/>
  <c r="E48" i="1" s="1"/>
  <c r="I60" i="4"/>
  <c r="E46" i="1" s="1"/>
  <c r="P12"/>
  <c r="J60" i="4" l="1"/>
  <c r="E45" i="1" s="1"/>
  <c r="U60" i="4"/>
  <c r="K43" i="1" s="1"/>
  <c r="X4" l="1"/>
  <c r="P14"/>
  <c r="P7"/>
  <c r="DY7"/>
  <c r="DY11" s="1"/>
  <c r="X8"/>
</calcChain>
</file>

<file path=xl/sharedStrings.xml><?xml version="1.0" encoding="utf-8"?>
<sst xmlns="http://schemas.openxmlformats.org/spreadsheetml/2006/main" count="1324" uniqueCount="1076">
  <si>
    <t>thisdwg</t>
  </si>
  <si>
    <t>titleinmodel</t>
  </si>
  <si>
    <t>titleinpaper</t>
  </si>
  <si>
    <t>titleunique</t>
  </si>
  <si>
    <t>titlelayer</t>
  </si>
  <si>
    <t>OldNum</t>
  </si>
  <si>
    <t>Fwr</t>
  </si>
  <si>
    <t>Rev</t>
  </si>
  <si>
    <t>PlotScale</t>
  </si>
  <si>
    <t>Scale</t>
  </si>
  <si>
    <t>Title4</t>
  </si>
  <si>
    <t>Title3</t>
  </si>
  <si>
    <t>Title2</t>
  </si>
  <si>
    <t>Title1</t>
  </si>
  <si>
    <t>File</t>
  </si>
  <si>
    <t>DwgNum</t>
  </si>
  <si>
    <t>DwgDate</t>
  </si>
  <si>
    <t>CheckDate</t>
  </si>
  <si>
    <t>CrsDate</t>
  </si>
  <si>
    <t>SafDate</t>
  </si>
  <si>
    <t>PlaDate</t>
  </si>
  <si>
    <t>EngDate</t>
  </si>
  <si>
    <t>AppDate</t>
  </si>
  <si>
    <t>Drawn</t>
  </si>
  <si>
    <t>Checked</t>
  </si>
  <si>
    <t>CrossCheck</t>
  </si>
  <si>
    <t>Safety</t>
  </si>
  <si>
    <t>Planning</t>
  </si>
  <si>
    <t>Engineer</t>
  </si>
  <si>
    <t>Approved</t>
  </si>
  <si>
    <t>EqtCode</t>
  </si>
  <si>
    <t>XrefList</t>
  </si>
  <si>
    <t>xrefname</t>
  </si>
  <si>
    <t>Path</t>
  </si>
  <si>
    <t>1-anon</t>
  </si>
  <si>
    <t>2-atts</t>
  </si>
  <si>
    <t>4-xref</t>
  </si>
  <si>
    <t>8-overlay</t>
  </si>
  <si>
    <t>16-externally dependant</t>
  </si>
  <si>
    <t>32-resolved</t>
  </si>
  <si>
    <t>Origin problem?</t>
  </si>
  <si>
    <t>Has path?</t>
  </si>
  <si>
    <t>w/o dwg</t>
  </si>
  <si>
    <t>Key?</t>
  </si>
  <si>
    <t>length error?</t>
  </si>
  <si>
    <t>chk8</t>
  </si>
  <si>
    <t>layer0ents</t>
  </si>
  <si>
    <t>chk10</t>
  </si>
  <si>
    <t>papertext</t>
  </si>
  <si>
    <t>paperblks</t>
  </si>
  <si>
    <t>paperlines</t>
  </si>
  <si>
    <t>papercircles</t>
  </si>
  <si>
    <t>paperall</t>
  </si>
  <si>
    <t>modeltext</t>
  </si>
  <si>
    <t>modelblks</t>
  </si>
  <si>
    <t>modellines</t>
  </si>
  <si>
    <t>modelcircles</t>
  </si>
  <si>
    <t>modelall</t>
  </si>
  <si>
    <t>name</t>
  </si>
  <si>
    <t>entqty</t>
  </si>
  <si>
    <t>chk11</t>
  </si>
  <si>
    <t>textstyle</t>
  </si>
  <si>
    <t>chk9</t>
  </si>
  <si>
    <t>chk12</t>
  </si>
  <si>
    <t>blockname</t>
  </si>
  <si>
    <t>chk16</t>
  </si>
  <si>
    <t>dimstyle</t>
  </si>
  <si>
    <t>chk17</t>
  </si>
  <si>
    <t>linetype</t>
  </si>
  <si>
    <t>chk18</t>
  </si>
  <si>
    <t>G-ANNO-TTLB</t>
  </si>
  <si>
    <t>-</t>
  </si>
  <si>
    <t>1    1</t>
  </si>
  <si>
    <t>1=1</t>
  </si>
  <si>
    <t>1=100</t>
  </si>
  <si>
    <t>SECTOR F</t>
  </si>
  <si>
    <t>OFFICE/ROOF LEVEL - 2</t>
  </si>
  <si>
    <t>LC13 - COMMUNICATIONS</t>
  </si>
  <si>
    <t>KST-2-F-</t>
  </si>
  <si>
    <t>JDi</t>
  </si>
  <si>
    <t>GKEY</t>
  </si>
  <si>
    <t>GKEY.dwg</t>
  </si>
  <si>
    <t>No</t>
  </si>
  <si>
    <t>0,0,0</t>
  </si>
  <si>
    <t>Yes</t>
  </si>
  <si>
    <t>GSKEY-F-</t>
  </si>
  <si>
    <t>GSG-0-F-</t>
  </si>
  <si>
    <t>GSA-2-OV</t>
  </si>
  <si>
    <t>GSS-2-OV</t>
  </si>
  <si>
    <t>I1184sht_F</t>
  </si>
  <si>
    <t>I1184sht_F.dwg</t>
  </si>
  <si>
    <t>GST-2-OV</t>
  </si>
  <si>
    <t>GSME2-OV</t>
  </si>
  <si>
    <t>new block</t>
  </si>
  <si>
    <t>DEFPOINTS</t>
  </si>
  <si>
    <t>xrf</t>
  </si>
  <si>
    <t>G-ANNO-NOTE</t>
  </si>
  <si>
    <t>STANDARD</t>
  </si>
  <si>
    <t>TITLE</t>
  </si>
  <si>
    <t>Big Font</t>
  </si>
  <si>
    <t>Font File</t>
  </si>
  <si>
    <t>Text ht</t>
  </si>
  <si>
    <t>Text width</t>
  </si>
  <si>
    <t>IBLK_1</t>
  </si>
  <si>
    <t>I1184sht</t>
  </si>
  <si>
    <t>GSA-1-OV</t>
  </si>
  <si>
    <t>GSA-1-OV.dwg</t>
  </si>
  <si>
    <t>GSG-0-E-</t>
  </si>
  <si>
    <t>GSG-0-E-.dwg</t>
  </si>
  <si>
    <t>GSKEY-E-</t>
  </si>
  <si>
    <t>GSKEY-E-.dwg</t>
  </si>
  <si>
    <t>GSS-1-OV</t>
  </si>
  <si>
    <t>GSS-1-OV.dwg</t>
  </si>
  <si>
    <t>GST-1-OV</t>
  </si>
  <si>
    <t>GST-1-OV.dwg</t>
  </si>
  <si>
    <t>GSI-1-OV</t>
  </si>
  <si>
    <t>GSI-1-OV.dwg</t>
  </si>
  <si>
    <t>GSME1-OV</t>
  </si>
  <si>
    <t>GSME1-OV.dwg</t>
  </si>
  <si>
    <t>BYBLOCK</t>
  </si>
  <si>
    <t>BYLAYER</t>
  </si>
  <si>
    <t>CONTINUOUS</t>
  </si>
  <si>
    <t>70 resolve</t>
  </si>
  <si>
    <t>40 dimscale</t>
  </si>
  <si>
    <t>45 dimrnd</t>
  </si>
  <si>
    <t>140 dimtxt</t>
  </si>
  <si>
    <t>144 dimlfac</t>
  </si>
  <si>
    <t>77 dimtad</t>
  </si>
  <si>
    <t>176 dimclrd</t>
  </si>
  <si>
    <t>177 dimclre</t>
  </si>
  <si>
    <t>178 dimclrt</t>
  </si>
  <si>
    <t>271 dimdec</t>
  </si>
  <si>
    <t>275 dimaunit</t>
  </si>
  <si>
    <t>340 dimtsxty</t>
  </si>
  <si>
    <t>date</t>
  </si>
  <si>
    <t>chk4</t>
  </si>
  <si>
    <t>chk5</t>
  </si>
  <si>
    <t>chk6</t>
  </si>
  <si>
    <t>chk7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</si>
  <si>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</si>
  <si>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</si>
  <si>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</si>
  <si>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</si>
  <si>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</si>
  <si>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</si>
  <si>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</si>
  <si>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</si>
  <si>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</si>
  <si>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First letter</t>
  </si>
  <si>
    <t>Allowed</t>
  </si>
  <si>
    <t>Second letter</t>
  </si>
  <si>
    <t>Discipline</t>
  </si>
  <si>
    <t>Letter34 - Discipline</t>
  </si>
  <si>
    <t>Letter256</t>
  </si>
  <si>
    <t>Level</t>
  </si>
  <si>
    <t>Sixth letter</t>
  </si>
  <si>
    <t>Sublevel</t>
  </si>
  <si>
    <t>Letter78</t>
  </si>
  <si>
    <t>Is layout?</t>
  </si>
  <si>
    <t>Sector</t>
  </si>
  <si>
    <t>Letter5678</t>
  </si>
  <si>
    <t>Series</t>
  </si>
  <si>
    <t>Eight letters?</t>
  </si>
  <si>
    <t>Disciple ok?</t>
  </si>
  <si>
    <t>Check 1</t>
  </si>
  <si>
    <t>A-</t>
  </si>
  <si>
    <t xml:space="preserve">Architectural </t>
  </si>
  <si>
    <t>A</t>
  </si>
  <si>
    <t>Site-Old drawing</t>
  </si>
  <si>
    <t>OV</t>
  </si>
  <si>
    <t>B0-</t>
  </si>
  <si>
    <t>Level 0 (Underground)</t>
  </si>
  <si>
    <t>Overview</t>
  </si>
  <si>
    <t>Above Floor-Fandeck for Fab</t>
  </si>
  <si>
    <t>AF</t>
  </si>
  <si>
    <t xml:space="preserve">Architectural - Furniture and Cubicle Layout </t>
  </si>
  <si>
    <t>C</t>
  </si>
  <si>
    <t>Campus</t>
  </si>
  <si>
    <t>B1-</t>
  </si>
  <si>
    <t>Level 1 (Utilities)</t>
  </si>
  <si>
    <t>Sector A-</t>
  </si>
  <si>
    <t>W</t>
  </si>
  <si>
    <t>Clean Room Partition Walls-Fan Deck</t>
  </si>
  <si>
    <t>AI</t>
  </si>
  <si>
    <t xml:space="preserve">Architectural - Interiors </t>
  </si>
  <si>
    <t>X</t>
  </si>
  <si>
    <t>Campus - shared</t>
  </si>
  <si>
    <t>B-</t>
  </si>
  <si>
    <t>B2-</t>
  </si>
  <si>
    <t>Level 2 (Sub Fab)</t>
  </si>
  <si>
    <t>Sector B-</t>
  </si>
  <si>
    <t>B</t>
  </si>
  <si>
    <t>Raised Flooring</t>
  </si>
  <si>
    <t>AS</t>
  </si>
  <si>
    <t xml:space="preserve">Architectural - Signage </t>
  </si>
  <si>
    <t>Fab</t>
  </si>
  <si>
    <t>C-</t>
  </si>
  <si>
    <t>B3-</t>
  </si>
  <si>
    <t>Level 3 (Fab)</t>
  </si>
  <si>
    <t>Sector C-</t>
  </si>
  <si>
    <t>Partition Height</t>
  </si>
  <si>
    <t>AT</t>
  </si>
  <si>
    <t xml:space="preserve">Architectural - Environment </t>
  </si>
  <si>
    <t>O</t>
  </si>
  <si>
    <t>MSB</t>
  </si>
  <si>
    <t>D-</t>
  </si>
  <si>
    <t>B4-</t>
  </si>
  <si>
    <t>Level 4 (Interstitial)</t>
  </si>
  <si>
    <t>Sector D-</t>
  </si>
  <si>
    <t>D</t>
  </si>
  <si>
    <t>Reflected Ceiling Plans</t>
  </si>
  <si>
    <t>AP</t>
  </si>
  <si>
    <t xml:space="preserve">Architectural - Drop Road Points (for CR only) </t>
  </si>
  <si>
    <t>S</t>
  </si>
  <si>
    <t>CUB</t>
  </si>
  <si>
    <t>E-</t>
  </si>
  <si>
    <t>B4A</t>
  </si>
  <si>
    <t>Level 4A (Fan Deck)</t>
  </si>
  <si>
    <t>Sector E-</t>
  </si>
  <si>
    <t>E</t>
  </si>
  <si>
    <t>Catwalks</t>
  </si>
  <si>
    <t>AC</t>
  </si>
  <si>
    <t xml:space="preserve">Architectural - Clean area preliminary design  </t>
  </si>
  <si>
    <t>Warehouse LC4E</t>
  </si>
  <si>
    <t>F-</t>
  </si>
  <si>
    <t>B5-</t>
  </si>
  <si>
    <t>Level 5 (None)</t>
  </si>
  <si>
    <t>Sector F-</t>
  </si>
  <si>
    <t>U</t>
  </si>
  <si>
    <t>Under Slab</t>
  </si>
  <si>
    <t xml:space="preserve">Civil </t>
  </si>
  <si>
    <t>K</t>
  </si>
  <si>
    <t>PMB</t>
  </si>
  <si>
    <t>G-</t>
  </si>
  <si>
    <t>B6-</t>
  </si>
  <si>
    <t>Level 6 (Roof)</t>
  </si>
  <si>
    <t>Sector G-</t>
  </si>
  <si>
    <t>M</t>
  </si>
  <si>
    <t>Mezzanine Floor</t>
  </si>
  <si>
    <t>CA</t>
  </si>
  <si>
    <t xml:space="preserve">Civil – Aerial Photography </t>
  </si>
  <si>
    <t>H</t>
  </si>
  <si>
    <t>HMB</t>
  </si>
  <si>
    <t>H-</t>
  </si>
  <si>
    <t>B7-</t>
  </si>
  <si>
    <t>Level 7 (Upper Roof)</t>
  </si>
  <si>
    <t>Sector H-</t>
  </si>
  <si>
    <t>L</t>
  </si>
  <si>
    <t>Mezzanine Ceiling</t>
  </si>
  <si>
    <t>CB</t>
  </si>
  <si>
    <t xml:space="preserve">Civil - Gates </t>
  </si>
  <si>
    <t>G</t>
  </si>
  <si>
    <t>North Guard House</t>
  </si>
  <si>
    <t>AA</t>
  </si>
  <si>
    <t>S0-</t>
  </si>
  <si>
    <t>Sector AA</t>
  </si>
  <si>
    <t>CC</t>
  </si>
  <si>
    <t xml:space="preserve">Civil - Cathode </t>
  </si>
  <si>
    <t>West Guard House</t>
  </si>
  <si>
    <t>BB</t>
  </si>
  <si>
    <t>S1-</t>
  </si>
  <si>
    <t>Level 1 (Ground)</t>
  </si>
  <si>
    <t>Sector BB</t>
  </si>
  <si>
    <t>CD</t>
  </si>
  <si>
    <t xml:space="preserve">Civil - Drainage </t>
  </si>
  <si>
    <t>Q</t>
  </si>
  <si>
    <t>South Guard House</t>
  </si>
  <si>
    <t>S2-</t>
  </si>
  <si>
    <t>Level 2 (Office-Roof)</t>
  </si>
  <si>
    <t>Sector CC</t>
  </si>
  <si>
    <t>CE</t>
  </si>
  <si>
    <t xml:space="preserve">Civil – Earth Work </t>
  </si>
  <si>
    <t>V</t>
  </si>
  <si>
    <t>East Guard House</t>
  </si>
  <si>
    <t>DD</t>
  </si>
  <si>
    <t>S3-</t>
  </si>
  <si>
    <t>Level 3 (Roof)</t>
  </si>
  <si>
    <t>Sector DD</t>
  </si>
  <si>
    <t>CF</t>
  </si>
  <si>
    <t xml:space="preserve">Civil - Fence </t>
  </si>
  <si>
    <t>I</t>
  </si>
  <si>
    <t>IQ Staging area</t>
  </si>
  <si>
    <t>EE</t>
  </si>
  <si>
    <t>W0-</t>
  </si>
  <si>
    <t>Level 0</t>
  </si>
  <si>
    <t>Sector EE</t>
  </si>
  <si>
    <t>CI</t>
  </si>
  <si>
    <t xml:space="preserve">Civil - Irrigation </t>
  </si>
  <si>
    <t>DVR station</t>
  </si>
  <si>
    <t>FF</t>
  </si>
  <si>
    <t>W1-</t>
  </si>
  <si>
    <t>Level 1</t>
  </si>
  <si>
    <t>Sector FF</t>
  </si>
  <si>
    <t>CL</t>
  </si>
  <si>
    <t xml:space="preserve">Civil - Landscape </t>
  </si>
  <si>
    <t>F</t>
  </si>
  <si>
    <t>Pump house</t>
  </si>
  <si>
    <t>GG</t>
  </si>
  <si>
    <t>W2-</t>
  </si>
  <si>
    <t>Level 2</t>
  </si>
  <si>
    <t>Sector GG</t>
  </si>
  <si>
    <t>CM</t>
  </si>
  <si>
    <t xml:space="preserve">Civil - Measurement </t>
  </si>
  <si>
    <t>Substation building</t>
  </si>
  <si>
    <t>W3-</t>
  </si>
  <si>
    <t>Level 3</t>
  </si>
  <si>
    <t>CS</t>
  </si>
  <si>
    <t xml:space="preserve">Civil - Signage </t>
  </si>
  <si>
    <t>T</t>
  </si>
  <si>
    <t>Substation Yard</t>
  </si>
  <si>
    <t>E0-</t>
  </si>
  <si>
    <t>CT</t>
  </si>
  <si>
    <t xml:space="preserve">Civil – Traffic  </t>
  </si>
  <si>
    <t>R</t>
  </si>
  <si>
    <t>CuW building</t>
  </si>
  <si>
    <t>E1-</t>
  </si>
  <si>
    <t>CU</t>
  </si>
  <si>
    <t xml:space="preserve">Civil - Water supply for  Sewage  &amp;  Waste </t>
  </si>
  <si>
    <t>Y</t>
  </si>
  <si>
    <t>Bulk Gas Yard</t>
  </si>
  <si>
    <t>E2-</t>
  </si>
  <si>
    <t>CG</t>
  </si>
  <si>
    <t xml:space="preserve">Civil - Gardening </t>
  </si>
  <si>
    <t>Z</t>
  </si>
  <si>
    <t>MLCP</t>
  </si>
  <si>
    <t>E3-</t>
  </si>
  <si>
    <t>CP</t>
  </si>
  <si>
    <t xml:space="preserve">Civil - Planting </t>
  </si>
  <si>
    <t>LPG</t>
  </si>
  <si>
    <t>Y0-</t>
  </si>
  <si>
    <t>CW</t>
  </si>
  <si>
    <t xml:space="preserve">Civil - Temporary construction fence north area Phase 1 </t>
  </si>
  <si>
    <t>N</t>
  </si>
  <si>
    <t>Induction</t>
  </si>
  <si>
    <t>Y1-</t>
  </si>
  <si>
    <t>CX</t>
  </si>
  <si>
    <t xml:space="preserve">Civil - Temporary construction fence north area Phase 2 </t>
  </si>
  <si>
    <t>P</t>
  </si>
  <si>
    <t>OET</t>
  </si>
  <si>
    <t>Y2-</t>
  </si>
  <si>
    <t>CY</t>
  </si>
  <si>
    <t xml:space="preserve">Civil - Temporary construction fence north area Phase 3 </t>
  </si>
  <si>
    <t>OET-OB</t>
  </si>
  <si>
    <t>Y3-</t>
  </si>
  <si>
    <t>CZ</t>
  </si>
  <si>
    <t xml:space="preserve">Civil - Temporary construction fence north area Phase 4 </t>
  </si>
  <si>
    <t>2</t>
  </si>
  <si>
    <t>Trailers 100/150</t>
  </si>
  <si>
    <t>L0-</t>
  </si>
  <si>
    <t xml:space="preserve">Electrical </t>
  </si>
  <si>
    <t>3</t>
  </si>
  <si>
    <t>Contractors staging area</t>
  </si>
  <si>
    <t>L1-</t>
  </si>
  <si>
    <t>EG</t>
  </si>
  <si>
    <t xml:space="preserve">Electrical - Grounding </t>
  </si>
  <si>
    <t>8</t>
  </si>
  <si>
    <t>Purge gases yard</t>
  </si>
  <si>
    <t>L2-</t>
  </si>
  <si>
    <t>EL</t>
  </si>
  <si>
    <t xml:space="preserve">Electrical - lighting </t>
  </si>
  <si>
    <t xml:space="preserve">Cleanpak construction in Fab, change 9 to B </t>
  </si>
  <si>
    <t>L3-</t>
  </si>
  <si>
    <t>EN</t>
  </si>
  <si>
    <t xml:space="preserve">Electrical - lightning </t>
  </si>
  <si>
    <t>Cleanpak construction in MSB, change 4 to O</t>
  </si>
  <si>
    <t>Q0-</t>
  </si>
  <si>
    <t>EP</t>
  </si>
  <si>
    <t xml:space="preserve">Electrical - Power </t>
  </si>
  <si>
    <t>MWZ construction in MSB, change 5 to O</t>
  </si>
  <si>
    <t>Q1-</t>
  </si>
  <si>
    <t>EC</t>
  </si>
  <si>
    <t xml:space="preserve">Electrical - Temporary </t>
  </si>
  <si>
    <t>Construction in Cub cooling tower, change 6 to S</t>
  </si>
  <si>
    <t>Q2-</t>
  </si>
  <si>
    <t>EO</t>
  </si>
  <si>
    <t xml:space="preserve">Electrical - Pop out </t>
  </si>
  <si>
    <t>Construction in Cub UPW Tank farm, change 7 to S</t>
  </si>
  <si>
    <t>Q3-</t>
  </si>
  <si>
    <t>ET</t>
  </si>
  <si>
    <t xml:space="preserve">Electrical - Cable Tray / Conduit </t>
  </si>
  <si>
    <t>V0-</t>
  </si>
  <si>
    <t>EI</t>
  </si>
  <si>
    <t xml:space="preserve">Electrical - ionization (Cleanpak) </t>
  </si>
  <si>
    <t>V1-</t>
  </si>
  <si>
    <t>EA</t>
  </si>
  <si>
    <t xml:space="preserve">Electrical – TAS / VPMS      (PSSS  system) </t>
  </si>
  <si>
    <t>V2-</t>
  </si>
  <si>
    <t>EB</t>
  </si>
  <si>
    <t xml:space="preserve">Electrical – BCDS                (PSSS  system) </t>
  </si>
  <si>
    <t>V3-</t>
  </si>
  <si>
    <t>ER</t>
  </si>
  <si>
    <t xml:space="preserve">Electrical – PSDS, PCDS    (PSSS  system)     </t>
  </si>
  <si>
    <t>Z0-</t>
  </si>
  <si>
    <t>ES</t>
  </si>
  <si>
    <t xml:space="preserve">Electrical – Specialty gas   (PSSS  system) </t>
  </si>
  <si>
    <t>Z1-</t>
  </si>
  <si>
    <t>R-</t>
  </si>
  <si>
    <t xml:space="preserve">Emergency Response Team </t>
  </si>
  <si>
    <t>Z2-</t>
  </si>
  <si>
    <t xml:space="preserve">Fire Protection </t>
  </si>
  <si>
    <t>Z3-</t>
  </si>
  <si>
    <t>FZ</t>
  </si>
  <si>
    <t xml:space="preserve">Fire Protection – zones </t>
  </si>
  <si>
    <t>Enlarged views, stairs and elevators</t>
  </si>
  <si>
    <t>Z4-</t>
  </si>
  <si>
    <t>Level 4</t>
  </si>
  <si>
    <t>FS</t>
  </si>
  <si>
    <t xml:space="preserve">Fire Protection – seismic </t>
  </si>
  <si>
    <t>Z4A</t>
  </si>
  <si>
    <t>Level 5 (Roof)</t>
  </si>
  <si>
    <t xml:space="preserve">General – grid, key plan, blocks, symbols, cover sheet </t>
  </si>
  <si>
    <t>Sections</t>
  </si>
  <si>
    <t>O0-</t>
  </si>
  <si>
    <t>GC</t>
  </si>
  <si>
    <t xml:space="preserve">General –  Clean level division (for CR only) </t>
  </si>
  <si>
    <t>Interior,Exterior elevs and sections</t>
  </si>
  <si>
    <t>O1-</t>
  </si>
  <si>
    <t>GP</t>
  </si>
  <si>
    <t xml:space="preserve">General –  Pop out division </t>
  </si>
  <si>
    <t>O2-</t>
  </si>
  <si>
    <t xml:space="preserve">Life Safety-Basic Life Safety </t>
  </si>
  <si>
    <t>O3-</t>
  </si>
  <si>
    <t>HE</t>
  </si>
  <si>
    <t xml:space="preserve">Life Safety-Smoke Detection/Equipment </t>
  </si>
  <si>
    <t>O4-</t>
  </si>
  <si>
    <t>Level 4 (Office)</t>
  </si>
  <si>
    <t>HD</t>
  </si>
  <si>
    <t xml:space="preserve">Life Safety-Smoke Detection/Dampers interface </t>
  </si>
  <si>
    <t>O5-</t>
  </si>
  <si>
    <t>Level 5 (Office)</t>
  </si>
  <si>
    <t>HH</t>
  </si>
  <si>
    <t xml:space="preserve">Life Safety-HPM Monitoring </t>
  </si>
  <si>
    <t>O6-</t>
  </si>
  <si>
    <t>HM</t>
  </si>
  <si>
    <t xml:space="preserve">Life safety - Music </t>
  </si>
  <si>
    <t>HR</t>
  </si>
  <si>
    <t xml:space="preserve">Life safety - Radio </t>
  </si>
  <si>
    <t>HS</t>
  </si>
  <si>
    <t xml:space="preserve">Life safety - Security </t>
  </si>
  <si>
    <t>V-</t>
  </si>
  <si>
    <t xml:space="preserve">Evacuation / Code  </t>
  </si>
  <si>
    <t>I-</t>
  </si>
  <si>
    <t xml:space="preserve">I&amp;C (Instrumentation and Controls) </t>
  </si>
  <si>
    <t>IC</t>
  </si>
  <si>
    <t xml:space="preserve">I&amp;C – FMS Controlnet network  </t>
  </si>
  <si>
    <t>IF</t>
  </si>
  <si>
    <t xml:space="preserve">I&amp;C – FFU Control System (for CR only) </t>
  </si>
  <si>
    <t>II</t>
  </si>
  <si>
    <t xml:space="preserve">I&amp;C - location </t>
  </si>
  <si>
    <t>IM</t>
  </si>
  <si>
    <t xml:space="preserve">I&amp;C – CAPMS (Clean room Airborne Particle Monitoring System) </t>
  </si>
  <si>
    <t>IP</t>
  </si>
  <si>
    <t xml:space="preserve">I&amp;C - zero pressure system </t>
  </si>
  <si>
    <t>Z-</t>
  </si>
  <si>
    <t xml:space="preserve">I&amp;C from vendor </t>
  </si>
  <si>
    <t>K-</t>
  </si>
  <si>
    <t xml:space="preserve">Food Services </t>
  </si>
  <si>
    <t>ME</t>
  </si>
  <si>
    <t xml:space="preserve">Mechanical  -  Equipment </t>
  </si>
  <si>
    <t>MG</t>
  </si>
  <si>
    <t xml:space="preserve">Mechanical  -  General </t>
  </si>
  <si>
    <t>MM</t>
  </si>
  <si>
    <t xml:space="preserve">Mechanical – HVAC Dry Systems  </t>
  </si>
  <si>
    <t>M-</t>
  </si>
  <si>
    <t xml:space="preserve">Mechanical – HVAC Wet Systems  </t>
  </si>
  <si>
    <t>MH</t>
  </si>
  <si>
    <t xml:space="preserve">Mechanical – Exhaust Systems  </t>
  </si>
  <si>
    <t>MB</t>
  </si>
  <si>
    <t xml:space="preserve">Mechanical – Exhaust Systems (PSSS only: BCDS)  </t>
  </si>
  <si>
    <t>MP</t>
  </si>
  <si>
    <t xml:space="preserve">Mechanical – Exhaust Systems (PSSS only: PCDS) </t>
  </si>
  <si>
    <t>MA</t>
  </si>
  <si>
    <t xml:space="preserve">Mechanical – Exhaust Systems (PSSS only: Spec Gas systems) </t>
  </si>
  <si>
    <t>MS</t>
  </si>
  <si>
    <t xml:space="preserve">Mechanical – Support </t>
  </si>
  <si>
    <t>PL</t>
  </si>
  <si>
    <t xml:space="preserve">Plumbing  (General or BCDS) </t>
  </si>
  <si>
    <t>PY</t>
  </si>
  <si>
    <t xml:space="preserve">Plumbing (PSSS only: PCDS) </t>
  </si>
  <si>
    <t>P-</t>
  </si>
  <si>
    <t xml:space="preserve">Process       </t>
  </si>
  <si>
    <t>PE</t>
  </si>
  <si>
    <t xml:space="preserve">Process  -  Equipment </t>
  </si>
  <si>
    <t>PW</t>
  </si>
  <si>
    <t xml:space="preserve">Process  -  Water (General or BCDS) </t>
  </si>
  <si>
    <t>PZ</t>
  </si>
  <si>
    <t xml:space="preserve">Process  -  Water (PSSS only: PCDS) </t>
  </si>
  <si>
    <t>PA</t>
  </si>
  <si>
    <t xml:space="preserve">Process  -  Compressed Air (General or BCDS) </t>
  </si>
  <si>
    <t>PK</t>
  </si>
  <si>
    <t xml:space="preserve">Process  -  Compressed Air (PSSS only: PCDS) </t>
  </si>
  <si>
    <t>PV</t>
  </si>
  <si>
    <t xml:space="preserve">Process  -  Vacuum System  </t>
  </si>
  <si>
    <t>PU</t>
  </si>
  <si>
    <t xml:space="preserve">Process  - UPW  (General or BCDS) </t>
  </si>
  <si>
    <t>PT</t>
  </si>
  <si>
    <t xml:space="preserve">Process  -  UPW  (PSSS only: PCDS) </t>
  </si>
  <si>
    <t>PD</t>
  </si>
  <si>
    <t xml:space="preserve">Process  -  Waste System (General or BCDS) </t>
  </si>
  <si>
    <t>PR</t>
  </si>
  <si>
    <t xml:space="preserve">Process  -  Waste System (PSSS only: PCDS) </t>
  </si>
  <si>
    <t>PC</t>
  </si>
  <si>
    <t xml:space="preserve">Process  -  Bulk Feed Chemical    </t>
  </si>
  <si>
    <t>PB</t>
  </si>
  <si>
    <t xml:space="preserve">Process  -  PSSS only: BCDS  (Bulk Chemical Distribution Systems)  </t>
  </si>
  <si>
    <t>PH</t>
  </si>
  <si>
    <t xml:space="preserve">Process -  BCDS Equipment (PSSS only)  </t>
  </si>
  <si>
    <t>PP</t>
  </si>
  <si>
    <t xml:space="preserve">Process – PSSS only: PCDS (Planar Chemical Distribution Systems) </t>
  </si>
  <si>
    <t>PJ</t>
  </si>
  <si>
    <t xml:space="preserve">Process  -  PCDS Equipment  (PSSS only) </t>
  </si>
  <si>
    <t>PS</t>
  </si>
  <si>
    <t xml:space="preserve">Process  -  Specialty Gas   (PSSS only) </t>
  </si>
  <si>
    <t>PF</t>
  </si>
  <si>
    <t xml:space="preserve">Process  -  Specialty Gas Equipment (PSSS only) </t>
  </si>
  <si>
    <t>PG</t>
  </si>
  <si>
    <t xml:space="preserve">Process  -  Bulk Gas  (General or BCDS)  </t>
  </si>
  <si>
    <t>PN</t>
  </si>
  <si>
    <t xml:space="preserve">Process  -  Bulk Gas  (PSSS only: PCDS)  </t>
  </si>
  <si>
    <t>PM</t>
  </si>
  <si>
    <t xml:space="preserve">Process  -  Bulk Gas  (PSSS only: Spec Gas) </t>
  </si>
  <si>
    <t>PX</t>
  </si>
  <si>
    <t xml:space="preserve">Process Space Management   (Superposition ONLY) </t>
  </si>
  <si>
    <t>S-</t>
  </si>
  <si>
    <t xml:space="preserve">Structural </t>
  </si>
  <si>
    <t>SR</t>
  </si>
  <si>
    <t xml:space="preserve">Structural - Reinforcement </t>
  </si>
  <si>
    <t>SS</t>
  </si>
  <si>
    <t xml:space="preserve">Structural - Support / Base plates </t>
  </si>
  <si>
    <t>SD</t>
  </si>
  <si>
    <t xml:space="preserve">Structural – Drain Support  </t>
  </si>
  <si>
    <t>ST</t>
  </si>
  <si>
    <t xml:space="preserve">Structural - Prefabricated ("TROMI") </t>
  </si>
  <si>
    <t>SX</t>
  </si>
  <si>
    <t xml:space="preserve">Structural - Secondary Steel </t>
  </si>
  <si>
    <t>SP</t>
  </si>
  <si>
    <t xml:space="preserve">Structural – Steel Support Drop Road </t>
  </si>
  <si>
    <t>T-</t>
  </si>
  <si>
    <t xml:space="preserve">Telecommunications </t>
  </si>
  <si>
    <t>TC</t>
  </si>
  <si>
    <t xml:space="preserve">Telecommunications - Cabling </t>
  </si>
  <si>
    <t>TE</t>
  </si>
  <si>
    <t xml:space="preserve">Telecommunications - Equipment </t>
  </si>
  <si>
    <t>TF</t>
  </si>
  <si>
    <t xml:space="preserve">Telecommunications - FMS </t>
  </si>
  <si>
    <t>TT</t>
  </si>
  <si>
    <t xml:space="preserve">Telecommunications – Tray &amp; conduit </t>
  </si>
  <si>
    <t>X-</t>
  </si>
  <si>
    <t>Space Management (Superposition ONLY)</t>
  </si>
  <si>
    <t>XE</t>
  </si>
  <si>
    <t>Space Management – Equipment</t>
  </si>
  <si>
    <t>XP</t>
  </si>
  <si>
    <t xml:space="preserve">Space Management - Penetration </t>
  </si>
  <si>
    <t>XF</t>
  </si>
  <si>
    <t>Space Management – Foundation</t>
  </si>
  <si>
    <t>XA</t>
  </si>
  <si>
    <t>Space Management – Shafts</t>
  </si>
  <si>
    <t>XS</t>
  </si>
  <si>
    <t>Space Management – Support</t>
  </si>
  <si>
    <t>XT</t>
  </si>
  <si>
    <t>Space Management – Cable tray foundation loads</t>
  </si>
  <si>
    <t>XL</t>
  </si>
  <si>
    <t>Space Management – Piping foundation loads</t>
  </si>
  <si>
    <t>IsLayout</t>
  </si>
  <si>
    <t>Title in model?</t>
  </si>
  <si>
    <t>Title in paper?</t>
  </si>
  <si>
    <t>Title unique?</t>
  </si>
  <si>
    <t>Level in title?</t>
  </si>
  <si>
    <t>Scale format ok?</t>
  </si>
  <si>
    <t>Plotscale ok?</t>
  </si>
  <si>
    <t>On correct layer?</t>
  </si>
  <si>
    <t>Result of chk2</t>
  </si>
  <si>
    <t>xref found?</t>
  </si>
  <si>
    <t>Result of chk3</t>
  </si>
  <si>
    <t>northarrowqty</t>
  </si>
  <si>
    <t>northarrowangle</t>
  </si>
  <si>
    <t>chk14</t>
  </si>
  <si>
    <t>IsCivil</t>
  </si>
  <si>
    <t>IsEnlargement</t>
  </si>
  <si>
    <t>NorthInPaper</t>
  </si>
  <si>
    <t>AngleOK</t>
  </si>
  <si>
    <t>IsEnlarged</t>
  </si>
  <si>
    <t>IsSection</t>
  </si>
  <si>
    <t>IsElevation</t>
  </si>
  <si>
    <t>IsDetail</t>
  </si>
  <si>
    <t>Value5678</t>
  </si>
  <si>
    <t>chk15</t>
  </si>
  <si>
    <t>R1NO</t>
  </si>
  <si>
    <t>R1DESC</t>
  </si>
  <si>
    <t>R1APPR</t>
  </si>
  <si>
    <t>R1DATE</t>
  </si>
  <si>
    <t>R1BY</t>
  </si>
  <si>
    <t>947.7,165.3,0</t>
  </si>
  <si>
    <t>947.7,178,0</t>
  </si>
  <si>
    <t>947.7,184.35,0</t>
  </si>
  <si>
    <t>947.7,171.65,0</t>
  </si>
  <si>
    <t>947.7,146.25,0</t>
  </si>
  <si>
    <t>COK</t>
  </si>
  <si>
    <t>947.7,158.95,0</t>
  </si>
  <si>
    <t>947.7,152.6,0</t>
  </si>
  <si>
    <t>RECORD DRAWING</t>
  </si>
  <si>
    <t>record dwg in rev</t>
  </si>
  <si>
    <t>G-KEYNOTE</t>
  </si>
  <si>
    <t>G-HEX</t>
  </si>
  <si>
    <t>G-L-HEX</t>
  </si>
  <si>
    <t>G-SQ</t>
  </si>
  <si>
    <t>G-RECT</t>
  </si>
  <si>
    <t>G-S-CIRC</t>
  </si>
  <si>
    <t>G-DIAMD</t>
  </si>
  <si>
    <t>G-S-DIAMD</t>
  </si>
  <si>
    <t>G-OVAL</t>
  </si>
  <si>
    <t>G-L-OVAL</t>
  </si>
  <si>
    <t>G-RTRIA</t>
  </si>
  <si>
    <t>G-NEWCONN</t>
  </si>
  <si>
    <t>G-ELEV</t>
  </si>
  <si>
    <t>G-DATM</t>
  </si>
  <si>
    <t>G-ARROW1</t>
  </si>
  <si>
    <t>G-ARROW</t>
  </si>
  <si>
    <t>G-PIPEBK1</t>
  </si>
  <si>
    <t>G-MSC-BK1</t>
  </si>
  <si>
    <t>G-PIPEBK2</t>
  </si>
  <si>
    <t>G-PITCH</t>
  </si>
  <si>
    <t>G-DETAIL</t>
  </si>
  <si>
    <t>G-SECCUT1</t>
  </si>
  <si>
    <t>G-SECCUT3</t>
  </si>
  <si>
    <t>G-DONUT</t>
  </si>
  <si>
    <t>G-SECCUT2</t>
  </si>
  <si>
    <t>G-SECCUTD</t>
  </si>
  <si>
    <t>G-INORTH</t>
  </si>
  <si>
    <t>G-DOT</t>
  </si>
  <si>
    <t>G-FA-L</t>
  </si>
  <si>
    <t>G-FA-R</t>
  </si>
  <si>
    <t>G-LFA</t>
  </si>
  <si>
    <t>G-RARROW</t>
  </si>
  <si>
    <t>G-SARROW</t>
  </si>
  <si>
    <t>G-X</t>
  </si>
  <si>
    <t>G-LTLP</t>
  </si>
  <si>
    <t>G-GRSC010</t>
  </si>
  <si>
    <t>G-GRSC020</t>
  </si>
  <si>
    <t>G-GRSC040</t>
  </si>
  <si>
    <t>G-GRSC050</t>
  </si>
  <si>
    <t>G-GRSC060</t>
  </si>
  <si>
    <t>G-GRSC080</t>
  </si>
  <si>
    <t>G-GRSC100</t>
  </si>
  <si>
    <t>G-GRSC200</t>
  </si>
  <si>
    <t>G-GRSC125</t>
  </si>
  <si>
    <t>G-GRSC250</t>
  </si>
  <si>
    <t>G-GRSCI02</t>
  </si>
  <si>
    <t>G-GRSCI04</t>
  </si>
  <si>
    <t>G-GRSCI08</t>
  </si>
  <si>
    <t>G-GRSCI16</t>
  </si>
  <si>
    <t>G-EYEBALD</t>
  </si>
  <si>
    <t>hasAnno</t>
  </si>
  <si>
    <t>278 dimfit</t>
  </si>
  <si>
    <t>289 dimatfit</t>
  </si>
  <si>
    <t>Dimstyle</t>
  </si>
  <si>
    <t>Dimscale</t>
  </si>
  <si>
    <t>suffix</t>
  </si>
  <si>
    <t>STANDARD100</t>
  </si>
  <si>
    <t>STANDARD-200</t>
  </si>
  <si>
    <t>dashed suffix</t>
  </si>
  <si>
    <t>legal</t>
  </si>
  <si>
    <t>dimscaleok</t>
  </si>
  <si>
    <t>no</t>
  </si>
  <si>
    <t>hasOriginProblem</t>
  </si>
  <si>
    <t>hasPathProblem</t>
  </si>
  <si>
    <t>Text entities</t>
  </si>
  <si>
    <t>dfsaa</t>
  </si>
  <si>
    <t>model space</t>
  </si>
  <si>
    <t xml:space="preserve">FIELD ROUTE CONDUIT FROM LEVEL 1 INTERNAL TRAY TO EXTERNAL FOR VOICE </t>
  </si>
  <si>
    <t>paper space</t>
  </si>
  <si>
    <t xml:space="preserve">ALL OUTLETS AND PHONES TO BE LABELLED AS PER THE INTEL LABELLING </t>
  </si>
  <si>
    <t>ALL COMMUNICATIONS TRAY TO HAVE 100mm HIGH SIDES EXCEPT WHERE</t>
  </si>
  <si>
    <t xml:space="preserve">FINAL LOCATION OF TELECOMMUNICATION OUTLETS TO BE COORDINATED  WITH </t>
  </si>
  <si>
    <t>CONDUITS ROUTED PERPENDICULAR THROUGH FLOORS, WALLS, OR OTHER</t>
  </si>
  <si>
    <t xml:space="preserve">EXPOSED CONDUITS AND WIREWAYS, INCLUDING RACEWAYS, TOGETHER WITH </t>
  </si>
  <si>
    <t>REFER TO DRAWING KST-0050 FOR GENERAL NOTES, LEGENDS AND</t>
  </si>
  <si>
    <t>REQUIREMENTS OUTSIDE.</t>
  </si>
  <si>
    <t>GENERAL NOTES</t>
  </si>
  <si>
    <t>KEYED NOTES</t>
  </si>
  <si>
    <t>SPECIFICATION (16076).</t>
  </si>
  <si>
    <t>OTHERWISE NOTED.</t>
  </si>
  <si>
    <t>OWNER AND IT CONSTRUCTION MANAGER.</t>
  </si>
  <si>
    <t>expected size</t>
  </si>
  <si>
    <t>Legend</t>
  </si>
  <si>
    <t>MONO</t>
  </si>
  <si>
    <t>SUBTITLE</t>
  </si>
  <si>
    <t>Multiple</t>
  </si>
  <si>
    <t>Remainder</t>
  </si>
  <si>
    <t>textHtProblem</t>
  </si>
  <si>
    <t>dimEntities</t>
  </si>
  <si>
    <t>,</t>
  </si>
  <si>
    <t>ByBlock</t>
  </si>
  <si>
    <t>AcDbRotatedDimension</t>
  </si>
  <si>
    <t>AcDbAlignedDimension</t>
  </si>
  <si>
    <t>DecimalSeparator</t>
  </si>
  <si>
    <t>DimensionLineColor</t>
  </si>
  <si>
    <t>DimensionLineExtend</t>
  </si>
  <si>
    <t>DimensionLinetype</t>
  </si>
  <si>
    <t>ExtensionLineColor</t>
  </si>
  <si>
    <t>ExtensionLineExtend</t>
  </si>
  <si>
    <t>ExtensionLineOffset</t>
  </si>
  <si>
    <t>Fit</t>
  </si>
  <si>
    <t>HorizontalTextPosition</t>
  </si>
  <si>
    <t>Layer</t>
  </si>
  <si>
    <t>LinearScaleFactor</t>
  </si>
  <si>
    <t>Measurement</t>
  </si>
  <si>
    <t>ObjectName</t>
  </si>
  <si>
    <t>PrimaryUnitsPrecision</t>
  </si>
  <si>
    <t>Rotation</t>
  </si>
  <si>
    <t>RoundDistance</t>
  </si>
  <si>
    <t>ScaleFactor</t>
  </si>
  <si>
    <t>StyleName</t>
  </si>
  <si>
    <t>TextColor</t>
  </si>
  <si>
    <t>TextFill</t>
  </si>
  <si>
    <t>TextHeight</t>
  </si>
  <si>
    <t>TextOverride</t>
  </si>
  <si>
    <t>TextPrefix</t>
  </si>
  <si>
    <t>TextRotation</t>
  </si>
  <si>
    <t>TextStyle</t>
  </si>
  <si>
    <t>TextSuffix</t>
  </si>
  <si>
    <t>UnitsFormat</t>
  </si>
  <si>
    <t>Project Name:</t>
  </si>
  <si>
    <t xml:space="preserve"> F28</t>
  </si>
  <si>
    <t>Checked by:</t>
  </si>
  <si>
    <t>Liser Elena</t>
  </si>
  <si>
    <t>Number:</t>
  </si>
  <si>
    <t xml:space="preserve">1 (HMB - Structural) </t>
  </si>
  <si>
    <t>Date Checked:</t>
  </si>
  <si>
    <t>For full description of the requirements please see the list below</t>
  </si>
  <si>
    <r>
      <t xml:space="preserve">All the drawings have to be in </t>
    </r>
    <r>
      <rPr>
        <b/>
        <i/>
        <sz val="12"/>
        <rFont val="Times New Roman"/>
        <family val="1"/>
      </rPr>
      <t>iCAD standard 2005 rev 8.0 Supplement to the National CAD standard version 3.0</t>
    </r>
  </si>
  <si>
    <t>Drawing that does not follow iCAD standards will be returned for correction.</t>
  </si>
  <si>
    <t>Drawing #</t>
  </si>
  <si>
    <t xml:space="preserve">DWG </t>
  </si>
  <si>
    <t>Title</t>
  </si>
  <si>
    <t>Dwg</t>
  </si>
  <si>
    <t xml:space="preserve">Layout </t>
  </si>
  <si>
    <t>X-Ref</t>
  </si>
  <si>
    <t xml:space="preserve">Layer </t>
  </si>
  <si>
    <t>Model/</t>
  </si>
  <si>
    <t>Text</t>
  </si>
  <si>
    <t>Blocks</t>
  </si>
  <si>
    <t>Annot.</t>
  </si>
  <si>
    <t>North</t>
  </si>
  <si>
    <t xml:space="preserve">Rev </t>
  </si>
  <si>
    <t>Dim.</t>
  </si>
  <si>
    <t>Ltype</t>
  </si>
  <si>
    <t>Purge</t>
  </si>
  <si>
    <t>Notes</t>
  </si>
  <si>
    <t xml:space="preserve">Block </t>
  </si>
  <si>
    <t>created</t>
  </si>
  <si>
    <t>with</t>
  </si>
  <si>
    <t>Paper</t>
  </si>
  <si>
    <t>Symbols</t>
  </si>
  <si>
    <t>Arrow</t>
  </si>
  <si>
    <t>descrip</t>
  </si>
  <si>
    <t>Style</t>
  </si>
  <si>
    <t xml:space="preserve"> </t>
  </si>
  <si>
    <t>no.</t>
  </si>
  <si>
    <t>Name</t>
  </si>
  <si>
    <t>correctly</t>
  </si>
  <si>
    <t>empty</t>
  </si>
  <si>
    <t>hasTitleBlock</t>
  </si>
  <si>
    <t>chk13</t>
  </si>
  <si>
    <t>Allowable line types</t>
  </si>
  <si>
    <t>found</t>
  </si>
  <si>
    <t>SDASH3</t>
  </si>
  <si>
    <t>SDASH2</t>
  </si>
  <si>
    <t>SDASH1</t>
  </si>
  <si>
    <t>SDASH</t>
  </si>
  <si>
    <t>DASH</t>
  </si>
  <si>
    <t>MDASH</t>
  </si>
  <si>
    <t>MDASH1</t>
  </si>
  <si>
    <t>LDASH</t>
  </si>
  <si>
    <t>LDASH1</t>
  </si>
  <si>
    <t>LDASH2</t>
  </si>
  <si>
    <t>LDASH3</t>
  </si>
  <si>
    <t>SCENTER</t>
  </si>
  <si>
    <t>CENTER</t>
  </si>
  <si>
    <t>MCENTER</t>
  </si>
  <si>
    <t>LCENTER</t>
  </si>
  <si>
    <t>SPHANTOM</t>
  </si>
  <si>
    <t>PHANTOM</t>
  </si>
  <si>
    <t>MPHANTOM</t>
  </si>
  <si>
    <t>LPHANTOM</t>
  </si>
  <si>
    <t>SDOT</t>
  </si>
  <si>
    <t>DOT</t>
  </si>
  <si>
    <t>MDOT</t>
  </si>
  <si>
    <t>LDOT</t>
  </si>
  <si>
    <t>SDASHDOT</t>
  </si>
  <si>
    <t>DASHDOT</t>
  </si>
  <si>
    <t>MDASHDOT</t>
  </si>
  <si>
    <t>LDASHDOT</t>
  </si>
  <si>
    <t>SDIVIDE</t>
  </si>
  <si>
    <t>DIVIDE</t>
  </si>
  <si>
    <t>MDIVIDE</t>
  </si>
  <si>
    <t>LDIVIDE</t>
  </si>
  <si>
    <t>SBORDER</t>
  </si>
  <si>
    <t>BORDER</t>
  </si>
  <si>
    <t>MBORDER</t>
  </si>
  <si>
    <t>LBORDER</t>
  </si>
  <si>
    <t>HW</t>
  </si>
  <si>
    <t>RHW</t>
  </si>
  <si>
    <t>FISH</t>
  </si>
  <si>
    <t>Layer0 model</t>
  </si>
  <si>
    <t>Layer 0 paper</t>
  </si>
  <si>
    <t>IsView</t>
  </si>
  <si>
    <t>Building</t>
  </si>
  <si>
    <t>Check 1 analysis</t>
  </si>
  <si>
    <r>
      <t xml:space="preserve">1. Drawing number should be per the </t>
    </r>
    <r>
      <rPr>
        <b/>
        <sz val="10"/>
        <color indexed="8"/>
        <rFont val="Times New Roman"/>
        <family val="1"/>
      </rPr>
      <t>Naming convention</t>
    </r>
    <r>
      <rPr>
        <sz val="10"/>
        <color indexed="8"/>
        <rFont val="Times New Roman"/>
        <family val="1"/>
      </rPr>
      <t xml:space="preserve"> and equal to the file number.</t>
    </r>
  </si>
  <si>
    <t>According to the naming convention</t>
  </si>
  <si>
    <t>this file is:</t>
  </si>
  <si>
    <t>drawing</t>
  </si>
  <si>
    <t>file</t>
  </si>
  <si>
    <t>it is</t>
  </si>
  <si>
    <t>it shows</t>
  </si>
  <si>
    <t>design</t>
  </si>
  <si>
    <t>of the</t>
  </si>
  <si>
    <t>discipline</t>
  </si>
  <si>
    <t>type is</t>
  </si>
  <si>
    <t>number are</t>
  </si>
  <si>
    <t>The drawing name and drawing</t>
  </si>
  <si>
    <t>Check 2 analysis</t>
  </si>
  <si>
    <t>2. Title name should be by standard.</t>
  </si>
  <si>
    <t>Extractions from title block:</t>
  </si>
  <si>
    <t>LC in title?</t>
  </si>
  <si>
    <t>Sector or Overview in title?</t>
  </si>
  <si>
    <t>Layout or View in title?</t>
  </si>
  <si>
    <t>Title1 proper?</t>
  </si>
  <si>
    <t>Title 2 proper?</t>
  </si>
  <si>
    <t>Title 4 proper?</t>
  </si>
  <si>
    <t>Title 3 proper?</t>
  </si>
  <si>
    <t>Check 3 analysis</t>
  </si>
  <si>
    <r>
      <t xml:space="preserve">3. Drawing should be created according to </t>
    </r>
    <r>
      <rPr>
        <b/>
        <sz val="10"/>
        <color indexed="8"/>
        <rFont val="Times New Roman"/>
        <family val="1"/>
      </rPr>
      <t>Fab 28 Construction specific CAD guide</t>
    </r>
    <r>
      <rPr>
        <sz val="10"/>
        <color indexed="8"/>
        <rFont val="Times New Roman"/>
        <family val="1"/>
      </rPr>
      <t>:</t>
    </r>
  </si>
  <si>
    <r>
      <t xml:space="preserve">- layout </t>
    </r>
    <r>
      <rPr>
        <b/>
        <sz val="10"/>
        <color indexed="8"/>
        <rFont val="Times New Roman"/>
        <family val="1"/>
      </rPr>
      <t>View</t>
    </r>
    <r>
      <rPr>
        <sz val="10"/>
        <color indexed="8"/>
        <rFont val="Times New Roman"/>
        <family val="1"/>
      </rPr>
      <t xml:space="preserve"> drawings should have a </t>
    </r>
    <r>
      <rPr>
        <b/>
        <sz val="10"/>
        <color indexed="8"/>
        <rFont val="Times New Roman"/>
        <family val="1"/>
      </rPr>
      <t>Master X-Ref</t>
    </r>
    <r>
      <rPr>
        <sz val="10"/>
        <color indexed="8"/>
        <rFont val="Times New Roman"/>
        <family val="1"/>
      </rPr>
      <t xml:space="preserve"> (for example: </t>
    </r>
    <r>
      <rPr>
        <b/>
        <sz val="10"/>
        <color indexed="8"/>
        <rFont val="Times New Roman"/>
        <family val="1"/>
      </rPr>
      <t>KBA-1-C-</t>
    </r>
    <r>
      <rPr>
        <sz val="10"/>
        <color indexed="8"/>
        <rFont val="Times New Roman"/>
        <family val="1"/>
      </rPr>
      <t xml:space="preserve"> should be based on </t>
    </r>
    <r>
      <rPr>
        <b/>
        <sz val="10"/>
        <color indexed="8"/>
        <rFont val="Times New Roman"/>
        <family val="1"/>
      </rPr>
      <t>GBA-1-OV</t>
    </r>
    <r>
      <rPr>
        <sz val="10"/>
        <color indexed="8"/>
        <rFont val="Times New Roman"/>
        <family val="1"/>
      </rPr>
      <t>)</t>
    </r>
  </si>
  <si>
    <r>
      <t xml:space="preserve"> - non layout drawings can be without x-refs (except of </t>
    </r>
    <r>
      <rPr>
        <i/>
        <sz val="10"/>
        <color indexed="8"/>
        <rFont val="Times New Roman"/>
        <family val="1"/>
      </rPr>
      <t>enlarged views</t>
    </r>
    <r>
      <rPr>
        <sz val="10"/>
        <color indexed="8"/>
        <rFont val="Times New Roman"/>
        <family val="1"/>
      </rPr>
      <t>).</t>
    </r>
  </si>
  <si>
    <t>Proper xref name</t>
  </si>
  <si>
    <t>View</t>
  </si>
  <si>
    <t>Xref</t>
  </si>
  <si>
    <t>xref name should be:</t>
  </si>
  <si>
    <t>first letter:</t>
  </si>
  <si>
    <t>second letter:</t>
  </si>
  <si>
    <t>third letter:</t>
  </si>
  <si>
    <t>fourth letter:</t>
  </si>
  <si>
    <t>fifth letter:</t>
  </si>
  <si>
    <t>sixth letter:</t>
  </si>
  <si>
    <t>seventh letter:</t>
  </si>
  <si>
    <t>Eighth letter:</t>
  </si>
  <si>
    <t>Xref for check:</t>
  </si>
  <si>
    <t>isEnlarged view?</t>
  </si>
  <si>
    <t>Check 4 analysis</t>
  </si>
  <si>
    <t>Are there xrefs?</t>
  </si>
  <si>
    <t>Is enlarged?</t>
  </si>
  <si>
    <t>4. Layout drawing should have external references (X-Ref)</t>
  </si>
  <si>
    <t>Check 5 analysis</t>
  </si>
  <si>
    <t>5. Should be used just two types of background drawings:</t>
  </si>
  <si>
    <t xml:space="preserve"> - Existing X-Ref</t>
  </si>
  <si>
    <t xml:space="preserve"> - New X-Refs created according to Fab 28 Construction specific CAD guide </t>
  </si>
  <si>
    <t>Check 6 analysis</t>
  </si>
  <si>
    <t>6. X-Ref's insertion point should be Lachish Campus 0,0,0.</t>
  </si>
  <si>
    <t>Check 7 analysis</t>
  </si>
  <si>
    <t>7. X-Ref's saved path should contain only X-Ref dwg name (without the path).</t>
  </si>
  <si>
    <t>Check 8 analysis</t>
  </si>
  <si>
    <t>8. Layer "0" must be empty of all entities, (only blocks should be created on layer "0").</t>
  </si>
  <si>
    <t>Entities in drawing</t>
  </si>
  <si>
    <t>Viewport entities not shown in list</t>
  </si>
  <si>
    <t>Check 9 analysis</t>
  </si>
  <si>
    <t>9. Layer name per standard (color &amp; line type by layer).</t>
  </si>
  <si>
    <t>Check 10 analysis</t>
  </si>
  <si>
    <t>10. Paper space: Title block, Key plan,  General &amp; Key notes, Legends</t>
  </si>
  <si>
    <t xml:space="preserve">non layout – X-Ref or/and main drawings (technical information) </t>
  </si>
  <si>
    <t>Model space:</t>
  </si>
  <si>
    <t xml:space="preserve"> layout -  just X-Ref drawings </t>
  </si>
  <si>
    <t>is Layout?</t>
  </si>
  <si>
    <t>Entity count</t>
  </si>
  <si>
    <t>Check 11 analysis</t>
  </si>
  <si>
    <t>11. Style &amp; size of text by standard.</t>
  </si>
  <si>
    <t>grid xref should be</t>
  </si>
  <si>
    <t>Check 12 analysis</t>
  </si>
  <si>
    <r>
      <t>12. The standard blocks should be</t>
    </r>
    <r>
      <rPr>
        <sz val="10"/>
        <color indexed="1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used in the drawings. Do not redefine or explode the standard blocks!</t>
    </r>
  </si>
  <si>
    <t xml:space="preserve">  The designer can create a new block if required, but the new block names should be according to standard.  </t>
  </si>
  <si>
    <t>$0$G-INORTH</t>
  </si>
  <si>
    <t>has bind error</t>
  </si>
  <si>
    <t>has dollar error</t>
  </si>
  <si>
    <t>Check 13 analysis</t>
  </si>
  <si>
    <t xml:space="preserve">The drawings should have annotation symbols with cross directions include drawing number: annotation symbols of layout drawing should </t>
  </si>
  <si>
    <t>point to non layout drawing and non layout drawing should have annotation symbol include layout drawing number.</t>
  </si>
  <si>
    <t>Check 14 analysis</t>
  </si>
  <si>
    <t>North arrow in the layout &amp; enlarged views drawings of Lachish Campus should point left.</t>
  </si>
  <si>
    <t>Check 15 analysis</t>
  </si>
  <si>
    <t>15. All record drawings should have two revisions only: Rev.0, revision description: IFC (Issued for construction)</t>
  </si>
  <si>
    <t>Rev. 1, revision description: Record drawing</t>
  </si>
  <si>
    <t>Legal name?</t>
  </si>
  <si>
    <t>name problem</t>
  </si>
  <si>
    <t>GBKEY-A-.dwg</t>
  </si>
  <si>
    <t>GBKEY-AA.dwg</t>
  </si>
  <si>
    <t>GBKEY-B-.dwg</t>
  </si>
  <si>
    <t>GBKEY-C-.dwg</t>
  </si>
  <si>
    <t>GBKEY-CC.dwg</t>
  </si>
  <si>
    <t>GBKEY-D-.dwg</t>
  </si>
  <si>
    <t>GBKEY-E-.dwg</t>
  </si>
  <si>
    <t>GBKEY-EE.dwg</t>
  </si>
  <si>
    <t>GBKEY-F-.dwg</t>
  </si>
  <si>
    <t>GBKEY-G-.dwg</t>
  </si>
  <si>
    <t>GBKEY-GG.dwg</t>
  </si>
  <si>
    <t>GBKEY-H-.dwg</t>
  </si>
  <si>
    <t>GBKEY-OV.dwg</t>
  </si>
  <si>
    <t>GCKEY-OV.dwg</t>
  </si>
  <si>
    <t>GEKEY.dwg</t>
  </si>
  <si>
    <t>GKKEY-OV.dwg</t>
  </si>
  <si>
    <t>GOKEY-A-.dwg</t>
  </si>
  <si>
    <t>GOKEY-B-.dwg</t>
  </si>
  <si>
    <t>GOKEY-C-.dwg</t>
  </si>
  <si>
    <t>GOKEY-D-.dwg</t>
  </si>
  <si>
    <t>GOKEY-OV.dwg</t>
  </si>
  <si>
    <t>GSKEY-A-.dwg</t>
  </si>
  <si>
    <t>GSKEY-B-.dwg</t>
  </si>
  <si>
    <t>GSKEY-BB.dwg</t>
  </si>
  <si>
    <t>GSKEY-C-.dwg</t>
  </si>
  <si>
    <t>GSKEY-D-.dwg</t>
  </si>
  <si>
    <t>GSKEY-DD.dwg</t>
  </si>
  <si>
    <t>GSKEY-F-.dwg</t>
  </si>
  <si>
    <t>GSKEY-FF.dwg</t>
  </si>
  <si>
    <t>GSKEY-OV.dwg</t>
  </si>
  <si>
    <t>GWKEY-A-.dwg</t>
  </si>
  <si>
    <t>GWKEY-B-.dwg</t>
  </si>
  <si>
    <t>GWKEY-C-.dwg</t>
  </si>
  <si>
    <t>GWKEY-D-.dwg</t>
  </si>
  <si>
    <t>GWKEY-OV.dwg</t>
  </si>
  <si>
    <t>GYKEY.dwg</t>
  </si>
  <si>
    <t>I1183sht_F.dwg</t>
  </si>
  <si>
    <t>i1184.dwg</t>
  </si>
  <si>
    <t>I1184sht_FC.dwg</t>
  </si>
  <si>
    <t>I1184sht_F-cpi.dwg</t>
  </si>
  <si>
    <t>I1184sht_F-els.dwg</t>
  </si>
  <si>
    <t>I1184sht_FF.dwg</t>
  </si>
  <si>
    <t>I1184sht_FG.dwg</t>
  </si>
  <si>
    <t>I1185sht_FC.dwg</t>
  </si>
  <si>
    <t>I1185sht_FF.dwg</t>
  </si>
  <si>
    <t>I1185sht_FG.dwg</t>
  </si>
  <si>
    <t>I1185sht_FL.dwg</t>
  </si>
  <si>
    <t>I1186sht_FF.dwg</t>
  </si>
  <si>
    <t>I1186sht_FL.dwg</t>
  </si>
  <si>
    <t>I4229sht_F.dwg</t>
  </si>
  <si>
    <t>I4229sht_FF.dwg</t>
  </si>
  <si>
    <t>I4229sht_FFD.dwg</t>
  </si>
  <si>
    <t>IABE0700.dwg</t>
  </si>
  <si>
    <t>IABT0700.dwg</t>
  </si>
  <si>
    <t>IABU0700.dwg</t>
  </si>
  <si>
    <t>IOG-1-OV.dwg</t>
  </si>
  <si>
    <t>IOG-4-C-.dwg</t>
  </si>
  <si>
    <t>IOG-4-G-.dwg</t>
  </si>
  <si>
    <t>SKEY.dwg</t>
  </si>
  <si>
    <t>SKEY-J0.dwg</t>
  </si>
  <si>
    <t>SKEY-JA.dwg</t>
  </si>
  <si>
    <t>SKEY-M0.dwg</t>
  </si>
  <si>
    <t>SKEY-MA.dwg</t>
  </si>
  <si>
    <t>SKEY-MB.dwg</t>
  </si>
  <si>
    <t>SKEY-MBR.dwg</t>
  </si>
  <si>
    <t>SKEY-MC.dwg</t>
  </si>
  <si>
    <t>SKEY-MD.dwg</t>
  </si>
  <si>
    <t>SKEY-N0.dwg</t>
  </si>
  <si>
    <t>SKEY-NA.dwg</t>
  </si>
  <si>
    <t>SKEY-NB.dwg</t>
  </si>
  <si>
    <t>SKEY-NC.dwg</t>
  </si>
  <si>
    <t>SKEY-ND.dwg</t>
  </si>
  <si>
    <t>SKEY-P0.dwg</t>
  </si>
  <si>
    <t>SKEY-PA.dwg</t>
  </si>
  <si>
    <t>SKEY-PB.dwg</t>
  </si>
  <si>
    <t>SKEY-PC.dwg</t>
  </si>
  <si>
    <t>SKEY-PD.dwg</t>
  </si>
  <si>
    <t>SKEY-T0.dwg</t>
  </si>
  <si>
    <t>SKEY-TA.dwg</t>
  </si>
  <si>
    <t>SKEY-TB.dwg</t>
  </si>
  <si>
    <t>SKEY-TC.dwg</t>
  </si>
  <si>
    <t>SKEY-TD.dwg</t>
  </si>
  <si>
    <t>SKEY-U0.dwg</t>
  </si>
  <si>
    <t>SKEY-UA.dwg</t>
  </si>
  <si>
    <t>SKEY-UB.dwg</t>
  </si>
  <si>
    <t>SKEY-UC.dwg</t>
  </si>
  <si>
    <t>SKEY-UD.dwg</t>
  </si>
  <si>
    <t>SKEY-V0.dwg</t>
  </si>
  <si>
    <t>SKEY-VA.dwg</t>
  </si>
  <si>
    <t>SKEY-VB.dwg</t>
  </si>
  <si>
    <t>SKEY-VC.dwg</t>
  </si>
  <si>
    <t>SKEY-VD.dwg</t>
  </si>
  <si>
    <t>SKEY-W0.dwg</t>
  </si>
  <si>
    <t>Atypical xrefs</t>
  </si>
  <si>
    <t>is in list?</t>
  </si>
  <si>
    <t>is 8 letters?</t>
  </si>
  <si>
    <t>first letter G or R?</t>
  </si>
  <si>
    <t>IsLegal?</t>
  </si>
  <si>
    <t>SumLegal</t>
  </si>
  <si>
    <t>Second letter allowed?</t>
  </si>
  <si>
    <t>1:1</t>
  </si>
  <si>
    <t>1 : 1</t>
  </si>
  <si>
    <t>1 = 1</t>
  </si>
  <si>
    <t>Cover sheets, legends, abbreviation sheets &amp; notes</t>
  </si>
  <si>
    <t>Functional matrix, schedules and index sheets</t>
  </si>
  <si>
    <t>Diagrams and schematics (e.g. block, ladder, one-line and riser diagrams, PLC Communication), Electrical panel</t>
  </si>
  <si>
    <t>Instrumentation Loop Diagrams</t>
  </si>
  <si>
    <t>MCC Block I\O (for I&amp;C only)</t>
  </si>
  <si>
    <t xml:space="preserve">for I &amp; C and LSS:     
LCP &amp; I/O Panel
LCP  Front view 
LCP  Component layout 
LCP  Internal wiring
LCP  BOM
Wiring method 
Wiring diagrams
Terminal arrangement
PDP (Power Distribution Panel)
for I &amp; C and LSS:     
LCP &amp; I/O Panel
LCP  Front view 
LCP  Component layout 
LCP  Internal wiring
LCP  BOM
Wiring method 
Wiring diagrams
Terminal arrangement
PDP (Power Distribution Panel)
</t>
  </si>
  <si>
    <t xml:space="preserve">for I &amp; C only:
Compact Control Panel
PLC  Control Panel
PLC  Front view 
PLC  Component layout
PLC  Internal wiring
PLC  BOM
Wiring method
Wiring diagrams
Terminal arrangement
</t>
  </si>
  <si>
    <t>Enlarged views (partial plans), Plans of stair &amp; elevators, sections of stair &amp; elevators</t>
  </si>
  <si>
    <t>Traffic circulation</t>
  </si>
  <si>
    <t>Electrical - Wiring diagrams (MCC), LCP &amp; INTERCONNECTIONS</t>
  </si>
  <si>
    <t>Clean Room – sections &amp; elevations</t>
  </si>
  <si>
    <t>Clean Room – details</t>
  </si>
  <si>
    <t>Details, wall types, isometrics Civil Profiles</t>
  </si>
  <si>
    <t>sheet</t>
  </si>
  <si>
    <t>matrix</t>
  </si>
  <si>
    <t>diagram</t>
  </si>
  <si>
    <t>schematic</t>
  </si>
  <si>
    <t>panel</t>
  </si>
  <si>
    <t>enlarge</t>
  </si>
  <si>
    <t>legend</t>
  </si>
  <si>
    <t>note</t>
  </si>
  <si>
    <t>schedule</t>
  </si>
  <si>
    <t>stair</t>
  </si>
  <si>
    <t>section</t>
  </si>
  <si>
    <t>detail</t>
  </si>
  <si>
    <t>block</t>
  </si>
  <si>
    <t>wiring</t>
  </si>
  <si>
    <t>plc</t>
  </si>
  <si>
    <t>lcp</t>
  </si>
  <si>
    <t>elev</t>
  </si>
  <si>
    <t>wall</t>
  </si>
  <si>
    <t>profile</t>
  </si>
  <si>
    <t>traffic</t>
  </si>
  <si>
    <t>wir</t>
  </si>
  <si>
    <t>mcc</t>
  </si>
  <si>
    <t>2nd is letter</t>
  </si>
  <si>
    <t>AKfdf</t>
  </si>
  <si>
    <t>Legal ht</t>
  </si>
  <si>
    <t>style height 0</t>
  </si>
  <si>
    <t>font file accurate</t>
  </si>
  <si>
    <t>font</t>
  </si>
  <si>
    <t>fonts ok?</t>
  </si>
  <si>
    <t>arial.ttf</t>
  </si>
  <si>
    <t>arialbd.ttf</t>
  </si>
  <si>
    <t>monos.ttf</t>
  </si>
  <si>
    <t>in drawing?</t>
  </si>
  <si>
    <t>Enlarged</t>
  </si>
  <si>
    <t>Details</t>
  </si>
  <si>
    <t>Section, elevation</t>
  </si>
  <si>
    <t>isEnlarged</t>
  </si>
  <si>
    <t>isSection</t>
  </si>
  <si>
    <t>isDetail</t>
  </si>
  <si>
    <t>keyword1</t>
  </si>
  <si>
    <t>keyword2</t>
  </si>
  <si>
    <t>keyword3</t>
  </si>
  <si>
    <t>haskw1</t>
  </si>
  <si>
    <t>haskw2</t>
  </si>
  <si>
    <t>haskw3</t>
  </si>
  <si>
    <t>title4WithKeyWord?</t>
  </si>
  <si>
    <t>filename format ok?</t>
  </si>
  <si>
    <t>Allowed plot scale content</t>
  </si>
  <si>
    <t>Allowed scale content</t>
  </si>
  <si>
    <t>1:</t>
  </si>
  <si>
    <t>1=</t>
  </si>
  <si>
    <t>1 =</t>
  </si>
  <si>
    <t>1 :</t>
  </si>
  <si>
    <t xml:space="preserve"> 1 =</t>
  </si>
  <si>
    <t xml:space="preserve"> 1 :</t>
  </si>
  <si>
    <t xml:space="preserve"> 1:</t>
  </si>
  <si>
    <t xml:space="preserve"> 1=</t>
  </si>
  <si>
    <t>Format</t>
  </si>
  <si>
    <t>title scale</t>
  </si>
  <si>
    <t>allowed?</t>
  </si>
  <si>
    <t>Origin ok?</t>
  </si>
  <si>
    <t>northxscale</t>
  </si>
  <si>
    <t>LEGEND DIAGRAM ELEVATION</t>
  </si>
  <si>
    <t>KST-0220.dwg</t>
  </si>
  <si>
    <t>NO in title?</t>
  </si>
  <si>
    <t>xrefsinmodel</t>
  </si>
</sst>
</file>

<file path=xl/styles.xml><?xml version="1.0" encoding="utf-8"?>
<styleSheet xmlns="http://schemas.openxmlformats.org/spreadsheetml/2006/main">
  <numFmts count="1">
    <numFmt numFmtId="164" formatCode="B1dd\-mmm\-yy"/>
  </numFmts>
  <fonts count="23">
    <font>
      <sz val="11"/>
      <color theme="1"/>
      <name val="Arial"/>
      <family val="2"/>
      <charset val="177"/>
      <scheme val="minor"/>
    </font>
    <font>
      <b/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i/>
      <sz val="12"/>
      <name val="Times New Roman"/>
      <family val="1"/>
    </font>
    <font>
      <sz val="8"/>
      <name val="Arial"/>
      <family val="2"/>
    </font>
    <font>
      <b/>
      <sz val="8"/>
      <color indexed="1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0"/>
      <name val="Times New Roman"/>
      <family val="1"/>
    </font>
    <font>
      <sz val="1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1"/>
      <scheme val="maj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9C0006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2" fillId="6" borderId="0" applyNumberFormat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0" fillId="0" borderId="1" xfId="0" applyBorder="1"/>
    <xf numFmtId="0" fontId="14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9" xfId="0" applyFont="1" applyBorder="1"/>
    <xf numFmtId="0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0" xfId="0" applyFont="1"/>
    <xf numFmtId="0" fontId="2" fillId="0" borderId="23" xfId="0" applyFont="1" applyBorder="1"/>
    <xf numFmtId="0" fontId="2" fillId="0" borderId="0" xfId="0" applyFont="1" applyFill="1" applyBorder="1"/>
    <xf numFmtId="49" fontId="2" fillId="0" borderId="0" xfId="0" applyNumberFormat="1" applyFont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0" fillId="0" borderId="1" xfId="0" applyNumberFormat="1" applyBorder="1"/>
    <xf numFmtId="0" fontId="0" fillId="0" borderId="9" xfId="0" applyFill="1" applyBorder="1"/>
    <xf numFmtId="0" fontId="0" fillId="0" borderId="12" xfId="0" applyBorder="1"/>
    <xf numFmtId="0" fontId="3" fillId="0" borderId="0" xfId="0" applyFont="1" applyAlignme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7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top" wrapText="1"/>
    </xf>
    <xf numFmtId="0" fontId="1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vertical="top" wrapText="1"/>
    </xf>
    <xf numFmtId="0" fontId="1" fillId="0" borderId="30" xfId="0" applyFont="1" applyBorder="1" applyAlignment="1">
      <alignment vertical="center" wrapText="1"/>
    </xf>
    <xf numFmtId="0" fontId="7" fillId="0" borderId="30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2" borderId="13" xfId="0" applyFill="1" applyBorder="1"/>
    <xf numFmtId="0" fontId="0" fillId="0" borderId="31" xfId="0" applyBorder="1"/>
    <xf numFmtId="0" fontId="15" fillId="0" borderId="22" xfId="0" applyFont="1" applyBorder="1"/>
    <xf numFmtId="0" fontId="0" fillId="2" borderId="0" xfId="0" applyFill="1" applyBorder="1"/>
    <xf numFmtId="0" fontId="0" fillId="0" borderId="0" xfId="0" applyFill="1"/>
    <xf numFmtId="0" fontId="0" fillId="0" borderId="21" xfId="0" applyFill="1" applyBorder="1"/>
    <xf numFmtId="0" fontId="0" fillId="2" borderId="19" xfId="0" applyFill="1" applyBorder="1"/>
    <xf numFmtId="0" fontId="0" fillId="2" borderId="25" xfId="0" applyFill="1" applyBorder="1"/>
    <xf numFmtId="0" fontId="0" fillId="0" borderId="25" xfId="0" applyFill="1" applyBorder="1"/>
    <xf numFmtId="0" fontId="0" fillId="0" borderId="20" xfId="0" applyFill="1" applyBorder="1"/>
    <xf numFmtId="0" fontId="0" fillId="0" borderId="22" xfId="0" applyFill="1" applyBorder="1"/>
    <xf numFmtId="0" fontId="2" fillId="0" borderId="21" xfId="0" applyFont="1" applyFill="1" applyBorder="1"/>
    <xf numFmtId="0" fontId="2" fillId="2" borderId="21" xfId="0" applyFont="1" applyFill="1" applyBorder="1"/>
    <xf numFmtId="1" fontId="0" fillId="0" borderId="0" xfId="0" applyNumberFormat="1" applyBorder="1"/>
    <xf numFmtId="0" fontId="0" fillId="0" borderId="26" xfId="0" applyFill="1" applyBorder="1"/>
    <xf numFmtId="0" fontId="0" fillId="0" borderId="24" xfId="0" applyFill="1" applyBorder="1"/>
    <xf numFmtId="0" fontId="16" fillId="0" borderId="21" xfId="0" applyFont="1" applyBorder="1"/>
    <xf numFmtId="0" fontId="0" fillId="0" borderId="23" xfId="0" applyFill="1" applyBorder="1"/>
    <xf numFmtId="0" fontId="0" fillId="2" borderId="20" xfId="0" applyFill="1" applyBorder="1"/>
    <xf numFmtId="0" fontId="0" fillId="2" borderId="26" xfId="0" applyFill="1" applyBorder="1"/>
    <xf numFmtId="0" fontId="0" fillId="2" borderId="6" xfId="0" applyFill="1" applyBorder="1"/>
    <xf numFmtId="0" fontId="0" fillId="0" borderId="4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6" fillId="3" borderId="21" xfId="0" applyFont="1" applyFill="1" applyBorder="1" applyAlignment="1">
      <alignment horizontal="left" indent="1"/>
    </xf>
    <xf numFmtId="0" fontId="0" fillId="3" borderId="0" xfId="0" applyFill="1" applyBorder="1"/>
    <xf numFmtId="0" fontId="0" fillId="3" borderId="22" xfId="0" applyFill="1" applyBorder="1"/>
    <xf numFmtId="0" fontId="0" fillId="0" borderId="0" xfId="0" applyNumberFormat="1" applyBorder="1"/>
    <xf numFmtId="0" fontId="0" fillId="5" borderId="0" xfId="0" applyFill="1" applyBorder="1"/>
    <xf numFmtId="0" fontId="2" fillId="0" borderId="1" xfId="0" applyFont="1" applyBorder="1"/>
    <xf numFmtId="0" fontId="0" fillId="4" borderId="1" xfId="0" applyFill="1" applyBorder="1"/>
    <xf numFmtId="0" fontId="2" fillId="4" borderId="1" xfId="0" applyFont="1" applyFill="1" applyBorder="1"/>
    <xf numFmtId="0" fontId="16" fillId="3" borderId="21" xfId="0" applyFont="1" applyFill="1" applyBorder="1"/>
    <xf numFmtId="0" fontId="2" fillId="5" borderId="21" xfId="0" applyFont="1" applyFill="1" applyBorder="1"/>
    <xf numFmtId="0" fontId="16" fillId="3" borderId="0" xfId="0" applyFont="1" applyFill="1" applyBorder="1" applyAlignment="1">
      <alignment horizontal="left" indent="1"/>
    </xf>
    <xf numFmtId="0" fontId="16" fillId="3" borderId="22" xfId="0" applyFont="1" applyFill="1" applyBorder="1" applyAlignment="1">
      <alignment horizontal="left" indent="1"/>
    </xf>
    <xf numFmtId="0" fontId="16" fillId="3" borderId="0" xfId="0" applyFont="1" applyFill="1" applyBorder="1"/>
    <xf numFmtId="0" fontId="0" fillId="3" borderId="21" xfId="0" applyFill="1" applyBorder="1"/>
    <xf numFmtId="0" fontId="13" fillId="3" borderId="21" xfId="0" applyFont="1" applyFill="1" applyBorder="1" applyAlignment="1">
      <alignment horizontal="left" indent="1"/>
    </xf>
    <xf numFmtId="0" fontId="17" fillId="3" borderId="0" xfId="0" applyFont="1" applyFill="1" applyBorder="1"/>
    <xf numFmtId="0" fontId="2" fillId="0" borderId="5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4" xfId="0" applyFont="1" applyBorder="1"/>
    <xf numFmtId="0" fontId="0" fillId="0" borderId="5" xfId="0" applyFill="1" applyBorder="1"/>
    <xf numFmtId="0" fontId="0" fillId="0" borderId="8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32" xfId="0" applyFill="1" applyBorder="1"/>
    <xf numFmtId="0" fontId="0" fillId="5" borderId="36" xfId="0" applyFill="1" applyBorder="1"/>
    <xf numFmtId="0" fontId="0" fillId="5" borderId="33" xfId="0" applyFill="1" applyBorder="1"/>
    <xf numFmtId="0" fontId="0" fillId="0" borderId="0" xfId="0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20" fillId="0" borderId="0" xfId="0" applyFont="1"/>
    <xf numFmtId="0" fontId="0" fillId="0" borderId="16" xfId="0" applyFill="1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Border="1" applyAlignment="1">
      <alignment wrapText="1"/>
    </xf>
    <xf numFmtId="0" fontId="22" fillId="6" borderId="4" xfId="1" applyBorder="1"/>
    <xf numFmtId="0" fontId="22" fillId="6" borderId="5" xfId="1" applyBorder="1"/>
    <xf numFmtId="49" fontId="22" fillId="6" borderId="4" xfId="1" applyNumberFormat="1" applyBorder="1"/>
    <xf numFmtId="49" fontId="22" fillId="6" borderId="6" xfId="1" applyNumberFormat="1" applyBorder="1"/>
    <xf numFmtId="0" fontId="22" fillId="6" borderId="8" xfId="1" applyBorder="1"/>
    <xf numFmtId="0" fontId="0" fillId="0" borderId="43" xfId="0" applyFill="1" applyBorder="1"/>
    <xf numFmtId="0" fontId="0" fillId="0" borderId="1" xfId="0" applyBorder="1" applyAlignment="1">
      <alignment wrapText="1"/>
    </xf>
    <xf numFmtId="0" fontId="21" fillId="0" borderId="1" xfId="0" applyFont="1" applyBorder="1"/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ill="1" applyBorder="1"/>
    <xf numFmtId="0" fontId="0" fillId="0" borderId="44" xfId="0" applyBorder="1"/>
    <xf numFmtId="0" fontId="0" fillId="0" borderId="15" xfId="0" applyBorder="1"/>
    <xf numFmtId="0" fontId="0" fillId="0" borderId="45" xfId="0" applyFill="1" applyBorder="1"/>
    <xf numFmtId="0" fontId="0" fillId="0" borderId="0" xfId="0" applyNumberFormat="1"/>
    <xf numFmtId="49" fontId="0" fillId="0" borderId="12" xfId="0" applyNumberFormat="1" applyBorder="1"/>
    <xf numFmtId="49" fontId="0" fillId="0" borderId="3" xfId="0" applyNumberFormat="1" applyBorder="1"/>
    <xf numFmtId="0" fontId="0" fillId="0" borderId="4" xfId="0" applyNumberFormat="1" applyBorder="1"/>
    <xf numFmtId="49" fontId="0" fillId="0" borderId="5" xfId="0" applyNumberFormat="1" applyBorder="1"/>
    <xf numFmtId="49" fontId="0" fillId="0" borderId="8" xfId="0" applyNumberFormat="1" applyBorder="1"/>
    <xf numFmtId="0" fontId="0" fillId="0" borderId="0" xfId="0" applyNumberFormat="1" applyFill="1" applyBorder="1"/>
    <xf numFmtId="0" fontId="0" fillId="0" borderId="16" xfId="0" applyBorder="1"/>
    <xf numFmtId="14" fontId="4" fillId="0" borderId="0" xfId="0" applyNumberFormat="1" applyFont="1" applyAlignment="1">
      <alignment horizontal="left"/>
    </xf>
  </cellXfs>
  <cellStyles count="2">
    <cellStyle name="Normal" xfId="0" builtinId="0"/>
    <cellStyle name="רע" xfId="1" builtinId="27"/>
  </cellStyles>
  <dxfs count="2">
    <dxf>
      <font>
        <condense val="0"/>
        <extend val="0"/>
        <color indexed="18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4</xdr:row>
      <xdr:rowOff>104775</xdr:rowOff>
    </xdr:from>
    <xdr:to>
      <xdr:col>20</xdr:col>
      <xdr:colOff>0</xdr:colOff>
      <xdr:row>7</xdr:row>
      <xdr:rowOff>190500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11344275" y="904875"/>
          <a:ext cx="23717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For Clarifications Turn To: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Tzeitin Lili                 68-57628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Liser Elena                 68-57627 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1"/>
  <sheetViews>
    <sheetView workbookViewId="0">
      <selection activeCell="C4" sqref="C4:D4"/>
    </sheetView>
  </sheetViews>
  <sheetFormatPr defaultRowHeight="14.25"/>
  <cols>
    <col min="3" max="3" width="20.375" bestFit="1" customWidth="1"/>
  </cols>
  <sheetData>
    <row r="1" spans="1:20" ht="15.75">
      <c r="A1" s="45" t="s">
        <v>722</v>
      </c>
      <c r="C1" s="46" t="s">
        <v>723</v>
      </c>
      <c r="T1" s="47"/>
    </row>
    <row r="2" spans="1:20" ht="15.75">
      <c r="A2" s="48" t="s">
        <v>724</v>
      </c>
      <c r="C2" s="46" t="s">
        <v>725</v>
      </c>
      <c r="T2" s="47"/>
    </row>
    <row r="3" spans="1:20" ht="15.75">
      <c r="A3" s="48" t="s">
        <v>726</v>
      </c>
      <c r="C3" s="46" t="s">
        <v>727</v>
      </c>
      <c r="T3" s="47"/>
    </row>
    <row r="4" spans="1:20" ht="15.75">
      <c r="A4" s="48" t="s">
        <v>728</v>
      </c>
      <c r="C4" s="163">
        <f>Date</f>
        <v>0</v>
      </c>
      <c r="D4" s="163"/>
      <c r="T4" s="47"/>
    </row>
    <row r="5" spans="1:20" ht="15.75">
      <c r="A5" s="48"/>
      <c r="T5" s="47"/>
    </row>
    <row r="6" spans="1:20" ht="15.75">
      <c r="A6" s="49" t="s">
        <v>729</v>
      </c>
      <c r="T6" s="47"/>
    </row>
    <row r="7" spans="1:20" ht="15.75">
      <c r="A7" s="49" t="s">
        <v>730</v>
      </c>
      <c r="T7" s="47"/>
    </row>
    <row r="8" spans="1:20" ht="15.75">
      <c r="A8" s="49" t="s">
        <v>731</v>
      </c>
      <c r="T8" s="47"/>
    </row>
    <row r="9" spans="1:20" ht="16.5" thickBot="1">
      <c r="A9" s="49"/>
      <c r="T9" s="47"/>
    </row>
    <row r="10" spans="1:20">
      <c r="A10" s="50"/>
      <c r="B10" s="51">
        <v>1</v>
      </c>
      <c r="C10" s="51">
        <v>2</v>
      </c>
      <c r="D10" s="51">
        <v>3</v>
      </c>
      <c r="E10" s="51">
        <v>4</v>
      </c>
      <c r="F10" s="51">
        <v>5</v>
      </c>
      <c r="G10" s="52">
        <v>6</v>
      </c>
      <c r="H10" s="51">
        <v>7</v>
      </c>
      <c r="I10" s="51">
        <v>8</v>
      </c>
      <c r="J10" s="51">
        <v>9</v>
      </c>
      <c r="K10" s="51">
        <v>10</v>
      </c>
      <c r="L10" s="51">
        <v>11</v>
      </c>
      <c r="M10" s="51">
        <v>12</v>
      </c>
      <c r="N10" s="51">
        <v>13</v>
      </c>
      <c r="O10" s="51">
        <v>14</v>
      </c>
      <c r="P10" s="51">
        <v>15</v>
      </c>
      <c r="Q10" s="51">
        <v>16</v>
      </c>
      <c r="R10" s="51">
        <v>17</v>
      </c>
      <c r="S10" s="51">
        <v>18</v>
      </c>
      <c r="T10" s="52"/>
    </row>
    <row r="11" spans="1:20">
      <c r="A11" s="53" t="s">
        <v>732</v>
      </c>
      <c r="B11" s="54" t="s">
        <v>733</v>
      </c>
      <c r="C11" s="54" t="s">
        <v>734</v>
      </c>
      <c r="D11" s="54" t="s">
        <v>735</v>
      </c>
      <c r="E11" s="54" t="s">
        <v>736</v>
      </c>
      <c r="F11" s="54" t="s">
        <v>737</v>
      </c>
      <c r="G11" s="55" t="s">
        <v>737</v>
      </c>
      <c r="H11" s="54" t="s">
        <v>737</v>
      </c>
      <c r="I11" s="54" t="s">
        <v>704</v>
      </c>
      <c r="J11" s="54" t="s">
        <v>738</v>
      </c>
      <c r="K11" s="54" t="s">
        <v>739</v>
      </c>
      <c r="L11" s="54" t="s">
        <v>740</v>
      </c>
      <c r="M11" s="54" t="s">
        <v>741</v>
      </c>
      <c r="N11" s="54" t="s">
        <v>742</v>
      </c>
      <c r="O11" s="54" t="s">
        <v>743</v>
      </c>
      <c r="P11" s="54" t="s">
        <v>744</v>
      </c>
      <c r="Q11" s="54" t="s">
        <v>745</v>
      </c>
      <c r="R11" s="54" t="s">
        <v>746</v>
      </c>
      <c r="S11" s="54" t="s">
        <v>747</v>
      </c>
      <c r="T11" s="55" t="s">
        <v>748</v>
      </c>
    </row>
    <row r="12" spans="1:20">
      <c r="A12" s="53"/>
      <c r="B12" s="54" t="s">
        <v>14</v>
      </c>
      <c r="C12" s="54" t="s">
        <v>749</v>
      </c>
      <c r="D12" s="54" t="s">
        <v>750</v>
      </c>
      <c r="E12" s="54" t="s">
        <v>751</v>
      </c>
      <c r="F12" s="54"/>
      <c r="G12" s="55" t="s">
        <v>83</v>
      </c>
      <c r="H12" s="54" t="s">
        <v>33</v>
      </c>
      <c r="I12" s="54">
        <v>0</v>
      </c>
      <c r="J12" s="54" t="s">
        <v>58</v>
      </c>
      <c r="K12" s="54" t="s">
        <v>752</v>
      </c>
      <c r="L12" s="54"/>
      <c r="M12" s="54"/>
      <c r="N12" s="54" t="s">
        <v>753</v>
      </c>
      <c r="O12" s="54" t="s">
        <v>754</v>
      </c>
      <c r="P12" s="54" t="s">
        <v>755</v>
      </c>
      <c r="Q12" s="54" t="s">
        <v>756</v>
      </c>
      <c r="R12" s="54" t="s">
        <v>757</v>
      </c>
      <c r="S12" s="54"/>
      <c r="T12" s="55"/>
    </row>
    <row r="13" spans="1:20" ht="15" thickBot="1">
      <c r="A13" s="56"/>
      <c r="B13" s="57" t="s">
        <v>758</v>
      </c>
      <c r="C13" s="57" t="s">
        <v>759</v>
      </c>
      <c r="D13" s="57" t="s">
        <v>760</v>
      </c>
      <c r="E13" s="57" t="s">
        <v>737</v>
      </c>
      <c r="F13" s="57"/>
      <c r="G13" s="58"/>
      <c r="H13" s="57"/>
      <c r="I13" s="57" t="s">
        <v>761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/>
    </row>
    <row r="14" spans="1:20" ht="15.75" thickTop="1" thickBo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1"/>
    </row>
    <row r="15" spans="1:20" ht="15" thickBot="1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1"/>
    </row>
    <row r="16" spans="1:20" ht="15" thickBot="1">
      <c r="A16" s="59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1"/>
    </row>
    <row r="17" spans="1:20" ht="15" thickBot="1">
      <c r="A17" s="6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3"/>
    </row>
    <row r="18" spans="1:20" ht="15" thickBot="1">
      <c r="A18" s="62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3"/>
    </row>
    <row r="19" spans="1:20" ht="15" thickBot="1">
      <c r="A19" s="62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3"/>
    </row>
    <row r="20" spans="1:20" ht="15" thickBot="1">
      <c r="A20" s="6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3"/>
    </row>
    <row r="21" spans="1:20" ht="15" thickBot="1">
      <c r="A21" s="62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3"/>
    </row>
    <row r="22" spans="1:20" ht="15" thickBot="1">
      <c r="A22" s="64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5"/>
    </row>
    <row r="23" spans="1:20" ht="15" thickBot="1">
      <c r="A23" s="64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5"/>
    </row>
    <row r="24" spans="1:20" ht="15" thickBot="1">
      <c r="A24" s="64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5"/>
    </row>
    <row r="25" spans="1:20" ht="15" thickBot="1">
      <c r="A25" s="64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5"/>
    </row>
    <row r="26" spans="1:20" ht="15" thickBot="1">
      <c r="A26" s="64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5"/>
    </row>
    <row r="27" spans="1:20" ht="15" thickBot="1">
      <c r="A27" s="64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5"/>
    </row>
    <row r="28" spans="1:20" ht="15" thickBot="1">
      <c r="A28" s="64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5"/>
    </row>
    <row r="29" spans="1:20" ht="15" thickBot="1">
      <c r="A29" s="64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5"/>
    </row>
    <row r="30" spans="1:20" ht="15" thickBot="1">
      <c r="A30" s="64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5"/>
    </row>
    <row r="31" spans="1:20" ht="15" thickBot="1">
      <c r="A31" s="64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5"/>
    </row>
    <row r="32" spans="1:20" ht="15" thickBot="1">
      <c r="A32" s="64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5"/>
    </row>
    <row r="33" spans="1:20" ht="15" thickBot="1">
      <c r="A33" s="64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5"/>
    </row>
    <row r="34" spans="1:20" ht="15" thickBot="1">
      <c r="A34" s="64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5"/>
    </row>
    <row r="35" spans="1:20" ht="15" thickBot="1">
      <c r="A35" s="64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5"/>
    </row>
    <row r="36" spans="1:20" ht="15" thickBot="1">
      <c r="A36" s="64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5"/>
    </row>
    <row r="37" spans="1:20" ht="15" thickBot="1">
      <c r="A37" s="64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5"/>
    </row>
    <row r="38" spans="1:20" ht="15" thickBot="1">
      <c r="A38" s="64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5"/>
    </row>
    <row r="39" spans="1:20" ht="15" thickBot="1">
      <c r="A39" s="64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5"/>
    </row>
    <row r="40" spans="1:20" ht="15" thickBot="1">
      <c r="A40" s="64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5"/>
    </row>
    <row r="41" spans="1:20" ht="15" thickBot="1">
      <c r="A41" s="64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5"/>
    </row>
    <row r="42" spans="1:20" ht="15" thickBot="1">
      <c r="A42" s="64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5"/>
    </row>
    <row r="43" spans="1:20" ht="15" thickBot="1">
      <c r="A43" s="64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5"/>
    </row>
    <row r="44" spans="1:20" ht="15" thickBot="1">
      <c r="A44" s="64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5"/>
    </row>
    <row r="45" spans="1:20" ht="15" thickBot="1">
      <c r="A45" s="64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5"/>
    </row>
    <row r="46" spans="1:20" ht="15" thickBot="1">
      <c r="A46" s="64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5"/>
    </row>
    <row r="47" spans="1:20" ht="15" thickBot="1">
      <c r="A47" s="64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5"/>
    </row>
    <row r="48" spans="1:20" ht="15" thickBot="1">
      <c r="A48" s="64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5"/>
    </row>
    <row r="49" spans="1:20" ht="15" thickBot="1">
      <c r="A49" s="64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5"/>
    </row>
    <row r="50" spans="1:20" ht="15" thickBot="1">
      <c r="A50" s="64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5"/>
    </row>
    <row r="51" spans="1:20" ht="15" thickBot="1">
      <c r="A51" s="64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5"/>
    </row>
    <row r="52" spans="1:20" ht="15" thickBot="1">
      <c r="A52" s="64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5"/>
    </row>
    <row r="53" spans="1:20" ht="15" thickBot="1">
      <c r="A53" s="64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5"/>
    </row>
    <row r="54" spans="1:20" ht="15" thickBot="1">
      <c r="A54" s="64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5"/>
    </row>
    <row r="55" spans="1:20" ht="15" thickBot="1">
      <c r="A55" s="64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5"/>
    </row>
    <row r="56" spans="1:20" ht="15" thickBot="1">
      <c r="A56" s="64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5"/>
    </row>
    <row r="57" spans="1:20" ht="15" thickBot="1">
      <c r="A57" s="64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5"/>
    </row>
    <row r="58" spans="1:20" ht="15" thickBot="1">
      <c r="A58" s="64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5"/>
    </row>
    <row r="59" spans="1:20" ht="15" thickBot="1">
      <c r="A59" s="64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5"/>
    </row>
    <row r="60" spans="1:20" ht="15" thickBot="1">
      <c r="A60" s="64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5"/>
    </row>
    <row r="61" spans="1:20" ht="15" thickBot="1">
      <c r="A61" s="64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5"/>
    </row>
    <row r="62" spans="1:20" ht="15" thickBot="1">
      <c r="A62" s="64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5"/>
    </row>
    <row r="63" spans="1:20" ht="15" thickBot="1">
      <c r="A63" s="64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5"/>
    </row>
    <row r="64" spans="1:20" ht="15" thickBot="1">
      <c r="A64" s="64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5"/>
    </row>
    <row r="65" spans="1:20" ht="15" thickBot="1">
      <c r="A65" s="64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5"/>
    </row>
    <row r="66" spans="1:20" ht="15" thickBot="1">
      <c r="A66" s="64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5"/>
    </row>
    <row r="67" spans="1:20" ht="15" thickBot="1">
      <c r="A67" s="64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5"/>
    </row>
    <row r="68" spans="1:20">
      <c r="A68" s="66"/>
      <c r="T68" s="47"/>
    </row>
    <row r="69" spans="1:20">
      <c r="A69" s="66"/>
      <c r="T69" s="47"/>
    </row>
    <row r="70" spans="1:20">
      <c r="A70" s="66"/>
      <c r="T70" s="47"/>
    </row>
    <row r="71" spans="1:20">
      <c r="A71" s="66"/>
      <c r="T71" s="47"/>
    </row>
  </sheetData>
  <mergeCells count="1">
    <mergeCell ref="C4:D4"/>
  </mergeCells>
  <conditionalFormatting sqref="B14:S67">
    <cfRule type="cellIs" dxfId="1" priority="1" stopIfTrue="1" operator="equal">
      <formula>"X"</formula>
    </cfRule>
    <cfRule type="cellIs" dxfId="0" priority="2" stopIfTrue="1" operator="equal">
      <formula>"ok"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Y151"/>
  <sheetViews>
    <sheetView tabSelected="1" topLeftCell="H10" workbookViewId="0">
      <selection activeCell="K48" sqref="K48"/>
    </sheetView>
  </sheetViews>
  <sheetFormatPr defaultRowHeight="14.25"/>
  <cols>
    <col min="1" max="1" width="16.875" customWidth="1"/>
    <col min="2" max="2" width="25.625" bestFit="1" customWidth="1"/>
    <col min="3" max="3" width="11.125" customWidth="1"/>
    <col min="4" max="4" width="24.25" customWidth="1"/>
    <col min="5" max="5" width="18.625" bestFit="1" customWidth="1"/>
    <col min="6" max="6" width="15.625" customWidth="1"/>
    <col min="7" max="7" width="18.625" bestFit="1" customWidth="1"/>
    <col min="8" max="8" width="8.375" bestFit="1" customWidth="1"/>
    <col min="9" max="9" width="8.375" customWidth="1"/>
    <col min="10" max="10" width="17.875" customWidth="1"/>
    <col min="11" max="11" width="25.625" bestFit="1" customWidth="1"/>
    <col min="12" max="12" width="23" bestFit="1" customWidth="1"/>
    <col min="13" max="14" width="8.375" customWidth="1"/>
    <col min="15" max="15" width="14.875" bestFit="1" customWidth="1"/>
    <col min="16" max="16" width="9.375" bestFit="1" customWidth="1"/>
    <col min="17" max="18" width="8.375" customWidth="1"/>
    <col min="19" max="22" width="11.125" customWidth="1"/>
    <col min="23" max="23" width="14.875" bestFit="1" customWidth="1"/>
    <col min="24" max="25" width="14.875" customWidth="1"/>
    <col min="26" max="26" width="11.125" customWidth="1"/>
    <col min="27" max="27" width="14.875" bestFit="1" customWidth="1"/>
    <col min="28" max="32" width="11.125" customWidth="1"/>
    <col min="33" max="33" width="15.75" bestFit="1" customWidth="1"/>
    <col min="34" max="37" width="11.125" customWidth="1"/>
    <col min="38" max="38" width="14.875" bestFit="1" customWidth="1"/>
    <col min="39" max="40" width="14.875" customWidth="1"/>
    <col min="41" max="41" width="11.375" customWidth="1"/>
    <col min="43" max="43" width="4.75" bestFit="1" customWidth="1"/>
    <col min="44" max="44" width="7" bestFit="1" customWidth="1"/>
    <col min="45" max="45" width="10.375" bestFit="1" customWidth="1"/>
    <col min="46" max="46" width="14.375" bestFit="1" customWidth="1"/>
    <col min="47" max="47" width="2.875" bestFit="1" customWidth="1"/>
    <col min="48" max="48" width="6.375" bestFit="1" customWidth="1"/>
    <col min="49" max="50" width="5.375" bestFit="1" customWidth="1"/>
    <col min="51" max="51" width="8.25" bestFit="1" customWidth="1"/>
    <col min="52" max="52" width="20.375" bestFit="1" customWidth="1"/>
    <col min="53" max="53" width="10.375" bestFit="1" customWidth="1"/>
    <col min="55" max="55" width="8.875" customWidth="1"/>
    <col min="56" max="56" width="14" bestFit="1" customWidth="1"/>
    <col min="57" max="57" width="9.125" bestFit="1" customWidth="1"/>
    <col min="58" max="58" width="7.625" bestFit="1" customWidth="1"/>
    <col min="59" max="59" width="14" bestFit="1" customWidth="1"/>
    <col min="60" max="60" width="5" bestFit="1" customWidth="1"/>
    <col min="61" max="61" width="11.125" bestFit="1" customWidth="1"/>
    <col min="62" max="64" width="11.125" customWidth="1"/>
    <col min="65" max="65" width="15.375" bestFit="1" customWidth="1"/>
    <col min="66" max="68" width="15.375" customWidth="1"/>
    <col min="69" max="69" width="11.125" customWidth="1"/>
    <col min="70" max="70" width="15.875" customWidth="1"/>
    <col min="71" max="72" width="14.875" customWidth="1"/>
    <col min="73" max="75" width="11.125" customWidth="1"/>
    <col min="76" max="76" width="14.875" bestFit="1" customWidth="1"/>
    <col min="77" max="79" width="11.125" customWidth="1"/>
    <col min="80" max="80" width="4.75" bestFit="1" customWidth="1"/>
    <col min="81" max="81" width="13.875" bestFit="1" customWidth="1"/>
    <col min="82" max="82" width="5.75" bestFit="1" customWidth="1"/>
    <col min="83" max="83" width="5.75" customWidth="1"/>
    <col min="84" max="84" width="15.875" bestFit="1" customWidth="1"/>
    <col min="85" max="85" width="8" customWidth="1"/>
    <col min="86" max="90" width="9" customWidth="1"/>
    <col min="91" max="91" width="7.375" bestFit="1" customWidth="1"/>
    <col min="92" max="92" width="10.875" bestFit="1" customWidth="1"/>
    <col min="93" max="93" width="7.625" bestFit="1" customWidth="1"/>
    <col min="94" max="94" width="8.375" bestFit="1" customWidth="1"/>
    <col min="95" max="95" width="6.375" bestFit="1" customWidth="1"/>
    <col min="96" max="96" width="9.125" bestFit="1" customWidth="1"/>
    <col min="97" max="97" width="11.375" bestFit="1" customWidth="1"/>
    <col min="98" max="98" width="11.375" customWidth="1"/>
    <col min="99" max="100" width="9.125" customWidth="1"/>
    <col min="101" max="101" width="12.75" customWidth="1"/>
    <col min="102" max="102" width="12" bestFit="1" customWidth="1"/>
    <col min="103" max="103" width="12" customWidth="1"/>
    <col min="105" max="106" width="10.875" bestFit="1" customWidth="1"/>
    <col min="107" max="107" width="12.125" bestFit="1" customWidth="1"/>
    <col min="108" max="108" width="10.625" bestFit="1" customWidth="1"/>
    <col min="109" max="109" width="13.875" bestFit="1" customWidth="1"/>
    <col min="110" max="110" width="76.375" bestFit="1" customWidth="1"/>
    <col min="111" max="111" width="10.875" bestFit="1" customWidth="1"/>
    <col min="112" max="112" width="11.375" bestFit="1" customWidth="1"/>
    <col min="113" max="114" width="9.125" customWidth="1"/>
    <col min="115" max="115" width="15.875" bestFit="1" customWidth="1"/>
    <col min="116" max="116" width="10.375" bestFit="1" customWidth="1"/>
    <col min="120" max="120" width="13.25" bestFit="1" customWidth="1"/>
    <col min="122" max="122" width="9.375" customWidth="1"/>
    <col min="123" max="123" width="9" style="37"/>
    <col min="124" max="124" width="15.875" style="37" bestFit="1" customWidth="1"/>
    <col min="125" max="125" width="9" style="37"/>
    <col min="126" max="126" width="69.75" style="37" customWidth="1"/>
    <col min="127" max="127" width="17.75" customWidth="1"/>
    <col min="128" max="128" width="16.25" customWidth="1"/>
    <col min="129" max="129" width="13.125" customWidth="1"/>
    <col min="130" max="130" width="37.375" customWidth="1"/>
    <col min="131" max="131" width="13.125" customWidth="1"/>
    <col min="132" max="132" width="15.875" bestFit="1" customWidth="1"/>
    <col min="133" max="133" width="6" bestFit="1" customWidth="1"/>
    <col min="134" max="134" width="18.625" bestFit="1" customWidth="1"/>
    <col min="135" max="135" width="8.25" bestFit="1" customWidth="1"/>
    <col min="137" max="137" width="20.125" customWidth="1"/>
    <col min="139" max="139" width="7.625" bestFit="1" customWidth="1"/>
    <col min="140" max="140" width="14.625" bestFit="1" customWidth="1"/>
    <col min="141" max="141" width="9.25" bestFit="1" customWidth="1"/>
    <col min="142" max="142" width="10.75" bestFit="1" customWidth="1"/>
    <col min="144" max="144" width="9.25" bestFit="1" customWidth="1"/>
    <col min="145" max="145" width="10.25" bestFit="1" customWidth="1"/>
    <col min="146" max="146" width="8.875" bestFit="1" customWidth="1"/>
    <col min="147" max="148" width="10.375" bestFit="1" customWidth="1"/>
    <col min="149" max="149" width="9.875" bestFit="1" customWidth="1"/>
    <col min="150" max="150" width="10.375" bestFit="1" customWidth="1"/>
    <col min="151" max="151" width="11.25" bestFit="1" customWidth="1"/>
    <col min="152" max="152" width="8.75" bestFit="1" customWidth="1"/>
    <col min="153" max="153" width="10.25" bestFit="1" customWidth="1"/>
    <col min="154" max="154" width="11.125" bestFit="1" customWidth="1"/>
    <col min="155" max="160" width="3.875" bestFit="1" customWidth="1"/>
    <col min="161" max="161" width="3.875" customWidth="1"/>
    <col min="170" max="170" width="15" customWidth="1"/>
    <col min="200" max="200" width="10.875" bestFit="1" customWidth="1"/>
    <col min="202" max="202" width="7" bestFit="1" customWidth="1"/>
    <col min="203" max="203" width="13.125" bestFit="1" customWidth="1"/>
    <col min="204" max="204" width="13.125" customWidth="1"/>
  </cols>
  <sheetData>
    <row r="1" spans="1:207">
      <c r="A1" s="44" t="s">
        <v>0</v>
      </c>
      <c r="B1" s="6" t="s">
        <v>1073</v>
      </c>
      <c r="C1" s="67"/>
      <c r="D1" s="74" t="s">
        <v>808</v>
      </c>
      <c r="E1" s="76"/>
      <c r="F1" s="76"/>
      <c r="G1" s="76"/>
      <c r="H1" s="77"/>
      <c r="I1" s="67"/>
      <c r="J1" s="74" t="s">
        <v>822</v>
      </c>
      <c r="K1" s="76"/>
      <c r="L1" s="76"/>
      <c r="M1" s="77"/>
      <c r="N1" s="67"/>
      <c r="O1" s="74" t="s">
        <v>832</v>
      </c>
      <c r="P1" s="76"/>
      <c r="Q1" s="76"/>
      <c r="R1" s="76"/>
      <c r="S1" s="76"/>
      <c r="T1" s="76"/>
      <c r="U1" s="77"/>
      <c r="V1" s="67"/>
      <c r="W1" s="74" t="s">
        <v>850</v>
      </c>
      <c r="X1" s="75"/>
      <c r="Y1" s="86"/>
      <c r="Z1" s="67"/>
      <c r="AA1" s="74" t="s">
        <v>854</v>
      </c>
      <c r="AB1" s="76"/>
      <c r="AC1" s="76"/>
      <c r="AD1" s="76"/>
      <c r="AE1" s="77"/>
      <c r="AF1" s="67"/>
      <c r="AG1" s="74" t="s">
        <v>858</v>
      </c>
      <c r="AH1" s="76"/>
      <c r="AI1" s="76"/>
      <c r="AJ1" s="77"/>
      <c r="AK1" s="67"/>
      <c r="AL1" s="74" t="s">
        <v>860</v>
      </c>
      <c r="AM1" s="75"/>
      <c r="AN1" s="75"/>
      <c r="AO1" s="77"/>
      <c r="AQ1" s="18" t="s">
        <v>135</v>
      </c>
      <c r="AR1" s="16"/>
      <c r="AS1" s="5" t="s">
        <v>32</v>
      </c>
      <c r="AT1" s="5" t="s">
        <v>33</v>
      </c>
      <c r="AU1" s="5"/>
      <c r="AV1" s="5" t="s">
        <v>34</v>
      </c>
      <c r="AW1" s="5" t="s">
        <v>35</v>
      </c>
      <c r="AX1" s="5" t="s">
        <v>36</v>
      </c>
      <c r="AY1" s="5" t="s">
        <v>37</v>
      </c>
      <c r="AZ1" s="5" t="s">
        <v>38</v>
      </c>
      <c r="BA1" s="5" t="s">
        <v>39</v>
      </c>
      <c r="BB1" s="5"/>
      <c r="BC1" s="5" t="s">
        <v>1070</v>
      </c>
      <c r="BD1" s="5"/>
      <c r="BE1" s="5" t="s">
        <v>41</v>
      </c>
      <c r="BF1" s="5" t="s">
        <v>42</v>
      </c>
      <c r="BG1" s="5" t="s">
        <v>40</v>
      </c>
      <c r="BH1" s="5" t="s">
        <v>43</v>
      </c>
      <c r="BI1" s="2" t="s">
        <v>44</v>
      </c>
      <c r="BJ1" s="162"/>
      <c r="BK1" s="137" t="s">
        <v>988</v>
      </c>
      <c r="BL1" s="137" t="s">
        <v>989</v>
      </c>
      <c r="BM1" s="137" t="s">
        <v>990</v>
      </c>
      <c r="BN1" s="137" t="s">
        <v>1032</v>
      </c>
      <c r="BO1" s="137" t="s">
        <v>991</v>
      </c>
      <c r="BP1" s="137" t="s">
        <v>992</v>
      </c>
      <c r="BQ1" s="37"/>
      <c r="BR1" s="74" t="s">
        <v>862</v>
      </c>
      <c r="BS1" s="75"/>
      <c r="BT1" s="75"/>
      <c r="BU1" s="36"/>
      <c r="BV1" s="23"/>
      <c r="BW1" s="37"/>
      <c r="BX1" s="74" t="s">
        <v>866</v>
      </c>
      <c r="BY1" s="36"/>
      <c r="BZ1" s="36"/>
      <c r="CA1" s="36"/>
      <c r="CB1" s="68" t="s">
        <v>62</v>
      </c>
      <c r="CC1" s="5" t="s">
        <v>58</v>
      </c>
      <c r="CD1" s="6" t="s">
        <v>59</v>
      </c>
      <c r="CE1" s="37"/>
      <c r="CF1" s="74" t="s">
        <v>868</v>
      </c>
      <c r="CG1" s="36"/>
      <c r="CH1" s="36"/>
      <c r="CI1" s="36"/>
      <c r="CJ1" s="36"/>
      <c r="CK1" s="23"/>
      <c r="CM1" s="74" t="s">
        <v>875</v>
      </c>
      <c r="CN1" s="75"/>
      <c r="CO1" s="36"/>
      <c r="CP1" s="36"/>
      <c r="CQ1" s="36"/>
      <c r="CR1" s="36"/>
      <c r="CS1" s="36"/>
      <c r="CT1" s="36"/>
      <c r="CU1" s="36"/>
      <c r="CV1" s="36"/>
      <c r="CW1" s="44" t="s">
        <v>684</v>
      </c>
      <c r="CX1" s="6"/>
      <c r="CY1" s="36" t="s">
        <v>1037</v>
      </c>
      <c r="CZ1" s="36"/>
      <c r="DA1" s="5" t="s">
        <v>688</v>
      </c>
      <c r="DB1" s="5" t="s">
        <v>687</v>
      </c>
      <c r="DC1" s="5" t="s">
        <v>683</v>
      </c>
      <c r="DD1" s="5" t="s">
        <v>666</v>
      </c>
      <c r="DE1" s="5"/>
      <c r="DF1" s="5"/>
      <c r="DG1" s="5"/>
      <c r="DH1" s="6"/>
      <c r="DJ1" s="37"/>
      <c r="DK1" s="74" t="s">
        <v>878</v>
      </c>
      <c r="DL1" s="36"/>
      <c r="DM1" s="36"/>
      <c r="DN1" s="36"/>
      <c r="DO1" s="36"/>
      <c r="DP1" s="36"/>
      <c r="DQ1" s="36"/>
      <c r="DR1" s="23"/>
      <c r="DT1" s="74" t="s">
        <v>884</v>
      </c>
      <c r="DU1" s="36"/>
      <c r="DV1" s="23"/>
      <c r="DX1" s="74" t="s">
        <v>887</v>
      </c>
      <c r="DY1" s="36"/>
      <c r="DZ1" s="23"/>
      <c r="EA1" s="37"/>
      <c r="EB1" s="74" t="s">
        <v>889</v>
      </c>
      <c r="EC1" s="36"/>
      <c r="ED1" s="36"/>
      <c r="EE1" s="36"/>
      <c r="EF1" s="36"/>
      <c r="EG1" s="23"/>
      <c r="EI1" s="15" t="s">
        <v>65</v>
      </c>
      <c r="EJ1" s="5" t="s">
        <v>58</v>
      </c>
      <c r="EK1" s="5" t="s">
        <v>122</v>
      </c>
      <c r="EL1" s="5" t="s">
        <v>123</v>
      </c>
      <c r="EM1" s="5" t="s">
        <v>124</v>
      </c>
      <c r="EN1" s="5" t="s">
        <v>125</v>
      </c>
      <c r="EO1" s="5" t="s">
        <v>126</v>
      </c>
      <c r="EP1" s="5" t="s">
        <v>127</v>
      </c>
      <c r="EQ1" s="5" t="s">
        <v>128</v>
      </c>
      <c r="ER1" s="5" t="s">
        <v>129</v>
      </c>
      <c r="ES1" s="5" t="s">
        <v>130</v>
      </c>
      <c r="ET1" s="5" t="s">
        <v>131</v>
      </c>
      <c r="EU1" s="5" t="s">
        <v>132</v>
      </c>
      <c r="EV1" s="40" t="s">
        <v>653</v>
      </c>
      <c r="EW1" s="43" t="s">
        <v>654</v>
      </c>
      <c r="EX1" s="6" t="s">
        <v>133</v>
      </c>
      <c r="EY1" s="75">
        <v>341</v>
      </c>
      <c r="EZ1" s="75">
        <v>342</v>
      </c>
      <c r="FA1" s="75">
        <v>343</v>
      </c>
      <c r="FB1" s="75">
        <v>344</v>
      </c>
      <c r="FC1" s="75">
        <v>371</v>
      </c>
      <c r="FD1" s="75">
        <v>372</v>
      </c>
      <c r="FE1" s="75"/>
      <c r="FF1" s="36"/>
      <c r="FG1" s="22"/>
      <c r="FH1" s="36"/>
      <c r="FI1" s="5" t="s">
        <v>663</v>
      </c>
      <c r="FJ1" s="5" t="s">
        <v>661</v>
      </c>
      <c r="FK1" s="5" t="s">
        <v>657</v>
      </c>
      <c r="FL1" s="5" t="s">
        <v>660</v>
      </c>
      <c r="FM1" s="5"/>
      <c r="FN1" s="5" t="s">
        <v>655</v>
      </c>
      <c r="FO1" s="5" t="s">
        <v>656</v>
      </c>
      <c r="FP1" s="36"/>
      <c r="FQ1" s="36" t="s">
        <v>690</v>
      </c>
      <c r="FR1" s="36" t="s">
        <v>695</v>
      </c>
      <c r="FS1" s="75" t="s">
        <v>696</v>
      </c>
      <c r="FT1" s="36" t="s">
        <v>697</v>
      </c>
      <c r="FU1" s="36" t="s">
        <v>698</v>
      </c>
      <c r="FV1" s="75" t="s">
        <v>699</v>
      </c>
      <c r="FW1" s="36" t="s">
        <v>700</v>
      </c>
      <c r="FX1" s="36" t="s">
        <v>701</v>
      </c>
      <c r="FY1" s="36" t="s">
        <v>702</v>
      </c>
      <c r="FZ1" s="36" t="s">
        <v>703</v>
      </c>
      <c r="GA1" s="36" t="s">
        <v>704</v>
      </c>
      <c r="GB1" s="36" t="s">
        <v>705</v>
      </c>
      <c r="GC1" s="36" t="s">
        <v>706</v>
      </c>
      <c r="GD1" s="36" t="s">
        <v>707</v>
      </c>
      <c r="GE1" s="75" t="s">
        <v>708</v>
      </c>
      <c r="GF1" s="36" t="s">
        <v>709</v>
      </c>
      <c r="GG1" s="75" t="s">
        <v>710</v>
      </c>
      <c r="GH1" s="75" t="s">
        <v>711</v>
      </c>
      <c r="GI1" s="75" t="s">
        <v>712</v>
      </c>
      <c r="GJ1" s="75" t="s">
        <v>713</v>
      </c>
      <c r="GK1" s="36" t="s">
        <v>714</v>
      </c>
      <c r="GL1" s="75" t="s">
        <v>715</v>
      </c>
      <c r="GM1" s="36" t="s">
        <v>716</v>
      </c>
      <c r="GN1" s="36" t="s">
        <v>717</v>
      </c>
      <c r="GO1" s="36" t="s">
        <v>718</v>
      </c>
      <c r="GP1" s="36" t="s">
        <v>719</v>
      </c>
      <c r="GQ1" s="36" t="s">
        <v>720</v>
      </c>
      <c r="GR1" s="86" t="s">
        <v>721</v>
      </c>
      <c r="GT1" s="4" t="s">
        <v>67</v>
      </c>
      <c r="GU1" s="2" t="str">
        <f>IF(SUM(lineTypeError)&gt;0,"x","ok")</f>
        <v>x</v>
      </c>
      <c r="GX1" s="1" t="s">
        <v>69</v>
      </c>
      <c r="GY1" t="s">
        <v>71</v>
      </c>
    </row>
    <row r="2" spans="1:207" ht="15" thickBot="1">
      <c r="A2" s="9" t="s">
        <v>134</v>
      </c>
      <c r="B2" s="11"/>
      <c r="C2" s="67"/>
      <c r="D2" s="97" t="s">
        <v>809</v>
      </c>
      <c r="E2" s="98"/>
      <c r="F2" s="98"/>
      <c r="G2" s="98"/>
      <c r="H2" s="99"/>
      <c r="I2" s="67"/>
      <c r="J2" s="97" t="s">
        <v>823</v>
      </c>
      <c r="K2" s="98"/>
      <c r="L2" s="98"/>
      <c r="M2" s="99"/>
      <c r="N2" s="67"/>
      <c r="O2" s="105" t="s">
        <v>833</v>
      </c>
      <c r="P2" s="98"/>
      <c r="Q2" s="98"/>
      <c r="R2" s="98"/>
      <c r="S2" s="98"/>
      <c r="T2" s="98"/>
      <c r="U2" s="99"/>
      <c r="V2" s="67"/>
      <c r="W2" s="97" t="s">
        <v>853</v>
      </c>
      <c r="X2" s="107"/>
      <c r="Y2" s="108"/>
      <c r="Z2" s="67"/>
      <c r="AA2" s="105" t="s">
        <v>855</v>
      </c>
      <c r="AB2" s="98"/>
      <c r="AC2" s="98"/>
      <c r="AD2" s="98"/>
      <c r="AE2" s="99"/>
      <c r="AF2" s="67"/>
      <c r="AG2" s="97" t="s">
        <v>859</v>
      </c>
      <c r="AH2" s="98"/>
      <c r="AI2" s="98"/>
      <c r="AJ2" s="99"/>
      <c r="AK2" s="67"/>
      <c r="AL2" s="97" t="s">
        <v>861</v>
      </c>
      <c r="AM2" s="107"/>
      <c r="AN2" s="107"/>
      <c r="AO2" s="99"/>
      <c r="AQ2" s="19" t="s">
        <v>136</v>
      </c>
      <c r="AR2" s="17" t="s">
        <v>31</v>
      </c>
      <c r="AS2" s="2" t="s">
        <v>80</v>
      </c>
      <c r="AT2" s="2" t="s">
        <v>81</v>
      </c>
      <c r="AU2" s="2">
        <v>12</v>
      </c>
      <c r="AV2" s="2"/>
      <c r="AW2" s="2"/>
      <c r="AX2" s="2" t="s">
        <v>84</v>
      </c>
      <c r="AY2" s="2" t="s">
        <v>84</v>
      </c>
      <c r="AZ2" s="2"/>
      <c r="BA2" s="2"/>
      <c r="BB2" s="2"/>
      <c r="BC2" s="2" t="s">
        <v>84</v>
      </c>
      <c r="BD2" s="2"/>
      <c r="BE2" s="2" t="s">
        <v>82</v>
      </c>
      <c r="BF2" s="2"/>
      <c r="BG2" s="2" t="str">
        <f>IF(BC2="","",IF(BC2="Yes","No","Yes"))</f>
        <v>No</v>
      </c>
      <c r="BH2" s="2"/>
      <c r="BI2" s="2"/>
      <c r="BJ2" s="37"/>
      <c r="BK2" s="37" t="str">
        <f t="shared" ref="BK2:BK40" si="0">IF(AT2="","",IF(ISERROR(VLOOKUP(AT2,oddXrefs,1,FALSE)),"No",(IF(AT2=VLOOKUP(AT2,oddXrefs,1,FALSE),"Yes","No"))))</f>
        <v>Yes</v>
      </c>
      <c r="BL2" s="37" t="str">
        <f>IF(AS2="","",IF(LEN(AS2)=8,"Yes","No"))</f>
        <v>No</v>
      </c>
      <c r="BM2" s="37" t="str">
        <f>IF(AS2="","",IF(OR(LEFT(AS2,1)="G",LEFT(AS2,1)="R"),"Yes","No"))</f>
        <v>Yes</v>
      </c>
      <c r="BN2" s="37" t="str">
        <f t="shared" ref="BN2:BN40" si="1">IF(AS2="","",IF(ISERROR(VLOOKUP(MID(AS2,2,1),NCBuilding,1,FALSE)),"No",IF(VLOOKUP(MID(AS2,2,1),NCBuilding,1,FALSE)=MID(AS2,2,1),"Yes","No")))</f>
        <v>Yes</v>
      </c>
      <c r="BO2" s="37" t="str">
        <f>IF(AS2="","",IF(BK2="Yes","Yes",IF(AND(BL2="Yes",BM2="Yes",BN2="Yes"),"Yes","No")))</f>
        <v>Yes</v>
      </c>
      <c r="BP2" s="37">
        <f>IF(BO2="No",1,0)</f>
        <v>0</v>
      </c>
      <c r="BQ2" s="37" t="str">
        <f>VLOOKUP(MID(AS2,2,1),NCBuilding,1,FALSE)</f>
        <v>K</v>
      </c>
      <c r="BR2" s="97" t="s">
        <v>863</v>
      </c>
      <c r="BS2" s="107"/>
      <c r="BT2" s="107"/>
      <c r="BU2" s="98"/>
      <c r="BV2" s="99"/>
      <c r="BW2" s="37"/>
      <c r="BX2" s="105" t="s">
        <v>867</v>
      </c>
      <c r="BY2" s="98"/>
      <c r="BZ2" s="98"/>
      <c r="CA2" s="98"/>
      <c r="CB2" s="17"/>
      <c r="CC2" s="2">
        <v>0</v>
      </c>
      <c r="CD2" s="8"/>
      <c r="CE2" s="37"/>
      <c r="CF2" s="105" t="s">
        <v>869</v>
      </c>
      <c r="CG2" s="98"/>
      <c r="CH2" s="98"/>
      <c r="CI2" s="98"/>
      <c r="CJ2" s="98"/>
      <c r="CK2" s="99"/>
      <c r="CM2" s="97" t="s">
        <v>876</v>
      </c>
      <c r="CN2" s="98"/>
      <c r="CO2" s="98"/>
      <c r="CP2" s="98"/>
      <c r="CQ2" s="37"/>
      <c r="CR2" s="37"/>
      <c r="CS2" s="37"/>
      <c r="CT2" s="37"/>
      <c r="CU2" s="37"/>
      <c r="CV2" s="37"/>
      <c r="CW2" s="7" t="s">
        <v>97</v>
      </c>
      <c r="CX2" s="8">
        <v>2.38</v>
      </c>
      <c r="CY2" s="37" t="s">
        <v>1039</v>
      </c>
      <c r="CZ2" s="37"/>
      <c r="DA2" s="2">
        <f t="shared" ref="DA2:DA33" si="2">IF(ISERROR(DB2-FIXED(DB2,0)),"",DB2-FIXED(DB2,0))</f>
        <v>0</v>
      </c>
      <c r="DB2" s="2">
        <v>1</v>
      </c>
      <c r="DC2" s="2">
        <f t="shared" ref="DC2:DC33" si="3">IF(ISERROR(VLOOKUP(DG2,$CW$2:$CX$5,2)),"",VLOOKUP(DG2,$CW$2:$CX$5,2))</f>
        <v>6.35</v>
      </c>
      <c r="DD2" s="2">
        <v>2.38</v>
      </c>
      <c r="DE2" s="2">
        <v>0</v>
      </c>
      <c r="DF2" s="2" t="s">
        <v>667</v>
      </c>
      <c r="DG2" s="2" t="s">
        <v>98</v>
      </c>
      <c r="DH2" s="8" t="s">
        <v>668</v>
      </c>
      <c r="DJ2" s="37"/>
      <c r="DK2" s="105" t="s">
        <v>879</v>
      </c>
      <c r="DL2" s="98"/>
      <c r="DM2" s="98"/>
      <c r="DN2" s="98"/>
      <c r="DO2" s="98"/>
      <c r="DP2" s="98"/>
      <c r="DQ2" s="98"/>
      <c r="DR2" s="99"/>
      <c r="DT2" s="105" t="s">
        <v>885</v>
      </c>
      <c r="DU2" s="98"/>
      <c r="DV2" s="99"/>
      <c r="DX2" s="105" t="s">
        <v>888</v>
      </c>
      <c r="DY2" s="98"/>
      <c r="DZ2" s="99"/>
      <c r="EA2" s="37"/>
      <c r="EB2" s="105" t="s">
        <v>890</v>
      </c>
      <c r="EC2" s="98"/>
      <c r="ED2" s="98"/>
      <c r="EE2" s="98"/>
      <c r="EF2" s="98"/>
      <c r="EG2" s="99"/>
      <c r="EI2" s="7" t="s">
        <v>66</v>
      </c>
      <c r="EJ2" s="2" t="s">
        <v>97</v>
      </c>
      <c r="EK2" s="2">
        <v>0</v>
      </c>
      <c r="EL2" s="2">
        <v>1</v>
      </c>
      <c r="EM2" s="2"/>
      <c r="EN2" s="2"/>
      <c r="EO2" s="2"/>
      <c r="EP2" s="2"/>
      <c r="EQ2" s="2"/>
      <c r="ER2" s="2"/>
      <c r="ES2" s="2"/>
      <c r="ET2" s="2"/>
      <c r="EU2" s="2"/>
      <c r="EV2" s="2"/>
      <c r="EW2" s="13"/>
      <c r="EX2" s="8"/>
      <c r="EY2" s="37"/>
      <c r="EZ2" s="37"/>
      <c r="FA2" s="37"/>
      <c r="FB2" s="37"/>
      <c r="FC2" s="37"/>
      <c r="FD2" s="37"/>
      <c r="FE2" s="37"/>
      <c r="FF2" s="37"/>
      <c r="FG2" s="24" t="s">
        <v>662</v>
      </c>
      <c r="FH2" s="37" t="str">
        <f>IF(SUM(FI2:FI14)&gt;0,"No","Yes")</f>
        <v>No</v>
      </c>
      <c r="FI2" s="2" t="str">
        <f t="shared" ref="FI2:FI14" si="4">IF(FJ2="No",1,"")</f>
        <v/>
      </c>
      <c r="FJ2" s="2" t="str">
        <f>IF(LEN(FN2)&gt;2,IF(OR(AND(FO2=1,FN2="STANDARD"),AND(FO2=0,FN2="STANDARD"),FO2=FK2,FO2=FL2),"Yes","No"),"")</f>
        <v>Yes</v>
      </c>
      <c r="FK2" s="2" t="str">
        <f t="shared" ref="FK2:FK14" si="5">IF(ISERROR(VALUE(REPLACE(FN2,1,8,""))),"",VALUE(REPLACE(FN2,1,8,"")))</f>
        <v/>
      </c>
      <c r="FL2" s="2" t="str">
        <f t="shared" ref="FL2:FL14" si="6">IF(ISERROR(VALUE(REPLACE(FN2,1,9,""))),"",VALUE(REPLACE(FN2,1,9,"")))</f>
        <v/>
      </c>
      <c r="FM2" s="2">
        <v>1</v>
      </c>
      <c r="FN2" s="2" t="str">
        <f t="shared" ref="FN2:FN14" si="7">UPPER(INDEX(DimStyleNames,FM2))</f>
        <v>STANDARD</v>
      </c>
      <c r="FO2" s="2">
        <f t="shared" ref="FO2:FO14" si="8">INDEX(DimStyleScales,FM2)</f>
        <v>1</v>
      </c>
      <c r="FP2" s="37"/>
      <c r="FQ2" s="37"/>
      <c r="FR2" s="37" t="s">
        <v>691</v>
      </c>
      <c r="FS2" s="37">
        <v>256</v>
      </c>
      <c r="FT2" s="37">
        <v>0</v>
      </c>
      <c r="FU2" s="37" t="s">
        <v>692</v>
      </c>
      <c r="FV2" s="37">
        <v>256</v>
      </c>
      <c r="FW2" s="37">
        <v>1</v>
      </c>
      <c r="FX2" s="37">
        <v>1</v>
      </c>
      <c r="FY2" s="37">
        <v>3</v>
      </c>
      <c r="FZ2" s="37">
        <v>0</v>
      </c>
      <c r="GA2" s="37">
        <v>0</v>
      </c>
      <c r="GB2" s="37">
        <v>1</v>
      </c>
      <c r="GC2" s="37">
        <v>96.28115991107876</v>
      </c>
      <c r="GD2" s="37" t="s">
        <v>693</v>
      </c>
      <c r="GE2" s="37">
        <v>0</v>
      </c>
      <c r="GF2" s="37">
        <v>0</v>
      </c>
      <c r="GG2" s="37">
        <v>0</v>
      </c>
      <c r="GH2" s="37">
        <v>1</v>
      </c>
      <c r="GI2" s="37" t="s">
        <v>97</v>
      </c>
      <c r="GJ2" s="37">
        <v>0</v>
      </c>
      <c r="GK2" s="37" t="b">
        <v>0</v>
      </c>
      <c r="GL2" s="37">
        <v>2.38</v>
      </c>
      <c r="GM2" s="37"/>
      <c r="GN2" s="37"/>
      <c r="GO2" s="37">
        <v>0</v>
      </c>
      <c r="GP2" s="37" t="s">
        <v>97</v>
      </c>
      <c r="GQ2" s="37"/>
      <c r="GR2" s="25">
        <v>2</v>
      </c>
    </row>
    <row r="3" spans="1:207">
      <c r="A3" s="37" t="s">
        <v>1056</v>
      </c>
      <c r="B3" s="37"/>
      <c r="D3" s="24"/>
      <c r="E3" s="37"/>
      <c r="F3" s="37"/>
      <c r="G3" s="37"/>
      <c r="H3" s="25"/>
      <c r="I3" s="37"/>
      <c r="J3" s="24"/>
      <c r="K3" s="37"/>
      <c r="L3" s="37"/>
      <c r="M3" s="25"/>
      <c r="N3" s="37"/>
      <c r="O3" s="105" t="s">
        <v>834</v>
      </c>
      <c r="P3" s="98"/>
      <c r="Q3" s="98"/>
      <c r="R3" s="98"/>
      <c r="S3" s="98"/>
      <c r="T3" s="98"/>
      <c r="U3" s="99"/>
      <c r="V3" s="37"/>
      <c r="W3" s="24"/>
      <c r="X3" s="37"/>
      <c r="Y3" s="25"/>
      <c r="Z3" s="37"/>
      <c r="AA3" s="105" t="s">
        <v>856</v>
      </c>
      <c r="AB3" s="98"/>
      <c r="AC3" s="98"/>
      <c r="AD3" s="98"/>
      <c r="AE3" s="99"/>
      <c r="AF3" s="37"/>
      <c r="AG3" s="24"/>
      <c r="AH3" s="37"/>
      <c r="AI3" s="37"/>
      <c r="AJ3" s="25"/>
      <c r="AK3" s="37"/>
      <c r="AL3" s="24"/>
      <c r="AM3" s="37"/>
      <c r="AN3" s="37"/>
      <c r="AO3" s="25"/>
      <c r="AQ3" s="19" t="s">
        <v>137</v>
      </c>
      <c r="AR3" s="17"/>
      <c r="AS3" s="2" t="s">
        <v>105</v>
      </c>
      <c r="AT3" s="2" t="s">
        <v>106</v>
      </c>
      <c r="AU3" s="2">
        <v>12</v>
      </c>
      <c r="AV3" s="2"/>
      <c r="AW3" s="2"/>
      <c r="AX3" s="2" t="s">
        <v>84</v>
      </c>
      <c r="AY3" s="2" t="s">
        <v>84</v>
      </c>
      <c r="AZ3" s="2"/>
      <c r="BA3" s="2"/>
      <c r="BB3" s="2"/>
      <c r="BC3" s="2" t="s">
        <v>84</v>
      </c>
      <c r="BD3" s="2"/>
      <c r="BE3" s="2" t="s">
        <v>82</v>
      </c>
      <c r="BF3" s="2"/>
      <c r="BG3" s="2" t="str">
        <f t="shared" ref="BG3:BG40" si="9">IF(BC3="","",IF(BC3="Yes","No","Yes"))</f>
        <v>No</v>
      </c>
      <c r="BH3" s="2"/>
      <c r="BI3" s="2"/>
      <c r="BJ3" s="37"/>
      <c r="BK3" s="37" t="str">
        <f t="shared" si="0"/>
        <v>No</v>
      </c>
      <c r="BL3" s="37" t="str">
        <f t="shared" ref="BL3:BL40" si="10">IF(AS3="","",IF(LEN(AS3)=8,"Yes","No"))</f>
        <v>Yes</v>
      </c>
      <c r="BM3" s="37" t="str">
        <f t="shared" ref="BM3:BM40" si="11">IF(AS3="","",IF(OR(LEFT(AS3,1)="G",LEFT(AS3,1)="R"),"Yes","No"))</f>
        <v>Yes</v>
      </c>
      <c r="BN3" s="37" t="str">
        <f t="shared" si="1"/>
        <v>Yes</v>
      </c>
      <c r="BO3" s="37" t="str">
        <f t="shared" ref="BO3:BO40" si="12">IF(AS3="","",IF(BK3="Yes","Yes",IF(AND(BL3="Yes",BM3="Yes",BN3="Yes"),"Yes","No")))</f>
        <v>Yes</v>
      </c>
      <c r="BP3" s="37">
        <f t="shared" ref="BP3:BP40" si="13">IF(BO3="No",1,0)</f>
        <v>0</v>
      </c>
      <c r="BQ3" s="37"/>
      <c r="BR3" s="24"/>
      <c r="BS3" s="37"/>
      <c r="BT3" s="37"/>
      <c r="BU3" s="37"/>
      <c r="BV3" s="25"/>
      <c r="BW3" s="37"/>
      <c r="BX3" s="24"/>
      <c r="BY3" s="37"/>
      <c r="BZ3" s="37"/>
      <c r="CA3" s="37"/>
      <c r="CB3" s="17"/>
      <c r="CC3" s="2" t="s">
        <v>94</v>
      </c>
      <c r="CD3" s="8"/>
      <c r="CE3" s="37"/>
      <c r="CF3" s="105" t="s">
        <v>871</v>
      </c>
      <c r="CG3" s="109" t="s">
        <v>872</v>
      </c>
      <c r="CH3" s="98"/>
      <c r="CI3" s="98"/>
      <c r="CJ3" s="98"/>
      <c r="CK3" s="99"/>
      <c r="CM3" s="24"/>
      <c r="CN3" s="37"/>
      <c r="CO3" s="37"/>
      <c r="CP3" s="37"/>
      <c r="CQ3" s="37"/>
      <c r="CR3" s="37"/>
      <c r="CS3" s="37"/>
      <c r="CT3" s="37"/>
      <c r="CU3" s="37"/>
      <c r="CV3" s="37"/>
      <c r="CW3" s="7" t="s">
        <v>685</v>
      </c>
      <c r="CX3" s="8">
        <v>2.38</v>
      </c>
      <c r="CY3" s="2" t="s">
        <v>1041</v>
      </c>
      <c r="CZ3" s="37"/>
      <c r="DA3" s="2">
        <f t="shared" si="2"/>
        <v>0</v>
      </c>
      <c r="DB3" s="2">
        <f t="shared" ref="DB3:DB33" si="14">IF(ISERROR(DD3/DC3),"",DD3/DC3)</f>
        <v>1</v>
      </c>
      <c r="DC3" s="2">
        <f t="shared" si="3"/>
        <v>2.38</v>
      </c>
      <c r="DD3" s="2">
        <v>2.38</v>
      </c>
      <c r="DE3" s="2" t="s">
        <v>96</v>
      </c>
      <c r="DF3" s="2" t="s">
        <v>669</v>
      </c>
      <c r="DG3" s="2" t="s">
        <v>97</v>
      </c>
      <c r="DH3" s="8" t="s">
        <v>670</v>
      </c>
      <c r="DJ3" s="37"/>
      <c r="DK3" s="111" t="s">
        <v>880</v>
      </c>
      <c r="DL3" s="98"/>
      <c r="DM3" s="98"/>
      <c r="DN3" s="98"/>
      <c r="DO3" s="98"/>
      <c r="DP3" s="98"/>
      <c r="DQ3" s="98"/>
      <c r="DR3" s="99"/>
      <c r="DT3" s="105" t="s">
        <v>886</v>
      </c>
      <c r="DU3" s="98"/>
      <c r="DV3" s="99"/>
      <c r="DX3" s="24"/>
      <c r="DY3" s="37"/>
      <c r="DZ3" s="25"/>
      <c r="EA3" s="37"/>
      <c r="EB3" s="110"/>
      <c r="EC3" s="98"/>
      <c r="ED3" s="112" t="s">
        <v>891</v>
      </c>
      <c r="EE3" s="98"/>
      <c r="EF3" s="98"/>
      <c r="EG3" s="99"/>
      <c r="EI3" s="7"/>
      <c r="EJ3" s="2" t="s">
        <v>658</v>
      </c>
      <c r="EK3" s="2"/>
      <c r="EL3" s="2">
        <v>100</v>
      </c>
      <c r="EM3" s="2"/>
      <c r="EN3" s="2"/>
      <c r="EO3" s="2"/>
      <c r="EP3" s="2"/>
      <c r="EQ3" s="2"/>
      <c r="ER3" s="2"/>
      <c r="ES3" s="2"/>
      <c r="ET3" s="2"/>
      <c r="EU3" s="2"/>
      <c r="EV3" s="2"/>
      <c r="EW3" s="13"/>
      <c r="EX3" s="8"/>
      <c r="EY3" s="37"/>
      <c r="EZ3" s="37"/>
      <c r="FA3" s="37"/>
      <c r="FB3" s="37"/>
      <c r="FC3" s="37"/>
      <c r="FD3" s="37"/>
      <c r="FE3" s="37"/>
      <c r="FF3" s="37"/>
      <c r="FG3" s="7" t="s">
        <v>65</v>
      </c>
      <c r="FH3" s="4" t="str">
        <f>IF(dimScaleOk="No","x","ok")</f>
        <v>x</v>
      </c>
      <c r="FI3" s="2" t="str">
        <f t="shared" si="4"/>
        <v/>
      </c>
      <c r="FJ3" s="2" t="str">
        <f t="shared" ref="FJ3:FJ16" si="15">IF(LEN(FN3)&gt;2,IF(OR(AND(FO3=1,FN3="STANDARD"),AND(FO3=0,FN3="STANDARD"),FO3=FK3,FO3=FL3),"Yes","No"),"")</f>
        <v>Yes</v>
      </c>
      <c r="FK3" s="2">
        <f t="shared" si="5"/>
        <v>100</v>
      </c>
      <c r="FL3" s="2">
        <f t="shared" si="6"/>
        <v>0</v>
      </c>
      <c r="FM3" s="2">
        <v>2</v>
      </c>
      <c r="FN3" s="2" t="str">
        <f t="shared" si="7"/>
        <v>STANDARD100</v>
      </c>
      <c r="FO3" s="2">
        <f t="shared" si="8"/>
        <v>100</v>
      </c>
      <c r="FP3" s="37"/>
      <c r="FQ3" s="37"/>
      <c r="FR3" s="37" t="s">
        <v>691</v>
      </c>
      <c r="FS3" s="37">
        <v>256</v>
      </c>
      <c r="FT3" s="37">
        <v>0</v>
      </c>
      <c r="FU3" s="37" t="s">
        <v>692</v>
      </c>
      <c r="FV3" s="37">
        <v>256</v>
      </c>
      <c r="FW3" s="37">
        <v>1</v>
      </c>
      <c r="FX3" s="37">
        <v>1</v>
      </c>
      <c r="FY3" s="37">
        <v>3</v>
      </c>
      <c r="FZ3" s="37">
        <v>0</v>
      </c>
      <c r="GA3" s="37">
        <v>0</v>
      </c>
      <c r="GB3" s="37">
        <v>1</v>
      </c>
      <c r="GC3" s="37">
        <v>200.71435459544273</v>
      </c>
      <c r="GD3" s="37" t="s">
        <v>694</v>
      </c>
      <c r="GE3" s="37">
        <v>0</v>
      </c>
      <c r="GF3" s="37">
        <v>0</v>
      </c>
      <c r="GG3" s="37">
        <v>0</v>
      </c>
      <c r="GH3" s="37">
        <v>1</v>
      </c>
      <c r="GI3" s="37" t="s">
        <v>97</v>
      </c>
      <c r="GJ3" s="37">
        <v>0</v>
      </c>
      <c r="GK3" s="37" t="b">
        <v>0</v>
      </c>
      <c r="GL3" s="37">
        <v>2.38</v>
      </c>
      <c r="GM3" s="37"/>
      <c r="GN3" s="37"/>
      <c r="GO3" s="37">
        <v>0</v>
      </c>
      <c r="GP3" s="37" t="s">
        <v>97</v>
      </c>
      <c r="GQ3" s="37"/>
      <c r="GR3" s="25">
        <v>2</v>
      </c>
      <c r="GT3" s="15" t="s">
        <v>67</v>
      </c>
      <c r="GU3" s="5" t="s">
        <v>58</v>
      </c>
      <c r="GV3" s="6" t="s">
        <v>765</v>
      </c>
    </row>
    <row r="4" spans="1:207" ht="15" thickBot="1">
      <c r="A4" s="37"/>
      <c r="B4" s="37"/>
      <c r="D4" s="21" t="str">
        <f>thisdwg</f>
        <v>KST-0220.dwg</v>
      </c>
      <c r="E4" s="37"/>
      <c r="F4" s="37"/>
      <c r="G4" s="37"/>
      <c r="H4" s="25"/>
      <c r="I4" s="37"/>
      <c r="J4" s="7" t="s">
        <v>1</v>
      </c>
      <c r="K4" s="2">
        <v>0</v>
      </c>
      <c r="L4" s="37"/>
      <c r="M4" s="25"/>
      <c r="N4" s="37"/>
      <c r="O4" s="105" t="s">
        <v>835</v>
      </c>
      <c r="P4" s="98"/>
      <c r="Q4" s="98"/>
      <c r="R4" s="98"/>
      <c r="S4" s="98"/>
      <c r="T4" s="98"/>
      <c r="U4" s="99"/>
      <c r="V4" s="37"/>
      <c r="W4" s="24" t="s">
        <v>852</v>
      </c>
      <c r="X4" s="37" t="str">
        <f>IsEnlarged</f>
        <v>No</v>
      </c>
      <c r="Y4" s="25"/>
      <c r="Z4" s="37"/>
      <c r="AA4" s="105" t="s">
        <v>857</v>
      </c>
      <c r="AB4" s="98"/>
      <c r="AC4" s="98"/>
      <c r="AD4" s="98"/>
      <c r="AE4" s="99"/>
      <c r="AF4" s="37"/>
      <c r="AG4" s="89" t="s">
        <v>664</v>
      </c>
      <c r="AH4" s="2" t="str">
        <f>IF(ISERROR(VLOOKUP("Yes",originRange,1,FALSE)),"No",IF(VLOOKUP("Yes",originRange,1,FALSE)="Yes","Yes","No"))</f>
        <v>Yes</v>
      </c>
      <c r="AI4" s="39"/>
      <c r="AJ4" s="25"/>
      <c r="AK4" s="37"/>
      <c r="AL4" s="89" t="s">
        <v>665</v>
      </c>
      <c r="AM4" s="39" t="str">
        <f>IF(ISERROR(VLOOKUP("Yes",pathRange,1,FALSE)),"No",IF(VLOOKUP("Yes",pathRange,1,FALSE)="Yes","Yes","No"))</f>
        <v>No</v>
      </c>
      <c r="AN4" s="4" t="s">
        <v>138</v>
      </c>
      <c r="AO4" s="25"/>
      <c r="AQ4" s="20" t="s">
        <v>138</v>
      </c>
      <c r="AR4" s="17"/>
      <c r="AS4" s="2" t="s">
        <v>107</v>
      </c>
      <c r="AT4" s="2" t="s">
        <v>108</v>
      </c>
      <c r="AU4" s="2">
        <v>12</v>
      </c>
      <c r="AV4" s="2"/>
      <c r="AW4" s="2"/>
      <c r="AX4" s="2" t="s">
        <v>84</v>
      </c>
      <c r="AY4" s="2" t="s">
        <v>84</v>
      </c>
      <c r="AZ4" s="2"/>
      <c r="BA4" s="2"/>
      <c r="BB4" s="2"/>
      <c r="BC4" s="2" t="s">
        <v>84</v>
      </c>
      <c r="BD4" s="2"/>
      <c r="BE4" s="2" t="s">
        <v>82</v>
      </c>
      <c r="BF4" s="2"/>
      <c r="BG4" s="2" t="str">
        <f t="shared" si="9"/>
        <v>No</v>
      </c>
      <c r="BH4" s="2"/>
      <c r="BI4" s="2"/>
      <c r="BJ4" s="37"/>
      <c r="BK4" s="37" t="str">
        <f t="shared" si="0"/>
        <v>No</v>
      </c>
      <c r="BL4" s="37" t="str">
        <f t="shared" si="10"/>
        <v>Yes</v>
      </c>
      <c r="BM4" s="37" t="str">
        <f t="shared" si="11"/>
        <v>Yes</v>
      </c>
      <c r="BN4" s="37" t="str">
        <f t="shared" si="1"/>
        <v>Yes</v>
      </c>
      <c r="BO4" s="37" t="str">
        <f t="shared" si="12"/>
        <v>Yes</v>
      </c>
      <c r="BP4" s="37">
        <f t="shared" si="13"/>
        <v>0</v>
      </c>
      <c r="BQ4" s="37"/>
      <c r="BR4" s="7" t="s">
        <v>46</v>
      </c>
      <c r="BS4" s="2">
        <v>2</v>
      </c>
      <c r="BT4" s="39"/>
      <c r="BU4" s="37"/>
      <c r="BV4" s="25"/>
      <c r="BW4" s="37"/>
      <c r="BX4" s="90" t="s">
        <v>62</v>
      </c>
      <c r="BY4" s="2" t="s">
        <v>71</v>
      </c>
      <c r="BZ4" s="37"/>
      <c r="CA4" s="37"/>
      <c r="CB4" s="17"/>
      <c r="CC4" s="2" t="s">
        <v>70</v>
      </c>
      <c r="CD4" s="8"/>
      <c r="CE4" s="37"/>
      <c r="CF4" s="110"/>
      <c r="CG4" s="109" t="s">
        <v>870</v>
      </c>
      <c r="CH4" s="98"/>
      <c r="CI4" s="98"/>
      <c r="CJ4" s="98"/>
      <c r="CK4" s="99"/>
      <c r="CM4" s="24"/>
      <c r="CN4" s="37"/>
      <c r="CO4" s="37"/>
      <c r="CP4" s="37"/>
      <c r="CQ4" s="37"/>
      <c r="CR4" s="37"/>
      <c r="CS4" s="37"/>
      <c r="CT4" s="37"/>
      <c r="CU4" s="37"/>
      <c r="CV4" s="37"/>
      <c r="CW4" s="7" t="s">
        <v>686</v>
      </c>
      <c r="CX4" s="8">
        <v>4.76</v>
      </c>
      <c r="CY4" s="2" t="s">
        <v>1040</v>
      </c>
      <c r="CZ4" s="37"/>
      <c r="DA4" s="2">
        <f t="shared" si="2"/>
        <v>0</v>
      </c>
      <c r="DB4" s="2">
        <f t="shared" si="14"/>
        <v>1</v>
      </c>
      <c r="DC4" s="2">
        <f t="shared" si="3"/>
        <v>2.38</v>
      </c>
      <c r="DD4" s="2">
        <v>2.38</v>
      </c>
      <c r="DE4" s="2" t="s">
        <v>96</v>
      </c>
      <c r="DF4" s="2" t="s">
        <v>671</v>
      </c>
      <c r="DG4" s="2" t="s">
        <v>97</v>
      </c>
      <c r="DH4" s="8" t="s">
        <v>670</v>
      </c>
      <c r="DJ4" s="37"/>
      <c r="DK4" s="24"/>
      <c r="DL4" s="37"/>
      <c r="DM4" s="37"/>
      <c r="DN4" s="37"/>
      <c r="DO4" s="37"/>
      <c r="DP4" s="37"/>
      <c r="DQ4" s="37"/>
      <c r="DR4" s="25"/>
      <c r="DT4" s="24"/>
      <c r="DV4" s="25"/>
      <c r="DX4" s="24"/>
      <c r="DY4" s="37"/>
      <c r="DZ4" s="25"/>
      <c r="EA4" s="37"/>
      <c r="EB4" s="24"/>
      <c r="EC4" s="37"/>
      <c r="ED4" s="37"/>
      <c r="EE4" s="37"/>
      <c r="EF4" s="37"/>
      <c r="EG4" s="25"/>
      <c r="EI4" s="7"/>
      <c r="EJ4" s="2" t="s">
        <v>659</v>
      </c>
      <c r="EK4" s="2"/>
      <c r="EL4" s="2">
        <v>150</v>
      </c>
      <c r="EM4" s="2"/>
      <c r="EN4" s="2"/>
      <c r="EO4" s="2"/>
      <c r="EP4" s="2"/>
      <c r="EQ4" s="2"/>
      <c r="ER4" s="2"/>
      <c r="ES4" s="2"/>
      <c r="ET4" s="2"/>
      <c r="EU4" s="2"/>
      <c r="EV4" s="2"/>
      <c r="EW4" s="13"/>
      <c r="EX4" s="8"/>
      <c r="EY4" s="37"/>
      <c r="EZ4" s="37"/>
      <c r="FA4" s="37"/>
      <c r="FB4" s="37"/>
      <c r="FC4" s="37"/>
      <c r="FD4" s="37"/>
      <c r="FE4" s="37"/>
      <c r="FF4" s="37"/>
      <c r="FG4" s="24"/>
      <c r="FH4" s="37"/>
      <c r="FI4" s="2">
        <f t="shared" si="4"/>
        <v>1</v>
      </c>
      <c r="FJ4" s="2" t="str">
        <f t="shared" si="15"/>
        <v>No</v>
      </c>
      <c r="FK4" s="2">
        <f t="shared" si="5"/>
        <v>-200</v>
      </c>
      <c r="FL4" s="2">
        <f t="shared" si="6"/>
        <v>200</v>
      </c>
      <c r="FM4" s="2">
        <v>3</v>
      </c>
      <c r="FN4" s="2" t="str">
        <f t="shared" si="7"/>
        <v>STANDARD-200</v>
      </c>
      <c r="FO4" s="2">
        <f t="shared" si="8"/>
        <v>150</v>
      </c>
      <c r="FP4" s="37"/>
      <c r="FQ4" s="37"/>
      <c r="FR4" s="37" t="s">
        <v>691</v>
      </c>
      <c r="FS4" s="37">
        <v>256</v>
      </c>
      <c r="FT4" s="37">
        <v>0</v>
      </c>
      <c r="FU4" s="37" t="s">
        <v>692</v>
      </c>
      <c r="FV4" s="37">
        <v>256</v>
      </c>
      <c r="FW4" s="37">
        <v>1</v>
      </c>
      <c r="FX4" s="37">
        <v>1</v>
      </c>
      <c r="FY4" s="37">
        <v>3</v>
      </c>
      <c r="FZ4" s="37">
        <v>0</v>
      </c>
      <c r="GA4" s="37">
        <v>0</v>
      </c>
      <c r="GB4" s="37">
        <v>1</v>
      </c>
      <c r="GC4" s="37">
        <v>302.69769007975628</v>
      </c>
      <c r="GD4" s="37" t="s">
        <v>693</v>
      </c>
      <c r="GE4" s="37">
        <v>0</v>
      </c>
      <c r="GF4" s="37">
        <v>0</v>
      </c>
      <c r="GG4" s="37">
        <v>0</v>
      </c>
      <c r="GH4" s="37">
        <v>1</v>
      </c>
      <c r="GI4" s="37" t="s">
        <v>97</v>
      </c>
      <c r="GJ4" s="37">
        <v>0</v>
      </c>
      <c r="GK4" s="37" t="b">
        <v>0</v>
      </c>
      <c r="GL4" s="37">
        <v>2.38</v>
      </c>
      <c r="GM4" s="37"/>
      <c r="GN4" s="37"/>
      <c r="GO4" s="37">
        <v>0</v>
      </c>
      <c r="GP4" s="37" t="s">
        <v>97</v>
      </c>
      <c r="GQ4" s="37"/>
      <c r="GR4" s="25">
        <v>2</v>
      </c>
      <c r="GT4" s="7" t="s">
        <v>68</v>
      </c>
      <c r="GU4" s="2" t="s">
        <v>119</v>
      </c>
      <c r="GV4" s="8">
        <f t="shared" ref="GV4:GV39" si="16">IF(ISERROR(MATCH(GU4,allowedLineTypes,0)),IF(LEN(GU4)&gt;0,1,""),IF(MATCH(GU4,allowedLineTypes,0)&gt;0,0,1))</f>
        <v>0</v>
      </c>
    </row>
    <row r="5" spans="1:207" ht="15" thickBot="1">
      <c r="A5" s="37"/>
      <c r="B5" s="37"/>
      <c r="D5" s="22" t="str">
        <f>REPLACE(thisdwg,FIND(".dwg",thisdwg),4,"")</f>
        <v>KST-0220</v>
      </c>
      <c r="E5" s="23"/>
      <c r="F5" s="124" t="s">
        <v>810</v>
      </c>
      <c r="G5" s="125"/>
      <c r="H5" s="126"/>
      <c r="I5" s="37"/>
      <c r="J5" s="7" t="s">
        <v>2</v>
      </c>
      <c r="K5" s="2">
        <v>1</v>
      </c>
      <c r="L5" s="37"/>
      <c r="M5" s="25"/>
      <c r="N5" s="37"/>
      <c r="O5" s="24"/>
      <c r="P5" s="37"/>
      <c r="Q5" s="37"/>
      <c r="R5" s="37"/>
      <c r="S5" s="37"/>
      <c r="T5" s="37"/>
      <c r="U5" s="25"/>
      <c r="V5" s="37"/>
      <c r="W5" s="24" t="s">
        <v>158</v>
      </c>
      <c r="X5" s="37" t="str">
        <f>IsLayout</f>
        <v>No</v>
      </c>
      <c r="Y5" s="25"/>
      <c r="Z5" s="37"/>
      <c r="AA5" s="24"/>
      <c r="AB5" s="37"/>
      <c r="AC5" s="37"/>
      <c r="AD5" s="37"/>
      <c r="AE5" s="25"/>
      <c r="AF5" s="37"/>
      <c r="AG5" s="90" t="s">
        <v>137</v>
      </c>
      <c r="AH5" s="2" t="str">
        <f>IF(IsView="Yes",IF(hasOriginProblem="Yes","x","ok"),"na")</f>
        <v>x</v>
      </c>
      <c r="AI5" s="37"/>
      <c r="AJ5" s="25"/>
      <c r="AK5" s="37"/>
      <c r="AL5" s="90" t="s">
        <v>138</v>
      </c>
      <c r="AM5" s="2" t="str">
        <f>IF(IsView="Yes",IF(hasPathProblem="Yes","x","ok"),"na")</f>
        <v>ok</v>
      </c>
      <c r="AN5" s="37"/>
      <c r="AO5" s="25"/>
      <c r="AR5" s="7"/>
      <c r="AS5" s="2" t="s">
        <v>109</v>
      </c>
      <c r="AT5" s="2" t="s">
        <v>110</v>
      </c>
      <c r="AU5" s="2">
        <v>12</v>
      </c>
      <c r="AV5" s="2"/>
      <c r="AW5" s="2"/>
      <c r="AX5" s="2" t="s">
        <v>84</v>
      </c>
      <c r="AY5" s="2" t="s">
        <v>84</v>
      </c>
      <c r="AZ5" s="2"/>
      <c r="BA5" s="2"/>
      <c r="BB5" s="2"/>
      <c r="BC5" s="2" t="s">
        <v>84</v>
      </c>
      <c r="BD5" s="2"/>
      <c r="BE5" s="2" t="s">
        <v>82</v>
      </c>
      <c r="BF5" s="2"/>
      <c r="BG5" s="2" t="str">
        <f t="shared" si="9"/>
        <v>No</v>
      </c>
      <c r="BH5" s="2"/>
      <c r="BI5" s="2"/>
      <c r="BJ5" s="37"/>
      <c r="BK5" s="37" t="str">
        <f t="shared" si="0"/>
        <v>Yes</v>
      </c>
      <c r="BL5" s="37" t="str">
        <f t="shared" si="10"/>
        <v>Yes</v>
      </c>
      <c r="BM5" s="37" t="str">
        <f t="shared" si="11"/>
        <v>Yes</v>
      </c>
      <c r="BN5" s="37" t="str">
        <f t="shared" si="1"/>
        <v>Yes</v>
      </c>
      <c r="BO5" s="37" t="str">
        <f t="shared" si="12"/>
        <v>Yes</v>
      </c>
      <c r="BP5" s="37">
        <f t="shared" si="13"/>
        <v>0</v>
      </c>
      <c r="BQ5" s="37"/>
      <c r="BR5" s="90" t="s">
        <v>45</v>
      </c>
      <c r="BS5" s="2" t="str">
        <f>IF(layer0ents&gt;0,"x","ok")</f>
        <v>x</v>
      </c>
      <c r="BT5" s="37"/>
      <c r="BU5" s="37"/>
      <c r="BV5" s="25"/>
      <c r="BW5" s="37"/>
      <c r="BX5" s="24"/>
      <c r="BY5" s="37"/>
      <c r="BZ5" s="37"/>
      <c r="CA5" s="37"/>
      <c r="CB5" s="17"/>
      <c r="CC5" s="2" t="s">
        <v>95</v>
      </c>
      <c r="CD5" s="8"/>
      <c r="CE5" s="37"/>
      <c r="CF5" s="24"/>
      <c r="CG5" s="37"/>
      <c r="CH5" s="37"/>
      <c r="CI5" s="37"/>
      <c r="CJ5" s="37"/>
      <c r="CK5" s="25"/>
      <c r="CM5" s="15" t="s">
        <v>60</v>
      </c>
      <c r="CN5" s="5" t="s">
        <v>58</v>
      </c>
      <c r="CO5" s="5" t="s">
        <v>99</v>
      </c>
      <c r="CP5" s="5" t="s">
        <v>100</v>
      </c>
      <c r="CQ5" s="5" t="s">
        <v>101</v>
      </c>
      <c r="CR5" s="5" t="s">
        <v>102</v>
      </c>
      <c r="CS5" s="41" t="s">
        <v>892</v>
      </c>
      <c r="CT5" s="146" t="s">
        <v>1034</v>
      </c>
      <c r="CU5" s="67" t="s">
        <v>1036</v>
      </c>
      <c r="CV5" s="67"/>
      <c r="CW5" s="9" t="s">
        <v>98</v>
      </c>
      <c r="CX5" s="11">
        <v>6.35</v>
      </c>
      <c r="CY5" s="2" t="s">
        <v>1040</v>
      </c>
      <c r="CZ5" s="37"/>
      <c r="DA5" s="2">
        <f t="shared" si="2"/>
        <v>0</v>
      </c>
      <c r="DB5" s="2">
        <f t="shared" si="14"/>
        <v>1</v>
      </c>
      <c r="DC5" s="2">
        <f t="shared" si="3"/>
        <v>2.38</v>
      </c>
      <c r="DD5" s="2">
        <v>2.38</v>
      </c>
      <c r="DE5" s="2" t="s">
        <v>96</v>
      </c>
      <c r="DF5" s="2" t="s">
        <v>672</v>
      </c>
      <c r="DG5" s="2" t="s">
        <v>97</v>
      </c>
      <c r="DH5" s="8" t="s">
        <v>670</v>
      </c>
      <c r="DI5" s="37"/>
      <c r="DJ5" s="37"/>
      <c r="DK5" s="24"/>
      <c r="DL5" s="37"/>
      <c r="DM5" s="37"/>
      <c r="DN5" s="37"/>
      <c r="DO5" s="4" t="s">
        <v>63</v>
      </c>
      <c r="DP5" s="2" t="str">
        <f>IF(OR(hasBindError&gt;0,hasDollarError&gt;0),"x","-")</f>
        <v>x</v>
      </c>
      <c r="DQ5" s="37"/>
      <c r="DR5" s="25"/>
      <c r="DT5" s="22" t="s">
        <v>652</v>
      </c>
      <c r="DU5" s="23" t="str">
        <f>IF(SUM('chk13'!C1:C50)&gt;0,"Yes","No")</f>
        <v>Yes</v>
      </c>
      <c r="DV5" s="25"/>
      <c r="DW5" s="37"/>
      <c r="DX5" s="22" t="s">
        <v>577</v>
      </c>
      <c r="DY5" s="23" t="str">
        <f>IF(titleletter1="C","Yes","No")</f>
        <v>No</v>
      </c>
      <c r="DZ5" s="25"/>
      <c r="EA5" s="37"/>
      <c r="EB5" s="15" t="s">
        <v>586</v>
      </c>
      <c r="EC5" s="5" t="str">
        <f>IF(IsView="Yes",IF(isRecordDrawing="Yes","ok","x"),"na")</f>
        <v>ok</v>
      </c>
      <c r="ED5" s="40" t="s">
        <v>601</v>
      </c>
      <c r="EE5" s="5" t="str">
        <f>IF(ISERROR(VLOOKUP("RECORD DRAWING",RevDescriptions,1,FALSE)),"x",IF(VLOOKUP("RECORD DRAWING",RevDescriptions,1,FALSE)="RECORD DRAWING","Yes","No"))</f>
        <v>Yes</v>
      </c>
      <c r="EF5" s="40"/>
      <c r="EG5" s="23"/>
      <c r="EI5" s="7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13"/>
      <c r="EX5" s="8"/>
      <c r="EY5" s="37"/>
      <c r="EZ5" s="37"/>
      <c r="FA5" s="37"/>
      <c r="FB5" s="37"/>
      <c r="FC5" s="37"/>
      <c r="FD5" s="37"/>
      <c r="FE5" s="37"/>
      <c r="FF5" s="37"/>
      <c r="FG5" s="24"/>
      <c r="FH5" s="37"/>
      <c r="FI5" s="2" t="str">
        <f t="shared" si="4"/>
        <v/>
      </c>
      <c r="FJ5" s="2" t="str">
        <f t="shared" si="15"/>
        <v/>
      </c>
      <c r="FK5" s="2" t="str">
        <f t="shared" si="5"/>
        <v/>
      </c>
      <c r="FL5" s="2" t="str">
        <f t="shared" si="6"/>
        <v/>
      </c>
      <c r="FM5" s="2">
        <v>4</v>
      </c>
      <c r="FN5" s="2" t="str">
        <f t="shared" si="7"/>
        <v/>
      </c>
      <c r="FO5" s="2">
        <f t="shared" si="8"/>
        <v>0</v>
      </c>
      <c r="FP5" s="37"/>
      <c r="FQ5" s="37"/>
      <c r="FR5" s="37" t="s">
        <v>691</v>
      </c>
      <c r="FS5" s="37">
        <v>256</v>
      </c>
      <c r="FT5" s="37">
        <v>0</v>
      </c>
      <c r="FU5" s="37" t="s">
        <v>692</v>
      </c>
      <c r="FV5" s="37">
        <v>256</v>
      </c>
      <c r="FW5" s="37">
        <v>1</v>
      </c>
      <c r="FX5" s="37">
        <v>1</v>
      </c>
      <c r="FY5" s="37">
        <v>3</v>
      </c>
      <c r="FZ5" s="37">
        <v>0</v>
      </c>
      <c r="GA5" s="37">
        <v>0</v>
      </c>
      <c r="GB5" s="37">
        <v>1</v>
      </c>
      <c r="GC5" s="37">
        <v>371.25770180277982</v>
      </c>
      <c r="GD5" s="37" t="s">
        <v>693</v>
      </c>
      <c r="GE5" s="37">
        <v>0</v>
      </c>
      <c r="GF5" s="37">
        <v>0</v>
      </c>
      <c r="GG5" s="37">
        <v>0</v>
      </c>
      <c r="GH5" s="37">
        <v>1</v>
      </c>
      <c r="GI5" s="37" t="s">
        <v>97</v>
      </c>
      <c r="GJ5" s="37">
        <v>0</v>
      </c>
      <c r="GK5" s="37" t="b">
        <v>0</v>
      </c>
      <c r="GL5" s="37">
        <v>2.38</v>
      </c>
      <c r="GM5" s="37"/>
      <c r="GN5" s="37"/>
      <c r="GO5" s="37">
        <v>0</v>
      </c>
      <c r="GP5" s="37" t="s">
        <v>97</v>
      </c>
      <c r="GQ5" s="37"/>
      <c r="GR5" s="25">
        <v>2</v>
      </c>
      <c r="GT5" s="7"/>
      <c r="GU5" s="2" t="s">
        <v>120</v>
      </c>
      <c r="GV5" s="8">
        <f t="shared" si="16"/>
        <v>0</v>
      </c>
    </row>
    <row r="6" spans="1:207" ht="15" thickBot="1">
      <c r="A6" s="37"/>
      <c r="B6" s="37"/>
      <c r="C6" s="37"/>
      <c r="D6" s="24" t="s">
        <v>139</v>
      </c>
      <c r="E6" s="25" t="str">
        <f>MID(thisdwg,1,1)</f>
        <v>K</v>
      </c>
      <c r="F6" s="127" t="s">
        <v>811</v>
      </c>
      <c r="G6" s="128" t="str">
        <f>IF(IsLayout="Yes","a layout","a non-layout")</f>
        <v>a non-layout</v>
      </c>
      <c r="H6" s="129" t="s">
        <v>812</v>
      </c>
      <c r="I6" s="37"/>
      <c r="J6" s="7" t="s">
        <v>3</v>
      </c>
      <c r="K6" s="3" t="str">
        <f>IF(titleqtymodel+titleqtypaper&lt;2,"Yes","No")</f>
        <v>Yes</v>
      </c>
      <c r="L6" s="37"/>
      <c r="M6" s="25"/>
      <c r="N6" s="37"/>
      <c r="O6" s="24"/>
      <c r="P6" s="37"/>
      <c r="Q6" s="37"/>
      <c r="R6" s="37"/>
      <c r="S6" s="37"/>
      <c r="T6" s="37"/>
      <c r="U6" s="25"/>
      <c r="V6" s="37"/>
      <c r="W6" s="24" t="s">
        <v>851</v>
      </c>
      <c r="X6" s="37" t="str">
        <f>IF(COUNTIF(xrefnames,"*")&gt;0,"Yes","No")</f>
        <v>Yes</v>
      </c>
      <c r="Y6" s="25"/>
      <c r="Z6" s="37"/>
      <c r="AA6" s="24"/>
      <c r="AB6" s="37"/>
      <c r="AC6" s="37"/>
      <c r="AD6" s="37"/>
      <c r="AE6" s="25"/>
      <c r="AF6" s="37"/>
      <c r="AG6" s="26"/>
      <c r="AH6" s="38"/>
      <c r="AI6" s="38"/>
      <c r="AJ6" s="27"/>
      <c r="AK6" s="37"/>
      <c r="AL6" s="26"/>
      <c r="AM6" s="38"/>
      <c r="AN6" s="38"/>
      <c r="AO6" s="27"/>
      <c r="AR6" s="7"/>
      <c r="AS6" s="2" t="s">
        <v>111</v>
      </c>
      <c r="AT6" s="2" t="s">
        <v>112</v>
      </c>
      <c r="AU6" s="2">
        <v>12</v>
      </c>
      <c r="AV6" s="2"/>
      <c r="AW6" s="2"/>
      <c r="AX6" s="2" t="s">
        <v>84</v>
      </c>
      <c r="AY6" s="2" t="s">
        <v>84</v>
      </c>
      <c r="AZ6" s="2"/>
      <c r="BA6" s="2"/>
      <c r="BB6" s="2"/>
      <c r="BC6" s="2" t="s">
        <v>84</v>
      </c>
      <c r="BD6" s="2"/>
      <c r="BE6" s="2" t="s">
        <v>82</v>
      </c>
      <c r="BF6" s="2"/>
      <c r="BG6" s="2" t="str">
        <f t="shared" si="9"/>
        <v>No</v>
      </c>
      <c r="BH6" s="2"/>
      <c r="BI6" s="2"/>
      <c r="BJ6" s="37"/>
      <c r="BK6" s="37" t="str">
        <f t="shared" si="0"/>
        <v>No</v>
      </c>
      <c r="BL6" s="37" t="str">
        <f t="shared" si="10"/>
        <v>Yes</v>
      </c>
      <c r="BM6" s="37" t="str">
        <f t="shared" si="11"/>
        <v>Yes</v>
      </c>
      <c r="BN6" s="37" t="str">
        <f t="shared" si="1"/>
        <v>Yes</v>
      </c>
      <c r="BO6" s="37" t="str">
        <f t="shared" si="12"/>
        <v>Yes</v>
      </c>
      <c r="BP6" s="37">
        <f t="shared" si="13"/>
        <v>0</v>
      </c>
      <c r="BQ6" s="37"/>
      <c r="BR6" s="24"/>
      <c r="BS6" s="37"/>
      <c r="BT6" s="37"/>
      <c r="BU6" s="37"/>
      <c r="BV6" s="25"/>
      <c r="BW6" s="37"/>
      <c r="BX6" s="24"/>
      <c r="BY6" s="37"/>
      <c r="BZ6" s="37"/>
      <c r="CA6" s="37"/>
      <c r="CB6" s="17"/>
      <c r="CC6" s="2" t="s">
        <v>96</v>
      </c>
      <c r="CD6" s="8"/>
      <c r="CE6" s="37"/>
      <c r="CF6" s="24" t="s">
        <v>873</v>
      </c>
      <c r="CG6" s="37" t="str">
        <f>IsLayout</f>
        <v>No</v>
      </c>
      <c r="CH6" s="37"/>
      <c r="CI6" s="37"/>
      <c r="CJ6" s="37"/>
      <c r="CK6" s="25"/>
      <c r="CM6" s="7" t="s">
        <v>61</v>
      </c>
      <c r="CN6" s="2" t="s">
        <v>97</v>
      </c>
      <c r="CO6" s="2"/>
      <c r="CP6" s="37" t="s">
        <v>1039</v>
      </c>
      <c r="CQ6" s="2">
        <v>0</v>
      </c>
      <c r="CR6" s="2">
        <v>1</v>
      </c>
      <c r="CS6" s="8">
        <f t="shared" ref="CS6:CS25" si="17">IF(CN6="","",IF(ISERROR(VLOOKUP(CN6,legalStyles,1,FALSE)),1,0))</f>
        <v>0</v>
      </c>
      <c r="CT6" s="37">
        <f>IF(CN6="","",IF(CQ6=0,0,1))</f>
        <v>0</v>
      </c>
      <c r="CU6" s="37">
        <f t="shared" ref="CU6:CU19" si="18">IF(CN6="","",IF(ISERROR(VLOOKUP(CN6,legalStyles,3,FALSE)),"",IF(VLOOKUP(CN6,legalStyles,3,FALSE)=CP6,0,1)))</f>
        <v>0</v>
      </c>
      <c r="CV6" s="37"/>
      <c r="CW6" s="37"/>
      <c r="CX6" s="37"/>
      <c r="CY6" s="37"/>
      <c r="CZ6" s="37"/>
      <c r="DA6" s="2">
        <f t="shared" si="2"/>
        <v>0</v>
      </c>
      <c r="DB6" s="2">
        <f t="shared" si="14"/>
        <v>1</v>
      </c>
      <c r="DC6" s="2">
        <f t="shared" si="3"/>
        <v>2.38</v>
      </c>
      <c r="DD6" s="2">
        <v>2.38</v>
      </c>
      <c r="DE6" s="2" t="s">
        <v>96</v>
      </c>
      <c r="DF6" s="2" t="s">
        <v>673</v>
      </c>
      <c r="DG6" s="2" t="s">
        <v>97</v>
      </c>
      <c r="DH6" s="8" t="s">
        <v>670</v>
      </c>
      <c r="DI6" s="37"/>
      <c r="DJ6" s="37"/>
      <c r="DK6" s="15" t="s">
        <v>63</v>
      </c>
      <c r="DL6" s="5" t="s">
        <v>58</v>
      </c>
      <c r="DM6" s="12"/>
      <c r="DN6" s="37">
        <f>SUM(DN7:DN45)</f>
        <v>1</v>
      </c>
      <c r="DO6" s="37">
        <f>SUM(DO7:DO45)</f>
        <v>1</v>
      </c>
      <c r="DP6" t="s">
        <v>882</v>
      </c>
      <c r="DQ6" s="37" t="str">
        <f>IF(hasBindError&gt;0,"Yes","No")</f>
        <v>Yes</v>
      </c>
      <c r="DR6" s="25"/>
      <c r="DT6" s="9" t="s">
        <v>763</v>
      </c>
      <c r="DU6" s="91" t="str">
        <f>IF(hasAnnotation="Yes","na","x")</f>
        <v>na</v>
      </c>
      <c r="DV6" s="83"/>
      <c r="DW6" s="37"/>
      <c r="DX6" s="24" t="s">
        <v>563</v>
      </c>
      <c r="DY6" s="25" t="str">
        <f>IsLayout</f>
        <v>No</v>
      </c>
      <c r="DZ6" s="25"/>
      <c r="EA6" s="37"/>
      <c r="EB6" s="24"/>
      <c r="EC6" s="37"/>
      <c r="ED6" s="37"/>
      <c r="EE6" s="37"/>
      <c r="EF6" s="37"/>
      <c r="EG6" s="25"/>
      <c r="EI6" s="7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13"/>
      <c r="EX6" s="8"/>
      <c r="EY6" s="37"/>
      <c r="EZ6" s="37"/>
      <c r="FA6" s="37"/>
      <c r="FB6" s="37"/>
      <c r="FC6" s="37"/>
      <c r="FD6" s="37"/>
      <c r="FE6" s="37"/>
      <c r="FF6" s="37"/>
      <c r="FG6" s="24"/>
      <c r="FH6" s="37"/>
      <c r="FI6" s="2" t="str">
        <f t="shared" si="4"/>
        <v/>
      </c>
      <c r="FJ6" s="2" t="str">
        <f t="shared" si="15"/>
        <v/>
      </c>
      <c r="FK6" s="2" t="str">
        <f t="shared" si="5"/>
        <v/>
      </c>
      <c r="FL6" s="2" t="str">
        <f t="shared" si="6"/>
        <v/>
      </c>
      <c r="FM6" s="2">
        <v>5</v>
      </c>
      <c r="FN6" s="2" t="str">
        <f t="shared" si="7"/>
        <v/>
      </c>
      <c r="FO6" s="2">
        <f t="shared" si="8"/>
        <v>0</v>
      </c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25"/>
      <c r="GT6" s="7"/>
      <c r="GU6" s="2" t="s">
        <v>121</v>
      </c>
      <c r="GV6" s="8">
        <f t="shared" si="16"/>
        <v>0</v>
      </c>
    </row>
    <row r="7" spans="1:207">
      <c r="D7" s="24" t="s">
        <v>140</v>
      </c>
      <c r="E7" s="25" t="str">
        <f>MID(thisdwg,2,1)</f>
        <v>S</v>
      </c>
      <c r="F7" s="127" t="s">
        <v>814</v>
      </c>
      <c r="G7" s="128" t="str">
        <f>IF(IsView="Yes","a view","an xref")</f>
        <v>a view</v>
      </c>
      <c r="H7" s="129" t="s">
        <v>813</v>
      </c>
      <c r="I7" s="37"/>
      <c r="J7" s="7" t="s">
        <v>4</v>
      </c>
      <c r="K7" s="3" t="s">
        <v>70</v>
      </c>
      <c r="L7" s="37"/>
      <c r="M7" s="25"/>
      <c r="N7" s="37"/>
      <c r="O7" s="84" t="s">
        <v>849</v>
      </c>
      <c r="P7" s="37" t="str">
        <f>IsEnlarged</f>
        <v>No</v>
      </c>
      <c r="Q7" s="37"/>
      <c r="R7" s="37"/>
      <c r="S7" s="37"/>
      <c r="T7" s="22" t="s">
        <v>837</v>
      </c>
      <c r="U7" s="23" t="s">
        <v>838</v>
      </c>
      <c r="V7" s="37"/>
      <c r="W7" s="24"/>
      <c r="X7" s="37"/>
      <c r="Y7" s="25"/>
      <c r="Z7" s="37"/>
      <c r="AA7" s="24"/>
      <c r="AB7" s="37"/>
      <c r="AC7" s="37"/>
      <c r="AD7" s="37"/>
      <c r="AE7" s="25"/>
      <c r="AF7" s="37"/>
      <c r="AR7" s="7"/>
      <c r="AS7" s="2" t="s">
        <v>89</v>
      </c>
      <c r="AT7" s="2" t="s">
        <v>90</v>
      </c>
      <c r="AU7" s="2">
        <v>12</v>
      </c>
      <c r="AV7" s="2"/>
      <c r="AW7" s="2"/>
      <c r="AX7" s="2" t="s">
        <v>84</v>
      </c>
      <c r="AY7" s="2" t="s">
        <v>84</v>
      </c>
      <c r="AZ7" s="2"/>
      <c r="BA7" s="2"/>
      <c r="BB7" s="2"/>
      <c r="BC7" s="2" t="s">
        <v>84</v>
      </c>
      <c r="BD7" s="2"/>
      <c r="BE7" s="2" t="s">
        <v>82</v>
      </c>
      <c r="BF7" s="2"/>
      <c r="BG7" s="2" t="str">
        <f t="shared" si="9"/>
        <v>No</v>
      </c>
      <c r="BH7" s="2"/>
      <c r="BI7" s="2"/>
      <c r="BJ7" s="37"/>
      <c r="BK7" s="37" t="str">
        <f t="shared" si="0"/>
        <v>Yes</v>
      </c>
      <c r="BL7" s="37" t="str">
        <f t="shared" si="10"/>
        <v>No</v>
      </c>
      <c r="BM7" s="37" t="str">
        <f t="shared" si="11"/>
        <v>No</v>
      </c>
      <c r="BN7" s="37" t="str">
        <f t="shared" si="1"/>
        <v>No</v>
      </c>
      <c r="BO7" s="37" t="str">
        <f t="shared" si="12"/>
        <v>Yes</v>
      </c>
      <c r="BP7" s="37">
        <f t="shared" si="13"/>
        <v>0</v>
      </c>
      <c r="BQ7" s="37"/>
      <c r="BR7" s="24"/>
      <c r="BS7" s="37"/>
      <c r="BT7" s="37"/>
      <c r="BU7" s="37"/>
      <c r="BV7" s="25"/>
      <c r="BW7" s="37"/>
      <c r="BX7" s="24"/>
      <c r="BY7" s="37"/>
      <c r="BZ7" s="37"/>
      <c r="CA7" s="37"/>
      <c r="CB7" s="17"/>
      <c r="CC7" s="2"/>
      <c r="CD7" s="8"/>
      <c r="CE7" s="37"/>
      <c r="CF7" s="24"/>
      <c r="CG7" s="37"/>
      <c r="CH7" s="37"/>
      <c r="CI7" s="37"/>
      <c r="CJ7" s="37"/>
      <c r="CK7" s="25"/>
      <c r="CM7" s="7"/>
      <c r="CN7" s="2" t="s">
        <v>98</v>
      </c>
      <c r="CO7" s="2"/>
      <c r="CP7" s="2" t="s">
        <v>1040</v>
      </c>
      <c r="CQ7" s="2">
        <v>0</v>
      </c>
      <c r="CR7" s="2">
        <v>1</v>
      </c>
      <c r="CS7" s="8">
        <f t="shared" si="17"/>
        <v>0</v>
      </c>
      <c r="CT7" s="37">
        <f t="shared" ref="CT7:CT19" si="19">IF(CN7="","",IF(CQ7=0,0,1))</f>
        <v>0</v>
      </c>
      <c r="CU7" s="37">
        <f t="shared" si="18"/>
        <v>0</v>
      </c>
      <c r="CV7" s="37"/>
      <c r="CZ7" s="37"/>
      <c r="DA7" s="2">
        <f t="shared" si="2"/>
        <v>0</v>
      </c>
      <c r="DB7" s="2">
        <f t="shared" si="14"/>
        <v>1</v>
      </c>
      <c r="DC7" s="2">
        <f t="shared" si="3"/>
        <v>2.38</v>
      </c>
      <c r="DD7" s="2">
        <v>2.38</v>
      </c>
      <c r="DE7" s="2" t="s">
        <v>96</v>
      </c>
      <c r="DF7" s="2" t="s">
        <v>674</v>
      </c>
      <c r="DG7" s="2" t="s">
        <v>97</v>
      </c>
      <c r="DH7" s="8" t="s">
        <v>670</v>
      </c>
      <c r="DI7" s="37"/>
      <c r="DJ7" s="37"/>
      <c r="DK7" s="7" t="s">
        <v>64</v>
      </c>
      <c r="DL7" s="2" t="s">
        <v>103</v>
      </c>
      <c r="DM7" s="13"/>
      <c r="DN7" s="37">
        <f>IF(ISERROR(FIND("$0$",DL7)),0,1)</f>
        <v>0</v>
      </c>
      <c r="DO7" s="37">
        <f>IF(ISERROR(FIND("$",DL7)),0,1)</f>
        <v>0</v>
      </c>
      <c r="DP7" s="37" t="s">
        <v>883</v>
      </c>
      <c r="DQ7" s="37" t="str">
        <f>IF(hasDollarError&gt;0,"Yes","No")</f>
        <v>Yes</v>
      </c>
      <c r="DR7" s="25"/>
      <c r="DW7" s="37"/>
      <c r="DX7" s="24" t="s">
        <v>578</v>
      </c>
      <c r="DY7" s="25" t="str">
        <f>IsEnlarged</f>
        <v>No</v>
      </c>
      <c r="DZ7" s="25"/>
      <c r="EA7" s="37"/>
      <c r="EB7" s="15" t="s">
        <v>586</v>
      </c>
      <c r="EC7" s="40" t="s">
        <v>587</v>
      </c>
      <c r="ED7" s="40" t="s">
        <v>588</v>
      </c>
      <c r="EE7" s="40" t="s">
        <v>589</v>
      </c>
      <c r="EF7" s="40" t="s">
        <v>590</v>
      </c>
      <c r="EG7" s="41" t="s">
        <v>591</v>
      </c>
      <c r="EI7" s="7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13"/>
      <c r="EX7" s="8"/>
      <c r="EY7" s="37"/>
      <c r="EZ7" s="37"/>
      <c r="FA7" s="37"/>
      <c r="FB7" s="37"/>
      <c r="FC7" s="37"/>
      <c r="FD7" s="37"/>
      <c r="FE7" s="37"/>
      <c r="FF7" s="37"/>
      <c r="FG7" s="24"/>
      <c r="FH7" s="37"/>
      <c r="FI7" s="2" t="str">
        <f t="shared" si="4"/>
        <v/>
      </c>
      <c r="FJ7" s="2" t="str">
        <f t="shared" si="15"/>
        <v/>
      </c>
      <c r="FK7" s="2" t="str">
        <f t="shared" si="5"/>
        <v/>
      </c>
      <c r="FL7" s="2" t="str">
        <f t="shared" si="6"/>
        <v/>
      </c>
      <c r="FM7" s="2">
        <v>6</v>
      </c>
      <c r="FN7" s="2" t="str">
        <f t="shared" si="7"/>
        <v/>
      </c>
      <c r="FO7" s="2">
        <f t="shared" si="8"/>
        <v>0</v>
      </c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25"/>
      <c r="GT7" s="7"/>
      <c r="GU7" s="2" t="s">
        <v>778</v>
      </c>
      <c r="GV7" s="8">
        <f t="shared" si="16"/>
        <v>0</v>
      </c>
    </row>
    <row r="8" spans="1:207" ht="15" thickBot="1">
      <c r="D8" s="24" t="s">
        <v>141</v>
      </c>
      <c r="E8" s="25" t="str">
        <f>MID(thisdwg,3,1)</f>
        <v>T</v>
      </c>
      <c r="F8" s="127" t="s">
        <v>815</v>
      </c>
      <c r="G8" s="128" t="str">
        <f>building</f>
        <v>CUB</v>
      </c>
      <c r="H8" s="129" t="s">
        <v>816</v>
      </c>
      <c r="I8" s="37"/>
      <c r="J8" s="24"/>
      <c r="K8" s="37"/>
      <c r="L8" s="37"/>
      <c r="M8" s="25"/>
      <c r="N8" s="37"/>
      <c r="O8" s="30" t="s">
        <v>563</v>
      </c>
      <c r="P8" s="37" t="str">
        <f>IsLayout</f>
        <v>No</v>
      </c>
      <c r="Q8" s="37"/>
      <c r="R8" s="37"/>
      <c r="S8" s="37"/>
      <c r="T8" s="24" t="s">
        <v>231</v>
      </c>
      <c r="U8" s="25" t="s">
        <v>251</v>
      </c>
      <c r="V8" s="37"/>
      <c r="W8" s="85" t="s">
        <v>135</v>
      </c>
      <c r="X8" s="87" t="str">
        <f>IF(IsView="Yes",IF(OR(IsLayout="Yes",IsEnlarged="Yes"),IF(X6="Yes","ok","x"),"na"),"na")</f>
        <v>na</v>
      </c>
      <c r="Y8" s="27"/>
      <c r="Z8" s="37"/>
      <c r="AA8" s="88" t="s">
        <v>136</v>
      </c>
      <c r="AB8" s="10" t="str">
        <f>IF(SUM(SumLegal)=0,"ok","x")</f>
        <v>x</v>
      </c>
      <c r="AC8" s="38"/>
      <c r="AD8" s="38"/>
      <c r="AE8" s="27"/>
      <c r="AF8" s="37"/>
      <c r="AR8" s="7"/>
      <c r="AS8" s="2" t="s">
        <v>113</v>
      </c>
      <c r="AT8" s="2" t="s">
        <v>114</v>
      </c>
      <c r="AU8" s="2">
        <v>12</v>
      </c>
      <c r="AV8" s="2"/>
      <c r="AW8" s="2"/>
      <c r="AX8" s="2" t="s">
        <v>84</v>
      </c>
      <c r="AY8" s="2" t="s">
        <v>84</v>
      </c>
      <c r="AZ8" s="2"/>
      <c r="BA8" s="2"/>
      <c r="BB8" s="2"/>
      <c r="BC8" s="2" t="s">
        <v>84</v>
      </c>
      <c r="BD8" s="2"/>
      <c r="BE8" s="2" t="s">
        <v>82</v>
      </c>
      <c r="BF8" s="2"/>
      <c r="BG8" s="2" t="str">
        <f t="shared" si="9"/>
        <v>No</v>
      </c>
      <c r="BH8" s="2"/>
      <c r="BI8" s="2"/>
      <c r="BJ8" s="37"/>
      <c r="BK8" s="37" t="str">
        <f t="shared" si="0"/>
        <v>No</v>
      </c>
      <c r="BL8" s="37" t="str">
        <f t="shared" si="10"/>
        <v>Yes</v>
      </c>
      <c r="BM8" s="37" t="str">
        <f t="shared" si="11"/>
        <v>Yes</v>
      </c>
      <c r="BN8" s="37" t="str">
        <f t="shared" si="1"/>
        <v>Yes</v>
      </c>
      <c r="BO8" s="37" t="str">
        <f t="shared" si="12"/>
        <v>Yes</v>
      </c>
      <c r="BP8" s="37">
        <f t="shared" si="13"/>
        <v>0</v>
      </c>
      <c r="BQ8" s="37"/>
      <c r="BR8" s="24" t="s">
        <v>865</v>
      </c>
      <c r="BS8" s="37"/>
      <c r="BT8" s="37"/>
      <c r="BU8" s="37"/>
      <c r="BV8" s="25"/>
      <c r="BW8" s="37"/>
      <c r="BX8" s="24"/>
      <c r="BY8" s="37"/>
      <c r="BZ8" s="37"/>
      <c r="CA8" s="37"/>
      <c r="CB8" s="17"/>
      <c r="CC8" s="2"/>
      <c r="CD8" s="8"/>
      <c r="CE8" s="37"/>
      <c r="CF8" s="24" t="s">
        <v>874</v>
      </c>
      <c r="CG8" s="37"/>
      <c r="CH8" s="37"/>
      <c r="CI8" s="37"/>
      <c r="CJ8" s="37"/>
      <c r="CK8" s="25"/>
      <c r="CM8" s="7"/>
      <c r="CN8" s="7" t="s">
        <v>686</v>
      </c>
      <c r="CO8" s="2"/>
      <c r="CP8" s="2" t="s">
        <v>1040</v>
      </c>
      <c r="CQ8" s="2"/>
      <c r="CR8" s="2"/>
      <c r="CS8" s="8">
        <f t="shared" si="17"/>
        <v>0</v>
      </c>
      <c r="CT8" s="37">
        <f t="shared" si="19"/>
        <v>0</v>
      </c>
      <c r="CU8" s="37">
        <f t="shared" si="18"/>
        <v>0</v>
      </c>
      <c r="CV8" s="37"/>
      <c r="CZ8" s="37"/>
      <c r="DA8" s="2">
        <f t="shared" si="2"/>
        <v>0</v>
      </c>
      <c r="DB8" s="2">
        <f t="shared" si="14"/>
        <v>1</v>
      </c>
      <c r="DC8" s="2">
        <f t="shared" si="3"/>
        <v>2.38</v>
      </c>
      <c r="DD8" s="2">
        <v>2.38</v>
      </c>
      <c r="DE8" s="2" t="s">
        <v>96</v>
      </c>
      <c r="DF8" s="2" t="s">
        <v>675</v>
      </c>
      <c r="DG8" s="2" t="s">
        <v>97</v>
      </c>
      <c r="DH8" s="8" t="s">
        <v>670</v>
      </c>
      <c r="DI8" s="37"/>
      <c r="DJ8" s="37"/>
      <c r="DK8" s="7"/>
      <c r="DL8" s="2" t="s">
        <v>80</v>
      </c>
      <c r="DM8" s="13"/>
      <c r="DN8" s="37">
        <f t="shared" ref="DN8:DN16" si="20">IF(ISERROR(FIND("$0$",DL8)),0,1)</f>
        <v>0</v>
      </c>
      <c r="DO8" s="37">
        <f t="shared" ref="DO8:DO45" si="21">IF(ISERROR(FIND("$",DL8)),0,1)</f>
        <v>0</v>
      </c>
      <c r="DP8" s="37"/>
      <c r="DQ8" s="37"/>
      <c r="DR8" s="25"/>
      <c r="DW8" s="37"/>
      <c r="DX8" s="24" t="s">
        <v>579</v>
      </c>
      <c r="DY8" s="25" t="str">
        <f>IF(northarrowqty=1,"Yes","No")</f>
        <v>Yes</v>
      </c>
      <c r="DZ8" s="25"/>
      <c r="EA8" s="67"/>
      <c r="EB8" s="7" t="s">
        <v>592</v>
      </c>
      <c r="EC8" s="2"/>
      <c r="ED8" s="2"/>
      <c r="EE8" s="2"/>
      <c r="EF8" s="42"/>
      <c r="EG8" s="8"/>
      <c r="EI8" s="7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13"/>
      <c r="EX8" s="8"/>
      <c r="EY8" s="37"/>
      <c r="EZ8" s="37"/>
      <c r="FA8" s="37"/>
      <c r="FB8" s="37"/>
      <c r="FC8" s="37"/>
      <c r="FD8" s="37"/>
      <c r="FE8" s="37"/>
      <c r="FF8" s="37"/>
      <c r="FG8" s="24"/>
      <c r="FH8" s="37"/>
      <c r="FI8" s="2" t="str">
        <f t="shared" si="4"/>
        <v/>
      </c>
      <c r="FJ8" s="2" t="str">
        <f t="shared" si="15"/>
        <v/>
      </c>
      <c r="FK8" s="2" t="str">
        <f t="shared" si="5"/>
        <v/>
      </c>
      <c r="FL8" s="2" t="str">
        <f t="shared" si="6"/>
        <v/>
      </c>
      <c r="FM8" s="2">
        <v>7</v>
      </c>
      <c r="FN8" s="2" t="str">
        <f t="shared" si="7"/>
        <v/>
      </c>
      <c r="FO8" s="2">
        <f t="shared" si="8"/>
        <v>0</v>
      </c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25"/>
      <c r="GT8" s="7"/>
      <c r="GU8" s="2" t="s">
        <v>793</v>
      </c>
      <c r="GV8" s="8">
        <f t="shared" si="16"/>
        <v>0</v>
      </c>
    </row>
    <row r="9" spans="1:207" ht="15" thickBot="1">
      <c r="D9" s="24" t="s">
        <v>142</v>
      </c>
      <c r="E9" s="25" t="str">
        <f>MID(thisdwg,4,1)</f>
        <v>-</v>
      </c>
      <c r="F9" s="127" t="s">
        <v>817</v>
      </c>
      <c r="G9" s="128" t="str">
        <f>discipline</f>
        <v xml:space="preserve">Telecommunications </v>
      </c>
      <c r="H9" s="129" t="s">
        <v>818</v>
      </c>
      <c r="I9" s="37"/>
      <c r="J9" s="24" t="s">
        <v>824</v>
      </c>
      <c r="K9" s="37"/>
      <c r="L9" s="37"/>
      <c r="M9" s="25"/>
      <c r="N9" s="37"/>
      <c r="O9" s="106" t="s">
        <v>836</v>
      </c>
      <c r="P9" s="101" t="str">
        <f>IF(IsLayout="Yes",xrefNameProper,"")</f>
        <v/>
      </c>
      <c r="Q9" s="37"/>
      <c r="R9" s="37"/>
      <c r="S9" s="37"/>
      <c r="T9" s="26" t="s">
        <v>237</v>
      </c>
      <c r="U9" s="27" t="s">
        <v>313</v>
      </c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R9" s="7"/>
      <c r="AS9" s="2" t="s">
        <v>115</v>
      </c>
      <c r="AT9" s="2" t="s">
        <v>116</v>
      </c>
      <c r="AU9" s="2">
        <v>12</v>
      </c>
      <c r="AV9" s="2"/>
      <c r="AW9" s="2"/>
      <c r="AX9" s="2" t="s">
        <v>84</v>
      </c>
      <c r="AY9" s="2" t="s">
        <v>84</v>
      </c>
      <c r="AZ9" s="2"/>
      <c r="BA9" s="2"/>
      <c r="BB9" s="2"/>
      <c r="BC9" s="2" t="s">
        <v>82</v>
      </c>
      <c r="BD9" s="2"/>
      <c r="BE9" s="2" t="s">
        <v>82</v>
      </c>
      <c r="BF9" s="2"/>
      <c r="BG9" s="2" t="str">
        <f t="shared" si="9"/>
        <v>Yes</v>
      </c>
      <c r="BH9" s="2"/>
      <c r="BI9" s="2"/>
      <c r="BJ9" s="37"/>
      <c r="BK9" s="37" t="str">
        <f t="shared" si="0"/>
        <v>No</v>
      </c>
      <c r="BL9" s="37" t="str">
        <f t="shared" si="10"/>
        <v>Yes</v>
      </c>
      <c r="BM9" s="37" t="str">
        <f t="shared" si="11"/>
        <v>Yes</v>
      </c>
      <c r="BN9" s="37" t="str">
        <f t="shared" si="1"/>
        <v>Yes</v>
      </c>
      <c r="BO9" s="37" t="str">
        <f t="shared" si="12"/>
        <v>Yes</v>
      </c>
      <c r="BP9" s="37">
        <f t="shared" si="13"/>
        <v>0</v>
      </c>
      <c r="BQ9" s="37"/>
      <c r="BR9" s="7" t="s">
        <v>864</v>
      </c>
      <c r="BS9" s="2"/>
      <c r="BT9" s="37"/>
      <c r="BU9" s="37"/>
      <c r="BV9" s="25"/>
      <c r="BW9" s="37"/>
      <c r="BX9" s="24"/>
      <c r="BY9" s="37"/>
      <c r="BZ9" s="37"/>
      <c r="CA9" s="37"/>
      <c r="CB9" s="17"/>
      <c r="CC9" s="2"/>
      <c r="CD9" s="8"/>
      <c r="CE9" s="37"/>
      <c r="CF9" s="7" t="s">
        <v>48</v>
      </c>
      <c r="CG9" s="2">
        <v>31</v>
      </c>
      <c r="CH9" s="39"/>
      <c r="CI9" s="37"/>
      <c r="CJ9" s="37"/>
      <c r="CK9" s="25"/>
      <c r="CM9" s="7"/>
      <c r="CN9" s="2"/>
      <c r="CO9" s="2"/>
      <c r="CP9" s="2"/>
      <c r="CQ9" s="2"/>
      <c r="CR9" s="2"/>
      <c r="CS9" s="8" t="str">
        <f t="shared" si="17"/>
        <v/>
      </c>
      <c r="CT9" s="37" t="str">
        <f t="shared" si="19"/>
        <v/>
      </c>
      <c r="CU9" s="37" t="str">
        <f t="shared" si="18"/>
        <v/>
      </c>
      <c r="CV9" s="37"/>
      <c r="CZ9" s="37"/>
      <c r="DA9" s="2">
        <f t="shared" si="2"/>
        <v>0</v>
      </c>
      <c r="DB9" s="2">
        <f t="shared" si="14"/>
        <v>1</v>
      </c>
      <c r="DC9" s="2">
        <f t="shared" si="3"/>
        <v>2.38</v>
      </c>
      <c r="DD9" s="2">
        <v>2.38</v>
      </c>
      <c r="DE9" s="2" t="s">
        <v>96</v>
      </c>
      <c r="DF9" s="2" t="s">
        <v>676</v>
      </c>
      <c r="DG9" s="2" t="s">
        <v>97</v>
      </c>
      <c r="DH9" s="8" t="s">
        <v>670</v>
      </c>
      <c r="DI9" s="37"/>
      <c r="DJ9" s="37"/>
      <c r="DK9" s="7"/>
      <c r="DL9" s="2" t="s">
        <v>104</v>
      </c>
      <c r="DM9" s="13"/>
      <c r="DN9" s="37">
        <f t="shared" si="20"/>
        <v>0</v>
      </c>
      <c r="DO9" s="37">
        <f t="shared" si="21"/>
        <v>0</v>
      </c>
      <c r="DP9" s="37"/>
      <c r="DQ9" s="37"/>
      <c r="DR9" s="25"/>
      <c r="DW9" s="37"/>
      <c r="DX9" s="24" t="s">
        <v>580</v>
      </c>
      <c r="DY9" s="25" t="str">
        <f>IF(AND(northarrowangle=0,northxscale&lt;0),"Yes","No")</f>
        <v>No</v>
      </c>
      <c r="DZ9" s="25"/>
      <c r="EA9" s="67"/>
      <c r="EB9" s="7" t="s">
        <v>593</v>
      </c>
      <c r="EC9" s="2"/>
      <c r="ED9" s="2"/>
      <c r="EE9" s="2"/>
      <c r="EF9" s="2"/>
      <c r="EG9" s="8"/>
      <c r="EI9" s="7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13"/>
      <c r="EX9" s="8"/>
      <c r="EY9" s="37"/>
      <c r="EZ9" s="37"/>
      <c r="FA9" s="37"/>
      <c r="FB9" s="37"/>
      <c r="FC9" s="37"/>
      <c r="FD9" s="37"/>
      <c r="FE9" s="37"/>
      <c r="FF9" s="37"/>
      <c r="FG9" s="24"/>
      <c r="FH9" s="37"/>
      <c r="FI9" s="2" t="str">
        <f t="shared" si="4"/>
        <v/>
      </c>
      <c r="FJ9" s="2" t="str">
        <f t="shared" si="15"/>
        <v/>
      </c>
      <c r="FK9" s="2" t="str">
        <f t="shared" si="5"/>
        <v/>
      </c>
      <c r="FL9" s="2" t="str">
        <f t="shared" si="6"/>
        <v/>
      </c>
      <c r="FM9" s="2">
        <v>8</v>
      </c>
      <c r="FN9" s="2" t="str">
        <f t="shared" si="7"/>
        <v/>
      </c>
      <c r="FO9" s="2">
        <f t="shared" si="8"/>
        <v>0</v>
      </c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25"/>
      <c r="GT9" s="7"/>
      <c r="GU9" s="2" t="s">
        <v>330</v>
      </c>
      <c r="GV9" s="8">
        <f t="shared" si="16"/>
        <v>0</v>
      </c>
    </row>
    <row r="10" spans="1:207">
      <c r="D10" s="24" t="s">
        <v>143</v>
      </c>
      <c r="E10" s="25" t="str">
        <f>MID(thisdwg,5,1)</f>
        <v>0</v>
      </c>
      <c r="F10" s="127" t="s">
        <v>819</v>
      </c>
      <c r="G10" s="128" t="str">
        <f>IF(IsLayout="Yes","Layout",series)</f>
        <v>Diagrams and schematics (e.g. block, ladder, one-line and riser diagrams, PLC Communication), Electrical panel</v>
      </c>
      <c r="H10" s="129"/>
      <c r="I10" s="37"/>
      <c r="J10" s="7" t="s">
        <v>5</v>
      </c>
      <c r="K10" s="2" t="s">
        <v>71</v>
      </c>
      <c r="L10" s="37"/>
      <c r="M10" s="25"/>
      <c r="N10" s="37"/>
      <c r="O10" s="24"/>
      <c r="P10" s="37"/>
      <c r="Q10" s="37"/>
      <c r="R10" s="37"/>
      <c r="S10" s="37"/>
      <c r="T10" s="37"/>
      <c r="U10" s="25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R10" s="7"/>
      <c r="AS10" s="2" t="s">
        <v>117</v>
      </c>
      <c r="AT10" s="2" t="s">
        <v>118</v>
      </c>
      <c r="AU10" s="2">
        <v>12</v>
      </c>
      <c r="AV10" s="2"/>
      <c r="AW10" s="2"/>
      <c r="AX10" s="2" t="s">
        <v>84</v>
      </c>
      <c r="AY10" s="2" t="s">
        <v>84</v>
      </c>
      <c r="AZ10" s="2"/>
      <c r="BA10" s="2" t="s">
        <v>84</v>
      </c>
      <c r="BB10" s="2"/>
      <c r="BC10" s="2" t="s">
        <v>84</v>
      </c>
      <c r="BD10" s="2"/>
      <c r="BE10" s="2" t="s">
        <v>82</v>
      </c>
      <c r="BF10" s="2"/>
      <c r="BG10" s="2" t="str">
        <f t="shared" si="9"/>
        <v>No</v>
      </c>
      <c r="BH10" s="2"/>
      <c r="BI10" s="2"/>
      <c r="BJ10" s="37"/>
      <c r="BK10" s="37" t="str">
        <f t="shared" si="0"/>
        <v>No</v>
      </c>
      <c r="BL10" s="37" t="str">
        <f t="shared" si="10"/>
        <v>Yes</v>
      </c>
      <c r="BM10" s="37" t="str">
        <f t="shared" si="11"/>
        <v>Yes</v>
      </c>
      <c r="BN10" s="37" t="str">
        <f t="shared" si="1"/>
        <v>Yes</v>
      </c>
      <c r="BO10" s="37" t="str">
        <f t="shared" si="12"/>
        <v>Yes</v>
      </c>
      <c r="BP10" s="37">
        <f t="shared" si="13"/>
        <v>0</v>
      </c>
      <c r="BQ10" s="37"/>
      <c r="BR10" s="7" t="s">
        <v>804</v>
      </c>
      <c r="BS10" s="2" t="s">
        <v>805</v>
      </c>
      <c r="BT10" s="37"/>
      <c r="BU10" s="37"/>
      <c r="BV10" s="25"/>
      <c r="BW10" s="37"/>
      <c r="BX10" s="24"/>
      <c r="BY10" s="37"/>
      <c r="BZ10" s="37"/>
      <c r="CA10" s="37"/>
      <c r="CB10" s="17"/>
      <c r="CC10" s="2"/>
      <c r="CD10" s="8"/>
      <c r="CE10" s="37"/>
      <c r="CF10" s="7" t="s">
        <v>49</v>
      </c>
      <c r="CG10" s="2">
        <v>11</v>
      </c>
      <c r="CH10" s="37"/>
      <c r="CI10" s="37"/>
      <c r="CJ10" s="37"/>
      <c r="CK10" s="25"/>
      <c r="CM10" s="7"/>
      <c r="CN10" s="2"/>
      <c r="CO10" s="2"/>
      <c r="CP10" s="2"/>
      <c r="CQ10" s="2"/>
      <c r="CR10" s="2"/>
      <c r="CS10" s="8" t="str">
        <f t="shared" si="17"/>
        <v/>
      </c>
      <c r="CT10" s="37" t="str">
        <f t="shared" si="19"/>
        <v/>
      </c>
      <c r="CU10" s="37" t="str">
        <f t="shared" si="18"/>
        <v/>
      </c>
      <c r="CV10" s="37"/>
      <c r="CW10" s="37"/>
      <c r="CX10" s="37"/>
      <c r="CY10" s="37"/>
      <c r="CZ10" s="37"/>
      <c r="DA10" s="2">
        <f t="shared" si="2"/>
        <v>0</v>
      </c>
      <c r="DB10" s="2">
        <f t="shared" si="14"/>
        <v>1</v>
      </c>
      <c r="DC10" s="2">
        <f t="shared" si="3"/>
        <v>2.38</v>
      </c>
      <c r="DD10" s="2">
        <v>2.38</v>
      </c>
      <c r="DE10" s="2" t="s">
        <v>96</v>
      </c>
      <c r="DF10" s="2">
        <v>1</v>
      </c>
      <c r="DG10" s="2" t="s">
        <v>97</v>
      </c>
      <c r="DH10" s="8" t="s">
        <v>670</v>
      </c>
      <c r="DI10" s="37"/>
      <c r="DJ10" s="37"/>
      <c r="DK10" s="7"/>
      <c r="DL10" s="2" t="s">
        <v>85</v>
      </c>
      <c r="DM10" s="13"/>
      <c r="DN10" s="37">
        <f t="shared" si="20"/>
        <v>0</v>
      </c>
      <c r="DO10" s="37">
        <f t="shared" si="21"/>
        <v>0</v>
      </c>
      <c r="DP10" s="37"/>
      <c r="DQ10" s="37"/>
      <c r="DR10" s="25"/>
      <c r="DW10" s="37"/>
      <c r="DX10" s="24"/>
      <c r="DY10" s="25"/>
      <c r="DZ10" s="25"/>
      <c r="EA10" s="67"/>
      <c r="EB10" s="7" t="s">
        <v>594</v>
      </c>
      <c r="EC10" s="2"/>
      <c r="ED10" s="2"/>
      <c r="EE10" s="2"/>
      <c r="EF10" s="2"/>
      <c r="EG10" s="8"/>
      <c r="EI10" s="7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13"/>
      <c r="EX10" s="8"/>
      <c r="EY10" s="37"/>
      <c r="EZ10" s="37"/>
      <c r="FA10" s="37"/>
      <c r="FB10" s="37"/>
      <c r="FC10" s="37"/>
      <c r="FD10" s="37"/>
      <c r="FE10" s="37"/>
      <c r="FF10" s="37"/>
      <c r="FG10" s="24"/>
      <c r="FH10" s="37"/>
      <c r="FI10" s="2" t="str">
        <f t="shared" si="4"/>
        <v/>
      </c>
      <c r="FJ10" s="2" t="str">
        <f t="shared" si="15"/>
        <v/>
      </c>
      <c r="FK10" s="2" t="str">
        <f t="shared" si="5"/>
        <v/>
      </c>
      <c r="FL10" s="2" t="str">
        <f t="shared" si="6"/>
        <v/>
      </c>
      <c r="FM10" s="2">
        <v>9</v>
      </c>
      <c r="FN10" s="2" t="str">
        <f t="shared" si="7"/>
        <v/>
      </c>
      <c r="FO10" s="2">
        <f t="shared" si="8"/>
        <v>0</v>
      </c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25"/>
      <c r="GT10" s="7"/>
      <c r="GU10" s="2" t="s">
        <v>330</v>
      </c>
      <c r="GV10" s="8">
        <f t="shared" si="16"/>
        <v>0</v>
      </c>
    </row>
    <row r="11" spans="1:207">
      <c r="D11" s="24" t="s">
        <v>144</v>
      </c>
      <c r="E11" s="25" t="str">
        <f>MID(thisdwg,6,1)</f>
        <v>2</v>
      </c>
      <c r="F11" s="127" t="str">
        <f>IF(IsLayout="Yes","Level is:","")</f>
        <v/>
      </c>
      <c r="G11" s="128" t="str">
        <f>IF(IsLayout="Yes",E27,"")</f>
        <v/>
      </c>
      <c r="H11" s="129"/>
      <c r="I11" s="37"/>
      <c r="J11" s="7" t="s">
        <v>6</v>
      </c>
      <c r="K11" s="2" t="s">
        <v>71</v>
      </c>
      <c r="L11" s="37"/>
      <c r="M11" s="25"/>
      <c r="N11" s="37"/>
      <c r="O11" s="24"/>
      <c r="P11" s="37"/>
      <c r="Q11" s="37"/>
      <c r="R11" s="37"/>
      <c r="S11" s="37"/>
      <c r="T11" s="37"/>
      <c r="U11" s="25"/>
      <c r="V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R11" s="7"/>
      <c r="AS11" s="2" t="s">
        <v>1033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 t="str">
        <f t="shared" si="9"/>
        <v/>
      </c>
      <c r="BH11" s="2"/>
      <c r="BI11" s="2"/>
      <c r="BJ11" s="37"/>
      <c r="BK11" s="37" t="str">
        <f t="shared" si="0"/>
        <v/>
      </c>
      <c r="BL11" s="37" t="str">
        <f t="shared" si="10"/>
        <v>No</v>
      </c>
      <c r="BM11" s="37" t="str">
        <f t="shared" si="11"/>
        <v>No</v>
      </c>
      <c r="BN11" s="37" t="str">
        <f t="shared" si="1"/>
        <v>Yes</v>
      </c>
      <c r="BO11" s="37" t="str">
        <f t="shared" si="12"/>
        <v>No</v>
      </c>
      <c r="BP11" s="37">
        <f t="shared" si="13"/>
        <v>1</v>
      </c>
      <c r="BQ11" s="37"/>
      <c r="BR11" s="7"/>
      <c r="BS11" s="2"/>
      <c r="BT11" s="37"/>
      <c r="BU11" s="37"/>
      <c r="BV11" s="25"/>
      <c r="BW11" s="37"/>
      <c r="BX11" s="24"/>
      <c r="BY11" s="37"/>
      <c r="BZ11" s="37"/>
      <c r="CA11" s="37"/>
      <c r="CB11" s="17"/>
      <c r="CC11" s="2"/>
      <c r="CD11" s="8"/>
      <c r="CE11" s="37"/>
      <c r="CF11" s="7" t="s">
        <v>50</v>
      </c>
      <c r="CG11" s="2">
        <v>0</v>
      </c>
      <c r="CH11" s="37"/>
      <c r="CI11" s="37"/>
      <c r="CJ11" s="37"/>
      <c r="CK11" s="25"/>
      <c r="CM11" s="7"/>
      <c r="CN11" s="2"/>
      <c r="CO11" s="2"/>
      <c r="CP11" s="2"/>
      <c r="CQ11" s="2"/>
      <c r="CR11" s="2"/>
      <c r="CS11" s="8" t="str">
        <f t="shared" si="17"/>
        <v/>
      </c>
      <c r="CT11" s="37" t="str">
        <f t="shared" si="19"/>
        <v/>
      </c>
      <c r="CU11" s="37" t="str">
        <f t="shared" si="18"/>
        <v/>
      </c>
      <c r="CV11" s="37"/>
      <c r="CW11" s="37"/>
      <c r="CZ11" s="37"/>
      <c r="DA11" s="2">
        <f t="shared" si="2"/>
        <v>0</v>
      </c>
      <c r="DB11" s="2">
        <f t="shared" si="14"/>
        <v>1</v>
      </c>
      <c r="DC11" s="2">
        <f t="shared" si="3"/>
        <v>2.38</v>
      </c>
      <c r="DD11" s="2">
        <v>2.38</v>
      </c>
      <c r="DE11" s="2" t="s">
        <v>96</v>
      </c>
      <c r="DF11" s="2" t="s">
        <v>677</v>
      </c>
      <c r="DG11" s="2" t="s">
        <v>97</v>
      </c>
      <c r="DH11" s="8" t="s">
        <v>670</v>
      </c>
      <c r="DI11" s="37"/>
      <c r="DJ11" s="37"/>
      <c r="DK11" s="7"/>
      <c r="DL11" s="2" t="s">
        <v>86</v>
      </c>
      <c r="DM11" s="13"/>
      <c r="DN11" s="37">
        <f t="shared" si="20"/>
        <v>0</v>
      </c>
      <c r="DO11" s="37">
        <f t="shared" si="21"/>
        <v>0</v>
      </c>
      <c r="DP11" s="37"/>
      <c r="DQ11" s="37"/>
      <c r="DR11" s="25"/>
      <c r="DW11" s="37"/>
      <c r="DX11" s="7" t="s">
        <v>576</v>
      </c>
      <c r="DY11" s="92" t="str">
        <f>IF(IsView="Yes",IF(AND(IsLayout="No",DY7="No"),"na",IF(AND(northarrowok="Yes",OR(IsLayout="Yes",DY7="Yes")),"ok","x")),"na")</f>
        <v>na</v>
      </c>
      <c r="DZ11" s="78"/>
      <c r="EA11" s="67"/>
      <c r="EB11" s="7" t="s">
        <v>595</v>
      </c>
      <c r="EC11" s="2"/>
      <c r="ED11" s="2"/>
      <c r="EE11" s="2"/>
      <c r="EF11" s="2"/>
      <c r="EG11" s="8"/>
      <c r="EI11" s="7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13"/>
      <c r="EX11" s="8"/>
      <c r="EY11" s="37"/>
      <c r="EZ11" s="37"/>
      <c r="FA11" s="37"/>
      <c r="FB11" s="37"/>
      <c r="FC11" s="37"/>
      <c r="FD11" s="37"/>
      <c r="FE11" s="37"/>
      <c r="FF11" s="37"/>
      <c r="FG11" s="24"/>
      <c r="FH11" s="37"/>
      <c r="FI11" s="2" t="str">
        <f t="shared" si="4"/>
        <v/>
      </c>
      <c r="FJ11" s="2" t="str">
        <f t="shared" si="15"/>
        <v/>
      </c>
      <c r="FK11" s="2" t="str">
        <f t="shared" si="5"/>
        <v/>
      </c>
      <c r="FL11" s="2" t="str">
        <f t="shared" si="6"/>
        <v/>
      </c>
      <c r="FM11" s="2">
        <v>10</v>
      </c>
      <c r="FN11" s="2" t="str">
        <f t="shared" si="7"/>
        <v/>
      </c>
      <c r="FO11" s="2">
        <f t="shared" si="8"/>
        <v>0</v>
      </c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25"/>
      <c r="GT11" s="7"/>
      <c r="GU11" s="2" t="s">
        <v>801</v>
      </c>
      <c r="GV11" s="8">
        <f t="shared" si="16"/>
        <v>0</v>
      </c>
    </row>
    <row r="12" spans="1:207">
      <c r="D12" s="24" t="s">
        <v>145</v>
      </c>
      <c r="E12" s="25" t="str">
        <f>MID(thisdwg,7,1)</f>
        <v>2</v>
      </c>
      <c r="F12" s="127" t="str">
        <f>IF(IsLayout="Yes","in sector","")</f>
        <v/>
      </c>
      <c r="G12" s="128" t="str">
        <f>IF(IsLayout="Yes",sector,"")</f>
        <v/>
      </c>
      <c r="H12" s="129"/>
      <c r="I12" s="37"/>
      <c r="J12" s="7" t="s">
        <v>7</v>
      </c>
      <c r="K12" s="2" t="s">
        <v>72</v>
      </c>
      <c r="L12" s="37"/>
      <c r="M12" s="25"/>
      <c r="N12" s="37"/>
      <c r="O12" s="24" t="s">
        <v>572</v>
      </c>
      <c r="P12" s="37" t="str">
        <f>IF(ISERROR(VLOOKUP(xrefNameProper,xrefnames,1,FALSE)),"No",IF(VLOOKUP(xrefNameProper,xrefnames,1,FALSE)=xrefNameProper,"Yes","No"))</f>
        <v>No</v>
      </c>
      <c r="Q12" s="37"/>
      <c r="R12" s="37"/>
      <c r="S12" s="37"/>
      <c r="T12" s="37"/>
      <c r="U12" s="25"/>
      <c r="V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R12" s="7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 t="str">
        <f t="shared" si="9"/>
        <v/>
      </c>
      <c r="BH12" s="2"/>
      <c r="BI12" s="2"/>
      <c r="BJ12" s="37"/>
      <c r="BK12" s="37" t="str">
        <f t="shared" si="0"/>
        <v/>
      </c>
      <c r="BL12" s="37" t="str">
        <f t="shared" si="10"/>
        <v/>
      </c>
      <c r="BM12" s="37" t="str">
        <f t="shared" si="11"/>
        <v/>
      </c>
      <c r="BN12" s="37" t="str">
        <f t="shared" si="1"/>
        <v/>
      </c>
      <c r="BO12" s="37" t="str">
        <f t="shared" si="12"/>
        <v/>
      </c>
      <c r="BP12" s="37">
        <f t="shared" si="13"/>
        <v>0</v>
      </c>
      <c r="BQ12" s="37"/>
      <c r="BR12" s="7"/>
      <c r="BS12" s="2"/>
      <c r="BT12" s="37"/>
      <c r="BU12" s="37"/>
      <c r="BV12" s="25"/>
      <c r="BW12" s="37"/>
      <c r="BX12" s="24"/>
      <c r="BY12" s="37"/>
      <c r="BZ12" s="37"/>
      <c r="CA12" s="37"/>
      <c r="CB12" s="17"/>
      <c r="CC12" s="2"/>
      <c r="CD12" s="8"/>
      <c r="CE12" s="37"/>
      <c r="CF12" s="7" t="s">
        <v>51</v>
      </c>
      <c r="CG12" s="2">
        <v>0</v>
      </c>
      <c r="CH12" s="37"/>
      <c r="CI12" s="37"/>
      <c r="CJ12" s="37"/>
      <c r="CK12" s="25"/>
      <c r="CM12" s="7"/>
      <c r="CN12" s="2"/>
      <c r="CO12" s="2"/>
      <c r="CP12" s="2"/>
      <c r="CQ12" s="2"/>
      <c r="CR12" s="2"/>
      <c r="CS12" s="8" t="str">
        <f t="shared" si="17"/>
        <v/>
      </c>
      <c r="CT12" s="37" t="str">
        <f t="shared" si="19"/>
        <v/>
      </c>
      <c r="CU12" s="37" t="str">
        <f t="shared" si="18"/>
        <v/>
      </c>
      <c r="CV12" s="37"/>
      <c r="CW12" s="2"/>
      <c r="CX12" s="37"/>
      <c r="CY12" s="37"/>
      <c r="CZ12" s="37"/>
      <c r="DA12" s="2">
        <f t="shared" si="2"/>
        <v>0</v>
      </c>
      <c r="DB12" s="2">
        <f t="shared" si="14"/>
        <v>1</v>
      </c>
      <c r="DC12" s="2">
        <f t="shared" si="3"/>
        <v>6.35</v>
      </c>
      <c r="DD12" s="2">
        <v>6.35</v>
      </c>
      <c r="DE12" s="2" t="s">
        <v>96</v>
      </c>
      <c r="DF12" s="2" t="s">
        <v>678</v>
      </c>
      <c r="DG12" s="2" t="s">
        <v>98</v>
      </c>
      <c r="DH12" s="8" t="s">
        <v>670</v>
      </c>
      <c r="DI12" s="37"/>
      <c r="DJ12" s="37"/>
      <c r="DK12" s="7"/>
      <c r="DL12" s="2" t="s">
        <v>87</v>
      </c>
      <c r="DM12" s="13"/>
      <c r="DN12" s="37">
        <f t="shared" si="20"/>
        <v>0</v>
      </c>
      <c r="DO12" s="37">
        <f t="shared" si="21"/>
        <v>0</v>
      </c>
      <c r="DP12" s="37"/>
      <c r="DQ12" s="37"/>
      <c r="DR12" s="25"/>
      <c r="DW12" s="37"/>
      <c r="DX12" s="93"/>
      <c r="DY12" s="94"/>
      <c r="DZ12" s="25"/>
      <c r="EA12" s="37"/>
      <c r="EB12" s="7" t="s">
        <v>596</v>
      </c>
      <c r="EC12" s="2">
        <v>0</v>
      </c>
      <c r="ED12" s="2" t="s">
        <v>600</v>
      </c>
      <c r="EE12" s="2" t="s">
        <v>597</v>
      </c>
      <c r="EF12" s="42">
        <v>38929</v>
      </c>
      <c r="EG12" s="8"/>
      <c r="EI12" s="7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13"/>
      <c r="EX12" s="8"/>
      <c r="EY12" s="37"/>
      <c r="EZ12" s="37"/>
      <c r="FA12" s="37"/>
      <c r="FB12" s="37"/>
      <c r="FC12" s="37"/>
      <c r="FD12" s="37"/>
      <c r="FE12" s="37"/>
      <c r="FF12" s="37"/>
      <c r="FG12" s="24"/>
      <c r="FH12" s="37"/>
      <c r="FI12" s="2" t="str">
        <f t="shared" si="4"/>
        <v/>
      </c>
      <c r="FJ12" s="2" t="str">
        <f t="shared" si="15"/>
        <v/>
      </c>
      <c r="FK12" s="2" t="str">
        <f t="shared" si="5"/>
        <v/>
      </c>
      <c r="FL12" s="2" t="str">
        <f t="shared" si="6"/>
        <v/>
      </c>
      <c r="FM12" s="2">
        <v>11</v>
      </c>
      <c r="FN12" s="2" t="str">
        <f t="shared" si="7"/>
        <v/>
      </c>
      <c r="FO12" s="2">
        <f t="shared" si="8"/>
        <v>0</v>
      </c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25"/>
      <c r="GT12" s="7"/>
      <c r="GU12" s="2" t="s">
        <v>779</v>
      </c>
      <c r="GV12" s="8">
        <f t="shared" si="16"/>
        <v>0</v>
      </c>
    </row>
    <row r="13" spans="1:207" ht="15" thickBot="1">
      <c r="D13" s="24" t="s">
        <v>146</v>
      </c>
      <c r="E13" s="25" t="str">
        <f>MID(thisdwg,8,1)</f>
        <v>0</v>
      </c>
      <c r="F13" s="37"/>
      <c r="G13" s="37"/>
      <c r="H13" s="25"/>
      <c r="I13" s="37"/>
      <c r="J13" s="7" t="s">
        <v>8</v>
      </c>
      <c r="K13" s="138" t="s">
        <v>73</v>
      </c>
      <c r="L13" s="37"/>
      <c r="M13" s="25"/>
      <c r="N13" s="37"/>
      <c r="O13" s="24"/>
      <c r="P13" s="37"/>
      <c r="Q13" s="37"/>
      <c r="R13" s="37"/>
      <c r="S13" s="37"/>
      <c r="T13" s="37"/>
      <c r="U13" s="25"/>
      <c r="V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R13" s="7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 t="str">
        <f t="shared" si="9"/>
        <v/>
      </c>
      <c r="BH13" s="2"/>
      <c r="BI13" s="2"/>
      <c r="BJ13" s="37"/>
      <c r="BK13" s="37" t="str">
        <f t="shared" si="0"/>
        <v/>
      </c>
      <c r="BL13" s="37" t="str">
        <f t="shared" si="10"/>
        <v/>
      </c>
      <c r="BM13" s="37" t="str">
        <f t="shared" si="11"/>
        <v/>
      </c>
      <c r="BN13" s="37" t="str">
        <f t="shared" si="1"/>
        <v/>
      </c>
      <c r="BO13" s="37" t="str">
        <f t="shared" si="12"/>
        <v/>
      </c>
      <c r="BP13" s="37">
        <f t="shared" si="13"/>
        <v>0</v>
      </c>
      <c r="BQ13" s="37"/>
      <c r="BR13" s="7"/>
      <c r="BS13" s="2"/>
      <c r="BT13" s="37"/>
      <c r="BU13" s="37"/>
      <c r="BV13" s="25"/>
      <c r="BW13" s="37"/>
      <c r="BX13" s="24"/>
      <c r="BY13" s="37"/>
      <c r="BZ13" s="37"/>
      <c r="CA13" s="37"/>
      <c r="CB13" s="17"/>
      <c r="CC13" s="2"/>
      <c r="CD13" s="8"/>
      <c r="CE13" s="37"/>
      <c r="CF13" s="7" t="s">
        <v>52</v>
      </c>
      <c r="CG13" s="2">
        <v>44</v>
      </c>
      <c r="CH13" s="37"/>
      <c r="CI13" s="37"/>
      <c r="CJ13" s="37"/>
      <c r="CK13" s="25"/>
      <c r="CM13" s="7"/>
      <c r="CN13" s="2"/>
      <c r="CO13" s="2"/>
      <c r="CP13" s="2"/>
      <c r="CQ13" s="2"/>
      <c r="CR13" s="2"/>
      <c r="CS13" s="8" t="str">
        <f t="shared" si="17"/>
        <v/>
      </c>
      <c r="CT13" s="37" t="str">
        <f t="shared" si="19"/>
        <v/>
      </c>
      <c r="CU13" s="37" t="str">
        <f t="shared" si="18"/>
        <v/>
      </c>
      <c r="CV13" s="37"/>
      <c r="CW13" s="37"/>
      <c r="CX13" s="37"/>
      <c r="CY13" s="37"/>
      <c r="CZ13" s="37"/>
      <c r="DA13" s="2">
        <f t="shared" si="2"/>
        <v>0</v>
      </c>
      <c r="DB13" s="2">
        <f t="shared" si="14"/>
        <v>1</v>
      </c>
      <c r="DC13" s="2">
        <f t="shared" si="3"/>
        <v>6.35</v>
      </c>
      <c r="DD13" s="2">
        <v>6.35</v>
      </c>
      <c r="DE13" s="2" t="s">
        <v>96</v>
      </c>
      <c r="DF13" s="2" t="s">
        <v>679</v>
      </c>
      <c r="DG13" s="2" t="s">
        <v>98</v>
      </c>
      <c r="DH13" s="8" t="s">
        <v>670</v>
      </c>
      <c r="DI13" s="37"/>
      <c r="DJ13" s="37"/>
      <c r="DK13" s="7"/>
      <c r="DL13" s="2" t="s">
        <v>88</v>
      </c>
      <c r="DM13" s="13"/>
      <c r="DN13" s="37">
        <f t="shared" si="20"/>
        <v>0</v>
      </c>
      <c r="DO13" s="37">
        <f t="shared" si="21"/>
        <v>0</v>
      </c>
      <c r="DP13" s="37"/>
      <c r="DQ13" s="37"/>
      <c r="DR13" s="25"/>
      <c r="DW13" s="37"/>
      <c r="DX13" s="89" t="s">
        <v>574</v>
      </c>
      <c r="DY13" s="8">
        <v>1</v>
      </c>
      <c r="DZ13" s="25"/>
      <c r="EA13" s="37"/>
      <c r="EB13" s="7" t="s">
        <v>598</v>
      </c>
      <c r="EC13" s="2"/>
      <c r="ED13" s="2"/>
      <c r="EE13" s="2"/>
      <c r="EF13" s="2"/>
      <c r="EG13" s="8"/>
      <c r="EI13" s="7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13"/>
      <c r="EX13" s="8"/>
      <c r="EY13" s="37"/>
      <c r="EZ13" s="37"/>
      <c r="FA13" s="37"/>
      <c r="FB13" s="37"/>
      <c r="FC13" s="37"/>
      <c r="FD13" s="37"/>
      <c r="FE13" s="37"/>
      <c r="FF13" s="37"/>
      <c r="FG13" s="24"/>
      <c r="FH13" s="37"/>
      <c r="FI13" s="2" t="str">
        <f t="shared" si="4"/>
        <v/>
      </c>
      <c r="FJ13" s="2" t="str">
        <f t="shared" si="15"/>
        <v/>
      </c>
      <c r="FK13" s="2" t="str">
        <f t="shared" si="5"/>
        <v/>
      </c>
      <c r="FL13" s="2" t="str">
        <f t="shared" si="6"/>
        <v/>
      </c>
      <c r="FM13" s="2">
        <v>12</v>
      </c>
      <c r="FN13" s="2" t="str">
        <f t="shared" si="7"/>
        <v/>
      </c>
      <c r="FO13" s="2">
        <f t="shared" si="8"/>
        <v>0</v>
      </c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25"/>
      <c r="GT13" s="7"/>
      <c r="GU13" s="2" t="s">
        <v>121</v>
      </c>
      <c r="GV13" s="8">
        <f t="shared" si="16"/>
        <v>0</v>
      </c>
    </row>
    <row r="14" spans="1:207" ht="15" thickBot="1">
      <c r="D14" s="26" t="s">
        <v>147</v>
      </c>
      <c r="E14" s="38" t="str">
        <f>MID(thisdwg,9,1)</f>
        <v>.</v>
      </c>
      <c r="F14" s="22" t="s">
        <v>821</v>
      </c>
      <c r="G14" s="23"/>
      <c r="H14" s="25"/>
      <c r="I14" s="37"/>
      <c r="J14" s="7" t="s">
        <v>9</v>
      </c>
      <c r="K14" s="138" t="s">
        <v>74</v>
      </c>
      <c r="L14" s="37" t="s">
        <v>1074</v>
      </c>
      <c r="M14" s="25" t="str">
        <f>IF(LEN(SUBSTITUTE(Scale,"NO",""))&lt;LEN(Scale),"Yes","No")</f>
        <v>No</v>
      </c>
      <c r="N14" s="37"/>
      <c r="O14" s="24" t="s">
        <v>573</v>
      </c>
      <c r="P14" s="71" t="str">
        <f>IF(IsView="Yes",IF(OR(IsLayout="No",AND(OR(IsEnlarged="Yes",IsLayout="Yes"),properXrefFound="Yes")),"na","x"),IF(paperall&lt;3,"ok","x"))</f>
        <v>na</v>
      </c>
      <c r="Q14" s="67"/>
      <c r="R14" s="67"/>
      <c r="S14" s="37"/>
      <c r="T14" s="37"/>
      <c r="U14" s="25"/>
      <c r="V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R14" s="7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 t="str">
        <f t="shared" si="9"/>
        <v/>
      </c>
      <c r="BH14" s="2"/>
      <c r="BI14" s="2"/>
      <c r="BJ14" s="37"/>
      <c r="BK14" s="37" t="str">
        <f t="shared" si="0"/>
        <v/>
      </c>
      <c r="BL14" s="37" t="str">
        <f t="shared" si="10"/>
        <v/>
      </c>
      <c r="BM14" s="37" t="str">
        <f t="shared" si="11"/>
        <v/>
      </c>
      <c r="BN14" s="37" t="str">
        <f t="shared" si="1"/>
        <v/>
      </c>
      <c r="BO14" s="37" t="str">
        <f t="shared" si="12"/>
        <v/>
      </c>
      <c r="BP14" s="37">
        <f t="shared" si="13"/>
        <v>0</v>
      </c>
      <c r="BQ14" s="37"/>
      <c r="BR14" s="7"/>
      <c r="BS14" s="2"/>
      <c r="BT14" s="37"/>
      <c r="BU14" s="37"/>
      <c r="BV14" s="25"/>
      <c r="BW14" s="37"/>
      <c r="BX14" s="24"/>
      <c r="BY14" s="37"/>
      <c r="BZ14" s="37"/>
      <c r="CA14" s="37"/>
      <c r="CB14" s="17"/>
      <c r="CC14" s="2"/>
      <c r="CD14" s="8"/>
      <c r="CE14" s="37"/>
      <c r="CF14" s="7" t="s">
        <v>53</v>
      </c>
      <c r="CG14" s="2">
        <v>0</v>
      </c>
      <c r="CH14" s="37"/>
      <c r="CI14" s="37"/>
      <c r="CJ14" s="37"/>
      <c r="CK14" s="25"/>
      <c r="CM14" s="7"/>
      <c r="CN14" s="2"/>
      <c r="CO14" s="2"/>
      <c r="CP14" s="2"/>
      <c r="CQ14" s="2"/>
      <c r="CR14" s="2"/>
      <c r="CS14" s="8" t="str">
        <f t="shared" si="17"/>
        <v/>
      </c>
      <c r="CT14" s="37" t="str">
        <f t="shared" si="19"/>
        <v/>
      </c>
      <c r="CU14" s="37" t="str">
        <f t="shared" si="18"/>
        <v/>
      </c>
      <c r="CV14" s="37"/>
      <c r="CW14" s="37"/>
      <c r="CX14" s="37"/>
      <c r="CY14" s="37"/>
      <c r="CZ14" s="37"/>
      <c r="DA14" s="2">
        <f t="shared" si="2"/>
        <v>0</v>
      </c>
      <c r="DB14" s="2">
        <f t="shared" si="14"/>
        <v>1</v>
      </c>
      <c r="DC14" s="2">
        <f t="shared" si="3"/>
        <v>2.38</v>
      </c>
      <c r="DD14" s="2">
        <v>2.38</v>
      </c>
      <c r="DE14" s="2" t="s">
        <v>96</v>
      </c>
      <c r="DF14" s="2" t="s">
        <v>680</v>
      </c>
      <c r="DG14" s="2" t="s">
        <v>97</v>
      </c>
      <c r="DH14" s="8" t="s">
        <v>670</v>
      </c>
      <c r="DI14" s="37"/>
      <c r="DJ14" s="37"/>
      <c r="DK14" s="7"/>
      <c r="DL14" s="2" t="s">
        <v>89</v>
      </c>
      <c r="DM14" s="13"/>
      <c r="DN14" s="37">
        <f t="shared" si="20"/>
        <v>0</v>
      </c>
      <c r="DO14" s="37">
        <f t="shared" si="21"/>
        <v>0</v>
      </c>
      <c r="DP14" s="37"/>
      <c r="DQ14" s="37"/>
      <c r="DR14" s="25"/>
      <c r="DW14" s="37"/>
      <c r="DX14" s="89" t="s">
        <v>575</v>
      </c>
      <c r="DY14" s="8">
        <v>90</v>
      </c>
      <c r="DZ14" s="25"/>
      <c r="EA14" s="37"/>
      <c r="EB14" s="7" t="s">
        <v>599</v>
      </c>
      <c r="EC14" s="2">
        <v>1</v>
      </c>
      <c r="ED14" s="2"/>
      <c r="EE14" s="2" t="s">
        <v>597</v>
      </c>
      <c r="EF14" s="42">
        <v>39453</v>
      </c>
      <c r="EG14" s="8"/>
      <c r="EI14" s="7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13"/>
      <c r="EX14" s="8"/>
      <c r="EY14" s="37"/>
      <c r="EZ14" s="37"/>
      <c r="FA14" s="37"/>
      <c r="FB14" s="37"/>
      <c r="FC14" s="37"/>
      <c r="FD14" s="37"/>
      <c r="FE14" s="37"/>
      <c r="FF14" s="37"/>
      <c r="FG14" s="26"/>
      <c r="FH14" s="38"/>
      <c r="FI14" s="10" t="str">
        <f t="shared" si="4"/>
        <v/>
      </c>
      <c r="FJ14" s="2" t="str">
        <f t="shared" si="15"/>
        <v/>
      </c>
      <c r="FK14" s="10" t="str">
        <f t="shared" si="5"/>
        <v/>
      </c>
      <c r="FL14" s="10" t="str">
        <f t="shared" si="6"/>
        <v/>
      </c>
      <c r="FM14" s="10">
        <v>13</v>
      </c>
      <c r="FN14" s="2" t="str">
        <f t="shared" si="7"/>
        <v/>
      </c>
      <c r="FO14" s="2">
        <f t="shared" si="8"/>
        <v>0</v>
      </c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27"/>
      <c r="GT14" s="7"/>
      <c r="GU14" s="2" t="s">
        <v>120</v>
      </c>
      <c r="GV14" s="8">
        <f t="shared" si="16"/>
        <v>0</v>
      </c>
    </row>
    <row r="15" spans="1:207" ht="15" thickBot="1">
      <c r="D15" s="24"/>
      <c r="E15" s="37"/>
      <c r="F15" s="26" t="s">
        <v>820</v>
      </c>
      <c r="G15" s="27" t="str">
        <f>IF(dwgname=DwgNum,"equal","not equal")</f>
        <v>not equal</v>
      </c>
      <c r="H15" s="25"/>
      <c r="I15" s="37"/>
      <c r="J15" s="7" t="s">
        <v>13</v>
      </c>
      <c r="K15" s="2" t="s">
        <v>77</v>
      </c>
      <c r="L15" s="2" t="s">
        <v>825</v>
      </c>
      <c r="M15" s="25" t="str">
        <f>IF(LEN(SUBSTITUTE(Title1,"LC",""))&lt;LEN(Title1),"Yes","No")</f>
        <v>Yes</v>
      </c>
      <c r="N15" s="37"/>
      <c r="O15" s="24"/>
      <c r="P15" s="37"/>
      <c r="Q15" s="37"/>
      <c r="R15" s="37"/>
      <c r="S15" s="37"/>
      <c r="T15" s="37"/>
      <c r="U15" s="25"/>
      <c r="V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R15" s="7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 t="str">
        <f t="shared" si="9"/>
        <v/>
      </c>
      <c r="BH15" s="2"/>
      <c r="BI15" s="2"/>
      <c r="BJ15" s="37"/>
      <c r="BK15" s="37" t="str">
        <f t="shared" si="0"/>
        <v/>
      </c>
      <c r="BL15" s="37" t="str">
        <f t="shared" si="10"/>
        <v/>
      </c>
      <c r="BM15" s="37" t="str">
        <f t="shared" si="11"/>
        <v/>
      </c>
      <c r="BN15" s="37" t="str">
        <f t="shared" si="1"/>
        <v/>
      </c>
      <c r="BO15" s="37" t="str">
        <f t="shared" si="12"/>
        <v/>
      </c>
      <c r="BP15" s="37">
        <f t="shared" si="13"/>
        <v>0</v>
      </c>
      <c r="BQ15" s="37"/>
      <c r="BR15" s="7"/>
      <c r="BS15" s="2"/>
      <c r="BT15" s="37"/>
      <c r="BU15" s="37"/>
      <c r="BV15" s="25"/>
      <c r="BW15" s="37"/>
      <c r="BX15" s="24"/>
      <c r="BY15" s="37"/>
      <c r="BZ15" s="37"/>
      <c r="CA15" s="37"/>
      <c r="CB15" s="17"/>
      <c r="CC15" s="2"/>
      <c r="CD15" s="8"/>
      <c r="CE15" s="37"/>
      <c r="CF15" s="7" t="s">
        <v>54</v>
      </c>
      <c r="CG15" s="2">
        <v>7</v>
      </c>
      <c r="CH15" s="37"/>
      <c r="CI15" s="37"/>
      <c r="CJ15" s="37"/>
      <c r="CK15" s="25"/>
      <c r="CM15" s="7"/>
      <c r="CN15" s="2"/>
      <c r="CO15" s="2"/>
      <c r="CP15" s="2"/>
      <c r="CQ15" s="2"/>
      <c r="CR15" s="2"/>
      <c r="CS15" s="8" t="str">
        <f t="shared" si="17"/>
        <v/>
      </c>
      <c r="CT15" s="37" t="str">
        <f t="shared" si="19"/>
        <v/>
      </c>
      <c r="CU15" s="37" t="str">
        <f t="shared" si="18"/>
        <v/>
      </c>
      <c r="CV15" s="37"/>
      <c r="CW15" s="37"/>
      <c r="CX15" s="37"/>
      <c r="CY15" s="37"/>
      <c r="CZ15" s="37"/>
      <c r="DA15" s="2">
        <f t="shared" si="2"/>
        <v>0</v>
      </c>
      <c r="DB15" s="2">
        <f t="shared" si="14"/>
        <v>1</v>
      </c>
      <c r="DC15" s="2">
        <f t="shared" si="3"/>
        <v>2.38</v>
      </c>
      <c r="DD15" s="2">
        <v>2.38</v>
      </c>
      <c r="DE15" s="2" t="s">
        <v>96</v>
      </c>
      <c r="DF15" s="2" t="s">
        <v>295</v>
      </c>
      <c r="DG15" s="2" t="s">
        <v>97</v>
      </c>
      <c r="DH15" s="8" t="s">
        <v>670</v>
      </c>
      <c r="DI15" s="37"/>
      <c r="DJ15" s="37"/>
      <c r="DK15" s="7"/>
      <c r="DL15" s="2" t="s">
        <v>91</v>
      </c>
      <c r="DM15" s="13"/>
      <c r="DN15" s="37">
        <f t="shared" si="20"/>
        <v>0</v>
      </c>
      <c r="DO15" s="37">
        <f t="shared" si="21"/>
        <v>0</v>
      </c>
      <c r="DP15" s="37"/>
      <c r="DQ15" s="37"/>
      <c r="DR15" s="25"/>
      <c r="DW15" s="37"/>
      <c r="DX15" s="93" t="s">
        <v>1071</v>
      </c>
      <c r="DY15" s="94">
        <v>-1</v>
      </c>
      <c r="DZ15" s="25"/>
      <c r="EA15" s="37"/>
      <c r="EB15" s="7"/>
      <c r="EC15" s="2"/>
      <c r="ED15" s="2"/>
      <c r="EE15" s="2"/>
      <c r="EF15" s="2"/>
      <c r="EG15" s="8"/>
      <c r="EI15" s="9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4"/>
      <c r="EX15" s="11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2" t="str">
        <f t="shared" si="15"/>
        <v/>
      </c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27"/>
      <c r="GT15" s="7"/>
      <c r="GU15" s="2" t="s">
        <v>769</v>
      </c>
      <c r="GV15" s="8">
        <f t="shared" si="16"/>
        <v>0</v>
      </c>
    </row>
    <row r="16" spans="1:207" ht="15" thickBot="1">
      <c r="D16" s="28" t="s">
        <v>148</v>
      </c>
      <c r="E16" s="29" t="str">
        <f>titleletter1</f>
        <v>K</v>
      </c>
      <c r="F16" s="37"/>
      <c r="G16" s="37"/>
      <c r="H16" s="25"/>
      <c r="I16" s="37"/>
      <c r="J16" s="7" t="s">
        <v>12</v>
      </c>
      <c r="K16" s="2" t="s">
        <v>76</v>
      </c>
      <c r="L16" s="2" t="s">
        <v>567</v>
      </c>
      <c r="M16" s="25" t="str">
        <f>IF(LEN(SUBSTITUTE(Title2,"LEVEL",""))&lt;LEN(Title2),"Yes","No")</f>
        <v>Yes</v>
      </c>
      <c r="N16" s="37"/>
      <c r="O16" s="73" t="s">
        <v>839</v>
      </c>
      <c r="P16" s="37"/>
      <c r="Q16" s="37"/>
      <c r="R16" s="37" t="s">
        <v>877</v>
      </c>
      <c r="S16" s="37"/>
      <c r="T16" s="37"/>
      <c r="U16" s="25"/>
      <c r="V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R16" s="7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 t="str">
        <f t="shared" si="9"/>
        <v/>
      </c>
      <c r="BH16" s="2"/>
      <c r="BI16" s="2"/>
      <c r="BJ16" s="37"/>
      <c r="BK16" s="37" t="str">
        <f t="shared" si="0"/>
        <v/>
      </c>
      <c r="BL16" s="37" t="str">
        <f t="shared" si="10"/>
        <v/>
      </c>
      <c r="BM16" s="37" t="str">
        <f t="shared" si="11"/>
        <v/>
      </c>
      <c r="BN16" s="37" t="str">
        <f t="shared" si="1"/>
        <v/>
      </c>
      <c r="BO16" s="37" t="str">
        <f t="shared" si="12"/>
        <v/>
      </c>
      <c r="BP16" s="37">
        <f t="shared" si="13"/>
        <v>0</v>
      </c>
      <c r="BQ16" s="37"/>
      <c r="BR16" s="7"/>
      <c r="BS16" s="2"/>
      <c r="BT16" s="37"/>
      <c r="BU16" s="37"/>
      <c r="BV16" s="25"/>
      <c r="BW16" s="37"/>
      <c r="BX16" s="24"/>
      <c r="BY16" s="37"/>
      <c r="BZ16" s="37"/>
      <c r="CA16" s="37"/>
      <c r="CB16" s="17"/>
      <c r="CC16" s="2"/>
      <c r="CD16" s="8"/>
      <c r="CE16" s="37"/>
      <c r="CF16" s="7" t="s">
        <v>55</v>
      </c>
      <c r="CG16" s="2">
        <v>0</v>
      </c>
      <c r="CH16" s="37"/>
      <c r="CI16" s="37"/>
      <c r="CJ16" s="37"/>
      <c r="CK16" s="25"/>
      <c r="CM16" s="7"/>
      <c r="CN16" s="2"/>
      <c r="CO16" s="2"/>
      <c r="CP16" s="2"/>
      <c r="CQ16" s="2"/>
      <c r="CR16" s="2"/>
      <c r="CS16" s="8" t="str">
        <f t="shared" si="17"/>
        <v/>
      </c>
      <c r="CT16" s="37" t="str">
        <f t="shared" si="19"/>
        <v/>
      </c>
      <c r="CU16" s="37" t="str">
        <f t="shared" si="18"/>
        <v/>
      </c>
      <c r="CV16" s="37"/>
      <c r="CW16" s="67" t="s">
        <v>893</v>
      </c>
      <c r="CX16" t="str">
        <f>IF(SUM(CS6:CS24)&gt;0,"Yes","No")</f>
        <v>No</v>
      </c>
      <c r="CZ16" s="37"/>
      <c r="DA16" s="2">
        <f t="shared" si="2"/>
        <v>0</v>
      </c>
      <c r="DB16" s="2">
        <f t="shared" si="14"/>
        <v>1</v>
      </c>
      <c r="DC16" s="2">
        <f t="shared" si="3"/>
        <v>2.38</v>
      </c>
      <c r="DD16" s="2">
        <v>2.38</v>
      </c>
      <c r="DE16" s="2" t="s">
        <v>96</v>
      </c>
      <c r="DF16" s="2" t="s">
        <v>219</v>
      </c>
      <c r="DG16" s="2" t="s">
        <v>97</v>
      </c>
      <c r="DH16" s="8" t="s">
        <v>670</v>
      </c>
      <c r="DI16" s="37"/>
      <c r="DJ16" s="37"/>
      <c r="DK16" s="7"/>
      <c r="DL16" s="2" t="s">
        <v>92</v>
      </c>
      <c r="DM16" s="13"/>
      <c r="DN16" s="37">
        <f t="shared" si="20"/>
        <v>0</v>
      </c>
      <c r="DO16" s="37">
        <f t="shared" si="21"/>
        <v>0</v>
      </c>
      <c r="DP16" s="37"/>
      <c r="DQ16" s="37"/>
      <c r="DR16" s="25"/>
      <c r="DW16" s="37"/>
      <c r="DX16" s="93"/>
      <c r="DY16" s="94"/>
      <c r="DZ16" s="25"/>
      <c r="EA16" s="37"/>
      <c r="EB16" s="7"/>
      <c r="EC16" s="2"/>
      <c r="ED16" s="2"/>
      <c r="EE16" s="2"/>
      <c r="EF16" s="2"/>
      <c r="EG16" s="8"/>
      <c r="FJ16" s="2" t="str">
        <f t="shared" si="15"/>
        <v/>
      </c>
      <c r="GT16" s="7"/>
      <c r="GU16" s="2" t="s">
        <v>803</v>
      </c>
      <c r="GV16" s="8">
        <f t="shared" si="16"/>
        <v>1</v>
      </c>
    </row>
    <row r="17" spans="3:204" ht="15" thickBot="1">
      <c r="D17" s="30" t="s">
        <v>149</v>
      </c>
      <c r="E17" s="31" t="str">
        <f>IF(OR(titleletter1="K",titleletter1="G",titleletter1="M",titleletter1="R"),"Yes","No")</f>
        <v>Yes</v>
      </c>
      <c r="F17" s="37"/>
      <c r="H17" s="25"/>
      <c r="I17" s="37"/>
      <c r="J17" s="7" t="s">
        <v>11</v>
      </c>
      <c r="K17" s="2" t="s">
        <v>75</v>
      </c>
      <c r="L17" s="2" t="s">
        <v>826</v>
      </c>
      <c r="M17" s="25" t="str">
        <f>IF(OR(LEN(SUBSTITUTE(Title3,"OVERVIEW",""))&lt;LEN(Title3),LEN(SUBSTITUTE(Title3,"SECTOR",""))&lt;LEN(Title3)),"Yes","No")</f>
        <v>Yes</v>
      </c>
      <c r="N17" s="37"/>
      <c r="O17" s="73" t="s">
        <v>840</v>
      </c>
      <c r="P17" s="37" t="str">
        <f>VLOOKUP(titleletter1,xrefLetterTable,2,FALSE)</f>
        <v>G</v>
      </c>
      <c r="Q17" s="37"/>
      <c r="R17" s="37" t="str">
        <f>VLOOKUP(titleletter1,xrefLetterTable,2,FALSE)</f>
        <v>G</v>
      </c>
      <c r="S17" s="37"/>
      <c r="T17" s="37"/>
      <c r="U17" s="25"/>
      <c r="V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R17" s="7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 t="str">
        <f t="shared" si="9"/>
        <v/>
      </c>
      <c r="BH17" s="2"/>
      <c r="BI17" s="2"/>
      <c r="BJ17" s="37"/>
      <c r="BK17" s="37" t="str">
        <f t="shared" si="0"/>
        <v/>
      </c>
      <c r="BL17" s="37" t="str">
        <f t="shared" si="10"/>
        <v/>
      </c>
      <c r="BM17" s="37" t="str">
        <f t="shared" si="11"/>
        <v/>
      </c>
      <c r="BN17" s="37" t="str">
        <f t="shared" si="1"/>
        <v/>
      </c>
      <c r="BO17" s="37" t="str">
        <f t="shared" si="12"/>
        <v/>
      </c>
      <c r="BP17" s="37">
        <f t="shared" si="13"/>
        <v>0</v>
      </c>
      <c r="BQ17" s="37"/>
      <c r="BR17" s="7"/>
      <c r="BS17" s="2"/>
      <c r="BT17" s="37"/>
      <c r="BU17" s="37"/>
      <c r="BV17" s="25"/>
      <c r="BW17" s="37"/>
      <c r="BX17" s="24"/>
      <c r="BY17" s="37"/>
      <c r="BZ17" s="37"/>
      <c r="CA17" s="37"/>
      <c r="CB17" s="17"/>
      <c r="CC17" s="2"/>
      <c r="CD17" s="8"/>
      <c r="CE17" s="37"/>
      <c r="CF17" s="7" t="s">
        <v>56</v>
      </c>
      <c r="CG17" s="2">
        <v>0</v>
      </c>
      <c r="CH17" s="37"/>
      <c r="CI17" s="37"/>
      <c r="CJ17" s="37"/>
      <c r="CK17" s="25"/>
      <c r="CM17" s="7"/>
      <c r="CN17" s="2"/>
      <c r="CO17" s="2"/>
      <c r="CP17" s="2"/>
      <c r="CQ17" s="2"/>
      <c r="CR17" s="2"/>
      <c r="CS17" s="8" t="str">
        <f t="shared" si="17"/>
        <v/>
      </c>
      <c r="CT17" s="37" t="str">
        <f t="shared" si="19"/>
        <v/>
      </c>
      <c r="CU17" s="37" t="str">
        <f t="shared" si="18"/>
        <v/>
      </c>
      <c r="CV17" s="37"/>
      <c r="CW17" s="22" t="s">
        <v>689</v>
      </c>
      <c r="CX17" s="23" t="str">
        <f>IF(SUM(textHeightRemainder)&gt;0.1,"Yes","No")</f>
        <v>No</v>
      </c>
      <c r="CY17" s="37"/>
      <c r="CZ17" s="37"/>
      <c r="DA17" s="2">
        <f t="shared" si="2"/>
        <v>0</v>
      </c>
      <c r="DB17" s="2">
        <f t="shared" si="14"/>
        <v>1</v>
      </c>
      <c r="DC17" s="2">
        <f t="shared" si="3"/>
        <v>2.38</v>
      </c>
      <c r="DD17" s="2">
        <v>2.38</v>
      </c>
      <c r="DE17" s="2" t="s">
        <v>96</v>
      </c>
      <c r="DF17" s="2" t="s">
        <v>681</v>
      </c>
      <c r="DG17" s="2" t="s">
        <v>97</v>
      </c>
      <c r="DH17" s="8" t="s">
        <v>670</v>
      </c>
      <c r="DI17" s="37"/>
      <c r="DK17" s="7"/>
      <c r="DL17" s="2" t="s">
        <v>93</v>
      </c>
      <c r="DM17" s="13"/>
      <c r="DN17" s="37">
        <f>IF(ISERROR(FIND("$0$",DL17)),0,1)</f>
        <v>0</v>
      </c>
      <c r="DO17" s="37">
        <f t="shared" si="21"/>
        <v>0</v>
      </c>
      <c r="DP17" s="37"/>
      <c r="DQ17" s="37"/>
      <c r="DR17" s="25"/>
      <c r="DW17" s="37"/>
      <c r="DX17" s="95"/>
      <c r="DY17" s="96"/>
      <c r="DZ17" s="27"/>
      <c r="EA17" s="37"/>
      <c r="EB17" s="7"/>
      <c r="EC17" s="2"/>
      <c r="ED17" s="2"/>
      <c r="EE17" s="2"/>
      <c r="EF17" s="2"/>
      <c r="EG17" s="8"/>
      <c r="GT17" s="7"/>
      <c r="GU17" s="2"/>
      <c r="GV17" s="8" t="str">
        <f t="shared" si="16"/>
        <v/>
      </c>
    </row>
    <row r="18" spans="3:204">
      <c r="D18" s="30" t="s">
        <v>806</v>
      </c>
      <c r="E18" s="25" t="str">
        <f>IsView</f>
        <v>Yes</v>
      </c>
      <c r="F18" s="67"/>
      <c r="G18" s="37"/>
      <c r="H18" s="25"/>
      <c r="I18" s="37"/>
      <c r="J18" s="7" t="s">
        <v>10</v>
      </c>
      <c r="K18" s="2" t="s">
        <v>1072</v>
      </c>
      <c r="L18" s="39" t="s">
        <v>827</v>
      </c>
      <c r="M18" s="25" t="str">
        <f>IF(OR(LEN(SUBSTITUTE(Title4,"LAYOUT",""))&lt;LEN(Title4),LEN(SUBSTITUTE(Title4,"VIEW",""))&lt;LEN(Title4)),"Yes","No")</f>
        <v>No</v>
      </c>
      <c r="N18" s="37"/>
      <c r="O18" s="73" t="s">
        <v>841</v>
      </c>
      <c r="P18" s="37" t="str">
        <f>titleletter2</f>
        <v>S</v>
      </c>
      <c r="Q18" s="37"/>
      <c r="R18" s="37" t="str">
        <f>titleletter2</f>
        <v>S</v>
      </c>
      <c r="S18" s="37"/>
      <c r="T18" s="37"/>
      <c r="U18" s="25"/>
      <c r="V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R18" s="7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 t="str">
        <f t="shared" si="9"/>
        <v/>
      </c>
      <c r="BH18" s="2"/>
      <c r="BI18" s="2"/>
      <c r="BJ18" s="37"/>
      <c r="BK18" s="37" t="str">
        <f t="shared" si="0"/>
        <v/>
      </c>
      <c r="BL18" s="37" t="str">
        <f t="shared" si="10"/>
        <v/>
      </c>
      <c r="BM18" s="37" t="str">
        <f t="shared" si="11"/>
        <v/>
      </c>
      <c r="BN18" s="37" t="str">
        <f t="shared" si="1"/>
        <v/>
      </c>
      <c r="BO18" s="37" t="str">
        <f t="shared" si="12"/>
        <v/>
      </c>
      <c r="BP18" s="37">
        <f t="shared" si="13"/>
        <v>0</v>
      </c>
      <c r="BQ18" s="37"/>
      <c r="BR18" s="7"/>
      <c r="BS18" s="2"/>
      <c r="BT18" s="37"/>
      <c r="BU18" s="37"/>
      <c r="BV18" s="25"/>
      <c r="BW18" s="37"/>
      <c r="BX18" s="24"/>
      <c r="BY18" s="37"/>
      <c r="BZ18" s="37"/>
      <c r="CA18" s="37"/>
      <c r="CB18" s="17"/>
      <c r="CC18" s="2"/>
      <c r="CD18" s="8"/>
      <c r="CE18" s="37"/>
      <c r="CF18" s="7" t="s">
        <v>57</v>
      </c>
      <c r="CG18" s="2">
        <v>7</v>
      </c>
      <c r="CH18" s="37"/>
      <c r="CI18" s="37"/>
      <c r="CJ18" s="37"/>
      <c r="CK18" s="25"/>
      <c r="CM18" s="7"/>
      <c r="CN18" s="2"/>
      <c r="CO18" s="2"/>
      <c r="CP18" s="2"/>
      <c r="CQ18" s="2"/>
      <c r="CR18" s="2"/>
      <c r="CS18" s="8" t="str">
        <f t="shared" si="17"/>
        <v/>
      </c>
      <c r="CT18" s="37" t="str">
        <f t="shared" si="19"/>
        <v/>
      </c>
      <c r="CU18" s="37" t="str">
        <f t="shared" si="18"/>
        <v/>
      </c>
      <c r="CV18" s="37"/>
      <c r="CW18" s="67" t="s">
        <v>1035</v>
      </c>
      <c r="CX18" t="str">
        <f>IF(SUM(legalHeights)=0,"Yes","No")</f>
        <v>Yes</v>
      </c>
      <c r="CZ18" s="37"/>
      <c r="DA18" s="2">
        <f t="shared" si="2"/>
        <v>0</v>
      </c>
      <c r="DB18" s="2">
        <f t="shared" si="14"/>
        <v>1</v>
      </c>
      <c r="DC18" s="2">
        <f t="shared" si="3"/>
        <v>2.38</v>
      </c>
      <c r="DD18" s="2">
        <v>2.38</v>
      </c>
      <c r="DE18" s="2" t="s">
        <v>96</v>
      </c>
      <c r="DF18" s="2" t="s">
        <v>682</v>
      </c>
      <c r="DG18" s="2" t="s">
        <v>97</v>
      </c>
      <c r="DH18" s="8" t="s">
        <v>670</v>
      </c>
      <c r="DI18" s="37"/>
      <c r="DK18" s="7"/>
      <c r="DL18" s="2" t="s">
        <v>881</v>
      </c>
      <c r="DM18" s="13"/>
      <c r="DN18" s="37">
        <f>IF(ISERROR(FIND("$0$",DL18)),0,1)</f>
        <v>1</v>
      </c>
      <c r="DO18" s="37">
        <f t="shared" si="21"/>
        <v>1</v>
      </c>
      <c r="DP18" s="37"/>
      <c r="DQ18" s="37"/>
      <c r="DR18" s="25"/>
      <c r="DW18" s="37"/>
      <c r="DX18" s="37"/>
      <c r="DY18" s="37"/>
      <c r="DZ18" s="37"/>
      <c r="EA18" s="37"/>
      <c r="EB18" s="7"/>
      <c r="EC18" s="2"/>
      <c r="ED18" s="2"/>
      <c r="EE18" s="2"/>
      <c r="EF18" s="2"/>
      <c r="EG18" s="8"/>
      <c r="GT18" s="7"/>
      <c r="GU18" s="2"/>
      <c r="GV18" s="8" t="str">
        <f t="shared" si="16"/>
        <v/>
      </c>
    </row>
    <row r="19" spans="3:204" ht="15" thickBot="1">
      <c r="D19" s="24"/>
      <c r="E19" s="37"/>
      <c r="F19" s="37"/>
      <c r="G19" s="37"/>
      <c r="H19" s="25"/>
      <c r="I19" s="37"/>
      <c r="J19" s="7" t="s">
        <v>14</v>
      </c>
      <c r="K19" s="2" t="s">
        <v>78</v>
      </c>
      <c r="L19" s="37"/>
      <c r="M19" s="25"/>
      <c r="N19" s="37"/>
      <c r="O19" s="73" t="s">
        <v>842</v>
      </c>
      <c r="P19" s="37" t="str">
        <f>titleletter3</f>
        <v>T</v>
      </c>
      <c r="Q19" s="37"/>
      <c r="R19" s="37" t="s">
        <v>251</v>
      </c>
      <c r="S19" s="37"/>
      <c r="T19" s="37"/>
      <c r="U19" s="25"/>
      <c r="V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R19" s="7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 t="str">
        <f t="shared" si="9"/>
        <v/>
      </c>
      <c r="BH19" s="2"/>
      <c r="BI19" s="2"/>
      <c r="BJ19" s="37"/>
      <c r="BK19" s="37" t="str">
        <f t="shared" si="0"/>
        <v/>
      </c>
      <c r="BL19" s="37" t="str">
        <f t="shared" si="10"/>
        <v/>
      </c>
      <c r="BM19" s="37" t="str">
        <f t="shared" si="11"/>
        <v/>
      </c>
      <c r="BN19" s="37" t="str">
        <f t="shared" si="1"/>
        <v/>
      </c>
      <c r="BO19" s="37" t="str">
        <f t="shared" si="12"/>
        <v/>
      </c>
      <c r="BP19" s="37">
        <f t="shared" si="13"/>
        <v>0</v>
      </c>
      <c r="BQ19" s="37"/>
      <c r="BR19" s="7"/>
      <c r="BS19" s="2"/>
      <c r="BT19" s="37"/>
      <c r="BU19" s="37"/>
      <c r="BV19" s="25"/>
      <c r="BW19" s="37"/>
      <c r="BX19" s="24"/>
      <c r="BY19" s="37"/>
      <c r="BZ19" s="37"/>
      <c r="CA19" s="37"/>
      <c r="CB19" s="17"/>
      <c r="CC19" s="2"/>
      <c r="CD19" s="8"/>
      <c r="CE19" s="37"/>
      <c r="CF19" s="24" t="s">
        <v>1075</v>
      </c>
      <c r="CG19" s="137">
        <v>7</v>
      </c>
      <c r="CH19" s="37"/>
      <c r="CI19" s="37"/>
      <c r="CJ19" s="37"/>
      <c r="CK19" s="25"/>
      <c r="CM19" s="9"/>
      <c r="CN19" s="10"/>
      <c r="CO19" s="10"/>
      <c r="CP19" s="10"/>
      <c r="CQ19" s="10"/>
      <c r="CR19" s="10"/>
      <c r="CS19" s="11" t="str">
        <f t="shared" si="17"/>
        <v/>
      </c>
      <c r="CT19" s="37" t="str">
        <f t="shared" si="19"/>
        <v/>
      </c>
      <c r="CU19" s="37" t="str">
        <f t="shared" si="18"/>
        <v/>
      </c>
      <c r="CV19" s="37"/>
      <c r="CW19" s="67" t="s">
        <v>1038</v>
      </c>
      <c r="CX19" s="37" t="str">
        <f>IF(SUM(fontsAccurate)&gt;0,"No","Yes")</f>
        <v>Yes</v>
      </c>
      <c r="CY19" s="37"/>
      <c r="CZ19" s="37"/>
      <c r="DA19" s="2">
        <f t="shared" si="2"/>
        <v>0</v>
      </c>
      <c r="DB19" s="2">
        <f t="shared" si="14"/>
        <v>1</v>
      </c>
      <c r="DC19" s="2">
        <f t="shared" si="3"/>
        <v>2.38</v>
      </c>
      <c r="DD19" s="2">
        <v>2.38</v>
      </c>
      <c r="DE19" s="2" t="s">
        <v>96</v>
      </c>
      <c r="DF19" s="2" t="s">
        <v>209</v>
      </c>
      <c r="DG19" s="2" t="s">
        <v>97</v>
      </c>
      <c r="DH19" s="8" t="s">
        <v>670</v>
      </c>
      <c r="DI19" s="37"/>
      <c r="DK19" s="7"/>
      <c r="DL19" s="2" t="s">
        <v>625</v>
      </c>
      <c r="DM19" s="13"/>
      <c r="DN19" s="37">
        <f t="shared" ref="DN19:DN45" si="22">IF(ISERROR(FIND("$0$",DL19)),0,1)</f>
        <v>0</v>
      </c>
      <c r="DO19" s="37">
        <f t="shared" si="21"/>
        <v>0</v>
      </c>
      <c r="DP19" s="37"/>
      <c r="DQ19" s="37"/>
      <c r="DR19" s="25"/>
      <c r="DW19" s="37"/>
      <c r="DX19" s="37"/>
      <c r="DY19" s="37"/>
      <c r="DZ19" s="37"/>
      <c r="EA19" s="37"/>
      <c r="EB19" s="7"/>
      <c r="EC19" s="2"/>
      <c r="ED19" s="2"/>
      <c r="EE19" s="2"/>
      <c r="EF19" s="2"/>
      <c r="EG19" s="8"/>
      <c r="GT19" s="7"/>
      <c r="GU19" s="2"/>
      <c r="GV19" s="8" t="str">
        <f t="shared" si="16"/>
        <v/>
      </c>
    </row>
    <row r="20" spans="3:204" ht="15" thickBot="1">
      <c r="D20" s="24" t="s">
        <v>150</v>
      </c>
      <c r="E20" s="25" t="str">
        <f>titleletter2</f>
        <v>S</v>
      </c>
      <c r="F20" s="37"/>
      <c r="G20" s="37"/>
      <c r="H20" s="25"/>
      <c r="I20" s="37"/>
      <c r="J20" s="7" t="s">
        <v>15</v>
      </c>
      <c r="K20" s="2" t="s">
        <v>78</v>
      </c>
      <c r="L20" s="37"/>
      <c r="M20" s="25"/>
      <c r="N20" s="37"/>
      <c r="O20" s="73" t="s">
        <v>843</v>
      </c>
      <c r="P20" s="37" t="str">
        <f>titleletter4</f>
        <v>-</v>
      </c>
      <c r="Q20" s="37"/>
      <c r="R20" s="37" t="str">
        <f>titleletter4</f>
        <v>-</v>
      </c>
      <c r="S20" s="37"/>
      <c r="T20" s="37"/>
      <c r="U20" s="25"/>
      <c r="V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R20" s="7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 t="str">
        <f t="shared" si="9"/>
        <v/>
      </c>
      <c r="BH20" s="2"/>
      <c r="BI20" s="2"/>
      <c r="BJ20" s="37"/>
      <c r="BK20" s="37" t="str">
        <f t="shared" si="0"/>
        <v/>
      </c>
      <c r="BL20" s="37" t="str">
        <f t="shared" si="10"/>
        <v/>
      </c>
      <c r="BM20" s="37" t="str">
        <f t="shared" si="11"/>
        <v/>
      </c>
      <c r="BN20" s="37" t="str">
        <f t="shared" si="1"/>
        <v/>
      </c>
      <c r="BO20" s="37" t="str">
        <f t="shared" si="12"/>
        <v/>
      </c>
      <c r="BP20" s="37">
        <f t="shared" si="13"/>
        <v>0</v>
      </c>
      <c r="BQ20" s="37"/>
      <c r="BR20" s="7"/>
      <c r="BS20" s="2"/>
      <c r="BT20" s="37"/>
      <c r="BU20" s="37"/>
      <c r="BV20" s="25"/>
      <c r="BW20" s="37"/>
      <c r="BX20" s="24"/>
      <c r="BY20" s="37"/>
      <c r="BZ20" s="37"/>
      <c r="CA20" s="37"/>
      <c r="CB20" s="17"/>
      <c r="CC20" s="2"/>
      <c r="CD20" s="8"/>
      <c r="CE20" s="37"/>
      <c r="CF20" s="88" t="s">
        <v>47</v>
      </c>
      <c r="CG20" s="10" t="str">
        <f>IF(IsView="Yes",IF(modelall=xrefsInModel,"ok","x"),IF(paperall&lt;3,"ok","x"))</f>
        <v>ok</v>
      </c>
      <c r="CH20" s="38"/>
      <c r="CI20" s="38"/>
      <c r="CJ20" s="38"/>
      <c r="CK20" s="27"/>
      <c r="CM20" s="24"/>
      <c r="CN20" s="37"/>
      <c r="CO20" s="37"/>
      <c r="CP20" s="37"/>
      <c r="CQ20" s="37"/>
      <c r="CR20" s="37"/>
      <c r="CS20" s="37" t="str">
        <f t="shared" si="17"/>
        <v/>
      </c>
      <c r="CT20" s="37"/>
      <c r="CU20" s="37"/>
      <c r="CV20" s="37"/>
      <c r="CW20" s="39" t="s">
        <v>60</v>
      </c>
      <c r="CX20" s="4" t="str">
        <f>IF(OR(textHeightProblem="Yes",nameProblem="Yes",styleHtProblem="No",fontProblem="No"),"x","ok")</f>
        <v>ok</v>
      </c>
      <c r="CY20" s="71"/>
      <c r="CZ20" s="37"/>
      <c r="DA20" s="2" t="str">
        <f t="shared" si="2"/>
        <v/>
      </c>
      <c r="DB20" s="2" t="str">
        <f t="shared" si="14"/>
        <v/>
      </c>
      <c r="DC20" s="2" t="str">
        <f t="shared" si="3"/>
        <v/>
      </c>
      <c r="DD20" s="2"/>
      <c r="DE20" s="2"/>
      <c r="DF20" s="2"/>
      <c r="DG20" s="2"/>
      <c r="DH20" s="8"/>
      <c r="DK20" s="7"/>
      <c r="DL20" s="2"/>
      <c r="DM20" s="13"/>
      <c r="DN20" s="37">
        <f t="shared" si="22"/>
        <v>0</v>
      </c>
      <c r="DO20" s="37">
        <f t="shared" si="21"/>
        <v>0</v>
      </c>
      <c r="DP20" s="37"/>
      <c r="DQ20" s="37"/>
      <c r="DR20" s="25"/>
      <c r="DW20" s="37"/>
      <c r="DX20" s="37"/>
      <c r="DY20" s="37"/>
      <c r="DZ20" s="37"/>
      <c r="EA20" s="37"/>
      <c r="EB20" s="9"/>
      <c r="EC20" s="10"/>
      <c r="ED20" s="10"/>
      <c r="EE20" s="10"/>
      <c r="EF20" s="10"/>
      <c r="EG20" s="11"/>
      <c r="GT20" s="7"/>
      <c r="GU20" s="2"/>
      <c r="GV20" s="8" t="str">
        <f t="shared" si="16"/>
        <v/>
      </c>
    </row>
    <row r="21" spans="3:204">
      <c r="D21" s="24" t="s">
        <v>807</v>
      </c>
      <c r="E21" s="70" t="str">
        <f>VLOOKUP(titleletter2,NCBuilding,2,FALSE)</f>
        <v>CUB</v>
      </c>
      <c r="F21" s="37"/>
      <c r="G21" s="37"/>
      <c r="H21" s="25"/>
      <c r="I21" s="37"/>
      <c r="J21" s="7" t="s">
        <v>16</v>
      </c>
      <c r="K21" s="2"/>
      <c r="L21" s="37"/>
      <c r="M21" s="25"/>
      <c r="N21" s="37"/>
      <c r="O21" s="73" t="s">
        <v>844</v>
      </c>
      <c r="P21" s="37" t="str">
        <f>titleletter5</f>
        <v>0</v>
      </c>
      <c r="Q21" s="37"/>
      <c r="R21" s="37">
        <v>0</v>
      </c>
      <c r="S21" s="37"/>
      <c r="T21" s="37"/>
      <c r="U21" s="25"/>
      <c r="V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R21" s="7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 t="str">
        <f t="shared" si="9"/>
        <v/>
      </c>
      <c r="BH21" s="2"/>
      <c r="BI21" s="2"/>
      <c r="BJ21" s="37"/>
      <c r="BK21" s="37" t="str">
        <f t="shared" si="0"/>
        <v/>
      </c>
      <c r="BL21" s="37" t="str">
        <f t="shared" si="10"/>
        <v/>
      </c>
      <c r="BM21" s="37" t="str">
        <f t="shared" si="11"/>
        <v/>
      </c>
      <c r="BN21" s="37" t="str">
        <f t="shared" si="1"/>
        <v/>
      </c>
      <c r="BO21" s="37" t="str">
        <f t="shared" si="12"/>
        <v/>
      </c>
      <c r="BP21" s="37">
        <f t="shared" si="13"/>
        <v>0</v>
      </c>
      <c r="BQ21" s="37"/>
      <c r="BR21" s="7"/>
      <c r="BS21" s="2"/>
      <c r="BT21" s="37"/>
      <c r="BU21" s="37"/>
      <c r="BV21" s="25"/>
      <c r="BW21" s="37"/>
      <c r="BX21" s="24"/>
      <c r="BY21" s="37"/>
      <c r="BZ21" s="37"/>
      <c r="CA21" s="37"/>
      <c r="CB21" s="17"/>
      <c r="CC21" s="2"/>
      <c r="CD21" s="8"/>
      <c r="CE21" s="37"/>
      <c r="CF21" s="37"/>
      <c r="CG21" s="37"/>
      <c r="CH21" s="37"/>
      <c r="CI21" s="37"/>
      <c r="CJ21" s="37"/>
      <c r="CK21" s="37"/>
      <c r="CM21" s="24"/>
      <c r="CN21" s="37"/>
      <c r="CO21" s="37"/>
      <c r="CP21" s="37"/>
      <c r="CQ21" s="37"/>
      <c r="CR21" s="37"/>
      <c r="CS21" s="37" t="str">
        <f t="shared" si="17"/>
        <v/>
      </c>
      <c r="CT21" s="37"/>
      <c r="CU21" s="37"/>
      <c r="CV21" s="37"/>
      <c r="CW21" s="37"/>
      <c r="CX21" s="37"/>
      <c r="CY21" s="37"/>
      <c r="CZ21" s="37"/>
      <c r="DA21" s="2" t="str">
        <f t="shared" si="2"/>
        <v/>
      </c>
      <c r="DB21" s="2" t="str">
        <f t="shared" si="14"/>
        <v/>
      </c>
      <c r="DC21" s="2" t="str">
        <f t="shared" si="3"/>
        <v/>
      </c>
      <c r="DD21" s="2"/>
      <c r="DE21" s="2"/>
      <c r="DF21" s="2"/>
      <c r="DG21" s="2"/>
      <c r="DH21" s="8"/>
      <c r="DK21" s="7"/>
      <c r="DL21" s="2"/>
      <c r="DM21" s="13"/>
      <c r="DN21" s="37">
        <f t="shared" si="22"/>
        <v>0</v>
      </c>
      <c r="DO21" s="37">
        <f t="shared" si="21"/>
        <v>0</v>
      </c>
      <c r="DP21" s="37"/>
      <c r="DQ21" s="37"/>
      <c r="DR21" s="25"/>
      <c r="DW21" s="37"/>
      <c r="DX21" s="37"/>
      <c r="DY21" s="37"/>
      <c r="DZ21" s="37"/>
      <c r="EA21" s="37"/>
      <c r="GT21" s="7"/>
      <c r="GU21" s="2"/>
      <c r="GV21" s="8" t="str">
        <f t="shared" si="16"/>
        <v/>
      </c>
    </row>
    <row r="22" spans="3:204">
      <c r="D22" s="24" t="s">
        <v>993</v>
      </c>
      <c r="E22" s="25" t="str">
        <f>IF(ISERROR(building),"No","Yes")</f>
        <v>Yes</v>
      </c>
      <c r="F22" s="37"/>
      <c r="G22" s="37"/>
      <c r="H22" s="25"/>
      <c r="I22" s="37"/>
      <c r="J22" s="7" t="s">
        <v>17</v>
      </c>
      <c r="K22" s="2"/>
      <c r="L22" s="37"/>
      <c r="M22" s="25"/>
      <c r="N22" s="37"/>
      <c r="O22" s="73" t="s">
        <v>845</v>
      </c>
      <c r="P22" s="37" t="str">
        <f>titleletter6</f>
        <v>2</v>
      </c>
      <c r="Q22" s="37"/>
      <c r="R22" s="37" t="str">
        <f>titleletter6</f>
        <v>2</v>
      </c>
      <c r="S22" s="37"/>
      <c r="T22" s="37"/>
      <c r="U22" s="25"/>
      <c r="V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R22" s="7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 t="str">
        <f t="shared" si="9"/>
        <v/>
      </c>
      <c r="BH22" s="2"/>
      <c r="BI22" s="2"/>
      <c r="BJ22" s="37"/>
      <c r="BK22" s="37" t="str">
        <f t="shared" si="0"/>
        <v/>
      </c>
      <c r="BL22" s="37" t="str">
        <f t="shared" si="10"/>
        <v/>
      </c>
      <c r="BM22" s="37" t="str">
        <f t="shared" si="11"/>
        <v/>
      </c>
      <c r="BN22" s="37" t="str">
        <f t="shared" si="1"/>
        <v/>
      </c>
      <c r="BO22" s="37" t="str">
        <f t="shared" si="12"/>
        <v/>
      </c>
      <c r="BP22" s="37">
        <f t="shared" si="13"/>
        <v>0</v>
      </c>
      <c r="BQ22" s="37"/>
      <c r="BR22" s="7"/>
      <c r="BS22" s="2"/>
      <c r="BT22" s="37"/>
      <c r="BU22" s="37"/>
      <c r="BV22" s="25"/>
      <c r="BW22" s="37"/>
      <c r="BX22" s="24"/>
      <c r="BY22" s="37"/>
      <c r="BZ22" s="37"/>
      <c r="CA22" s="37"/>
      <c r="CB22" s="17"/>
      <c r="CC22" s="2"/>
      <c r="CD22" s="8"/>
      <c r="CE22" s="37"/>
      <c r="CF22" s="37"/>
      <c r="CG22" s="37"/>
      <c r="CH22" s="37"/>
      <c r="CI22" s="37"/>
      <c r="CJ22" s="37"/>
      <c r="CK22" s="37"/>
      <c r="CM22" s="24"/>
      <c r="CN22" s="37"/>
      <c r="CO22" s="37"/>
      <c r="CP22" s="37"/>
      <c r="CQ22" s="37"/>
      <c r="CR22" s="37"/>
      <c r="CS22" s="37" t="str">
        <f t="shared" si="17"/>
        <v/>
      </c>
      <c r="CT22" s="37"/>
      <c r="CU22" s="37"/>
      <c r="CV22" s="37"/>
      <c r="CW22" s="37"/>
      <c r="CX22" s="37"/>
      <c r="CY22" s="37"/>
      <c r="CZ22" s="37"/>
      <c r="DA22" s="2" t="str">
        <f t="shared" si="2"/>
        <v/>
      </c>
      <c r="DB22" s="2" t="str">
        <f t="shared" si="14"/>
        <v/>
      </c>
      <c r="DC22" s="2" t="str">
        <f t="shared" si="3"/>
        <v/>
      </c>
      <c r="DD22" s="2"/>
      <c r="DE22" s="2"/>
      <c r="DF22" s="2"/>
      <c r="DG22" s="2"/>
      <c r="DH22" s="8"/>
      <c r="DK22" s="7"/>
      <c r="DL22" s="2"/>
      <c r="DM22" s="13"/>
      <c r="DN22" s="37">
        <f t="shared" si="22"/>
        <v>0</v>
      </c>
      <c r="DO22" s="37">
        <f t="shared" si="21"/>
        <v>0</v>
      </c>
      <c r="DP22" s="37"/>
      <c r="DQ22" s="37"/>
      <c r="DR22" s="25"/>
      <c r="DW22" s="37"/>
      <c r="DX22" s="37"/>
      <c r="DY22" s="37"/>
      <c r="DZ22" s="37"/>
      <c r="EA22" s="37"/>
      <c r="GT22" s="7"/>
      <c r="GU22" s="2"/>
      <c r="GV22" s="8" t="str">
        <f t="shared" si="16"/>
        <v/>
      </c>
    </row>
    <row r="23" spans="3:204" ht="15" thickBot="1">
      <c r="D23" s="24" t="s">
        <v>152</v>
      </c>
      <c r="E23" s="25" t="str">
        <f>MID($D$5,3,2)</f>
        <v>T-</v>
      </c>
      <c r="F23" s="37"/>
      <c r="G23" s="37"/>
      <c r="H23" s="25"/>
      <c r="I23" s="37"/>
      <c r="J23" s="7" t="s">
        <v>18</v>
      </c>
      <c r="K23" s="2"/>
      <c r="L23" s="37"/>
      <c r="M23" s="25"/>
      <c r="N23" s="37"/>
      <c r="O23" s="73" t="s">
        <v>846</v>
      </c>
      <c r="P23" s="37" t="s">
        <v>203</v>
      </c>
      <c r="Q23" s="37"/>
      <c r="R23" s="37" t="str">
        <f>titleletter7</f>
        <v>2</v>
      </c>
      <c r="S23" s="37"/>
      <c r="T23" s="37"/>
      <c r="U23" s="25"/>
      <c r="V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R23" s="7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 t="str">
        <f t="shared" si="9"/>
        <v/>
      </c>
      <c r="BH23" s="2"/>
      <c r="BI23" s="2"/>
      <c r="BJ23" s="37"/>
      <c r="BK23" s="37" t="str">
        <f t="shared" si="0"/>
        <v/>
      </c>
      <c r="BL23" s="37" t="str">
        <f t="shared" si="10"/>
        <v/>
      </c>
      <c r="BM23" s="37" t="str">
        <f t="shared" si="11"/>
        <v/>
      </c>
      <c r="BN23" s="37" t="str">
        <f t="shared" si="1"/>
        <v/>
      </c>
      <c r="BO23" s="37" t="str">
        <f t="shared" si="12"/>
        <v/>
      </c>
      <c r="BP23" s="37">
        <f t="shared" si="13"/>
        <v>0</v>
      </c>
      <c r="BQ23" s="37"/>
      <c r="BR23" s="9"/>
      <c r="BS23" s="10"/>
      <c r="BT23" s="38"/>
      <c r="BU23" s="38"/>
      <c r="BV23" s="27"/>
      <c r="BW23" s="37"/>
      <c r="BX23" s="24"/>
      <c r="BY23" s="37"/>
      <c r="BZ23" s="37"/>
      <c r="CA23" s="37"/>
      <c r="CB23" s="17"/>
      <c r="CC23" s="2"/>
      <c r="CD23" s="8"/>
      <c r="CE23" s="37"/>
      <c r="CF23" s="37"/>
      <c r="CG23" s="37"/>
      <c r="CH23" s="37"/>
      <c r="CI23" s="37"/>
      <c r="CJ23" s="37"/>
      <c r="CK23" s="37"/>
      <c r="CM23" s="24"/>
      <c r="CN23" s="37"/>
      <c r="CO23" s="37"/>
      <c r="CP23" s="37"/>
      <c r="CQ23" s="37"/>
      <c r="CR23" s="37"/>
      <c r="CS23" s="37" t="str">
        <f t="shared" si="17"/>
        <v/>
      </c>
      <c r="CT23" s="37"/>
      <c r="CU23" s="37"/>
      <c r="CV23" s="37"/>
      <c r="CW23" s="37"/>
      <c r="CX23" s="37"/>
      <c r="CY23" s="37"/>
      <c r="CZ23" s="37"/>
      <c r="DA23" s="2" t="str">
        <f t="shared" si="2"/>
        <v/>
      </c>
      <c r="DB23" s="2" t="str">
        <f t="shared" si="14"/>
        <v/>
      </c>
      <c r="DC23" s="2" t="str">
        <f t="shared" si="3"/>
        <v/>
      </c>
      <c r="DD23" s="2"/>
      <c r="DE23" s="2"/>
      <c r="DF23" s="2"/>
      <c r="DG23" s="2"/>
      <c r="DH23" s="8"/>
      <c r="DK23" s="7"/>
      <c r="DL23" s="2"/>
      <c r="DM23" s="13"/>
      <c r="DN23" s="37">
        <f t="shared" si="22"/>
        <v>0</v>
      </c>
      <c r="DO23" s="37">
        <f t="shared" si="21"/>
        <v>0</v>
      </c>
      <c r="DP23" s="37"/>
      <c r="DQ23" s="37"/>
      <c r="DR23" s="25"/>
      <c r="DW23" s="37"/>
      <c r="DX23" s="37"/>
      <c r="DY23" s="37"/>
      <c r="DZ23" s="37"/>
      <c r="EA23" s="37"/>
      <c r="GT23" s="7"/>
      <c r="GU23" s="2"/>
      <c r="GV23" s="8" t="str">
        <f t="shared" si="16"/>
        <v/>
      </c>
    </row>
    <row r="24" spans="3:204">
      <c r="D24" s="24" t="s">
        <v>151</v>
      </c>
      <c r="E24" s="25" t="str">
        <f>VLOOKUP(titleletters34,NCDisciplines,2,FALSE)</f>
        <v xml:space="preserve">Telecommunications </v>
      </c>
      <c r="F24" s="37"/>
      <c r="G24" s="37"/>
      <c r="H24" s="25"/>
      <c r="I24" s="37"/>
      <c r="J24" s="7" t="s">
        <v>19</v>
      </c>
      <c r="K24" s="2"/>
      <c r="L24" s="37"/>
      <c r="M24" s="25"/>
      <c r="N24" s="37"/>
      <c r="O24" s="73" t="s">
        <v>847</v>
      </c>
      <c r="P24" s="37" t="s">
        <v>272</v>
      </c>
      <c r="Q24" s="37"/>
      <c r="R24" s="37" t="str">
        <f>titleletter8</f>
        <v>0</v>
      </c>
      <c r="S24" s="37"/>
      <c r="T24" s="37"/>
      <c r="U24" s="25"/>
      <c r="V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R24" s="7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 t="str">
        <f t="shared" si="9"/>
        <v/>
      </c>
      <c r="BH24" s="2"/>
      <c r="BI24" s="2"/>
      <c r="BJ24" s="37"/>
      <c r="BK24" s="37" t="str">
        <f t="shared" si="0"/>
        <v/>
      </c>
      <c r="BL24" s="37" t="str">
        <f t="shared" si="10"/>
        <v/>
      </c>
      <c r="BM24" s="37" t="str">
        <f t="shared" si="11"/>
        <v/>
      </c>
      <c r="BN24" s="37" t="str">
        <f t="shared" si="1"/>
        <v/>
      </c>
      <c r="BO24" s="37" t="str">
        <f t="shared" si="12"/>
        <v/>
      </c>
      <c r="BP24" s="37">
        <f t="shared" si="13"/>
        <v>0</v>
      </c>
      <c r="BQ24" s="37"/>
      <c r="BR24" s="37"/>
      <c r="BS24" s="37"/>
      <c r="BT24" s="37"/>
      <c r="BU24" s="37"/>
      <c r="BV24" s="37"/>
      <c r="BW24" s="37"/>
      <c r="BX24" s="24"/>
      <c r="BY24" s="37"/>
      <c r="BZ24" s="37"/>
      <c r="CA24" s="37"/>
      <c r="CB24" s="17"/>
      <c r="CC24" s="2"/>
      <c r="CD24" s="8"/>
      <c r="CE24" s="37"/>
      <c r="CF24" s="37"/>
      <c r="CG24" s="37"/>
      <c r="CH24" s="37"/>
      <c r="CI24" s="37"/>
      <c r="CJ24" s="37"/>
      <c r="CK24" s="37"/>
      <c r="CM24" s="24"/>
      <c r="CN24" s="37"/>
      <c r="CO24" s="37"/>
      <c r="CP24" s="37"/>
      <c r="CQ24" s="37"/>
      <c r="CR24" s="37"/>
      <c r="CS24" s="37" t="str">
        <f t="shared" si="17"/>
        <v/>
      </c>
      <c r="CT24" s="37"/>
      <c r="CU24" s="37"/>
      <c r="CV24" s="37"/>
      <c r="CW24" s="37"/>
      <c r="CX24" s="37"/>
      <c r="CY24" s="37"/>
      <c r="CZ24" s="37"/>
      <c r="DA24" s="2" t="str">
        <f t="shared" si="2"/>
        <v/>
      </c>
      <c r="DB24" s="2" t="str">
        <f t="shared" si="14"/>
        <v/>
      </c>
      <c r="DC24" s="2" t="str">
        <f t="shared" si="3"/>
        <v/>
      </c>
      <c r="DD24" s="2"/>
      <c r="DE24" s="2"/>
      <c r="DF24" s="2"/>
      <c r="DG24" s="2"/>
      <c r="DH24" s="8"/>
      <c r="DK24" s="7"/>
      <c r="DL24" s="2"/>
      <c r="DM24" s="13"/>
      <c r="DN24" s="37">
        <f t="shared" si="22"/>
        <v>0</v>
      </c>
      <c r="DO24" s="37">
        <f t="shared" si="21"/>
        <v>0</v>
      </c>
      <c r="DP24" s="37"/>
      <c r="DQ24" s="37"/>
      <c r="DR24" s="25"/>
      <c r="DW24" s="37"/>
      <c r="DX24" s="37"/>
      <c r="DY24" s="37"/>
      <c r="DZ24" s="37"/>
      <c r="EA24" s="37"/>
      <c r="GT24" s="7"/>
      <c r="GU24" s="2"/>
      <c r="GV24" s="8" t="str">
        <f t="shared" si="16"/>
        <v/>
      </c>
    </row>
    <row r="25" spans="3:204">
      <c r="D25" s="24"/>
      <c r="E25" s="25"/>
      <c r="F25" s="37"/>
      <c r="G25" s="37"/>
      <c r="H25" s="25"/>
      <c r="I25" s="37"/>
      <c r="J25" s="7" t="s">
        <v>20</v>
      </c>
      <c r="K25" s="2"/>
      <c r="L25" s="37"/>
      <c r="M25" s="25"/>
      <c r="N25" s="37"/>
      <c r="O25" s="24"/>
      <c r="P25" s="37"/>
      <c r="Q25" s="37"/>
      <c r="R25" s="37"/>
      <c r="S25" s="37"/>
      <c r="T25" s="37"/>
      <c r="U25" s="25"/>
      <c r="V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R25" s="7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 t="str">
        <f t="shared" si="9"/>
        <v/>
      </c>
      <c r="BH25" s="2"/>
      <c r="BI25" s="2"/>
      <c r="BJ25" s="37"/>
      <c r="BK25" s="37" t="str">
        <f t="shared" si="0"/>
        <v/>
      </c>
      <c r="BL25" s="37" t="str">
        <f t="shared" si="10"/>
        <v/>
      </c>
      <c r="BM25" s="37" t="str">
        <f t="shared" si="11"/>
        <v/>
      </c>
      <c r="BN25" s="37" t="str">
        <f t="shared" si="1"/>
        <v/>
      </c>
      <c r="BO25" s="37" t="str">
        <f t="shared" si="12"/>
        <v/>
      </c>
      <c r="BP25" s="37">
        <f t="shared" si="13"/>
        <v>0</v>
      </c>
      <c r="BQ25" s="37"/>
      <c r="BR25" s="37"/>
      <c r="BS25" s="37"/>
      <c r="BT25" s="37"/>
      <c r="BU25" s="37"/>
      <c r="BV25" s="37"/>
      <c r="BW25" s="37"/>
      <c r="BX25" s="24"/>
      <c r="BY25" s="37"/>
      <c r="BZ25" s="37"/>
      <c r="CA25" s="37"/>
      <c r="CB25" s="17"/>
      <c r="CC25" s="2"/>
      <c r="CD25" s="8"/>
      <c r="CE25" s="37"/>
      <c r="CF25" s="37"/>
      <c r="CG25" s="37"/>
      <c r="CH25" s="37"/>
      <c r="CI25" s="37"/>
      <c r="CJ25" s="37"/>
      <c r="CK25" s="37"/>
      <c r="CM25" s="24"/>
      <c r="CN25" s="37"/>
      <c r="CO25" s="37"/>
      <c r="CP25" s="37"/>
      <c r="CQ25" s="37"/>
      <c r="CR25" s="37"/>
      <c r="CS25" s="37" t="str">
        <f t="shared" si="17"/>
        <v/>
      </c>
      <c r="CT25" s="37"/>
      <c r="CU25" s="37"/>
      <c r="CV25" s="37"/>
      <c r="CW25" s="37"/>
      <c r="CX25" s="37"/>
      <c r="CY25" s="37"/>
      <c r="CZ25" s="37"/>
      <c r="DA25" s="2" t="str">
        <f t="shared" si="2"/>
        <v/>
      </c>
      <c r="DB25" s="2" t="str">
        <f t="shared" si="14"/>
        <v/>
      </c>
      <c r="DC25" s="2" t="str">
        <f t="shared" si="3"/>
        <v/>
      </c>
      <c r="DD25" s="2"/>
      <c r="DE25" s="2"/>
      <c r="DF25" s="2"/>
      <c r="DG25" s="2"/>
      <c r="DH25" s="8"/>
      <c r="DK25" s="7"/>
      <c r="DL25" s="2"/>
      <c r="DM25" s="13"/>
      <c r="DN25" s="37">
        <f t="shared" si="22"/>
        <v>0</v>
      </c>
      <c r="DO25" s="37">
        <f t="shared" si="21"/>
        <v>0</v>
      </c>
      <c r="DP25" s="37"/>
      <c r="DQ25" s="37"/>
      <c r="DR25" s="25"/>
      <c r="DW25" s="37"/>
      <c r="DX25" s="37"/>
      <c r="DY25" s="37"/>
      <c r="DZ25" s="37"/>
      <c r="EA25" s="37"/>
      <c r="GT25" s="7"/>
      <c r="GU25" s="2"/>
      <c r="GV25" s="8" t="str">
        <f t="shared" si="16"/>
        <v/>
      </c>
    </row>
    <row r="26" spans="3:204" ht="15" thickBot="1">
      <c r="D26" s="30" t="s">
        <v>153</v>
      </c>
      <c r="E26" s="25" t="str">
        <f>CONCATENATE(E7,MID($D$5,5,2))</f>
        <v>S02</v>
      </c>
      <c r="F26" s="37"/>
      <c r="G26" s="37"/>
      <c r="H26" s="25"/>
      <c r="I26" s="37"/>
      <c r="J26" s="7" t="s">
        <v>21</v>
      </c>
      <c r="K26" s="2"/>
      <c r="L26" s="37"/>
      <c r="M26" s="25"/>
      <c r="N26" s="37"/>
      <c r="O26" s="85" t="s">
        <v>848</v>
      </c>
      <c r="P26" s="38" t="str">
        <f>CONCATENATE(P17,P18,P19,P20,P21,P22,P23,P24)</f>
        <v>GST-02OV</v>
      </c>
      <c r="Q26" s="38"/>
      <c r="R26" s="38" t="str">
        <f>CONCATENATE(R17,R18,R19,R20,R21,R22,R23,R24)</f>
        <v>GSG-0220</v>
      </c>
      <c r="S26" s="38"/>
      <c r="T26" s="38"/>
      <c r="U26" s="27"/>
      <c r="V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R26" s="7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 t="str">
        <f t="shared" si="9"/>
        <v/>
      </c>
      <c r="BH26" s="2"/>
      <c r="BI26" s="2"/>
      <c r="BJ26" s="37"/>
      <c r="BK26" s="37" t="str">
        <f t="shared" si="0"/>
        <v/>
      </c>
      <c r="BL26" s="37" t="str">
        <f t="shared" si="10"/>
        <v/>
      </c>
      <c r="BM26" s="37" t="str">
        <f t="shared" si="11"/>
        <v/>
      </c>
      <c r="BN26" s="37" t="str">
        <f t="shared" si="1"/>
        <v/>
      </c>
      <c r="BO26" s="37" t="str">
        <f t="shared" si="12"/>
        <v/>
      </c>
      <c r="BP26" s="37">
        <f t="shared" si="13"/>
        <v>0</v>
      </c>
      <c r="BQ26" s="37"/>
      <c r="BR26" s="37"/>
      <c r="BS26" s="37"/>
      <c r="BT26" s="37"/>
      <c r="BU26" s="37"/>
      <c r="BV26" s="37"/>
      <c r="BW26" s="37"/>
      <c r="BX26" s="24"/>
      <c r="BY26" s="37"/>
      <c r="BZ26" s="37"/>
      <c r="CA26" s="37"/>
      <c r="CB26" s="17"/>
      <c r="CC26" s="2"/>
      <c r="CD26" s="8"/>
      <c r="CE26" s="37"/>
      <c r="CF26" s="37"/>
      <c r="CG26" s="37"/>
      <c r="CH26" s="37"/>
      <c r="CI26" s="37"/>
      <c r="CJ26" s="37"/>
      <c r="CK26" s="37"/>
      <c r="CM26" s="24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2" t="str">
        <f t="shared" si="2"/>
        <v/>
      </c>
      <c r="DB26" s="2" t="str">
        <f t="shared" si="14"/>
        <v/>
      </c>
      <c r="DC26" s="2" t="str">
        <f t="shared" si="3"/>
        <v/>
      </c>
      <c r="DD26" s="2"/>
      <c r="DE26" s="2"/>
      <c r="DF26" s="2"/>
      <c r="DG26" s="2"/>
      <c r="DH26" s="8"/>
      <c r="DK26" s="7"/>
      <c r="DL26" s="2"/>
      <c r="DM26" s="13"/>
      <c r="DN26" s="37">
        <f t="shared" si="22"/>
        <v>0</v>
      </c>
      <c r="DO26" s="37">
        <f t="shared" si="21"/>
        <v>0</v>
      </c>
      <c r="DP26" s="37"/>
      <c r="DQ26" s="37"/>
      <c r="DR26" s="25"/>
      <c r="DW26" s="37"/>
      <c r="DX26" s="37"/>
      <c r="DY26" s="37"/>
      <c r="DZ26" s="37"/>
      <c r="EA26" s="37"/>
      <c r="GT26" s="7"/>
      <c r="GU26" s="2"/>
      <c r="GV26" s="8" t="str">
        <f t="shared" si="16"/>
        <v/>
      </c>
    </row>
    <row r="27" spans="3:204">
      <c r="D27" s="30" t="s">
        <v>154</v>
      </c>
      <c r="E27" s="25" t="str">
        <f>IF(IsLayout="Yes",VLOOKUP(titleletters256,NCLevels,2,FALSE),"na")</f>
        <v>na</v>
      </c>
      <c r="F27" s="37"/>
      <c r="G27" s="37"/>
      <c r="H27" s="25"/>
      <c r="I27" s="37"/>
      <c r="J27" s="7" t="s">
        <v>22</v>
      </c>
      <c r="K27" s="2"/>
      <c r="L27" s="37"/>
      <c r="M27" s="25"/>
      <c r="N27" s="37"/>
      <c r="O27" s="37"/>
      <c r="P27" s="37"/>
      <c r="Q27" s="37"/>
      <c r="R27" s="37"/>
      <c r="AR27" s="7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 t="str">
        <f t="shared" si="9"/>
        <v/>
      </c>
      <c r="BH27" s="2"/>
      <c r="BI27" s="2"/>
      <c r="BJ27" s="37"/>
      <c r="BK27" s="37" t="str">
        <f t="shared" si="0"/>
        <v/>
      </c>
      <c r="BL27" s="37" t="str">
        <f t="shared" si="10"/>
        <v/>
      </c>
      <c r="BM27" s="37" t="str">
        <f t="shared" si="11"/>
        <v/>
      </c>
      <c r="BN27" s="37" t="str">
        <f t="shared" si="1"/>
        <v/>
      </c>
      <c r="BO27" s="37" t="str">
        <f t="shared" si="12"/>
        <v/>
      </c>
      <c r="BP27" s="37">
        <f t="shared" si="13"/>
        <v>0</v>
      </c>
      <c r="BQ27" s="37"/>
      <c r="BR27" s="37"/>
      <c r="BS27" s="37"/>
      <c r="BT27" s="37"/>
      <c r="BU27" s="37"/>
      <c r="BV27" s="37"/>
      <c r="BW27" s="37"/>
      <c r="BX27" s="24"/>
      <c r="BY27" s="37"/>
      <c r="BZ27" s="37"/>
      <c r="CA27" s="37"/>
      <c r="CB27" s="17"/>
      <c r="CC27" s="2"/>
      <c r="CD27" s="8"/>
      <c r="CE27" s="37"/>
      <c r="CF27" s="37"/>
      <c r="CG27" s="37"/>
      <c r="CH27" s="37"/>
      <c r="CI27" s="37"/>
      <c r="CJ27" s="37"/>
      <c r="CK27" s="37"/>
      <c r="CM27" s="24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2" t="str">
        <f t="shared" si="2"/>
        <v/>
      </c>
      <c r="DB27" s="2" t="str">
        <f t="shared" si="14"/>
        <v/>
      </c>
      <c r="DC27" s="2" t="str">
        <f t="shared" si="3"/>
        <v/>
      </c>
      <c r="DD27" s="2"/>
      <c r="DE27" s="2"/>
      <c r="DF27" s="2"/>
      <c r="DG27" s="2"/>
      <c r="DH27" s="8"/>
      <c r="DK27" s="7"/>
      <c r="DL27" s="2"/>
      <c r="DM27" s="13"/>
      <c r="DN27" s="37">
        <f t="shared" si="22"/>
        <v>0</v>
      </c>
      <c r="DO27" s="37">
        <f t="shared" si="21"/>
        <v>0</v>
      </c>
      <c r="DP27" s="37"/>
      <c r="DQ27" s="37"/>
      <c r="DR27" s="25"/>
      <c r="DW27" s="37"/>
      <c r="DX27" s="37"/>
      <c r="DY27" s="37"/>
      <c r="DZ27" s="37"/>
      <c r="EA27" s="37"/>
      <c r="GT27" s="7"/>
      <c r="GU27" s="2"/>
      <c r="GV27" s="8" t="str">
        <f t="shared" si="16"/>
        <v/>
      </c>
    </row>
    <row r="28" spans="3:204">
      <c r="D28" s="24"/>
      <c r="E28" s="25"/>
      <c r="F28" s="37"/>
      <c r="G28" s="37"/>
      <c r="H28" s="25"/>
      <c r="I28" s="37"/>
      <c r="J28" s="7" t="s">
        <v>23</v>
      </c>
      <c r="K28" s="2" t="s">
        <v>79</v>
      </c>
      <c r="L28" s="37"/>
      <c r="M28" s="25"/>
      <c r="N28" s="37"/>
      <c r="O28" s="37"/>
      <c r="P28" s="37"/>
      <c r="Q28" s="37"/>
      <c r="R28" s="37"/>
      <c r="AR28" s="7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 t="str">
        <f t="shared" si="9"/>
        <v/>
      </c>
      <c r="BH28" s="2"/>
      <c r="BI28" s="2"/>
      <c r="BJ28" s="37"/>
      <c r="BK28" s="37" t="str">
        <f t="shared" si="0"/>
        <v/>
      </c>
      <c r="BL28" s="37" t="str">
        <f t="shared" si="10"/>
        <v/>
      </c>
      <c r="BM28" s="37" t="str">
        <f t="shared" si="11"/>
        <v/>
      </c>
      <c r="BN28" s="37" t="str">
        <f t="shared" si="1"/>
        <v/>
      </c>
      <c r="BO28" s="37" t="str">
        <f t="shared" si="12"/>
        <v/>
      </c>
      <c r="BP28" s="37">
        <f t="shared" si="13"/>
        <v>0</v>
      </c>
      <c r="BQ28" s="37"/>
      <c r="BR28" s="37"/>
      <c r="BS28" s="37"/>
      <c r="BT28" s="37"/>
      <c r="BU28" s="37"/>
      <c r="BV28" s="37"/>
      <c r="BW28" s="37"/>
      <c r="BX28" s="24"/>
      <c r="BY28" s="37"/>
      <c r="BZ28" s="37"/>
      <c r="CA28" s="37"/>
      <c r="CB28" s="17"/>
      <c r="CC28" s="2"/>
      <c r="CD28" s="8"/>
      <c r="CE28" s="37"/>
      <c r="CF28" s="37"/>
      <c r="CG28" s="37"/>
      <c r="CH28" s="37"/>
      <c r="CI28" s="37"/>
      <c r="CJ28" s="37"/>
      <c r="CK28" s="37"/>
      <c r="CM28" s="24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2" t="str">
        <f t="shared" si="2"/>
        <v/>
      </c>
      <c r="DB28" s="2" t="str">
        <f t="shared" si="14"/>
        <v/>
      </c>
      <c r="DC28" s="2" t="str">
        <f t="shared" si="3"/>
        <v/>
      </c>
      <c r="DD28" s="2"/>
      <c r="DE28" s="2"/>
      <c r="DF28" s="2"/>
      <c r="DG28" s="2"/>
      <c r="DH28" s="8"/>
      <c r="DK28" s="7"/>
      <c r="DL28" s="2"/>
      <c r="DM28" s="13"/>
      <c r="DN28" s="37">
        <f t="shared" si="22"/>
        <v>0</v>
      </c>
      <c r="DO28" s="37">
        <f t="shared" si="21"/>
        <v>0</v>
      </c>
      <c r="DP28" s="37"/>
      <c r="DQ28" s="37"/>
      <c r="DR28" s="25"/>
      <c r="DW28" s="37"/>
      <c r="DX28" s="37"/>
      <c r="DY28" s="37"/>
      <c r="DZ28" s="37"/>
      <c r="EA28" s="37"/>
      <c r="GT28" s="7"/>
      <c r="GU28" s="2"/>
      <c r="GV28" s="8" t="str">
        <f t="shared" si="16"/>
        <v/>
      </c>
    </row>
    <row r="29" spans="3:204">
      <c r="D29" s="30" t="s">
        <v>155</v>
      </c>
      <c r="E29" s="25" t="str">
        <f>titleletter6</f>
        <v>2</v>
      </c>
      <c r="F29" s="37"/>
      <c r="G29" s="37"/>
      <c r="H29" s="25"/>
      <c r="I29" s="37"/>
      <c r="J29" s="7" t="s">
        <v>24</v>
      </c>
      <c r="K29" s="2"/>
      <c r="L29" s="37"/>
      <c r="M29" s="25"/>
      <c r="N29" s="37"/>
      <c r="O29" s="37"/>
      <c r="P29" s="37"/>
      <c r="Q29" s="37"/>
      <c r="R29" s="37"/>
      <c r="AR29" s="7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 t="str">
        <f t="shared" si="9"/>
        <v/>
      </c>
      <c r="BH29" s="2"/>
      <c r="BI29" s="2"/>
      <c r="BJ29" s="37"/>
      <c r="BK29" s="37" t="str">
        <f t="shared" si="0"/>
        <v/>
      </c>
      <c r="BL29" s="37" t="str">
        <f t="shared" si="10"/>
        <v/>
      </c>
      <c r="BM29" s="37" t="str">
        <f t="shared" si="11"/>
        <v/>
      </c>
      <c r="BN29" s="37" t="str">
        <f t="shared" si="1"/>
        <v/>
      </c>
      <c r="BO29" s="37" t="str">
        <f t="shared" si="12"/>
        <v/>
      </c>
      <c r="BP29" s="37">
        <f t="shared" si="13"/>
        <v>0</v>
      </c>
      <c r="BQ29" s="37"/>
      <c r="BR29" s="37"/>
      <c r="BS29" s="37"/>
      <c r="BT29" s="37"/>
      <c r="BU29" s="37"/>
      <c r="BV29" s="37"/>
      <c r="BW29" s="37"/>
      <c r="BX29" s="24"/>
      <c r="BY29" s="37"/>
      <c r="BZ29" s="37"/>
      <c r="CA29" s="37"/>
      <c r="CB29" s="17"/>
      <c r="CC29" s="2"/>
      <c r="CD29" s="8"/>
      <c r="CE29" s="37"/>
      <c r="CF29" s="37"/>
      <c r="CG29" s="37"/>
      <c r="CH29" s="37"/>
      <c r="CI29" s="37"/>
      <c r="CJ29" s="37"/>
      <c r="CK29" s="37"/>
      <c r="CM29" s="24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2" t="str">
        <f t="shared" si="2"/>
        <v/>
      </c>
      <c r="DB29" s="2" t="str">
        <f t="shared" si="14"/>
        <v/>
      </c>
      <c r="DC29" s="2" t="str">
        <f t="shared" si="3"/>
        <v/>
      </c>
      <c r="DD29" s="2"/>
      <c r="DE29" s="2"/>
      <c r="DF29" s="2"/>
      <c r="DG29" s="2"/>
      <c r="DH29" s="8"/>
      <c r="DK29" s="7"/>
      <c r="DL29" s="2"/>
      <c r="DM29" s="13"/>
      <c r="DN29" s="37">
        <f t="shared" si="22"/>
        <v>0</v>
      </c>
      <c r="DO29" s="37">
        <f t="shared" si="21"/>
        <v>0</v>
      </c>
      <c r="DP29" s="37"/>
      <c r="DQ29" s="37"/>
      <c r="DR29" s="25"/>
      <c r="DW29" s="37"/>
      <c r="DX29" s="37"/>
      <c r="DY29" s="37"/>
      <c r="DZ29" s="37"/>
      <c r="EA29" s="37"/>
      <c r="GT29" s="7"/>
      <c r="GU29" s="2"/>
      <c r="GV29" s="8" t="str">
        <f t="shared" si="16"/>
        <v/>
      </c>
    </row>
    <row r="30" spans="3:204">
      <c r="D30" s="30" t="s">
        <v>156</v>
      </c>
      <c r="E30" s="25" t="str">
        <f>IF(IsLayout="Yes",VLOOKUP(titleletter6,NCSpecial,2,FALSE),"na")</f>
        <v>na</v>
      </c>
      <c r="F30" s="37"/>
      <c r="G30" s="37"/>
      <c r="H30" s="25"/>
      <c r="I30" s="37"/>
      <c r="J30" s="7" t="s">
        <v>25</v>
      </c>
      <c r="K30" s="2"/>
      <c r="L30" s="37"/>
      <c r="M30" s="25"/>
      <c r="N30" s="37"/>
      <c r="O30" s="37"/>
      <c r="P30" s="37"/>
      <c r="Q30" s="37"/>
      <c r="R30" s="37"/>
      <c r="AR30" s="7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 t="str">
        <f t="shared" si="9"/>
        <v/>
      </c>
      <c r="BH30" s="2"/>
      <c r="BI30" s="2"/>
      <c r="BJ30" s="37"/>
      <c r="BK30" s="37" t="str">
        <f t="shared" si="0"/>
        <v/>
      </c>
      <c r="BL30" s="37" t="str">
        <f t="shared" si="10"/>
        <v/>
      </c>
      <c r="BM30" s="37" t="str">
        <f t="shared" si="11"/>
        <v/>
      </c>
      <c r="BN30" s="37" t="str">
        <f t="shared" si="1"/>
        <v/>
      </c>
      <c r="BO30" s="37" t="str">
        <f t="shared" si="12"/>
        <v/>
      </c>
      <c r="BP30" s="37">
        <f t="shared" si="13"/>
        <v>0</v>
      </c>
      <c r="BQ30" s="37"/>
      <c r="BR30" s="37"/>
      <c r="BS30" s="37"/>
      <c r="BT30" s="37"/>
      <c r="BU30" s="37"/>
      <c r="BV30" s="37"/>
      <c r="BW30" s="37"/>
      <c r="BX30" s="24"/>
      <c r="BY30" s="37"/>
      <c r="BZ30" s="37"/>
      <c r="CA30" s="37"/>
      <c r="CB30" s="17"/>
      <c r="CC30" s="2"/>
      <c r="CD30" s="8"/>
      <c r="CE30" s="37"/>
      <c r="CF30" s="37"/>
      <c r="CG30" s="37"/>
      <c r="CH30" s="37"/>
      <c r="CI30" s="37"/>
      <c r="CJ30" s="37"/>
      <c r="CK30" s="37"/>
      <c r="CM30" s="24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2" t="str">
        <f t="shared" si="2"/>
        <v/>
      </c>
      <c r="DB30" s="2" t="str">
        <f t="shared" si="14"/>
        <v/>
      </c>
      <c r="DC30" s="2" t="str">
        <f t="shared" si="3"/>
        <v/>
      </c>
      <c r="DD30" s="2"/>
      <c r="DE30" s="2"/>
      <c r="DF30" s="2"/>
      <c r="DG30" s="2"/>
      <c r="DH30" s="8"/>
      <c r="DK30" s="7"/>
      <c r="DL30" s="2"/>
      <c r="DM30" s="13"/>
      <c r="DN30" s="37">
        <f t="shared" si="22"/>
        <v>0</v>
      </c>
      <c r="DO30" s="37">
        <f t="shared" si="21"/>
        <v>0</v>
      </c>
      <c r="DP30" s="37"/>
      <c r="DQ30" s="37"/>
      <c r="DR30" s="25"/>
      <c r="DW30" s="37"/>
      <c r="DX30" s="37"/>
      <c r="DY30" s="37"/>
      <c r="DZ30" s="37"/>
      <c r="EA30" s="37"/>
      <c r="GT30" s="7"/>
      <c r="GU30" s="2"/>
      <c r="GV30" s="8" t="str">
        <f t="shared" si="16"/>
        <v/>
      </c>
    </row>
    <row r="31" spans="3:204">
      <c r="D31" s="24"/>
      <c r="E31" s="25"/>
      <c r="F31" s="37"/>
      <c r="G31" s="37"/>
      <c r="H31" s="25"/>
      <c r="I31" s="37"/>
      <c r="J31" s="7" t="s">
        <v>26</v>
      </c>
      <c r="K31" s="2"/>
      <c r="L31" s="37"/>
      <c r="M31" s="25"/>
      <c r="N31" s="37"/>
      <c r="O31" s="37"/>
      <c r="P31" s="37"/>
      <c r="Q31" s="37"/>
      <c r="R31" s="37"/>
      <c r="AR31" s="7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 t="str">
        <f t="shared" si="9"/>
        <v/>
      </c>
      <c r="BH31" s="2"/>
      <c r="BI31" s="2"/>
      <c r="BJ31" s="37"/>
      <c r="BK31" s="37" t="str">
        <f t="shared" si="0"/>
        <v/>
      </c>
      <c r="BL31" s="37" t="str">
        <f t="shared" si="10"/>
        <v/>
      </c>
      <c r="BM31" s="37" t="str">
        <f t="shared" si="11"/>
        <v/>
      </c>
      <c r="BN31" s="37" t="str">
        <f t="shared" si="1"/>
        <v/>
      </c>
      <c r="BO31" s="37" t="str">
        <f t="shared" si="12"/>
        <v/>
      </c>
      <c r="BP31" s="37">
        <f t="shared" si="13"/>
        <v>0</v>
      </c>
      <c r="BQ31" s="37"/>
      <c r="BR31" s="37"/>
      <c r="BS31" s="37"/>
      <c r="BT31" s="37"/>
      <c r="BU31" s="37"/>
      <c r="BV31" s="37"/>
      <c r="BW31" s="37"/>
      <c r="BX31" s="24"/>
      <c r="BY31" s="37"/>
      <c r="BZ31" s="37"/>
      <c r="CA31" s="37"/>
      <c r="CB31" s="17"/>
      <c r="CC31" s="2"/>
      <c r="CD31" s="8"/>
      <c r="CE31" s="37"/>
      <c r="CF31" s="37"/>
      <c r="CG31" s="37"/>
      <c r="CH31" s="37"/>
      <c r="CI31" s="37"/>
      <c r="CJ31" s="37"/>
      <c r="CK31" s="37"/>
      <c r="CM31" s="24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2" t="str">
        <f t="shared" si="2"/>
        <v/>
      </c>
      <c r="DB31" s="2" t="str">
        <f t="shared" si="14"/>
        <v/>
      </c>
      <c r="DC31" s="2" t="str">
        <f t="shared" si="3"/>
        <v/>
      </c>
      <c r="DD31" s="2"/>
      <c r="DE31" s="2"/>
      <c r="DF31" s="2"/>
      <c r="DG31" s="2"/>
      <c r="DH31" s="8"/>
      <c r="DK31" s="7"/>
      <c r="DL31" s="2"/>
      <c r="DM31" s="13"/>
      <c r="DN31" s="37">
        <f t="shared" si="22"/>
        <v>0</v>
      </c>
      <c r="DO31" s="37">
        <f t="shared" si="21"/>
        <v>0</v>
      </c>
      <c r="DP31" s="37"/>
      <c r="DQ31" s="37"/>
      <c r="DR31" s="25"/>
      <c r="DW31" s="37"/>
      <c r="DX31" s="37"/>
      <c r="DY31" s="37"/>
      <c r="DZ31" s="37"/>
      <c r="EA31" s="37"/>
      <c r="GT31" s="7"/>
      <c r="GU31" s="2"/>
      <c r="GV31" s="8" t="str">
        <f t="shared" si="16"/>
        <v/>
      </c>
    </row>
    <row r="32" spans="3:204">
      <c r="C32" s="67"/>
      <c r="D32" s="24" t="s">
        <v>157</v>
      </c>
      <c r="E32" s="25" t="str">
        <f>MID($D$5,7,2)</f>
        <v>20</v>
      </c>
      <c r="F32" s="67"/>
      <c r="G32" s="67"/>
      <c r="H32" s="78"/>
      <c r="I32" s="67"/>
      <c r="J32" s="7" t="s">
        <v>27</v>
      </c>
      <c r="K32" s="2"/>
      <c r="L32" s="67"/>
      <c r="M32" s="7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R32" s="7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 t="str">
        <f t="shared" si="9"/>
        <v/>
      </c>
      <c r="BH32" s="2"/>
      <c r="BI32" s="2"/>
      <c r="BJ32" s="37"/>
      <c r="BK32" s="37" t="str">
        <f t="shared" si="0"/>
        <v/>
      </c>
      <c r="BL32" s="37" t="str">
        <f t="shared" si="10"/>
        <v/>
      </c>
      <c r="BM32" s="37" t="str">
        <f t="shared" si="11"/>
        <v/>
      </c>
      <c r="BN32" s="37" t="str">
        <f t="shared" si="1"/>
        <v/>
      </c>
      <c r="BO32" s="37" t="str">
        <f t="shared" si="12"/>
        <v/>
      </c>
      <c r="BP32" s="37">
        <f t="shared" si="13"/>
        <v>0</v>
      </c>
      <c r="BQ32" s="37"/>
      <c r="BR32" s="37"/>
      <c r="BS32" s="37"/>
      <c r="BT32" s="37"/>
      <c r="BU32" s="37"/>
      <c r="BV32" s="37"/>
      <c r="BW32" s="37"/>
      <c r="BX32" s="24"/>
      <c r="BY32" s="37"/>
      <c r="BZ32" s="37"/>
      <c r="CA32" s="37"/>
      <c r="CB32" s="17"/>
      <c r="CC32" s="2"/>
      <c r="CD32" s="8"/>
      <c r="CE32" s="37"/>
      <c r="CF32" s="37"/>
      <c r="CG32" s="37"/>
      <c r="CH32" s="37"/>
      <c r="CI32" s="37"/>
      <c r="CJ32" s="37"/>
      <c r="CK32" s="37"/>
      <c r="CM32" s="24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2" t="str">
        <f t="shared" si="2"/>
        <v/>
      </c>
      <c r="DB32" s="2" t="str">
        <f t="shared" si="14"/>
        <v/>
      </c>
      <c r="DC32" s="2" t="str">
        <f t="shared" si="3"/>
        <v/>
      </c>
      <c r="DD32" s="2"/>
      <c r="DE32" s="2"/>
      <c r="DF32" s="2"/>
      <c r="DG32" s="2"/>
      <c r="DH32" s="8"/>
      <c r="DK32" s="7"/>
      <c r="DL32" s="2"/>
      <c r="DM32" s="13"/>
      <c r="DN32" s="37">
        <f t="shared" si="22"/>
        <v>0</v>
      </c>
      <c r="DO32" s="37">
        <f t="shared" si="21"/>
        <v>0</v>
      </c>
      <c r="DP32" s="37"/>
      <c r="DQ32" s="37"/>
      <c r="DR32" s="25"/>
      <c r="DW32" s="37"/>
      <c r="DX32" s="37"/>
      <c r="DY32" s="37"/>
      <c r="DZ32" s="37"/>
      <c r="EA32" s="37"/>
      <c r="GT32" s="7"/>
      <c r="GU32" s="2"/>
      <c r="GV32" s="8" t="str">
        <f t="shared" si="16"/>
        <v/>
      </c>
    </row>
    <row r="33" spans="3:204">
      <c r="C33" s="67"/>
      <c r="D33" s="30" t="s">
        <v>159</v>
      </c>
      <c r="E33" s="25" t="str">
        <f>IF(IsLayout="Yes",VLOOKUP(titleletter78,NCPlanKey,2,FALSE),"na")</f>
        <v>na</v>
      </c>
      <c r="F33" s="67"/>
      <c r="G33" s="67"/>
      <c r="H33" s="78"/>
      <c r="I33" s="67"/>
      <c r="J33" s="7" t="s">
        <v>28</v>
      </c>
      <c r="K33" s="2"/>
      <c r="L33" s="67"/>
      <c r="M33" s="78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R33" s="7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 t="str">
        <f t="shared" si="9"/>
        <v/>
      </c>
      <c r="BH33" s="2"/>
      <c r="BI33" s="2"/>
      <c r="BJ33" s="37"/>
      <c r="BK33" s="37" t="str">
        <f t="shared" si="0"/>
        <v/>
      </c>
      <c r="BL33" s="37" t="str">
        <f t="shared" si="10"/>
        <v/>
      </c>
      <c r="BM33" s="37" t="str">
        <f t="shared" si="11"/>
        <v/>
      </c>
      <c r="BN33" s="37" t="str">
        <f t="shared" si="1"/>
        <v/>
      </c>
      <c r="BO33" s="37" t="str">
        <f t="shared" si="12"/>
        <v/>
      </c>
      <c r="BP33" s="37">
        <f t="shared" si="13"/>
        <v>0</v>
      </c>
      <c r="BQ33" s="37"/>
      <c r="BR33" s="37"/>
      <c r="BS33" s="37"/>
      <c r="BT33" s="37"/>
      <c r="BU33" s="37"/>
      <c r="BV33" s="37"/>
      <c r="BW33" s="37"/>
      <c r="BX33" s="24"/>
      <c r="BY33" s="37"/>
      <c r="BZ33" s="37"/>
      <c r="CA33" s="37"/>
      <c r="CB33" s="17"/>
      <c r="CC33" s="2"/>
      <c r="CD33" s="8"/>
      <c r="CE33" s="37"/>
      <c r="CF33" s="37"/>
      <c r="CG33" s="37"/>
      <c r="CH33" s="37"/>
      <c r="CI33" s="37"/>
      <c r="CJ33" s="37"/>
      <c r="CK33" s="37"/>
      <c r="CM33" s="24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2" t="str">
        <f t="shared" si="2"/>
        <v/>
      </c>
      <c r="DB33" s="2" t="str">
        <f t="shared" si="14"/>
        <v/>
      </c>
      <c r="DC33" s="2" t="str">
        <f t="shared" si="3"/>
        <v/>
      </c>
      <c r="DD33" s="2"/>
      <c r="DE33" s="2"/>
      <c r="DF33" s="2"/>
      <c r="DG33" s="2"/>
      <c r="DH33" s="8"/>
      <c r="DK33" s="7"/>
      <c r="DL33" s="2"/>
      <c r="DM33" s="13"/>
      <c r="DN33" s="37">
        <f t="shared" si="22"/>
        <v>0</v>
      </c>
      <c r="DO33" s="37">
        <f t="shared" si="21"/>
        <v>0</v>
      </c>
      <c r="DP33" s="37"/>
      <c r="DQ33" s="37"/>
      <c r="DR33" s="25"/>
      <c r="DW33" s="37"/>
      <c r="DX33" s="37"/>
      <c r="DY33" s="37"/>
      <c r="DZ33" s="37"/>
      <c r="EA33" s="37"/>
      <c r="GT33" s="7"/>
      <c r="GU33" s="2"/>
      <c r="GV33" s="8" t="str">
        <f t="shared" si="16"/>
        <v/>
      </c>
    </row>
    <row r="34" spans="3:204">
      <c r="D34" s="24"/>
      <c r="E34" s="37"/>
      <c r="F34" s="37"/>
      <c r="G34" s="37"/>
      <c r="H34" s="25"/>
      <c r="I34" s="37"/>
      <c r="J34" s="7" t="s">
        <v>29</v>
      </c>
      <c r="K34" s="2"/>
      <c r="L34" s="37"/>
      <c r="M34" s="25"/>
      <c r="N34" s="37"/>
      <c r="O34" s="37"/>
      <c r="P34" s="37"/>
      <c r="Q34" s="37"/>
      <c r="R34" s="37"/>
      <c r="AR34" s="7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 t="str">
        <f t="shared" si="9"/>
        <v/>
      </c>
      <c r="BH34" s="2"/>
      <c r="BI34" s="2"/>
      <c r="BJ34" s="37"/>
      <c r="BK34" s="37" t="str">
        <f t="shared" si="0"/>
        <v/>
      </c>
      <c r="BL34" s="37" t="str">
        <f t="shared" si="10"/>
        <v/>
      </c>
      <c r="BM34" s="37" t="str">
        <f t="shared" si="11"/>
        <v/>
      </c>
      <c r="BN34" s="37" t="str">
        <f t="shared" si="1"/>
        <v/>
      </c>
      <c r="BO34" s="37" t="str">
        <f t="shared" si="12"/>
        <v/>
      </c>
      <c r="BP34" s="37">
        <f t="shared" si="13"/>
        <v>0</v>
      </c>
      <c r="BQ34" s="37"/>
      <c r="BR34" s="37"/>
      <c r="BS34" s="37"/>
      <c r="BT34" s="37"/>
      <c r="BU34" s="37"/>
      <c r="BV34" s="37"/>
      <c r="BW34" s="37"/>
      <c r="BX34" s="24"/>
      <c r="BY34" s="37"/>
      <c r="BZ34" s="37"/>
      <c r="CA34" s="37"/>
      <c r="CB34" s="17"/>
      <c r="CC34" s="2"/>
      <c r="CD34" s="8"/>
      <c r="CE34" s="37"/>
      <c r="CF34" s="37"/>
      <c r="CG34" s="37"/>
      <c r="CH34" s="37"/>
      <c r="CI34" s="37"/>
      <c r="CJ34" s="37"/>
      <c r="CK34" s="37"/>
      <c r="CM34" s="24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2" t="str">
        <f t="shared" ref="DA34:DA65" si="23">IF(ISERROR(DB34-FIXED(DB34,0)),"",DB34-FIXED(DB34,0))</f>
        <v/>
      </c>
      <c r="DB34" s="2" t="str">
        <f t="shared" ref="DB34:DB65" si="24">IF(ISERROR(DD34/DC34),"",DD34/DC34)</f>
        <v/>
      </c>
      <c r="DC34" s="2" t="str">
        <f t="shared" ref="DC34:DC65" si="25">IF(ISERROR(VLOOKUP(DG34,$CW$2:$CX$5,2)),"",VLOOKUP(DG34,$CW$2:$CX$5,2))</f>
        <v/>
      </c>
      <c r="DD34" s="2"/>
      <c r="DE34" s="2"/>
      <c r="DF34" s="2"/>
      <c r="DG34" s="2"/>
      <c r="DH34" s="8"/>
      <c r="DK34" s="7"/>
      <c r="DL34" s="2"/>
      <c r="DM34" s="13"/>
      <c r="DN34" s="37">
        <f t="shared" si="22"/>
        <v>0</v>
      </c>
      <c r="DO34" s="37">
        <f t="shared" si="21"/>
        <v>0</v>
      </c>
      <c r="DP34" s="37"/>
      <c r="DQ34" s="37"/>
      <c r="DR34" s="25"/>
      <c r="DW34" s="37"/>
      <c r="DX34" s="37"/>
      <c r="DY34" s="37"/>
      <c r="DZ34" s="37"/>
      <c r="EA34" s="37"/>
      <c r="GT34" s="7"/>
      <c r="GU34" s="2"/>
      <c r="GV34" s="8" t="str">
        <f t="shared" si="16"/>
        <v/>
      </c>
    </row>
    <row r="35" spans="3:204">
      <c r="D35" s="30" t="s">
        <v>160</v>
      </c>
      <c r="E35" s="25" t="str">
        <f>MID($D$5,5,4)</f>
        <v>0220</v>
      </c>
      <c r="F35" s="37"/>
      <c r="G35" s="37"/>
      <c r="H35" s="25"/>
      <c r="I35" s="37"/>
      <c r="J35" s="7" t="s">
        <v>30</v>
      </c>
      <c r="K35" s="2"/>
      <c r="L35" s="37"/>
      <c r="M35" s="25"/>
      <c r="N35" s="37"/>
      <c r="O35" s="37"/>
      <c r="P35" s="37"/>
      <c r="Q35" s="37"/>
      <c r="R35" s="37"/>
      <c r="AR35" s="7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 t="str">
        <f t="shared" si="9"/>
        <v/>
      </c>
      <c r="BH35" s="2"/>
      <c r="BI35" s="2"/>
      <c r="BJ35" s="37"/>
      <c r="BK35" s="37" t="str">
        <f t="shared" si="0"/>
        <v/>
      </c>
      <c r="BL35" s="37" t="str">
        <f t="shared" si="10"/>
        <v/>
      </c>
      <c r="BM35" s="37" t="str">
        <f t="shared" si="11"/>
        <v/>
      </c>
      <c r="BN35" s="37" t="str">
        <f t="shared" si="1"/>
        <v/>
      </c>
      <c r="BO35" s="37" t="str">
        <f t="shared" si="12"/>
        <v/>
      </c>
      <c r="BP35" s="37">
        <f t="shared" si="13"/>
        <v>0</v>
      </c>
      <c r="BQ35" s="37"/>
      <c r="BR35" s="37"/>
      <c r="BS35" s="37"/>
      <c r="BT35" s="37"/>
      <c r="BU35" s="37"/>
      <c r="BV35" s="37"/>
      <c r="BW35" s="37"/>
      <c r="BX35" s="24"/>
      <c r="BY35" s="37"/>
      <c r="BZ35" s="37"/>
      <c r="CA35" s="37"/>
      <c r="CB35" s="17"/>
      <c r="CC35" s="2"/>
      <c r="CD35" s="8"/>
      <c r="CE35" s="37"/>
      <c r="CF35" s="37"/>
      <c r="CG35" s="37"/>
      <c r="CH35" s="37"/>
      <c r="CI35" s="37"/>
      <c r="CJ35" s="37"/>
      <c r="CK35" s="37"/>
      <c r="CM35" s="24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2" t="str">
        <f t="shared" si="23"/>
        <v/>
      </c>
      <c r="DB35" s="2" t="str">
        <f t="shared" si="24"/>
        <v/>
      </c>
      <c r="DC35" s="2" t="str">
        <f t="shared" si="25"/>
        <v/>
      </c>
      <c r="DD35" s="2"/>
      <c r="DE35" s="2"/>
      <c r="DF35" s="2"/>
      <c r="DG35" s="2"/>
      <c r="DH35" s="8"/>
      <c r="DK35" s="7"/>
      <c r="DL35" s="2"/>
      <c r="DM35" s="13"/>
      <c r="DN35" s="37">
        <f t="shared" si="22"/>
        <v>0</v>
      </c>
      <c r="DO35" s="37">
        <f t="shared" si="21"/>
        <v>0</v>
      </c>
      <c r="DP35" s="37"/>
      <c r="DQ35" s="37"/>
      <c r="DR35" s="25"/>
      <c r="DW35" s="37"/>
      <c r="DX35" s="37"/>
      <c r="DY35" s="37"/>
      <c r="DZ35" s="37"/>
      <c r="EA35" s="37"/>
      <c r="GT35" s="7"/>
      <c r="GU35" s="2"/>
      <c r="GV35" s="8" t="str">
        <f t="shared" si="16"/>
        <v/>
      </c>
    </row>
    <row r="36" spans="3:204" ht="15" thickBot="1">
      <c r="D36" s="33" t="s">
        <v>161</v>
      </c>
      <c r="E36" s="27" t="str">
        <f>IF(IsLayout="No",VLOOKUP("Yes",NCSeries,4,FALSE),"na")</f>
        <v>Diagrams and schematics (e.g. block, ladder, one-line and riser diagrams, PLC Communication), Electrical panel</v>
      </c>
      <c r="F36" s="37"/>
      <c r="G36" s="37"/>
      <c r="H36" s="25"/>
      <c r="I36" s="37"/>
      <c r="J36" s="103" t="s">
        <v>762</v>
      </c>
      <c r="K36" s="103" t="str">
        <f>IF(SUM(titleSum)&gt;0,"Yes","No")</f>
        <v>Yes</v>
      </c>
      <c r="L36" s="37"/>
      <c r="M36" s="25"/>
      <c r="N36" s="37"/>
      <c r="O36" s="37"/>
      <c r="P36" s="37"/>
      <c r="Q36" s="37"/>
      <c r="R36" s="37"/>
      <c r="AR36" s="7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 t="str">
        <f t="shared" si="9"/>
        <v/>
      </c>
      <c r="BH36" s="2"/>
      <c r="BI36" s="2"/>
      <c r="BJ36" s="37"/>
      <c r="BK36" s="37" t="str">
        <f t="shared" si="0"/>
        <v/>
      </c>
      <c r="BL36" s="37" t="str">
        <f t="shared" si="10"/>
        <v/>
      </c>
      <c r="BM36" s="37" t="str">
        <f t="shared" si="11"/>
        <v/>
      </c>
      <c r="BN36" s="37" t="str">
        <f t="shared" si="1"/>
        <v/>
      </c>
      <c r="BO36" s="37" t="str">
        <f t="shared" si="12"/>
        <v/>
      </c>
      <c r="BP36" s="37">
        <f t="shared" si="13"/>
        <v>0</v>
      </c>
      <c r="BQ36" s="37"/>
      <c r="BR36" s="37"/>
      <c r="BS36" s="37"/>
      <c r="BT36" s="37"/>
      <c r="BU36" s="37"/>
      <c r="BV36" s="37"/>
      <c r="BW36" s="37"/>
      <c r="BX36" s="24"/>
      <c r="BY36" s="37"/>
      <c r="BZ36" s="37"/>
      <c r="CA36" s="37"/>
      <c r="CB36" s="17"/>
      <c r="CC36" s="2"/>
      <c r="CD36" s="8"/>
      <c r="CE36" s="37"/>
      <c r="CF36" s="37"/>
      <c r="CG36" s="37"/>
      <c r="CH36" s="37"/>
      <c r="CI36" s="37"/>
      <c r="CJ36" s="37"/>
      <c r="CK36" s="37"/>
      <c r="CM36" s="24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2" t="str">
        <f t="shared" si="23"/>
        <v/>
      </c>
      <c r="DB36" s="2" t="str">
        <f t="shared" si="24"/>
        <v/>
      </c>
      <c r="DC36" s="2" t="str">
        <f t="shared" si="25"/>
        <v/>
      </c>
      <c r="DD36" s="2"/>
      <c r="DE36" s="2"/>
      <c r="DF36" s="2"/>
      <c r="DG36" s="2"/>
      <c r="DH36" s="8"/>
      <c r="DK36" s="7"/>
      <c r="DL36" s="2"/>
      <c r="DM36" s="13"/>
      <c r="DN36" s="37">
        <f t="shared" si="22"/>
        <v>0</v>
      </c>
      <c r="DO36" s="37">
        <f t="shared" si="21"/>
        <v>0</v>
      </c>
      <c r="DP36" s="37"/>
      <c r="DQ36" s="37"/>
      <c r="DR36" s="25"/>
      <c r="DW36" s="37"/>
      <c r="DX36" s="37"/>
      <c r="DY36" s="37"/>
      <c r="DZ36" s="37"/>
      <c r="EA36" s="37"/>
      <c r="GT36" s="7"/>
      <c r="GU36" s="2"/>
      <c r="GV36" s="8" t="str">
        <f t="shared" si="16"/>
        <v/>
      </c>
    </row>
    <row r="37" spans="3:204">
      <c r="D37" s="24"/>
      <c r="E37" s="37"/>
      <c r="F37" s="37"/>
      <c r="G37" s="37"/>
      <c r="H37" s="25"/>
      <c r="I37" s="37"/>
      <c r="J37" s="103" t="s">
        <v>564</v>
      </c>
      <c r="K37" s="103" t="str">
        <f>IF(titleqtymodel=0,"No","Yes")</f>
        <v>No</v>
      </c>
      <c r="L37" s="37"/>
      <c r="M37" s="25"/>
      <c r="N37" s="37"/>
      <c r="O37" s="37"/>
      <c r="P37" s="37"/>
      <c r="Q37" s="37"/>
      <c r="R37" s="37"/>
      <c r="AR37" s="7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 t="str">
        <f t="shared" si="9"/>
        <v/>
      </c>
      <c r="BH37" s="2"/>
      <c r="BI37" s="2"/>
      <c r="BJ37" s="37"/>
      <c r="BK37" s="37" t="str">
        <f t="shared" si="0"/>
        <v/>
      </c>
      <c r="BL37" s="37" t="str">
        <f t="shared" si="10"/>
        <v/>
      </c>
      <c r="BM37" s="37" t="str">
        <f t="shared" si="11"/>
        <v/>
      </c>
      <c r="BN37" s="37" t="str">
        <f t="shared" si="1"/>
        <v/>
      </c>
      <c r="BO37" s="37" t="str">
        <f t="shared" si="12"/>
        <v/>
      </c>
      <c r="BP37" s="37">
        <f t="shared" si="13"/>
        <v>0</v>
      </c>
      <c r="BQ37" s="37"/>
      <c r="BR37" s="37"/>
      <c r="BS37" s="37"/>
      <c r="BT37" s="37"/>
      <c r="BU37" s="37"/>
      <c r="BV37" s="37"/>
      <c r="BW37" s="37"/>
      <c r="BX37" s="24"/>
      <c r="BY37" s="37"/>
      <c r="BZ37" s="37"/>
      <c r="CA37" s="37"/>
      <c r="CB37" s="17"/>
      <c r="CC37" s="2"/>
      <c r="CD37" s="8"/>
      <c r="CE37" s="37"/>
      <c r="CF37" s="37"/>
      <c r="CG37" s="37"/>
      <c r="CH37" s="37"/>
      <c r="CI37" s="37"/>
      <c r="CJ37" s="37"/>
      <c r="CK37" s="37"/>
      <c r="CM37" s="24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2" t="str">
        <f t="shared" si="23"/>
        <v/>
      </c>
      <c r="DB37" s="2" t="str">
        <f t="shared" si="24"/>
        <v/>
      </c>
      <c r="DC37" s="2" t="str">
        <f t="shared" si="25"/>
        <v/>
      </c>
      <c r="DD37" s="2"/>
      <c r="DE37" s="2"/>
      <c r="DF37" s="2"/>
      <c r="DG37" s="2"/>
      <c r="DH37" s="8"/>
      <c r="DK37" s="7"/>
      <c r="DL37" s="2"/>
      <c r="DM37" s="13"/>
      <c r="DN37" s="37">
        <f t="shared" si="22"/>
        <v>0</v>
      </c>
      <c r="DO37" s="37">
        <f t="shared" si="21"/>
        <v>0</v>
      </c>
      <c r="DP37" s="37"/>
      <c r="DQ37" s="37"/>
      <c r="DR37" s="25"/>
      <c r="DW37" s="37"/>
      <c r="DX37" s="37"/>
      <c r="DY37" s="37"/>
      <c r="DZ37" s="37"/>
      <c r="EA37" s="37"/>
      <c r="GT37" s="7"/>
      <c r="GU37" s="2"/>
      <c r="GV37" s="8" t="str">
        <f t="shared" si="16"/>
        <v/>
      </c>
    </row>
    <row r="38" spans="3:204">
      <c r="D38" s="30" t="s">
        <v>162</v>
      </c>
      <c r="E38" s="37" t="str">
        <f>IF(LEN(dwgname)=8,"Yes")</f>
        <v>Yes</v>
      </c>
      <c r="F38" s="37"/>
      <c r="G38" s="37"/>
      <c r="H38" s="25"/>
      <c r="I38" s="37"/>
      <c r="J38" s="103" t="s">
        <v>565</v>
      </c>
      <c r="K38" s="103" t="str">
        <f>IF(titleqtypaper=1,"Yes","No")</f>
        <v>Yes</v>
      </c>
      <c r="L38" s="37"/>
      <c r="M38" s="25"/>
      <c r="N38" s="37"/>
      <c r="O38" s="37"/>
      <c r="P38" s="37"/>
      <c r="Q38" s="37"/>
      <c r="R38" s="37"/>
      <c r="AR38" s="7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 t="str">
        <f t="shared" si="9"/>
        <v/>
      </c>
      <c r="BH38" s="2"/>
      <c r="BI38" s="2"/>
      <c r="BJ38" s="37"/>
      <c r="BK38" s="37" t="str">
        <f t="shared" si="0"/>
        <v/>
      </c>
      <c r="BL38" s="37" t="str">
        <f t="shared" si="10"/>
        <v/>
      </c>
      <c r="BM38" s="37" t="str">
        <f t="shared" si="11"/>
        <v/>
      </c>
      <c r="BN38" s="37" t="str">
        <f t="shared" si="1"/>
        <v/>
      </c>
      <c r="BO38" s="37" t="str">
        <f t="shared" si="12"/>
        <v/>
      </c>
      <c r="BP38" s="37">
        <f t="shared" si="13"/>
        <v>0</v>
      </c>
      <c r="BQ38" s="37"/>
      <c r="BR38" s="37"/>
      <c r="BS38" s="37"/>
      <c r="BT38" s="37"/>
      <c r="BU38" s="37"/>
      <c r="BV38" s="37"/>
      <c r="BW38" s="37"/>
      <c r="BX38" s="24"/>
      <c r="BY38" s="37"/>
      <c r="BZ38" s="37"/>
      <c r="CA38" s="37"/>
      <c r="CB38" s="17"/>
      <c r="CC38" s="2"/>
      <c r="CD38" s="8"/>
      <c r="CE38" s="37"/>
      <c r="CF38" s="37"/>
      <c r="CG38" s="37"/>
      <c r="CH38" s="37"/>
      <c r="CI38" s="37"/>
      <c r="CJ38" s="37"/>
      <c r="CK38" s="37"/>
      <c r="CM38" s="24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2" t="str">
        <f t="shared" si="23"/>
        <v/>
      </c>
      <c r="DB38" s="2" t="str">
        <f t="shared" si="24"/>
        <v/>
      </c>
      <c r="DC38" s="2" t="str">
        <f t="shared" si="25"/>
        <v/>
      </c>
      <c r="DD38" s="2"/>
      <c r="DE38" s="2"/>
      <c r="DF38" s="2"/>
      <c r="DG38" s="2"/>
      <c r="DH38" s="8"/>
      <c r="DK38" s="7"/>
      <c r="DL38" s="2"/>
      <c r="DM38" s="13"/>
      <c r="DN38" s="37">
        <f t="shared" si="22"/>
        <v>0</v>
      </c>
      <c r="DO38" s="37">
        <f t="shared" si="21"/>
        <v>0</v>
      </c>
      <c r="DP38" s="37"/>
      <c r="DQ38" s="37"/>
      <c r="DR38" s="25"/>
      <c r="GT38" s="7"/>
      <c r="GU38" s="2"/>
      <c r="GV38" s="8" t="str">
        <f t="shared" si="16"/>
        <v/>
      </c>
    </row>
    <row r="39" spans="3:204" ht="15" thickBot="1">
      <c r="D39" s="79" t="s">
        <v>163</v>
      </c>
      <c r="E39" s="37" t="str">
        <f>letter1legal</f>
        <v>Yes</v>
      </c>
      <c r="F39" s="37"/>
      <c r="G39" s="37"/>
      <c r="H39" s="25"/>
      <c r="I39" s="37"/>
      <c r="J39" s="103" t="s">
        <v>566</v>
      </c>
      <c r="K39" s="103" t="str">
        <f>titleunique</f>
        <v>Yes</v>
      </c>
      <c r="L39" s="37"/>
      <c r="M39" s="25"/>
      <c r="N39" s="37"/>
      <c r="O39" s="37"/>
      <c r="P39" s="37"/>
      <c r="Q39" s="37"/>
      <c r="R39" s="37"/>
      <c r="AR39" s="7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 t="str">
        <f t="shared" si="9"/>
        <v/>
      </c>
      <c r="BH39" s="2"/>
      <c r="BI39" s="2"/>
      <c r="BJ39" s="37"/>
      <c r="BK39" s="37" t="str">
        <f t="shared" si="0"/>
        <v/>
      </c>
      <c r="BL39" s="37" t="str">
        <f t="shared" si="10"/>
        <v/>
      </c>
      <c r="BM39" s="37" t="str">
        <f t="shared" si="11"/>
        <v/>
      </c>
      <c r="BN39" s="37" t="str">
        <f t="shared" si="1"/>
        <v/>
      </c>
      <c r="BO39" s="37" t="str">
        <f t="shared" si="12"/>
        <v/>
      </c>
      <c r="BP39" s="37">
        <f t="shared" si="13"/>
        <v>0</v>
      </c>
      <c r="BQ39" s="37"/>
      <c r="BR39" s="37"/>
      <c r="BS39" s="37"/>
      <c r="BT39" s="37"/>
      <c r="BU39" s="37"/>
      <c r="BV39" s="37"/>
      <c r="BW39" s="37"/>
      <c r="BX39" s="24"/>
      <c r="BY39" s="37"/>
      <c r="BZ39" s="37"/>
      <c r="CA39" s="37"/>
      <c r="CB39" s="17"/>
      <c r="CC39" s="2"/>
      <c r="CD39" s="8"/>
      <c r="CE39" s="37"/>
      <c r="CF39" s="37"/>
      <c r="CG39" s="37"/>
      <c r="CH39" s="37"/>
      <c r="CI39" s="37"/>
      <c r="CJ39" s="37"/>
      <c r="CK39" s="37"/>
      <c r="CM39" s="24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2" t="str">
        <f t="shared" si="23"/>
        <v/>
      </c>
      <c r="DB39" s="2" t="str">
        <f t="shared" si="24"/>
        <v/>
      </c>
      <c r="DC39" s="2" t="str">
        <f t="shared" si="25"/>
        <v/>
      </c>
      <c r="DD39" s="2"/>
      <c r="DE39" s="2"/>
      <c r="DF39" s="2"/>
      <c r="DG39" s="2"/>
      <c r="DH39" s="8"/>
      <c r="DK39" s="7"/>
      <c r="DL39" s="2"/>
      <c r="DM39" s="13"/>
      <c r="DN39" s="37">
        <f t="shared" si="22"/>
        <v>0</v>
      </c>
      <c r="DO39" s="37">
        <f t="shared" si="21"/>
        <v>0</v>
      </c>
      <c r="DP39" s="37"/>
      <c r="DQ39" s="37"/>
      <c r="DR39" s="25"/>
      <c r="GT39" s="9"/>
      <c r="GU39" s="10"/>
      <c r="GV39" s="8" t="str">
        <f t="shared" si="16"/>
        <v/>
      </c>
    </row>
    <row r="40" spans="3:204" ht="15" thickBot="1">
      <c r="D40" s="24" t="s">
        <v>158</v>
      </c>
      <c r="E40" t="str">
        <f>IF(ISERROR(VLOOKUP(titleletter78,NCPlanKey,1,FALSE)),"No",IF(titleletter78=VLOOKUP(titleletter78,NCPlanKey,1,FALSE),"Yes","No"))</f>
        <v>No</v>
      </c>
      <c r="F40" s="37"/>
      <c r="G40" s="37"/>
      <c r="H40" s="25"/>
      <c r="I40" s="37"/>
      <c r="J40" s="103" t="s">
        <v>828</v>
      </c>
      <c r="K40" s="103" t="str">
        <f>IF(buildingNumberInTitle1="Yes","Yes","No")</f>
        <v>Yes</v>
      </c>
      <c r="L40" s="37"/>
      <c r="M40" s="25"/>
      <c r="N40" s="37"/>
      <c r="O40" s="37"/>
      <c r="P40" s="37"/>
      <c r="Q40" s="37"/>
      <c r="R40" s="37"/>
      <c r="AR40" s="9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2"/>
      <c r="BE40" s="10"/>
      <c r="BF40" s="10"/>
      <c r="BG40" s="2" t="str">
        <f t="shared" si="9"/>
        <v/>
      </c>
      <c r="BH40" s="10"/>
      <c r="BI40" s="2"/>
      <c r="BJ40" s="37"/>
      <c r="BK40" s="37" t="str">
        <f t="shared" si="0"/>
        <v/>
      </c>
      <c r="BL40" s="37" t="str">
        <f t="shared" si="10"/>
        <v/>
      </c>
      <c r="BM40" s="37" t="str">
        <f t="shared" si="11"/>
        <v/>
      </c>
      <c r="BN40" s="37" t="str">
        <f t="shared" si="1"/>
        <v/>
      </c>
      <c r="BO40" s="37" t="str">
        <f t="shared" si="12"/>
        <v/>
      </c>
      <c r="BP40" s="37">
        <f t="shared" si="13"/>
        <v>0</v>
      </c>
      <c r="BQ40" s="37"/>
      <c r="BR40" s="37"/>
      <c r="BS40" s="37"/>
      <c r="BT40" s="37"/>
      <c r="BU40" s="37"/>
      <c r="BV40" s="37"/>
      <c r="BW40" s="37"/>
      <c r="BX40" s="26"/>
      <c r="BY40" s="38"/>
      <c r="BZ40" s="38"/>
      <c r="CA40" s="38"/>
      <c r="CB40" s="69"/>
      <c r="CC40" s="10"/>
      <c r="CD40" s="11"/>
      <c r="CE40" s="37"/>
      <c r="CF40" s="37"/>
      <c r="CG40" s="37"/>
      <c r="CH40" s="37"/>
      <c r="CI40" s="37"/>
      <c r="CJ40" s="37"/>
      <c r="CK40" s="37"/>
      <c r="CM40" s="24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2" t="str">
        <f t="shared" si="23"/>
        <v/>
      </c>
      <c r="DB40" s="2" t="str">
        <f t="shared" si="24"/>
        <v/>
      </c>
      <c r="DC40" s="2" t="str">
        <f t="shared" si="25"/>
        <v/>
      </c>
      <c r="DD40" s="2"/>
      <c r="DE40" s="2"/>
      <c r="DF40" s="2"/>
      <c r="DG40" s="2"/>
      <c r="DH40" s="8"/>
      <c r="DK40" s="7"/>
      <c r="DL40" s="2"/>
      <c r="DM40" s="13"/>
      <c r="DN40" s="37">
        <f t="shared" si="22"/>
        <v>0</v>
      </c>
      <c r="DO40" s="37">
        <f t="shared" si="21"/>
        <v>0</v>
      </c>
      <c r="DP40" s="37"/>
      <c r="DQ40" s="37"/>
      <c r="DR40" s="25"/>
    </row>
    <row r="41" spans="3:204">
      <c r="D41" s="30" t="s">
        <v>806</v>
      </c>
      <c r="E41" s="25" t="str">
        <f>IsView</f>
        <v>Yes</v>
      </c>
      <c r="F41" s="37"/>
      <c r="G41" s="37"/>
      <c r="H41" s="25"/>
      <c r="I41" s="37"/>
      <c r="J41" s="103" t="s">
        <v>829</v>
      </c>
      <c r="K41" s="103" t="str">
        <f>IF(IsLayout="Yes",IF(levelInTitle="Yes","Yes","No"),"Yes")</f>
        <v>Yes</v>
      </c>
      <c r="L41" s="37"/>
      <c r="M41" s="25"/>
      <c r="N41" s="37"/>
      <c r="O41" s="37"/>
      <c r="P41" s="37"/>
      <c r="Q41" s="37"/>
      <c r="R41" s="37"/>
      <c r="BO41" s="37" t="str">
        <f t="shared" ref="BO41:BO45" si="26">IF(AS41="","",IF(BK41="Yes","Yes",IF(AND(BL41="Yes",BM41="Yes"),"Yes","No")))</f>
        <v/>
      </c>
      <c r="BP41" s="37"/>
      <c r="CM41" s="24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2" t="str">
        <f t="shared" si="23"/>
        <v/>
      </c>
      <c r="DB41" s="2" t="str">
        <f t="shared" si="24"/>
        <v/>
      </c>
      <c r="DC41" s="2" t="str">
        <f t="shared" si="25"/>
        <v/>
      </c>
      <c r="DD41" s="2"/>
      <c r="DE41" s="2"/>
      <c r="DF41" s="2"/>
      <c r="DG41" s="2"/>
      <c r="DH41" s="8"/>
      <c r="DK41" s="7"/>
      <c r="DL41" s="2"/>
      <c r="DM41" s="13"/>
      <c r="DN41" s="37">
        <f t="shared" si="22"/>
        <v>0</v>
      </c>
      <c r="DO41" s="37">
        <f t="shared" si="21"/>
        <v>0</v>
      </c>
      <c r="DP41" s="37"/>
      <c r="DQ41" s="37"/>
      <c r="DR41" s="25"/>
    </row>
    <row r="42" spans="3:204">
      <c r="D42" s="24"/>
      <c r="E42" s="37"/>
      <c r="F42" s="37"/>
      <c r="G42" s="37"/>
      <c r="H42" s="25"/>
      <c r="I42" s="37"/>
      <c r="J42" s="103" t="s">
        <v>831</v>
      </c>
      <c r="K42" s="103" t="str">
        <f>IF(IsLayout="Yes",IF(overallSectorInTitle="Yes","Yes","No"),"Yes")</f>
        <v>Yes</v>
      </c>
      <c r="L42" s="37"/>
      <c r="M42" s="25"/>
      <c r="N42" s="37"/>
      <c r="O42" s="37"/>
      <c r="P42" s="37"/>
      <c r="Q42" s="37"/>
      <c r="R42" s="37"/>
      <c r="BO42" s="37" t="str">
        <f t="shared" si="26"/>
        <v/>
      </c>
      <c r="BP42" s="37"/>
      <c r="CM42" s="24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2" t="str">
        <f t="shared" si="23"/>
        <v/>
      </c>
      <c r="DB42" s="2" t="str">
        <f t="shared" si="24"/>
        <v/>
      </c>
      <c r="DC42" s="2" t="str">
        <f t="shared" si="25"/>
        <v/>
      </c>
      <c r="DD42" s="2"/>
      <c r="DE42" s="2"/>
      <c r="DF42" s="2"/>
      <c r="DG42" s="2"/>
      <c r="DH42" s="8"/>
      <c r="DK42" s="7"/>
      <c r="DL42" s="2"/>
      <c r="DM42" s="13"/>
      <c r="DN42" s="37">
        <f t="shared" si="22"/>
        <v>0</v>
      </c>
      <c r="DO42" s="37">
        <f t="shared" si="21"/>
        <v>0</v>
      </c>
      <c r="DP42" s="37"/>
      <c r="DQ42" s="37"/>
      <c r="DR42" s="25"/>
    </row>
    <row r="43" spans="3:204">
      <c r="C43" s="67"/>
      <c r="D43" s="80" t="s">
        <v>164</v>
      </c>
      <c r="E43" s="37" t="str">
        <f>IF(AND(letter1legal="Yes",isEightLetters="Yes",OR(dwgname=DwgNum,IsView="No"),SecondLetterAllowed="Yes"),"ok","x")</f>
        <v>x</v>
      </c>
      <c r="F43" s="67"/>
      <c r="G43" s="67"/>
      <c r="H43" s="78"/>
      <c r="I43" s="67"/>
      <c r="J43" s="103" t="s">
        <v>830</v>
      </c>
      <c r="K43" s="103" t="str">
        <f>IF(IsLayout="Yes",IF(layoutOrViewInTitle="Yes","Yes","No"),IF(title4WithKeyWord="Yes","Yes","No"))</f>
        <v>Yes</v>
      </c>
      <c r="L43" s="67"/>
      <c r="M43" s="25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BO43" s="37" t="str">
        <f t="shared" si="26"/>
        <v/>
      </c>
      <c r="BP43" s="37"/>
      <c r="CM43" s="24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2" t="str">
        <f t="shared" si="23"/>
        <v/>
      </c>
      <c r="DB43" s="2" t="str">
        <f t="shared" si="24"/>
        <v/>
      </c>
      <c r="DC43" s="2" t="str">
        <f t="shared" si="25"/>
        <v/>
      </c>
      <c r="DD43" s="2"/>
      <c r="DE43" s="2"/>
      <c r="DF43" s="2"/>
      <c r="DG43" s="2"/>
      <c r="DH43" s="8"/>
      <c r="DK43" s="7"/>
      <c r="DL43" s="2"/>
      <c r="DM43" s="13"/>
      <c r="DN43" s="37">
        <f t="shared" si="22"/>
        <v>0</v>
      </c>
      <c r="DO43" s="37">
        <f t="shared" si="21"/>
        <v>0</v>
      </c>
      <c r="DP43" s="37"/>
      <c r="DQ43" s="37"/>
      <c r="DR43" s="25"/>
    </row>
    <row r="44" spans="3:204">
      <c r="C44" s="72"/>
      <c r="D44" s="79" t="s">
        <v>585</v>
      </c>
      <c r="E44" s="81" t="str">
        <f>IF(ISERROR(VALUE(Letters5678)),"na",VALUE(Letters5678))</f>
        <v>na</v>
      </c>
      <c r="F44" s="67"/>
      <c r="G44" s="67"/>
      <c r="H44" s="78"/>
      <c r="I44" s="67"/>
      <c r="J44" s="103" t="s">
        <v>568</v>
      </c>
      <c r="K44" s="103" t="str">
        <f>titleScaleAllowed</f>
        <v>Yes</v>
      </c>
      <c r="L44" s="100">
        <f>IF(ISERROR(FIND("=",Scale))," ",FIND("=",Scale))</f>
        <v>2</v>
      </c>
      <c r="M44" s="25" t="str">
        <f>IF(ISERROR(FIND(":",Scale)),"",FIND(":",Scale))</f>
        <v/>
      </c>
      <c r="N44" s="67"/>
      <c r="O44" s="67"/>
      <c r="P44" s="67"/>
      <c r="Q44" s="67"/>
      <c r="R44" s="67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BO44" s="37" t="str">
        <f t="shared" si="26"/>
        <v/>
      </c>
      <c r="BP44" s="37"/>
      <c r="CM44" s="24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2" t="str">
        <f t="shared" si="23"/>
        <v/>
      </c>
      <c r="DB44" s="2" t="str">
        <f t="shared" si="24"/>
        <v/>
      </c>
      <c r="DC44" s="2" t="str">
        <f t="shared" si="25"/>
        <v/>
      </c>
      <c r="DD44" s="2"/>
      <c r="DE44" s="2"/>
      <c r="DF44" s="2"/>
      <c r="DG44" s="2"/>
      <c r="DH44" s="8"/>
      <c r="DK44" s="7"/>
      <c r="DL44" s="2"/>
      <c r="DM44" s="13"/>
      <c r="DN44" s="37">
        <f t="shared" si="22"/>
        <v>0</v>
      </c>
      <c r="DO44" s="37">
        <f t="shared" si="21"/>
        <v>0</v>
      </c>
      <c r="DP44" s="37"/>
      <c r="DQ44" s="37"/>
      <c r="DR44" s="25"/>
    </row>
    <row r="45" spans="3:204" ht="15" thickBot="1">
      <c r="C45" s="67"/>
      <c r="D45" s="79" t="s">
        <v>581</v>
      </c>
      <c r="E45" s="37" t="str">
        <f>'chk1'!J60</f>
        <v>No</v>
      </c>
      <c r="F45" s="67"/>
      <c r="G45" s="67"/>
      <c r="H45" s="78"/>
      <c r="I45" s="67"/>
      <c r="J45" s="104" t="s">
        <v>569</v>
      </c>
      <c r="K45" s="103" t="str">
        <f>IF(ISERROR(VLOOKUP(PlotScale,allowedPlotScales,1,FALSE)),"No", IF(VLOOKUP(PlotScale,allowedPlotScales,1,FALSE)=PlotScale,"Yes","No"))</f>
        <v>Yes</v>
      </c>
      <c r="L45" s="37"/>
      <c r="M45" s="25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BO45" s="37" t="str">
        <f t="shared" si="26"/>
        <v/>
      </c>
      <c r="BP45" s="37"/>
      <c r="CM45" s="24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2" t="str">
        <f t="shared" si="23"/>
        <v/>
      </c>
      <c r="DB45" s="2" t="str">
        <f t="shared" si="24"/>
        <v/>
      </c>
      <c r="DC45" s="2" t="str">
        <f t="shared" si="25"/>
        <v/>
      </c>
      <c r="DD45" s="2"/>
      <c r="DE45" s="2"/>
      <c r="DF45" s="2"/>
      <c r="DG45" s="2"/>
      <c r="DH45" s="8"/>
      <c r="DK45" s="9"/>
      <c r="DL45" s="10"/>
      <c r="DM45" s="14"/>
      <c r="DN45" s="37">
        <f t="shared" si="22"/>
        <v>0</v>
      </c>
      <c r="DO45" s="37">
        <f t="shared" si="21"/>
        <v>0</v>
      </c>
      <c r="DP45" s="38"/>
      <c r="DQ45" s="38"/>
      <c r="DR45" s="27"/>
    </row>
    <row r="46" spans="3:204">
      <c r="C46" s="72"/>
      <c r="D46" s="24" t="s">
        <v>582</v>
      </c>
      <c r="E46" s="37" t="str">
        <f>'chk1'!I60</f>
        <v>No</v>
      </c>
      <c r="F46" s="67"/>
      <c r="G46" s="67"/>
      <c r="H46" s="78"/>
      <c r="I46" s="67"/>
      <c r="J46" s="104" t="s">
        <v>570</v>
      </c>
      <c r="K46" s="103" t="str">
        <f>IF(OR(chk2Layer="G-ANNO-TTLB",chk2Layer="G-ANNO-TBOR"),"Yes","No")</f>
        <v>Yes</v>
      </c>
      <c r="L46" s="37" t="str">
        <f>titlelayer</f>
        <v>G-ANNO-TTLB</v>
      </c>
      <c r="M46" s="25"/>
      <c r="N46" s="67"/>
      <c r="O46" s="67"/>
      <c r="P46" s="67"/>
      <c r="Q46" s="67"/>
      <c r="R46" s="67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CM46" s="24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2" t="str">
        <f t="shared" si="23"/>
        <v/>
      </c>
      <c r="DB46" s="2" t="str">
        <f t="shared" si="24"/>
        <v/>
      </c>
      <c r="DC46" s="2" t="str">
        <f t="shared" si="25"/>
        <v/>
      </c>
      <c r="DD46" s="2"/>
      <c r="DE46" s="2"/>
      <c r="DF46" s="2"/>
      <c r="DG46" s="2"/>
      <c r="DH46" s="8"/>
    </row>
    <row r="47" spans="3:204">
      <c r="C47" s="67"/>
      <c r="D47" s="79" t="s">
        <v>583</v>
      </c>
      <c r="E47" s="37" t="str">
        <f>IsElevation</f>
        <v>No</v>
      </c>
      <c r="F47" s="67"/>
      <c r="G47" s="67"/>
      <c r="H47" s="78"/>
      <c r="I47" s="67"/>
      <c r="J47" s="102" t="s">
        <v>571</v>
      </c>
      <c r="K47" s="4" t="str">
        <f>IF(AND(IsLayout="No",M14="Yes"),"ok",  IF(IsView="Yes",IF(AND(titleinmodel="No",titleinpaper="Yes",UniqueTitle="Yes",title4proper="Yes",title3proper="Yes",title2proper="Yes",title1proper="Yes",scaleformatok="Yes",plotscaleok="Yes"),"ok","x"),"na"))</f>
        <v>ok</v>
      </c>
      <c r="L47" s="37"/>
      <c r="M47" s="25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CM47" s="24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2" t="str">
        <f t="shared" si="23"/>
        <v/>
      </c>
      <c r="DB47" s="2" t="str">
        <f t="shared" si="24"/>
        <v/>
      </c>
      <c r="DC47" s="2" t="str">
        <f t="shared" si="25"/>
        <v/>
      </c>
      <c r="DD47" s="2"/>
      <c r="DE47" s="2"/>
      <c r="DF47" s="2"/>
      <c r="DG47" s="2"/>
      <c r="DH47" s="8"/>
    </row>
    <row r="48" spans="3:204" ht="15" thickBot="1">
      <c r="C48" s="67"/>
      <c r="D48" s="26" t="s">
        <v>584</v>
      </c>
      <c r="E48" s="38" t="str">
        <f>'chk1'!H60</f>
        <v>Yes</v>
      </c>
      <c r="F48" s="82"/>
      <c r="G48" s="82"/>
      <c r="H48" s="83"/>
      <c r="I48" s="67"/>
      <c r="J48" s="26"/>
      <c r="K48" s="38"/>
      <c r="L48" s="38"/>
      <c r="M48" s="2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CM48" s="24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2" t="str">
        <f t="shared" si="23"/>
        <v/>
      </c>
      <c r="DB48" s="2" t="str">
        <f t="shared" si="24"/>
        <v/>
      </c>
      <c r="DC48" s="2" t="str">
        <f t="shared" si="25"/>
        <v/>
      </c>
      <c r="DD48" s="2"/>
      <c r="DE48" s="2"/>
      <c r="DF48" s="2"/>
      <c r="DG48" s="2"/>
      <c r="DH48" s="8"/>
    </row>
    <row r="49" spans="1:112">
      <c r="C49" s="67"/>
      <c r="D49" s="67"/>
      <c r="E49" s="67"/>
      <c r="F49" s="67"/>
      <c r="G49" s="67"/>
      <c r="H49" s="67"/>
      <c r="I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CM49" s="24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2" t="str">
        <f t="shared" si="23"/>
        <v/>
      </c>
      <c r="DB49" s="2" t="str">
        <f t="shared" si="24"/>
        <v/>
      </c>
      <c r="DC49" s="2" t="str">
        <f t="shared" si="25"/>
        <v/>
      </c>
      <c r="DD49" s="2"/>
      <c r="DE49" s="2"/>
      <c r="DF49" s="2"/>
      <c r="DG49" s="2"/>
      <c r="DH49" s="8"/>
    </row>
    <row r="50" spans="1:112">
      <c r="C50" s="67"/>
      <c r="D50" s="67"/>
      <c r="E50" s="67"/>
      <c r="F50" s="67"/>
      <c r="G50" s="67"/>
      <c r="H50" s="67"/>
      <c r="I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CM50" s="24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2" t="str">
        <f t="shared" si="23"/>
        <v/>
      </c>
      <c r="DB50" s="2" t="str">
        <f t="shared" si="24"/>
        <v/>
      </c>
      <c r="DC50" s="2" t="str">
        <f t="shared" si="25"/>
        <v/>
      </c>
      <c r="DD50" s="2"/>
      <c r="DE50" s="2"/>
      <c r="DF50" s="2"/>
      <c r="DG50" s="2"/>
      <c r="DH50" s="8"/>
    </row>
    <row r="51" spans="1:112">
      <c r="C51" s="72"/>
      <c r="CM51" s="24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2" t="str">
        <f t="shared" si="23"/>
        <v/>
      </c>
      <c r="DB51" s="2" t="str">
        <f t="shared" si="24"/>
        <v/>
      </c>
      <c r="DC51" s="2" t="str">
        <f t="shared" si="25"/>
        <v/>
      </c>
      <c r="DD51" s="2"/>
      <c r="DE51" s="2"/>
      <c r="DF51" s="2"/>
      <c r="DG51" s="2"/>
      <c r="DH51" s="8"/>
    </row>
    <row r="52" spans="1:112">
      <c r="CM52" s="24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2" t="str">
        <f t="shared" si="23"/>
        <v/>
      </c>
      <c r="DB52" s="2" t="str">
        <f t="shared" si="24"/>
        <v/>
      </c>
      <c r="DC52" s="2" t="str">
        <f t="shared" si="25"/>
        <v/>
      </c>
      <c r="DD52" s="2"/>
      <c r="DE52" s="2"/>
      <c r="DF52" s="2"/>
      <c r="DG52" s="2"/>
      <c r="DH52" s="8"/>
    </row>
    <row r="53" spans="1:112">
      <c r="CM53" s="24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2" t="str">
        <f t="shared" si="23"/>
        <v/>
      </c>
      <c r="DB53" s="2" t="str">
        <f t="shared" si="24"/>
        <v/>
      </c>
      <c r="DC53" s="2" t="str">
        <f t="shared" si="25"/>
        <v/>
      </c>
      <c r="DD53" s="2"/>
      <c r="DE53" s="2"/>
      <c r="DF53" s="2"/>
      <c r="DG53" s="2"/>
      <c r="DH53" s="8"/>
    </row>
    <row r="54" spans="1:112">
      <c r="CM54" s="24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2" t="str">
        <f t="shared" si="23"/>
        <v/>
      </c>
      <c r="DB54" s="2" t="str">
        <f t="shared" si="24"/>
        <v/>
      </c>
      <c r="DC54" s="2" t="str">
        <f t="shared" si="25"/>
        <v/>
      </c>
      <c r="DD54" s="2"/>
      <c r="DE54" s="2"/>
      <c r="DF54" s="2"/>
      <c r="DG54" s="2"/>
      <c r="DH54" s="8"/>
    </row>
    <row r="55" spans="1:112">
      <c r="CM55" s="24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2" t="str">
        <f t="shared" si="23"/>
        <v/>
      </c>
      <c r="DB55" s="2" t="str">
        <f t="shared" si="24"/>
        <v/>
      </c>
      <c r="DC55" s="2" t="str">
        <f t="shared" si="25"/>
        <v/>
      </c>
      <c r="DD55" s="2"/>
      <c r="DE55" s="2"/>
      <c r="DF55" s="2"/>
      <c r="DG55" s="2"/>
      <c r="DH55" s="8"/>
    </row>
    <row r="56" spans="1:112">
      <c r="CM56" s="24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2" t="str">
        <f t="shared" si="23"/>
        <v/>
      </c>
      <c r="DB56" s="2" t="str">
        <f t="shared" si="24"/>
        <v/>
      </c>
      <c r="DC56" s="2" t="str">
        <f t="shared" si="25"/>
        <v/>
      </c>
      <c r="DD56" s="2"/>
      <c r="DE56" s="2"/>
      <c r="DF56" s="2"/>
      <c r="DG56" s="2"/>
      <c r="DH56" s="8"/>
    </row>
    <row r="57" spans="1:112">
      <c r="CM57" s="24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2" t="str">
        <f t="shared" si="23"/>
        <v/>
      </c>
      <c r="DB57" s="2" t="str">
        <f t="shared" si="24"/>
        <v/>
      </c>
      <c r="DC57" s="2" t="str">
        <f t="shared" si="25"/>
        <v/>
      </c>
      <c r="DD57" s="2"/>
      <c r="DE57" s="2"/>
      <c r="DF57" s="2"/>
      <c r="DG57" s="2"/>
      <c r="DH57" s="8"/>
    </row>
    <row r="58" spans="1:112">
      <c r="CM58" s="24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2" t="str">
        <f t="shared" si="23"/>
        <v/>
      </c>
      <c r="DB58" s="2" t="str">
        <f t="shared" si="24"/>
        <v/>
      </c>
      <c r="DC58" s="2" t="str">
        <f t="shared" si="25"/>
        <v/>
      </c>
      <c r="DD58" s="2"/>
      <c r="DE58" s="2"/>
      <c r="DF58" s="2"/>
      <c r="DG58" s="2"/>
      <c r="DH58" s="8"/>
    </row>
    <row r="59" spans="1:112">
      <c r="CM59" s="24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2" t="str">
        <f t="shared" si="23"/>
        <v/>
      </c>
      <c r="DB59" s="2" t="str">
        <f t="shared" si="24"/>
        <v/>
      </c>
      <c r="DC59" s="2" t="str">
        <f t="shared" si="25"/>
        <v/>
      </c>
      <c r="DD59" s="2"/>
      <c r="DE59" s="2"/>
      <c r="DF59" s="2"/>
      <c r="DG59" s="2"/>
      <c r="DH59" s="8"/>
    </row>
    <row r="60" spans="1:112">
      <c r="CM60" s="24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2" t="str">
        <f t="shared" si="23"/>
        <v/>
      </c>
      <c r="DB60" s="2" t="str">
        <f t="shared" si="24"/>
        <v/>
      </c>
      <c r="DC60" s="2" t="str">
        <f t="shared" si="25"/>
        <v/>
      </c>
      <c r="DD60" s="2"/>
      <c r="DE60" s="2"/>
      <c r="DF60" s="2"/>
      <c r="DG60" s="2"/>
      <c r="DH60" s="8"/>
    </row>
    <row r="61" spans="1:112">
      <c r="CM61" s="24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2" t="str">
        <f t="shared" si="23"/>
        <v/>
      </c>
      <c r="DB61" s="2" t="str">
        <f t="shared" si="24"/>
        <v/>
      </c>
      <c r="DC61" s="2" t="str">
        <f t="shared" si="25"/>
        <v/>
      </c>
      <c r="DD61" s="2"/>
      <c r="DE61" s="2"/>
      <c r="DF61" s="2"/>
      <c r="DG61" s="2"/>
      <c r="DH61" s="8"/>
    </row>
    <row r="62" spans="1:112">
      <c r="A62" s="34" t="s">
        <v>806</v>
      </c>
      <c r="B62" t="str">
        <f>IF(OR(titleletter1="K",titleletter1="M"),"Yes","No")</f>
        <v>Yes</v>
      </c>
      <c r="CM62" s="24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2" t="str">
        <f t="shared" si="23"/>
        <v/>
      </c>
      <c r="DB62" s="2" t="str">
        <f t="shared" si="24"/>
        <v/>
      </c>
      <c r="DC62" s="2" t="str">
        <f t="shared" si="25"/>
        <v/>
      </c>
      <c r="DD62" s="2"/>
      <c r="DE62" s="2"/>
      <c r="DF62" s="2"/>
      <c r="DG62" s="2"/>
      <c r="DH62" s="8"/>
    </row>
    <row r="63" spans="1:112">
      <c r="CM63" s="24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2" t="str">
        <f t="shared" si="23"/>
        <v/>
      </c>
      <c r="DB63" s="2" t="str">
        <f t="shared" si="24"/>
        <v/>
      </c>
      <c r="DC63" s="2" t="str">
        <f t="shared" si="25"/>
        <v/>
      </c>
      <c r="DD63" s="2"/>
      <c r="DE63" s="2"/>
      <c r="DF63" s="2"/>
      <c r="DG63" s="2"/>
      <c r="DH63" s="8"/>
    </row>
    <row r="64" spans="1:112">
      <c r="CM64" s="24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2" t="str">
        <f t="shared" si="23"/>
        <v/>
      </c>
      <c r="DB64" s="2" t="str">
        <f t="shared" si="24"/>
        <v/>
      </c>
      <c r="DC64" s="2" t="str">
        <f t="shared" si="25"/>
        <v/>
      </c>
      <c r="DD64" s="2"/>
      <c r="DE64" s="2"/>
      <c r="DF64" s="2"/>
      <c r="DG64" s="2"/>
      <c r="DH64" s="8"/>
    </row>
    <row r="65" spans="91:112">
      <c r="CM65" s="24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2" t="str">
        <f t="shared" si="23"/>
        <v/>
      </c>
      <c r="DB65" s="2" t="str">
        <f t="shared" si="24"/>
        <v/>
      </c>
      <c r="DC65" s="2" t="str">
        <f t="shared" si="25"/>
        <v/>
      </c>
      <c r="DD65" s="2"/>
      <c r="DE65" s="2"/>
      <c r="DF65" s="2"/>
      <c r="DG65" s="2"/>
      <c r="DH65" s="8"/>
    </row>
    <row r="66" spans="91:112">
      <c r="CM66" s="24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2" t="str">
        <f t="shared" ref="DA66:DA97" si="27">IF(ISERROR(DB66-FIXED(DB66,0)),"",DB66-FIXED(DB66,0))</f>
        <v/>
      </c>
      <c r="DB66" s="2" t="str">
        <f t="shared" ref="DB66:DB97" si="28">IF(ISERROR(DD66/DC66),"",DD66/DC66)</f>
        <v/>
      </c>
      <c r="DC66" s="2" t="str">
        <f t="shared" ref="DC66:DC97" si="29">IF(ISERROR(VLOOKUP(DG66,$CW$2:$CX$5,2)),"",VLOOKUP(DG66,$CW$2:$CX$5,2))</f>
        <v/>
      </c>
      <c r="DD66" s="2"/>
      <c r="DE66" s="2"/>
      <c r="DF66" s="2"/>
      <c r="DG66" s="2"/>
      <c r="DH66" s="8"/>
    </row>
    <row r="67" spans="91:112">
      <c r="CM67" s="24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2" t="str">
        <f t="shared" si="27"/>
        <v/>
      </c>
      <c r="DB67" s="2" t="str">
        <f t="shared" si="28"/>
        <v/>
      </c>
      <c r="DC67" s="2" t="str">
        <f t="shared" si="29"/>
        <v/>
      </c>
      <c r="DD67" s="2"/>
      <c r="DE67" s="2"/>
      <c r="DF67" s="2"/>
      <c r="DG67" s="2"/>
      <c r="DH67" s="8"/>
    </row>
    <row r="68" spans="91:112">
      <c r="CM68" s="24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2" t="str">
        <f t="shared" si="27"/>
        <v/>
      </c>
      <c r="DB68" s="2" t="str">
        <f t="shared" si="28"/>
        <v/>
      </c>
      <c r="DC68" s="2" t="str">
        <f t="shared" si="29"/>
        <v/>
      </c>
      <c r="DD68" s="2"/>
      <c r="DE68" s="2"/>
      <c r="DF68" s="2"/>
      <c r="DG68" s="2"/>
      <c r="DH68" s="8"/>
    </row>
    <row r="69" spans="91:112">
      <c r="CM69" s="24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2" t="str">
        <f t="shared" si="27"/>
        <v/>
      </c>
      <c r="DB69" s="2" t="str">
        <f t="shared" si="28"/>
        <v/>
      </c>
      <c r="DC69" s="2" t="str">
        <f t="shared" si="29"/>
        <v/>
      </c>
      <c r="DD69" s="2"/>
      <c r="DE69" s="2"/>
      <c r="DF69" s="2"/>
      <c r="DG69" s="2"/>
      <c r="DH69" s="8"/>
    </row>
    <row r="70" spans="91:112">
      <c r="CM70" s="24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2" t="str">
        <f t="shared" si="27"/>
        <v/>
      </c>
      <c r="DB70" s="2" t="str">
        <f t="shared" si="28"/>
        <v/>
      </c>
      <c r="DC70" s="2" t="str">
        <f t="shared" si="29"/>
        <v/>
      </c>
      <c r="DD70" s="2"/>
      <c r="DE70" s="2"/>
      <c r="DF70" s="2"/>
      <c r="DG70" s="2"/>
      <c r="DH70" s="8"/>
    </row>
    <row r="71" spans="91:112">
      <c r="CM71" s="24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2" t="str">
        <f t="shared" si="27"/>
        <v/>
      </c>
      <c r="DB71" s="2" t="str">
        <f t="shared" si="28"/>
        <v/>
      </c>
      <c r="DC71" s="2" t="str">
        <f t="shared" si="29"/>
        <v/>
      </c>
      <c r="DD71" s="2"/>
      <c r="DE71" s="2"/>
      <c r="DF71" s="2"/>
      <c r="DG71" s="2"/>
      <c r="DH71" s="8"/>
    </row>
    <row r="72" spans="91:112">
      <c r="CM72" s="24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2" t="str">
        <f t="shared" si="27"/>
        <v/>
      </c>
      <c r="DB72" s="2" t="str">
        <f t="shared" si="28"/>
        <v/>
      </c>
      <c r="DC72" s="2" t="str">
        <f t="shared" si="29"/>
        <v/>
      </c>
      <c r="DD72" s="2"/>
      <c r="DE72" s="2"/>
      <c r="DF72" s="2"/>
      <c r="DG72" s="2"/>
      <c r="DH72" s="8"/>
    </row>
    <row r="73" spans="91:112">
      <c r="CM73" s="24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2" t="str">
        <f t="shared" si="27"/>
        <v/>
      </c>
      <c r="DB73" s="2" t="str">
        <f t="shared" si="28"/>
        <v/>
      </c>
      <c r="DC73" s="2" t="str">
        <f t="shared" si="29"/>
        <v/>
      </c>
      <c r="DD73" s="2"/>
      <c r="DE73" s="2"/>
      <c r="DF73" s="2"/>
      <c r="DG73" s="2"/>
      <c r="DH73" s="8"/>
    </row>
    <row r="74" spans="91:112">
      <c r="CM74" s="24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2" t="str">
        <f t="shared" si="27"/>
        <v/>
      </c>
      <c r="DB74" s="2" t="str">
        <f t="shared" si="28"/>
        <v/>
      </c>
      <c r="DC74" s="2" t="str">
        <f t="shared" si="29"/>
        <v/>
      </c>
      <c r="DD74" s="2"/>
      <c r="DE74" s="2"/>
      <c r="DF74" s="2"/>
      <c r="DG74" s="2"/>
      <c r="DH74" s="8"/>
    </row>
    <row r="75" spans="91:112">
      <c r="CM75" s="24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2" t="str">
        <f t="shared" si="27"/>
        <v/>
      </c>
      <c r="DB75" s="2" t="str">
        <f t="shared" si="28"/>
        <v/>
      </c>
      <c r="DC75" s="2" t="str">
        <f t="shared" si="29"/>
        <v/>
      </c>
      <c r="DD75" s="2"/>
      <c r="DE75" s="2"/>
      <c r="DF75" s="2"/>
      <c r="DG75" s="2"/>
      <c r="DH75" s="8"/>
    </row>
    <row r="76" spans="91:112">
      <c r="CM76" s="24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2" t="str">
        <f t="shared" si="27"/>
        <v/>
      </c>
      <c r="DB76" s="2" t="str">
        <f t="shared" si="28"/>
        <v/>
      </c>
      <c r="DC76" s="2" t="str">
        <f t="shared" si="29"/>
        <v/>
      </c>
      <c r="DD76" s="2"/>
      <c r="DE76" s="2"/>
      <c r="DF76" s="2"/>
      <c r="DG76" s="2"/>
      <c r="DH76" s="8"/>
    </row>
    <row r="77" spans="91:112">
      <c r="CM77" s="24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2" t="str">
        <f t="shared" si="27"/>
        <v/>
      </c>
      <c r="DB77" s="2" t="str">
        <f t="shared" si="28"/>
        <v/>
      </c>
      <c r="DC77" s="2" t="str">
        <f t="shared" si="29"/>
        <v/>
      </c>
      <c r="DD77" s="2"/>
      <c r="DE77" s="2"/>
      <c r="DF77" s="2"/>
      <c r="DG77" s="2"/>
      <c r="DH77" s="8"/>
    </row>
    <row r="78" spans="91:112">
      <c r="CM78" s="24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2" t="str">
        <f t="shared" si="27"/>
        <v/>
      </c>
      <c r="DB78" s="2" t="str">
        <f t="shared" si="28"/>
        <v/>
      </c>
      <c r="DC78" s="2" t="str">
        <f t="shared" si="29"/>
        <v/>
      </c>
      <c r="DD78" s="2"/>
      <c r="DE78" s="2"/>
      <c r="DF78" s="2"/>
      <c r="DG78" s="2"/>
      <c r="DH78" s="8"/>
    </row>
    <row r="79" spans="91:112">
      <c r="CM79" s="24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2" t="str">
        <f t="shared" si="27"/>
        <v/>
      </c>
      <c r="DB79" s="2" t="str">
        <f t="shared" si="28"/>
        <v/>
      </c>
      <c r="DC79" s="2" t="str">
        <f t="shared" si="29"/>
        <v/>
      </c>
      <c r="DD79" s="2"/>
      <c r="DE79" s="2"/>
      <c r="DF79" s="2"/>
      <c r="DG79" s="2"/>
      <c r="DH79" s="8"/>
    </row>
    <row r="80" spans="91:112">
      <c r="CM80" s="24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2" t="str">
        <f t="shared" si="27"/>
        <v/>
      </c>
      <c r="DB80" s="2" t="str">
        <f t="shared" si="28"/>
        <v/>
      </c>
      <c r="DC80" s="2" t="str">
        <f t="shared" si="29"/>
        <v/>
      </c>
      <c r="DD80" s="2"/>
      <c r="DE80" s="2"/>
      <c r="DF80" s="2"/>
      <c r="DG80" s="2"/>
      <c r="DH80" s="8"/>
    </row>
    <row r="81" spans="91:112">
      <c r="CM81" s="24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2" t="str">
        <f t="shared" si="27"/>
        <v/>
      </c>
      <c r="DB81" s="2" t="str">
        <f t="shared" si="28"/>
        <v/>
      </c>
      <c r="DC81" s="2" t="str">
        <f t="shared" si="29"/>
        <v/>
      </c>
      <c r="DD81" s="2"/>
      <c r="DE81" s="2"/>
      <c r="DF81" s="2"/>
      <c r="DG81" s="2"/>
      <c r="DH81" s="8"/>
    </row>
    <row r="82" spans="91:112">
      <c r="CM82" s="24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2" t="str">
        <f t="shared" si="27"/>
        <v/>
      </c>
      <c r="DB82" s="2" t="str">
        <f t="shared" si="28"/>
        <v/>
      </c>
      <c r="DC82" s="2" t="str">
        <f t="shared" si="29"/>
        <v/>
      </c>
      <c r="DD82" s="2"/>
      <c r="DE82" s="2"/>
      <c r="DF82" s="2"/>
      <c r="DG82" s="2"/>
      <c r="DH82" s="8"/>
    </row>
    <row r="83" spans="91:112">
      <c r="CM83" s="24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2" t="str">
        <f t="shared" si="27"/>
        <v/>
      </c>
      <c r="DB83" s="2" t="str">
        <f t="shared" si="28"/>
        <v/>
      </c>
      <c r="DC83" s="2" t="str">
        <f t="shared" si="29"/>
        <v/>
      </c>
      <c r="DD83" s="2"/>
      <c r="DE83" s="2"/>
      <c r="DF83" s="2"/>
      <c r="DG83" s="2"/>
      <c r="DH83" s="8"/>
    </row>
    <row r="84" spans="91:112">
      <c r="CM84" s="24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2" t="str">
        <f t="shared" si="27"/>
        <v/>
      </c>
      <c r="DB84" s="2" t="str">
        <f t="shared" si="28"/>
        <v/>
      </c>
      <c r="DC84" s="2" t="str">
        <f t="shared" si="29"/>
        <v/>
      </c>
      <c r="DD84" s="2"/>
      <c r="DE84" s="2"/>
      <c r="DF84" s="2"/>
      <c r="DG84" s="2"/>
      <c r="DH84" s="8"/>
    </row>
    <row r="85" spans="91:112">
      <c r="CM85" s="24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2" t="str">
        <f t="shared" si="27"/>
        <v/>
      </c>
      <c r="DB85" s="2" t="str">
        <f t="shared" si="28"/>
        <v/>
      </c>
      <c r="DC85" s="2" t="str">
        <f t="shared" si="29"/>
        <v/>
      </c>
      <c r="DD85" s="2"/>
      <c r="DE85" s="2"/>
      <c r="DF85" s="2"/>
      <c r="DG85" s="2"/>
      <c r="DH85" s="8"/>
    </row>
    <row r="86" spans="91:112">
      <c r="CM86" s="24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2" t="str">
        <f t="shared" si="27"/>
        <v/>
      </c>
      <c r="DB86" s="2" t="str">
        <f t="shared" si="28"/>
        <v/>
      </c>
      <c r="DC86" s="2" t="str">
        <f t="shared" si="29"/>
        <v/>
      </c>
      <c r="DD86" s="2"/>
      <c r="DE86" s="2"/>
      <c r="DF86" s="2"/>
      <c r="DG86" s="2"/>
      <c r="DH86" s="8"/>
    </row>
    <row r="87" spans="91:112">
      <c r="CM87" s="24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2" t="str">
        <f t="shared" si="27"/>
        <v/>
      </c>
      <c r="DB87" s="2" t="str">
        <f t="shared" si="28"/>
        <v/>
      </c>
      <c r="DC87" s="2" t="str">
        <f t="shared" si="29"/>
        <v/>
      </c>
      <c r="DD87" s="2"/>
      <c r="DE87" s="2"/>
      <c r="DF87" s="2"/>
      <c r="DG87" s="2"/>
      <c r="DH87" s="8"/>
    </row>
    <row r="88" spans="91:112">
      <c r="CM88" s="24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2" t="str">
        <f t="shared" si="27"/>
        <v/>
      </c>
      <c r="DB88" s="2" t="str">
        <f t="shared" si="28"/>
        <v/>
      </c>
      <c r="DC88" s="2" t="str">
        <f t="shared" si="29"/>
        <v/>
      </c>
      <c r="DD88" s="2"/>
      <c r="DE88" s="2"/>
      <c r="DF88" s="2"/>
      <c r="DG88" s="2"/>
      <c r="DH88" s="8"/>
    </row>
    <row r="89" spans="91:112">
      <c r="CM89" s="24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2" t="str">
        <f t="shared" si="27"/>
        <v/>
      </c>
      <c r="DB89" s="2" t="str">
        <f t="shared" si="28"/>
        <v/>
      </c>
      <c r="DC89" s="2" t="str">
        <f t="shared" si="29"/>
        <v/>
      </c>
      <c r="DD89" s="2"/>
      <c r="DE89" s="2"/>
      <c r="DF89" s="2"/>
      <c r="DG89" s="2"/>
      <c r="DH89" s="8"/>
    </row>
    <row r="90" spans="91:112">
      <c r="CM90" s="24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2" t="str">
        <f t="shared" si="27"/>
        <v/>
      </c>
      <c r="DB90" s="2" t="str">
        <f t="shared" si="28"/>
        <v/>
      </c>
      <c r="DC90" s="2" t="str">
        <f t="shared" si="29"/>
        <v/>
      </c>
      <c r="DD90" s="2"/>
      <c r="DE90" s="2"/>
      <c r="DF90" s="2"/>
      <c r="DG90" s="2"/>
      <c r="DH90" s="8"/>
    </row>
    <row r="91" spans="91:112">
      <c r="CM91" s="24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2" t="str">
        <f t="shared" si="27"/>
        <v/>
      </c>
      <c r="DB91" s="2" t="str">
        <f t="shared" si="28"/>
        <v/>
      </c>
      <c r="DC91" s="2" t="str">
        <f t="shared" si="29"/>
        <v/>
      </c>
      <c r="DD91" s="2"/>
      <c r="DE91" s="2"/>
      <c r="DF91" s="2"/>
      <c r="DG91" s="2"/>
      <c r="DH91" s="8"/>
    </row>
    <row r="92" spans="91:112">
      <c r="CM92" s="24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2" t="str">
        <f t="shared" si="27"/>
        <v/>
      </c>
      <c r="DB92" s="2" t="str">
        <f t="shared" si="28"/>
        <v/>
      </c>
      <c r="DC92" s="2" t="str">
        <f t="shared" si="29"/>
        <v/>
      </c>
      <c r="DD92" s="2"/>
      <c r="DE92" s="2"/>
      <c r="DF92" s="2"/>
      <c r="DG92" s="2"/>
      <c r="DH92" s="8"/>
    </row>
    <row r="93" spans="91:112">
      <c r="CM93" s="24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2" t="str">
        <f t="shared" si="27"/>
        <v/>
      </c>
      <c r="DB93" s="2" t="str">
        <f t="shared" si="28"/>
        <v/>
      </c>
      <c r="DC93" s="2" t="str">
        <f t="shared" si="29"/>
        <v/>
      </c>
      <c r="DD93" s="2"/>
      <c r="DE93" s="2"/>
      <c r="DF93" s="2"/>
      <c r="DG93" s="2"/>
      <c r="DH93" s="8"/>
    </row>
    <row r="94" spans="91:112">
      <c r="CM94" s="24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2" t="str">
        <f t="shared" si="27"/>
        <v/>
      </c>
      <c r="DB94" s="2" t="str">
        <f t="shared" si="28"/>
        <v/>
      </c>
      <c r="DC94" s="2" t="str">
        <f t="shared" si="29"/>
        <v/>
      </c>
      <c r="DD94" s="2"/>
      <c r="DE94" s="2"/>
      <c r="DF94" s="2"/>
      <c r="DG94" s="2"/>
      <c r="DH94" s="8"/>
    </row>
    <row r="95" spans="91:112">
      <c r="CM95" s="24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2" t="str">
        <f t="shared" si="27"/>
        <v/>
      </c>
      <c r="DB95" s="2" t="str">
        <f t="shared" si="28"/>
        <v/>
      </c>
      <c r="DC95" s="2" t="str">
        <f t="shared" si="29"/>
        <v/>
      </c>
      <c r="DD95" s="2"/>
      <c r="DE95" s="2"/>
      <c r="DF95" s="2"/>
      <c r="DG95" s="2"/>
      <c r="DH95" s="8"/>
    </row>
    <row r="96" spans="91:112">
      <c r="CM96" s="24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2" t="str">
        <f t="shared" si="27"/>
        <v/>
      </c>
      <c r="DB96" s="2" t="str">
        <f t="shared" si="28"/>
        <v/>
      </c>
      <c r="DC96" s="2" t="str">
        <f t="shared" si="29"/>
        <v/>
      </c>
      <c r="DD96" s="2"/>
      <c r="DE96" s="2"/>
      <c r="DF96" s="2"/>
      <c r="DG96" s="2"/>
      <c r="DH96" s="8"/>
    </row>
    <row r="97" spans="91:112">
      <c r="CM97" s="24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2" t="str">
        <f t="shared" si="27"/>
        <v/>
      </c>
      <c r="DB97" s="2" t="str">
        <f t="shared" si="28"/>
        <v/>
      </c>
      <c r="DC97" s="2" t="str">
        <f t="shared" si="29"/>
        <v/>
      </c>
      <c r="DD97" s="2"/>
      <c r="DE97" s="2"/>
      <c r="DF97" s="2"/>
      <c r="DG97" s="2"/>
      <c r="DH97" s="8"/>
    </row>
    <row r="98" spans="91:112">
      <c r="CM98" s="24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2" t="str">
        <f t="shared" ref="DA98:DA129" si="30">IF(ISERROR(DB98-FIXED(DB98,0)),"",DB98-FIXED(DB98,0))</f>
        <v/>
      </c>
      <c r="DB98" s="2" t="str">
        <f t="shared" ref="DB98:DB129" si="31">IF(ISERROR(DD98/DC98),"",DD98/DC98)</f>
        <v/>
      </c>
      <c r="DC98" s="2" t="str">
        <f t="shared" ref="DC98:DC129" si="32">IF(ISERROR(VLOOKUP(DG98,$CW$2:$CX$5,2)),"",VLOOKUP(DG98,$CW$2:$CX$5,2))</f>
        <v/>
      </c>
      <c r="DD98" s="2"/>
      <c r="DE98" s="2"/>
      <c r="DF98" s="2"/>
      <c r="DG98" s="2"/>
      <c r="DH98" s="8"/>
    </row>
    <row r="99" spans="91:112">
      <c r="CM99" s="24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2" t="str">
        <f t="shared" si="30"/>
        <v/>
      </c>
      <c r="DB99" s="2" t="str">
        <f t="shared" si="31"/>
        <v/>
      </c>
      <c r="DC99" s="2" t="str">
        <f t="shared" si="32"/>
        <v/>
      </c>
      <c r="DD99" s="2"/>
      <c r="DE99" s="2"/>
      <c r="DF99" s="2"/>
      <c r="DG99" s="2"/>
      <c r="DH99" s="8"/>
    </row>
    <row r="100" spans="91:112">
      <c r="CM100" s="24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2" t="str">
        <f t="shared" si="30"/>
        <v/>
      </c>
      <c r="DB100" s="2" t="str">
        <f t="shared" si="31"/>
        <v/>
      </c>
      <c r="DC100" s="2" t="str">
        <f t="shared" si="32"/>
        <v/>
      </c>
      <c r="DD100" s="2"/>
      <c r="DE100" s="2"/>
      <c r="DF100" s="2"/>
      <c r="DG100" s="2"/>
      <c r="DH100" s="8"/>
    </row>
    <row r="101" spans="91:112">
      <c r="CM101" s="24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2" t="str">
        <f t="shared" si="30"/>
        <v/>
      </c>
      <c r="DB101" s="2" t="str">
        <f t="shared" si="31"/>
        <v/>
      </c>
      <c r="DC101" s="2" t="str">
        <f t="shared" si="32"/>
        <v/>
      </c>
      <c r="DD101" s="2"/>
      <c r="DE101" s="2"/>
      <c r="DF101" s="2"/>
      <c r="DG101" s="2"/>
      <c r="DH101" s="8"/>
    </row>
    <row r="102" spans="91:112">
      <c r="CM102" s="24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2" t="str">
        <f t="shared" si="30"/>
        <v/>
      </c>
      <c r="DB102" s="2" t="str">
        <f t="shared" si="31"/>
        <v/>
      </c>
      <c r="DC102" s="2" t="str">
        <f t="shared" si="32"/>
        <v/>
      </c>
      <c r="DD102" s="2"/>
      <c r="DE102" s="2"/>
      <c r="DF102" s="2"/>
      <c r="DG102" s="2"/>
      <c r="DH102" s="8"/>
    </row>
    <row r="103" spans="91:112">
      <c r="CM103" s="24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2" t="str">
        <f t="shared" si="30"/>
        <v/>
      </c>
      <c r="DB103" s="2" t="str">
        <f t="shared" si="31"/>
        <v/>
      </c>
      <c r="DC103" s="2" t="str">
        <f t="shared" si="32"/>
        <v/>
      </c>
      <c r="DD103" s="2"/>
      <c r="DE103" s="2"/>
      <c r="DF103" s="2"/>
      <c r="DG103" s="2"/>
      <c r="DH103" s="8"/>
    </row>
    <row r="104" spans="91:112">
      <c r="CM104" s="24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2" t="str">
        <f t="shared" si="30"/>
        <v/>
      </c>
      <c r="DB104" s="2" t="str">
        <f t="shared" si="31"/>
        <v/>
      </c>
      <c r="DC104" s="2" t="str">
        <f t="shared" si="32"/>
        <v/>
      </c>
      <c r="DD104" s="2"/>
      <c r="DE104" s="2"/>
      <c r="DF104" s="2"/>
      <c r="DG104" s="2"/>
      <c r="DH104" s="8"/>
    </row>
    <row r="105" spans="91:112">
      <c r="CM105" s="24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2" t="str">
        <f t="shared" si="30"/>
        <v/>
      </c>
      <c r="DB105" s="2" t="str">
        <f t="shared" si="31"/>
        <v/>
      </c>
      <c r="DC105" s="2" t="str">
        <f t="shared" si="32"/>
        <v/>
      </c>
      <c r="DD105" s="2"/>
      <c r="DE105" s="2"/>
      <c r="DF105" s="2"/>
      <c r="DG105" s="2"/>
      <c r="DH105" s="8"/>
    </row>
    <row r="106" spans="91:112">
      <c r="CM106" s="24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2" t="str">
        <f t="shared" si="30"/>
        <v/>
      </c>
      <c r="DB106" s="2" t="str">
        <f t="shared" si="31"/>
        <v/>
      </c>
      <c r="DC106" s="2" t="str">
        <f t="shared" si="32"/>
        <v/>
      </c>
      <c r="DD106" s="2"/>
      <c r="DE106" s="2"/>
      <c r="DF106" s="2"/>
      <c r="DG106" s="2"/>
      <c r="DH106" s="8"/>
    </row>
    <row r="107" spans="91:112">
      <c r="CM107" s="24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2" t="str">
        <f t="shared" si="30"/>
        <v/>
      </c>
      <c r="DB107" s="2" t="str">
        <f t="shared" si="31"/>
        <v/>
      </c>
      <c r="DC107" s="2" t="str">
        <f t="shared" si="32"/>
        <v/>
      </c>
      <c r="DD107" s="2"/>
      <c r="DE107" s="2"/>
      <c r="DF107" s="2"/>
      <c r="DG107" s="2"/>
      <c r="DH107" s="8"/>
    </row>
    <row r="108" spans="91:112">
      <c r="CM108" s="24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2" t="str">
        <f t="shared" si="30"/>
        <v/>
      </c>
      <c r="DB108" s="2" t="str">
        <f t="shared" si="31"/>
        <v/>
      </c>
      <c r="DC108" s="2" t="str">
        <f t="shared" si="32"/>
        <v/>
      </c>
      <c r="DD108" s="2"/>
      <c r="DE108" s="2"/>
      <c r="DF108" s="2"/>
      <c r="DG108" s="2"/>
      <c r="DH108" s="8"/>
    </row>
    <row r="109" spans="91:112">
      <c r="CM109" s="24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2" t="str">
        <f t="shared" si="30"/>
        <v/>
      </c>
      <c r="DB109" s="2" t="str">
        <f t="shared" si="31"/>
        <v/>
      </c>
      <c r="DC109" s="2" t="str">
        <f t="shared" si="32"/>
        <v/>
      </c>
      <c r="DD109" s="2"/>
      <c r="DE109" s="2"/>
      <c r="DF109" s="2"/>
      <c r="DG109" s="2"/>
      <c r="DH109" s="8"/>
    </row>
    <row r="110" spans="91:112">
      <c r="CM110" s="24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2" t="str">
        <f t="shared" si="30"/>
        <v/>
      </c>
      <c r="DB110" s="2" t="str">
        <f t="shared" si="31"/>
        <v/>
      </c>
      <c r="DC110" s="2" t="str">
        <f t="shared" si="32"/>
        <v/>
      </c>
      <c r="DD110" s="2"/>
      <c r="DE110" s="2"/>
      <c r="DF110" s="2"/>
      <c r="DG110" s="2"/>
      <c r="DH110" s="8"/>
    </row>
    <row r="111" spans="91:112">
      <c r="CM111" s="24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2" t="str">
        <f t="shared" si="30"/>
        <v/>
      </c>
      <c r="DB111" s="2" t="str">
        <f t="shared" si="31"/>
        <v/>
      </c>
      <c r="DC111" s="2" t="str">
        <f t="shared" si="32"/>
        <v/>
      </c>
      <c r="DD111" s="2"/>
      <c r="DE111" s="2"/>
      <c r="DF111" s="2"/>
      <c r="DG111" s="2"/>
      <c r="DH111" s="8"/>
    </row>
    <row r="112" spans="91:112">
      <c r="CM112" s="24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2" t="str">
        <f t="shared" si="30"/>
        <v/>
      </c>
      <c r="DB112" s="2" t="str">
        <f t="shared" si="31"/>
        <v/>
      </c>
      <c r="DC112" s="2" t="str">
        <f t="shared" si="32"/>
        <v/>
      </c>
      <c r="DD112" s="2"/>
      <c r="DE112" s="2"/>
      <c r="DF112" s="2"/>
      <c r="DG112" s="2"/>
      <c r="DH112" s="8"/>
    </row>
    <row r="113" spans="91:112">
      <c r="CM113" s="24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2" t="str">
        <f t="shared" si="30"/>
        <v/>
      </c>
      <c r="DB113" s="2" t="str">
        <f t="shared" si="31"/>
        <v/>
      </c>
      <c r="DC113" s="2" t="str">
        <f t="shared" si="32"/>
        <v/>
      </c>
      <c r="DD113" s="2"/>
      <c r="DE113" s="2"/>
      <c r="DF113" s="2"/>
      <c r="DG113" s="2"/>
      <c r="DH113" s="8"/>
    </row>
    <row r="114" spans="91:112">
      <c r="CM114" s="24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2" t="str">
        <f t="shared" si="30"/>
        <v/>
      </c>
      <c r="DB114" s="2" t="str">
        <f t="shared" si="31"/>
        <v/>
      </c>
      <c r="DC114" s="2" t="str">
        <f t="shared" si="32"/>
        <v/>
      </c>
      <c r="DD114" s="2"/>
      <c r="DE114" s="2"/>
      <c r="DF114" s="2"/>
      <c r="DG114" s="2"/>
      <c r="DH114" s="8"/>
    </row>
    <row r="115" spans="91:112">
      <c r="CM115" s="24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2" t="str">
        <f t="shared" si="30"/>
        <v/>
      </c>
      <c r="DB115" s="2" t="str">
        <f t="shared" si="31"/>
        <v/>
      </c>
      <c r="DC115" s="2" t="str">
        <f t="shared" si="32"/>
        <v/>
      </c>
      <c r="DD115" s="2"/>
      <c r="DE115" s="2"/>
      <c r="DF115" s="2"/>
      <c r="DG115" s="2"/>
      <c r="DH115" s="8"/>
    </row>
    <row r="116" spans="91:112">
      <c r="CM116" s="24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2" t="str">
        <f t="shared" si="30"/>
        <v/>
      </c>
      <c r="DB116" s="2" t="str">
        <f t="shared" si="31"/>
        <v/>
      </c>
      <c r="DC116" s="2" t="str">
        <f t="shared" si="32"/>
        <v/>
      </c>
      <c r="DD116" s="2"/>
      <c r="DE116" s="2"/>
      <c r="DF116" s="2"/>
      <c r="DG116" s="2"/>
      <c r="DH116" s="8"/>
    </row>
    <row r="117" spans="91:112">
      <c r="CM117" s="24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2" t="str">
        <f t="shared" si="30"/>
        <v/>
      </c>
      <c r="DB117" s="2" t="str">
        <f t="shared" si="31"/>
        <v/>
      </c>
      <c r="DC117" s="2" t="str">
        <f t="shared" si="32"/>
        <v/>
      </c>
      <c r="DD117" s="2"/>
      <c r="DE117" s="2"/>
      <c r="DF117" s="2"/>
      <c r="DG117" s="2"/>
      <c r="DH117" s="8"/>
    </row>
    <row r="118" spans="91:112">
      <c r="CM118" s="24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2" t="str">
        <f t="shared" si="30"/>
        <v/>
      </c>
      <c r="DB118" s="2" t="str">
        <f t="shared" si="31"/>
        <v/>
      </c>
      <c r="DC118" s="2" t="str">
        <f t="shared" si="32"/>
        <v/>
      </c>
      <c r="DD118" s="2"/>
      <c r="DE118" s="2"/>
      <c r="DF118" s="2"/>
      <c r="DG118" s="2"/>
      <c r="DH118" s="8"/>
    </row>
    <row r="119" spans="91:112">
      <c r="CM119" s="24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2" t="str">
        <f t="shared" si="30"/>
        <v/>
      </c>
      <c r="DB119" s="2" t="str">
        <f t="shared" si="31"/>
        <v/>
      </c>
      <c r="DC119" s="2" t="str">
        <f t="shared" si="32"/>
        <v/>
      </c>
      <c r="DD119" s="2"/>
      <c r="DE119" s="2"/>
      <c r="DF119" s="2"/>
      <c r="DG119" s="2"/>
      <c r="DH119" s="8"/>
    </row>
    <row r="120" spans="91:112">
      <c r="CM120" s="24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2" t="str">
        <f t="shared" si="30"/>
        <v/>
      </c>
      <c r="DB120" s="2" t="str">
        <f t="shared" si="31"/>
        <v/>
      </c>
      <c r="DC120" s="2" t="str">
        <f t="shared" si="32"/>
        <v/>
      </c>
      <c r="DD120" s="2"/>
      <c r="DE120" s="2"/>
      <c r="DF120" s="2"/>
      <c r="DG120" s="2"/>
      <c r="DH120" s="8"/>
    </row>
    <row r="121" spans="91:112">
      <c r="CM121" s="24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2" t="str">
        <f t="shared" si="30"/>
        <v/>
      </c>
      <c r="DB121" s="2" t="str">
        <f t="shared" si="31"/>
        <v/>
      </c>
      <c r="DC121" s="2" t="str">
        <f t="shared" si="32"/>
        <v/>
      </c>
      <c r="DD121" s="2"/>
      <c r="DE121" s="2"/>
      <c r="DF121" s="2"/>
      <c r="DG121" s="2"/>
      <c r="DH121" s="8"/>
    </row>
    <row r="122" spans="91:112">
      <c r="CM122" s="24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2" t="str">
        <f t="shared" si="30"/>
        <v/>
      </c>
      <c r="DB122" s="2" t="str">
        <f t="shared" si="31"/>
        <v/>
      </c>
      <c r="DC122" s="2" t="str">
        <f t="shared" si="32"/>
        <v/>
      </c>
      <c r="DD122" s="2"/>
      <c r="DE122" s="2"/>
      <c r="DF122" s="2"/>
      <c r="DG122" s="2"/>
      <c r="DH122" s="8"/>
    </row>
    <row r="123" spans="91:112">
      <c r="CM123" s="24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2" t="str">
        <f t="shared" si="30"/>
        <v/>
      </c>
      <c r="DB123" s="2" t="str">
        <f t="shared" si="31"/>
        <v/>
      </c>
      <c r="DC123" s="2" t="str">
        <f t="shared" si="32"/>
        <v/>
      </c>
      <c r="DD123" s="2"/>
      <c r="DE123" s="2"/>
      <c r="DF123" s="2"/>
      <c r="DG123" s="2"/>
      <c r="DH123" s="8"/>
    </row>
    <row r="124" spans="91:112">
      <c r="CM124" s="24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2" t="str">
        <f t="shared" si="30"/>
        <v/>
      </c>
      <c r="DB124" s="2" t="str">
        <f t="shared" si="31"/>
        <v/>
      </c>
      <c r="DC124" s="2" t="str">
        <f t="shared" si="32"/>
        <v/>
      </c>
      <c r="DD124" s="2"/>
      <c r="DE124" s="2"/>
      <c r="DF124" s="2"/>
      <c r="DG124" s="2"/>
      <c r="DH124" s="8"/>
    </row>
    <row r="125" spans="91:112">
      <c r="CM125" s="24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2" t="str">
        <f t="shared" si="30"/>
        <v/>
      </c>
      <c r="DB125" s="2" t="str">
        <f t="shared" si="31"/>
        <v/>
      </c>
      <c r="DC125" s="2" t="str">
        <f t="shared" si="32"/>
        <v/>
      </c>
      <c r="DD125" s="2"/>
      <c r="DE125" s="2"/>
      <c r="DF125" s="2"/>
      <c r="DG125" s="2"/>
      <c r="DH125" s="8"/>
    </row>
    <row r="126" spans="91:112">
      <c r="CM126" s="24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2" t="str">
        <f t="shared" si="30"/>
        <v/>
      </c>
      <c r="DB126" s="2" t="str">
        <f t="shared" si="31"/>
        <v/>
      </c>
      <c r="DC126" s="2" t="str">
        <f t="shared" si="32"/>
        <v/>
      </c>
      <c r="DD126" s="2"/>
      <c r="DE126" s="2"/>
      <c r="DF126" s="2"/>
      <c r="DG126" s="2"/>
      <c r="DH126" s="8"/>
    </row>
    <row r="127" spans="91:112">
      <c r="CM127" s="24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2" t="str">
        <f t="shared" si="30"/>
        <v/>
      </c>
      <c r="DB127" s="2" t="str">
        <f t="shared" si="31"/>
        <v/>
      </c>
      <c r="DC127" s="2" t="str">
        <f t="shared" si="32"/>
        <v/>
      </c>
      <c r="DD127" s="2"/>
      <c r="DE127" s="2"/>
      <c r="DF127" s="2"/>
      <c r="DG127" s="2"/>
      <c r="DH127" s="8"/>
    </row>
    <row r="128" spans="91:112">
      <c r="CM128" s="24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2" t="str">
        <f t="shared" si="30"/>
        <v/>
      </c>
      <c r="DB128" s="2" t="str">
        <f t="shared" si="31"/>
        <v/>
      </c>
      <c r="DC128" s="2" t="str">
        <f t="shared" si="32"/>
        <v/>
      </c>
      <c r="DD128" s="2"/>
      <c r="DE128" s="2"/>
      <c r="DF128" s="2"/>
      <c r="DG128" s="2"/>
      <c r="DH128" s="8"/>
    </row>
    <row r="129" spans="91:112">
      <c r="CM129" s="24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2" t="str">
        <f t="shared" si="30"/>
        <v/>
      </c>
      <c r="DB129" s="2" t="str">
        <f t="shared" si="31"/>
        <v/>
      </c>
      <c r="DC129" s="2" t="str">
        <f t="shared" si="32"/>
        <v/>
      </c>
      <c r="DD129" s="2"/>
      <c r="DE129" s="2"/>
      <c r="DF129" s="2"/>
      <c r="DG129" s="2"/>
      <c r="DH129" s="8"/>
    </row>
    <row r="130" spans="91:112">
      <c r="CM130" s="24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2" t="str">
        <f t="shared" ref="DA130:DA151" si="33">IF(ISERROR(DB130-FIXED(DB130,0)),"",DB130-FIXED(DB130,0))</f>
        <v/>
      </c>
      <c r="DB130" s="2" t="str">
        <f t="shared" ref="DB130:DB151" si="34">IF(ISERROR(DD130/DC130),"",DD130/DC130)</f>
        <v/>
      </c>
      <c r="DC130" s="2" t="str">
        <f t="shared" ref="DC130:DC151" si="35">IF(ISERROR(VLOOKUP(DG130,$CW$2:$CX$5,2)),"",VLOOKUP(DG130,$CW$2:$CX$5,2))</f>
        <v/>
      </c>
      <c r="DD130" s="2"/>
      <c r="DE130" s="2"/>
      <c r="DF130" s="2"/>
      <c r="DG130" s="2"/>
      <c r="DH130" s="8"/>
    </row>
    <row r="131" spans="91:112">
      <c r="CM131" s="24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2" t="str">
        <f t="shared" si="33"/>
        <v/>
      </c>
      <c r="DB131" s="2" t="str">
        <f t="shared" si="34"/>
        <v/>
      </c>
      <c r="DC131" s="2" t="str">
        <f t="shared" si="35"/>
        <v/>
      </c>
      <c r="DD131" s="2"/>
      <c r="DE131" s="2"/>
      <c r="DF131" s="2"/>
      <c r="DG131" s="2"/>
      <c r="DH131" s="8"/>
    </row>
    <row r="132" spans="91:112">
      <c r="CM132" s="24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2" t="str">
        <f t="shared" si="33"/>
        <v/>
      </c>
      <c r="DB132" s="2" t="str">
        <f t="shared" si="34"/>
        <v/>
      </c>
      <c r="DC132" s="2" t="str">
        <f t="shared" si="35"/>
        <v/>
      </c>
      <c r="DD132" s="2"/>
      <c r="DE132" s="2"/>
      <c r="DF132" s="2"/>
      <c r="DG132" s="2"/>
      <c r="DH132" s="8"/>
    </row>
    <row r="133" spans="91:112">
      <c r="CM133" s="24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2" t="str">
        <f t="shared" si="33"/>
        <v/>
      </c>
      <c r="DB133" s="2" t="str">
        <f t="shared" si="34"/>
        <v/>
      </c>
      <c r="DC133" s="2" t="str">
        <f t="shared" si="35"/>
        <v/>
      </c>
      <c r="DD133" s="2"/>
      <c r="DE133" s="2"/>
      <c r="DF133" s="2"/>
      <c r="DG133" s="2"/>
      <c r="DH133" s="8"/>
    </row>
    <row r="134" spans="91:112">
      <c r="CM134" s="24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2" t="str">
        <f t="shared" si="33"/>
        <v/>
      </c>
      <c r="DB134" s="2" t="str">
        <f t="shared" si="34"/>
        <v/>
      </c>
      <c r="DC134" s="2" t="str">
        <f t="shared" si="35"/>
        <v/>
      </c>
      <c r="DD134" s="2"/>
      <c r="DE134" s="2"/>
      <c r="DF134" s="2"/>
      <c r="DG134" s="2"/>
      <c r="DH134" s="8"/>
    </row>
    <row r="135" spans="91:112">
      <c r="CM135" s="24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2" t="str">
        <f t="shared" si="33"/>
        <v/>
      </c>
      <c r="DB135" s="2" t="str">
        <f t="shared" si="34"/>
        <v/>
      </c>
      <c r="DC135" s="2" t="str">
        <f t="shared" si="35"/>
        <v/>
      </c>
      <c r="DD135" s="2"/>
      <c r="DE135" s="2"/>
      <c r="DF135" s="2"/>
      <c r="DG135" s="2"/>
      <c r="DH135" s="8"/>
    </row>
    <row r="136" spans="91:112">
      <c r="CM136" s="24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2" t="str">
        <f t="shared" si="33"/>
        <v/>
      </c>
      <c r="DB136" s="2" t="str">
        <f t="shared" si="34"/>
        <v/>
      </c>
      <c r="DC136" s="2" t="str">
        <f t="shared" si="35"/>
        <v/>
      </c>
      <c r="DD136" s="2"/>
      <c r="DE136" s="2"/>
      <c r="DF136" s="2"/>
      <c r="DG136" s="2"/>
      <c r="DH136" s="8"/>
    </row>
    <row r="137" spans="91:112">
      <c r="CM137" s="24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2" t="str">
        <f t="shared" si="33"/>
        <v/>
      </c>
      <c r="DB137" s="2" t="str">
        <f t="shared" si="34"/>
        <v/>
      </c>
      <c r="DC137" s="2" t="str">
        <f t="shared" si="35"/>
        <v/>
      </c>
      <c r="DD137" s="2"/>
      <c r="DE137" s="2"/>
      <c r="DF137" s="2"/>
      <c r="DG137" s="2"/>
      <c r="DH137" s="8"/>
    </row>
    <row r="138" spans="91:112">
      <c r="CM138" s="24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2" t="str">
        <f t="shared" si="33"/>
        <v/>
      </c>
      <c r="DB138" s="2" t="str">
        <f t="shared" si="34"/>
        <v/>
      </c>
      <c r="DC138" s="2" t="str">
        <f t="shared" si="35"/>
        <v/>
      </c>
      <c r="DD138" s="2"/>
      <c r="DE138" s="2"/>
      <c r="DF138" s="2"/>
      <c r="DG138" s="2"/>
      <c r="DH138" s="8"/>
    </row>
    <row r="139" spans="91:112">
      <c r="CM139" s="24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2" t="str">
        <f t="shared" si="33"/>
        <v/>
      </c>
      <c r="DB139" s="2" t="str">
        <f t="shared" si="34"/>
        <v/>
      </c>
      <c r="DC139" s="2" t="str">
        <f t="shared" si="35"/>
        <v/>
      </c>
      <c r="DD139" s="2"/>
      <c r="DE139" s="2"/>
      <c r="DF139" s="2"/>
      <c r="DG139" s="2"/>
      <c r="DH139" s="8"/>
    </row>
    <row r="140" spans="91:112">
      <c r="CM140" s="24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2" t="str">
        <f t="shared" si="33"/>
        <v/>
      </c>
      <c r="DB140" s="2" t="str">
        <f t="shared" si="34"/>
        <v/>
      </c>
      <c r="DC140" s="2" t="str">
        <f t="shared" si="35"/>
        <v/>
      </c>
      <c r="DD140" s="2"/>
      <c r="DE140" s="2"/>
      <c r="DF140" s="2"/>
      <c r="DG140" s="2"/>
      <c r="DH140" s="8"/>
    </row>
    <row r="141" spans="91:112">
      <c r="CM141" s="24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2" t="str">
        <f t="shared" si="33"/>
        <v/>
      </c>
      <c r="DB141" s="2" t="str">
        <f t="shared" si="34"/>
        <v/>
      </c>
      <c r="DC141" s="2" t="str">
        <f t="shared" si="35"/>
        <v/>
      </c>
      <c r="DD141" s="2"/>
      <c r="DE141" s="2"/>
      <c r="DF141" s="2"/>
      <c r="DG141" s="2"/>
      <c r="DH141" s="8"/>
    </row>
    <row r="142" spans="91:112">
      <c r="CM142" s="24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2" t="str">
        <f t="shared" si="33"/>
        <v/>
      </c>
      <c r="DB142" s="2" t="str">
        <f t="shared" si="34"/>
        <v/>
      </c>
      <c r="DC142" s="2" t="str">
        <f t="shared" si="35"/>
        <v/>
      </c>
      <c r="DD142" s="2"/>
      <c r="DE142" s="2"/>
      <c r="DF142" s="2"/>
      <c r="DG142" s="2"/>
      <c r="DH142" s="8"/>
    </row>
    <row r="143" spans="91:112">
      <c r="CM143" s="24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2" t="str">
        <f t="shared" si="33"/>
        <v/>
      </c>
      <c r="DB143" s="2" t="str">
        <f t="shared" si="34"/>
        <v/>
      </c>
      <c r="DC143" s="2" t="str">
        <f t="shared" si="35"/>
        <v/>
      </c>
      <c r="DD143" s="2"/>
      <c r="DE143" s="2"/>
      <c r="DF143" s="2"/>
      <c r="DG143" s="2"/>
      <c r="DH143" s="8"/>
    </row>
    <row r="144" spans="91:112">
      <c r="CM144" s="24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2" t="str">
        <f t="shared" si="33"/>
        <v/>
      </c>
      <c r="DB144" s="2" t="str">
        <f t="shared" si="34"/>
        <v/>
      </c>
      <c r="DC144" s="2" t="str">
        <f t="shared" si="35"/>
        <v/>
      </c>
      <c r="DD144" s="2"/>
      <c r="DE144" s="2"/>
      <c r="DF144" s="2"/>
      <c r="DG144" s="2"/>
      <c r="DH144" s="8"/>
    </row>
    <row r="145" spans="91:112">
      <c r="CM145" s="24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2" t="str">
        <f t="shared" si="33"/>
        <v/>
      </c>
      <c r="DB145" s="2" t="str">
        <f t="shared" si="34"/>
        <v/>
      </c>
      <c r="DC145" s="2" t="str">
        <f t="shared" si="35"/>
        <v/>
      </c>
      <c r="DD145" s="2"/>
      <c r="DE145" s="2"/>
      <c r="DF145" s="2"/>
      <c r="DG145" s="2"/>
      <c r="DH145" s="8"/>
    </row>
    <row r="146" spans="91:112">
      <c r="CM146" s="24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2" t="str">
        <f t="shared" si="33"/>
        <v/>
      </c>
      <c r="DB146" s="2" t="str">
        <f t="shared" si="34"/>
        <v/>
      </c>
      <c r="DC146" s="2" t="str">
        <f t="shared" si="35"/>
        <v/>
      </c>
      <c r="DD146" s="2"/>
      <c r="DE146" s="2"/>
      <c r="DF146" s="2"/>
      <c r="DG146" s="2"/>
      <c r="DH146" s="8"/>
    </row>
    <row r="147" spans="91:112">
      <c r="CM147" s="24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2" t="str">
        <f t="shared" si="33"/>
        <v/>
      </c>
      <c r="DB147" s="2" t="str">
        <f t="shared" si="34"/>
        <v/>
      </c>
      <c r="DC147" s="2" t="str">
        <f t="shared" si="35"/>
        <v/>
      </c>
      <c r="DD147" s="2"/>
      <c r="DE147" s="2"/>
      <c r="DF147" s="2"/>
      <c r="DG147" s="2"/>
      <c r="DH147" s="8"/>
    </row>
    <row r="148" spans="91:112">
      <c r="CM148" s="24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2" t="str">
        <f t="shared" si="33"/>
        <v/>
      </c>
      <c r="DB148" s="2" t="str">
        <f t="shared" si="34"/>
        <v/>
      </c>
      <c r="DC148" s="2" t="str">
        <f t="shared" si="35"/>
        <v/>
      </c>
      <c r="DD148" s="2"/>
      <c r="DE148" s="2"/>
      <c r="DF148" s="2"/>
      <c r="DG148" s="2"/>
      <c r="DH148" s="8"/>
    </row>
    <row r="149" spans="91:112">
      <c r="CM149" s="24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2" t="str">
        <f t="shared" si="33"/>
        <v/>
      </c>
      <c r="DB149" s="2" t="str">
        <f t="shared" si="34"/>
        <v/>
      </c>
      <c r="DC149" s="2" t="str">
        <f t="shared" si="35"/>
        <v/>
      </c>
      <c r="DD149" s="2"/>
      <c r="DE149" s="2"/>
      <c r="DF149" s="2"/>
      <c r="DG149" s="2"/>
      <c r="DH149" s="8"/>
    </row>
    <row r="150" spans="91:112" ht="15" thickBot="1">
      <c r="CM150" s="26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10" t="str">
        <f t="shared" si="33"/>
        <v/>
      </c>
      <c r="DB150" s="10" t="str">
        <f t="shared" si="34"/>
        <v/>
      </c>
      <c r="DC150" s="10" t="str">
        <f t="shared" si="35"/>
        <v/>
      </c>
      <c r="DD150" s="10"/>
      <c r="DE150" s="10"/>
      <c r="DF150" s="10"/>
      <c r="DG150" s="10"/>
      <c r="DH150" s="11"/>
    </row>
    <row r="151" spans="91:112">
      <c r="DA151" t="str">
        <f t="shared" si="33"/>
        <v/>
      </c>
      <c r="DB151" t="str">
        <f t="shared" si="34"/>
        <v/>
      </c>
      <c r="DC151" t="str">
        <f t="shared" si="35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5"/>
  <sheetViews>
    <sheetView topLeftCell="N31" workbookViewId="0">
      <selection activeCell="U45" sqref="U45"/>
    </sheetView>
  </sheetViews>
  <sheetFormatPr defaultRowHeight="14.25"/>
  <cols>
    <col min="1" max="1" width="17.25" bestFit="1" customWidth="1"/>
    <col min="2" max="2" width="27.25" bestFit="1" customWidth="1"/>
    <col min="4" max="4" width="4.125" bestFit="1" customWidth="1"/>
    <col min="5" max="5" width="59.375" bestFit="1" customWidth="1"/>
    <col min="6" max="9" width="8" customWidth="1"/>
    <col min="10" max="10" width="9.625" customWidth="1"/>
    <col min="11" max="11" width="4.25" customWidth="1"/>
    <col min="12" max="12" width="43.875" bestFit="1" customWidth="1"/>
    <col min="13" max="13" width="5" bestFit="1" customWidth="1"/>
    <col min="14" max="14" width="56.75" customWidth="1"/>
    <col min="15" max="15" width="8.625" bestFit="1" customWidth="1"/>
    <col min="16" max="16" width="9.375" bestFit="1" customWidth="1"/>
    <col min="17" max="17" width="8.625" bestFit="1" customWidth="1"/>
    <col min="18" max="19" width="8.625" customWidth="1"/>
    <col min="20" max="20" width="8" customWidth="1"/>
    <col min="21" max="21" width="17.5" customWidth="1"/>
    <col min="22" max="22" width="8" customWidth="1"/>
    <col min="23" max="23" width="4.375" bestFit="1" customWidth="1"/>
    <col min="24" max="24" width="18" bestFit="1" customWidth="1"/>
    <col min="25" max="25" width="16.75" customWidth="1"/>
    <col min="26" max="26" width="3.375" bestFit="1" customWidth="1"/>
    <col min="27" max="27" width="9.375" bestFit="1" customWidth="1"/>
    <col min="28" max="28" width="8" customWidth="1"/>
    <col min="29" max="29" width="2.375" bestFit="1" customWidth="1"/>
    <col min="30" max="30" width="28.875" bestFit="1" customWidth="1"/>
    <col min="31" max="33" width="8" customWidth="1"/>
  </cols>
  <sheetData>
    <row r="1" spans="4:30">
      <c r="D1" s="44" t="s">
        <v>165</v>
      </c>
      <c r="E1" s="6" t="s">
        <v>166</v>
      </c>
      <c r="K1" s="44" t="s">
        <v>167</v>
      </c>
      <c r="L1" s="6" t="s">
        <v>168</v>
      </c>
      <c r="O1" s="114" t="s">
        <v>169</v>
      </c>
      <c r="Q1" s="32"/>
      <c r="R1" s="32"/>
      <c r="S1" s="32"/>
      <c r="T1" s="32"/>
      <c r="U1" s="32"/>
      <c r="W1" s="44" t="s">
        <v>170</v>
      </c>
      <c r="X1" s="117" t="s">
        <v>171</v>
      </c>
      <c r="Y1" s="32"/>
      <c r="Z1" s="120" t="s">
        <v>169</v>
      </c>
      <c r="AA1" s="6" t="s">
        <v>172</v>
      </c>
      <c r="AC1" s="120" t="s">
        <v>167</v>
      </c>
      <c r="AD1" s="117" t="s">
        <v>173</v>
      </c>
    </row>
    <row r="2" spans="4:30">
      <c r="D2" s="7" t="s">
        <v>174</v>
      </c>
      <c r="E2" s="8" t="s">
        <v>175</v>
      </c>
      <c r="K2" s="7" t="s">
        <v>176</v>
      </c>
      <c r="L2" s="8" t="s">
        <v>177</v>
      </c>
      <c r="O2" s="115" t="s">
        <v>165</v>
      </c>
      <c r="Q2" s="32"/>
      <c r="R2" s="32"/>
      <c r="S2" s="32"/>
      <c r="T2" s="32"/>
      <c r="U2" s="32"/>
      <c r="V2" s="32"/>
      <c r="W2" s="7" t="s">
        <v>178</v>
      </c>
      <c r="X2" s="113" t="s">
        <v>179</v>
      </c>
      <c r="Y2" s="32"/>
      <c r="Z2" s="121" t="s">
        <v>165</v>
      </c>
      <c r="AA2" s="8" t="s">
        <v>180</v>
      </c>
      <c r="AC2" s="121" t="s">
        <v>181</v>
      </c>
      <c r="AD2" s="113" t="s">
        <v>182</v>
      </c>
    </row>
    <row r="3" spans="4:30">
      <c r="D3" s="7" t="s">
        <v>183</v>
      </c>
      <c r="E3" s="8" t="s">
        <v>184</v>
      </c>
      <c r="K3" s="7" t="s">
        <v>185</v>
      </c>
      <c r="L3" s="8" t="s">
        <v>186</v>
      </c>
      <c r="O3" s="115" t="s">
        <v>187</v>
      </c>
      <c r="Q3" s="32"/>
      <c r="R3" s="32"/>
      <c r="S3" s="32"/>
      <c r="T3" s="32"/>
      <c r="U3" s="32"/>
      <c r="V3" s="32"/>
      <c r="W3" s="7" t="s">
        <v>188</v>
      </c>
      <c r="X3" s="113" t="s">
        <v>189</v>
      </c>
      <c r="Y3" s="32"/>
      <c r="Z3" s="121" t="s">
        <v>187</v>
      </c>
      <c r="AA3" s="8" t="s">
        <v>190</v>
      </c>
      <c r="AC3" s="121" t="s">
        <v>191</v>
      </c>
      <c r="AD3" s="113" t="s">
        <v>192</v>
      </c>
    </row>
    <row r="4" spans="4:30">
      <c r="D4" s="7" t="s">
        <v>193</v>
      </c>
      <c r="E4" s="8" t="s">
        <v>194</v>
      </c>
      <c r="K4" s="7" t="s">
        <v>191</v>
      </c>
      <c r="L4" s="8" t="s">
        <v>195</v>
      </c>
      <c r="O4" s="115" t="s">
        <v>196</v>
      </c>
      <c r="Q4" s="32"/>
      <c r="R4" s="32"/>
      <c r="S4" s="32"/>
      <c r="T4" s="32"/>
      <c r="U4" s="32"/>
      <c r="V4" s="32"/>
      <c r="W4" s="7" t="s">
        <v>197</v>
      </c>
      <c r="X4" s="113" t="s">
        <v>198</v>
      </c>
      <c r="Y4" s="32"/>
      <c r="Z4" s="121" t="s">
        <v>196</v>
      </c>
      <c r="AA4" s="8" t="s">
        <v>199</v>
      </c>
      <c r="AC4" s="121" t="s">
        <v>176</v>
      </c>
      <c r="AD4" s="113" t="s">
        <v>200</v>
      </c>
    </row>
    <row r="5" spans="4:30">
      <c r="D5" s="7" t="s">
        <v>201</v>
      </c>
      <c r="E5" s="8" t="s">
        <v>202</v>
      </c>
      <c r="K5" s="7" t="s">
        <v>203</v>
      </c>
      <c r="L5" s="8" t="s">
        <v>204</v>
      </c>
      <c r="O5" s="115" t="s">
        <v>205</v>
      </c>
      <c r="V5" s="32"/>
      <c r="W5" s="7" t="s">
        <v>206</v>
      </c>
      <c r="X5" s="113" t="s">
        <v>207</v>
      </c>
      <c r="Y5" s="32"/>
      <c r="Z5" s="121" t="s">
        <v>205</v>
      </c>
      <c r="AA5" s="8" t="s">
        <v>208</v>
      </c>
      <c r="AC5" s="121" t="s">
        <v>209</v>
      </c>
      <c r="AD5" s="113" t="s">
        <v>210</v>
      </c>
    </row>
    <row r="6" spans="4:30">
      <c r="D6" s="7" t="s">
        <v>211</v>
      </c>
      <c r="E6" s="8" t="s">
        <v>212</v>
      </c>
      <c r="K6" s="7" t="s">
        <v>213</v>
      </c>
      <c r="L6" s="8" t="s">
        <v>214</v>
      </c>
      <c r="O6" s="115" t="s">
        <v>215</v>
      </c>
      <c r="V6" s="32"/>
      <c r="W6" s="7" t="s">
        <v>216</v>
      </c>
      <c r="X6" s="113" t="s">
        <v>217</v>
      </c>
      <c r="Y6" s="32"/>
      <c r="Z6" s="121" t="s">
        <v>215</v>
      </c>
      <c r="AA6" s="8" t="s">
        <v>218</v>
      </c>
      <c r="AC6" s="121" t="s">
        <v>219</v>
      </c>
      <c r="AD6" s="113" t="s">
        <v>220</v>
      </c>
    </row>
    <row r="7" spans="4:30">
      <c r="D7" s="7" t="s">
        <v>221</v>
      </c>
      <c r="E7" s="8" t="s">
        <v>222</v>
      </c>
      <c r="K7" s="7" t="s">
        <v>181</v>
      </c>
      <c r="L7" s="8" t="s">
        <v>223</v>
      </c>
      <c r="O7" s="115" t="s">
        <v>224</v>
      </c>
      <c r="V7" s="32"/>
      <c r="W7" s="7" t="s">
        <v>225</v>
      </c>
      <c r="X7" s="113" t="s">
        <v>226</v>
      </c>
      <c r="Y7" s="32"/>
      <c r="Z7" s="121" t="s">
        <v>224</v>
      </c>
      <c r="AA7" s="8" t="s">
        <v>227</v>
      </c>
      <c r="AC7" s="121" t="s">
        <v>228</v>
      </c>
      <c r="AD7" s="113" t="s">
        <v>229</v>
      </c>
    </row>
    <row r="8" spans="4:30">
      <c r="D8" s="7" t="s">
        <v>196</v>
      </c>
      <c r="E8" s="8" t="s">
        <v>230</v>
      </c>
      <c r="K8" s="7" t="s">
        <v>231</v>
      </c>
      <c r="L8" s="8" t="s">
        <v>232</v>
      </c>
      <c r="O8" s="115" t="s">
        <v>233</v>
      </c>
      <c r="V8" s="32"/>
      <c r="W8" s="7" t="s">
        <v>234</v>
      </c>
      <c r="X8" s="113" t="s">
        <v>235</v>
      </c>
      <c r="Y8" s="32"/>
      <c r="Z8" s="121" t="s">
        <v>233</v>
      </c>
      <c r="AA8" s="8" t="s">
        <v>236</v>
      </c>
      <c r="AC8" s="121" t="s">
        <v>237</v>
      </c>
      <c r="AD8" s="113" t="s">
        <v>238</v>
      </c>
    </row>
    <row r="9" spans="4:30" ht="15" thickBot="1">
      <c r="D9" s="7" t="s">
        <v>239</v>
      </c>
      <c r="E9" s="8" t="s">
        <v>240</v>
      </c>
      <c r="K9" s="7" t="s">
        <v>241</v>
      </c>
      <c r="L9" s="8" t="s">
        <v>242</v>
      </c>
      <c r="O9" s="115" t="s">
        <v>243</v>
      </c>
      <c r="V9" s="32"/>
      <c r="W9" s="7" t="s">
        <v>244</v>
      </c>
      <c r="X9" s="113" t="s">
        <v>245</v>
      </c>
      <c r="Y9" s="32"/>
      <c r="Z9" s="121" t="s">
        <v>243</v>
      </c>
      <c r="AA9" s="8" t="s">
        <v>246</v>
      </c>
      <c r="AC9" s="118" t="s">
        <v>247</v>
      </c>
      <c r="AD9" s="119" t="s">
        <v>248</v>
      </c>
    </row>
    <row r="10" spans="4:30">
      <c r="D10" s="7" t="s">
        <v>249</v>
      </c>
      <c r="E10" s="8" t="s">
        <v>250</v>
      </c>
      <c r="K10" s="7" t="s">
        <v>251</v>
      </c>
      <c r="L10" s="8" t="s">
        <v>252</v>
      </c>
      <c r="O10" s="115" t="s">
        <v>253</v>
      </c>
      <c r="V10" s="32"/>
      <c r="W10" s="7" t="s">
        <v>254</v>
      </c>
      <c r="X10" s="113" t="s">
        <v>171</v>
      </c>
      <c r="Y10" s="32"/>
      <c r="Z10" s="121" t="s">
        <v>253</v>
      </c>
      <c r="AA10" s="8" t="s">
        <v>255</v>
      </c>
    </row>
    <row r="11" spans="4:30">
      <c r="D11" s="7" t="s">
        <v>256</v>
      </c>
      <c r="E11" s="8" t="s">
        <v>257</v>
      </c>
      <c r="K11" s="7" t="s">
        <v>247</v>
      </c>
      <c r="L11" s="8" t="s">
        <v>258</v>
      </c>
      <c r="O11" s="115" t="s">
        <v>259</v>
      </c>
      <c r="W11" s="7" t="s">
        <v>260</v>
      </c>
      <c r="X11" s="8" t="s">
        <v>261</v>
      </c>
      <c r="Z11" s="121" t="s">
        <v>259</v>
      </c>
      <c r="AA11" s="8" t="s">
        <v>262</v>
      </c>
    </row>
    <row r="12" spans="4:30">
      <c r="D12" s="7" t="s">
        <v>263</v>
      </c>
      <c r="E12" s="8" t="s">
        <v>264</v>
      </c>
      <c r="K12" s="7" t="s">
        <v>265</v>
      </c>
      <c r="L12" s="8" t="s">
        <v>266</v>
      </c>
      <c r="O12" s="115" t="s">
        <v>256</v>
      </c>
      <c r="Q12" s="32"/>
      <c r="R12" s="32"/>
      <c r="S12" s="32"/>
      <c r="W12" s="7" t="s">
        <v>267</v>
      </c>
      <c r="X12" s="8" t="s">
        <v>268</v>
      </c>
      <c r="Z12" s="121" t="s">
        <v>256</v>
      </c>
      <c r="AA12" s="8" t="s">
        <v>269</v>
      </c>
    </row>
    <row r="13" spans="4:30">
      <c r="D13" s="7" t="s">
        <v>270</v>
      </c>
      <c r="E13" s="8" t="s">
        <v>271</v>
      </c>
      <c r="K13" s="7" t="s">
        <v>272</v>
      </c>
      <c r="L13" s="8" t="s">
        <v>273</v>
      </c>
      <c r="O13" s="115" t="s">
        <v>274</v>
      </c>
      <c r="Q13" s="35"/>
      <c r="R13" s="35"/>
      <c r="S13" s="35"/>
      <c r="W13" s="7" t="s">
        <v>275</v>
      </c>
      <c r="X13" s="8" t="s">
        <v>276</v>
      </c>
      <c r="Z13" s="121" t="s">
        <v>274</v>
      </c>
      <c r="AA13" s="8" t="s">
        <v>277</v>
      </c>
    </row>
    <row r="14" spans="4:30">
      <c r="D14" s="7" t="s">
        <v>278</v>
      </c>
      <c r="E14" s="8" t="s">
        <v>279</v>
      </c>
      <c r="K14" s="7" t="s">
        <v>280</v>
      </c>
      <c r="L14" s="8" t="s">
        <v>281</v>
      </c>
      <c r="O14" s="115" t="s">
        <v>282</v>
      </c>
      <c r="W14" s="7" t="s">
        <v>283</v>
      </c>
      <c r="X14" s="113" t="s">
        <v>284</v>
      </c>
      <c r="Y14" s="32"/>
      <c r="Z14" s="121" t="s">
        <v>282</v>
      </c>
      <c r="AA14" s="8" t="s">
        <v>285</v>
      </c>
    </row>
    <row r="15" spans="4:30">
      <c r="D15" s="7" t="s">
        <v>286</v>
      </c>
      <c r="E15" s="8" t="s">
        <v>287</v>
      </c>
      <c r="K15" s="7" t="s">
        <v>209</v>
      </c>
      <c r="L15" s="8" t="s">
        <v>288</v>
      </c>
      <c r="O15" s="115" t="s">
        <v>289</v>
      </c>
      <c r="W15" s="7" t="s">
        <v>290</v>
      </c>
      <c r="X15" s="113" t="s">
        <v>291</v>
      </c>
      <c r="Y15" s="32"/>
      <c r="Z15" s="121" t="s">
        <v>289</v>
      </c>
      <c r="AA15" s="8" t="s">
        <v>292</v>
      </c>
    </row>
    <row r="16" spans="4:30" ht="15" thickBot="1">
      <c r="D16" s="7" t="s">
        <v>293</v>
      </c>
      <c r="E16" s="8" t="s">
        <v>294</v>
      </c>
      <c r="K16" s="7" t="s">
        <v>295</v>
      </c>
      <c r="L16" s="8" t="s">
        <v>296</v>
      </c>
      <c r="O16" s="116" t="s">
        <v>297</v>
      </c>
      <c r="W16" s="7" t="s">
        <v>298</v>
      </c>
      <c r="X16" s="113" t="s">
        <v>299</v>
      </c>
      <c r="Y16" s="32"/>
      <c r="Z16" s="118" t="s">
        <v>297</v>
      </c>
      <c r="AA16" s="11" t="s">
        <v>300</v>
      </c>
    </row>
    <row r="17" spans="4:25">
      <c r="D17" s="7" t="s">
        <v>301</v>
      </c>
      <c r="E17" s="8" t="s">
        <v>302</v>
      </c>
      <c r="K17" s="7" t="s">
        <v>219</v>
      </c>
      <c r="L17" s="8" t="s">
        <v>303</v>
      </c>
      <c r="W17" s="7" t="s">
        <v>304</v>
      </c>
      <c r="X17" s="113" t="s">
        <v>305</v>
      </c>
      <c r="Y17" s="32"/>
    </row>
    <row r="18" spans="4:25">
      <c r="D18" s="7" t="s">
        <v>306</v>
      </c>
      <c r="E18" s="8" t="s">
        <v>307</v>
      </c>
      <c r="K18" s="7" t="s">
        <v>308</v>
      </c>
      <c r="L18" s="8" t="s">
        <v>309</v>
      </c>
      <c r="W18" s="7" t="s">
        <v>310</v>
      </c>
      <c r="X18" s="113" t="s">
        <v>284</v>
      </c>
      <c r="Y18" s="32"/>
    </row>
    <row r="19" spans="4:25">
      <c r="D19" s="7" t="s">
        <v>311</v>
      </c>
      <c r="E19" s="8" t="s">
        <v>312</v>
      </c>
      <c r="K19" s="7" t="s">
        <v>313</v>
      </c>
      <c r="L19" s="8" t="s">
        <v>314</v>
      </c>
      <c r="W19" s="7" t="s">
        <v>315</v>
      </c>
      <c r="X19" s="113" t="s">
        <v>291</v>
      </c>
      <c r="Y19" s="32"/>
    </row>
    <row r="20" spans="4:25">
      <c r="D20" s="7" t="s">
        <v>316</v>
      </c>
      <c r="E20" s="8" t="s">
        <v>317</v>
      </c>
      <c r="K20" s="7" t="s">
        <v>318</v>
      </c>
      <c r="L20" s="8" t="s">
        <v>319</v>
      </c>
      <c r="W20" s="7" t="s">
        <v>320</v>
      </c>
      <c r="X20" s="113" t="s">
        <v>299</v>
      </c>
      <c r="Y20" s="32"/>
    </row>
    <row r="21" spans="4:25">
      <c r="D21" s="7" t="s">
        <v>321</v>
      </c>
      <c r="E21" s="8" t="s">
        <v>322</v>
      </c>
      <c r="K21" s="7" t="s">
        <v>323</v>
      </c>
      <c r="L21" s="8" t="s">
        <v>324</v>
      </c>
      <c r="W21" s="7" t="s">
        <v>325</v>
      </c>
      <c r="X21" s="113" t="s">
        <v>305</v>
      </c>
      <c r="Y21" s="32"/>
    </row>
    <row r="22" spans="4:25">
      <c r="D22" s="7" t="s">
        <v>326</v>
      </c>
      <c r="E22" s="8" t="s">
        <v>327</v>
      </c>
      <c r="K22" s="7" t="s">
        <v>228</v>
      </c>
      <c r="L22" s="8" t="s">
        <v>328</v>
      </c>
      <c r="W22" s="7" t="s">
        <v>329</v>
      </c>
      <c r="X22" s="113" t="s">
        <v>284</v>
      </c>
      <c r="Y22" s="32"/>
    </row>
    <row r="23" spans="4:25">
      <c r="D23" s="7" t="s">
        <v>330</v>
      </c>
      <c r="E23" s="8" t="s">
        <v>331</v>
      </c>
      <c r="K23" s="7" t="s">
        <v>332</v>
      </c>
      <c r="L23" s="8" t="s">
        <v>333</v>
      </c>
      <c r="W23" s="7" t="s">
        <v>334</v>
      </c>
      <c r="X23" s="113" t="s">
        <v>291</v>
      </c>
      <c r="Y23" s="32"/>
    </row>
    <row r="24" spans="4:25">
      <c r="D24" s="7" t="s">
        <v>335</v>
      </c>
      <c r="E24" s="8" t="s">
        <v>336</v>
      </c>
      <c r="K24" s="7" t="s">
        <v>337</v>
      </c>
      <c r="L24" s="8" t="s">
        <v>338</v>
      </c>
      <c r="W24" s="7" t="s">
        <v>339</v>
      </c>
      <c r="X24" s="113" t="s">
        <v>299</v>
      </c>
      <c r="Y24" s="32"/>
    </row>
    <row r="25" spans="4:25">
      <c r="D25" s="7" t="s">
        <v>340</v>
      </c>
      <c r="E25" s="8" t="s">
        <v>341</v>
      </c>
      <c r="K25" s="7" t="s">
        <v>237</v>
      </c>
      <c r="L25" s="8" t="s">
        <v>342</v>
      </c>
      <c r="W25" s="7" t="s">
        <v>343</v>
      </c>
      <c r="X25" s="113" t="s">
        <v>305</v>
      </c>
      <c r="Y25" s="32"/>
    </row>
    <row r="26" spans="4:25">
      <c r="D26" s="7" t="s">
        <v>344</v>
      </c>
      <c r="E26" s="8" t="s">
        <v>345</v>
      </c>
      <c r="K26" s="141" t="s">
        <v>346</v>
      </c>
      <c r="L26" s="142" t="s">
        <v>347</v>
      </c>
      <c r="W26" s="7" t="s">
        <v>348</v>
      </c>
      <c r="X26" s="113" t="s">
        <v>284</v>
      </c>
      <c r="Y26" s="32"/>
    </row>
    <row r="27" spans="4:25">
      <c r="D27" s="7" t="s">
        <v>215</v>
      </c>
      <c r="E27" s="8" t="s">
        <v>349</v>
      </c>
      <c r="K27" s="141" t="s">
        <v>350</v>
      </c>
      <c r="L27" s="142" t="s">
        <v>351</v>
      </c>
      <c r="W27" s="7" t="s">
        <v>352</v>
      </c>
      <c r="X27" s="113" t="s">
        <v>291</v>
      </c>
      <c r="Y27" s="32"/>
    </row>
    <row r="28" spans="4:25">
      <c r="D28" s="7" t="s">
        <v>353</v>
      </c>
      <c r="E28" s="8" t="s">
        <v>354</v>
      </c>
      <c r="K28" s="141" t="s">
        <v>355</v>
      </c>
      <c r="L28" s="142" t="s">
        <v>356</v>
      </c>
      <c r="W28" s="7" t="s">
        <v>357</v>
      </c>
      <c r="X28" s="113" t="s">
        <v>299</v>
      </c>
      <c r="Y28" s="32"/>
    </row>
    <row r="29" spans="4:25">
      <c r="D29" s="7" t="s">
        <v>358</v>
      </c>
      <c r="E29" s="8" t="s">
        <v>359</v>
      </c>
      <c r="K29" s="143">
        <v>9</v>
      </c>
      <c r="L29" s="142" t="s">
        <v>360</v>
      </c>
      <c r="W29" s="7" t="s">
        <v>361</v>
      </c>
      <c r="X29" s="113" t="s">
        <v>305</v>
      </c>
      <c r="Y29" s="32"/>
    </row>
    <row r="30" spans="4:25">
      <c r="D30" s="7" t="s">
        <v>362</v>
      </c>
      <c r="E30" s="8" t="s">
        <v>363</v>
      </c>
      <c r="K30" s="143">
        <v>1</v>
      </c>
      <c r="L30" s="142" t="s">
        <v>364</v>
      </c>
      <c r="W30" s="7" t="s">
        <v>365</v>
      </c>
      <c r="X30" s="113" t="s">
        <v>284</v>
      </c>
      <c r="Y30" s="32"/>
    </row>
    <row r="31" spans="4:25">
      <c r="D31" s="7" t="s">
        <v>366</v>
      </c>
      <c r="E31" s="8" t="s">
        <v>367</v>
      </c>
      <c r="K31" s="143">
        <v>4</v>
      </c>
      <c r="L31" s="142" t="s">
        <v>368</v>
      </c>
      <c r="W31" s="7" t="s">
        <v>369</v>
      </c>
      <c r="X31" s="113" t="s">
        <v>291</v>
      </c>
      <c r="Y31" s="32"/>
    </row>
    <row r="32" spans="4:25">
      <c r="D32" s="7" t="s">
        <v>370</v>
      </c>
      <c r="E32" s="8" t="s">
        <v>371</v>
      </c>
      <c r="K32" s="143">
        <v>5</v>
      </c>
      <c r="L32" s="142" t="s">
        <v>372</v>
      </c>
      <c r="W32" s="7" t="s">
        <v>373</v>
      </c>
      <c r="X32" s="113" t="s">
        <v>299</v>
      </c>
      <c r="Y32" s="32"/>
    </row>
    <row r="33" spans="1:25" ht="15" thickBot="1">
      <c r="D33" s="7" t="s">
        <v>374</v>
      </c>
      <c r="E33" s="8" t="s">
        <v>375</v>
      </c>
      <c r="K33" s="144">
        <v>6</v>
      </c>
      <c r="L33" s="145" t="s">
        <v>376</v>
      </c>
      <c r="W33" s="7" t="s">
        <v>377</v>
      </c>
      <c r="X33" s="113" t="s">
        <v>305</v>
      </c>
      <c r="Y33" s="32"/>
    </row>
    <row r="34" spans="1:25">
      <c r="D34" s="7" t="s">
        <v>378</v>
      </c>
      <c r="E34" s="8" t="s">
        <v>379</v>
      </c>
      <c r="W34" s="7" t="s">
        <v>380</v>
      </c>
      <c r="X34" s="113" t="s">
        <v>284</v>
      </c>
      <c r="Y34" s="32"/>
    </row>
    <row r="35" spans="1:25">
      <c r="D35" s="7" t="s">
        <v>381</v>
      </c>
      <c r="E35" s="8" t="s">
        <v>382</v>
      </c>
      <c r="W35" s="7" t="s">
        <v>383</v>
      </c>
      <c r="X35" s="113" t="s">
        <v>291</v>
      </c>
      <c r="Y35" s="32"/>
    </row>
    <row r="36" spans="1:25">
      <c r="D36" s="7" t="s">
        <v>384</v>
      </c>
      <c r="E36" s="8" t="s">
        <v>385</v>
      </c>
      <c r="K36" s="32"/>
      <c r="L36" s="32"/>
      <c r="N36" s="32"/>
      <c r="O36" s="32"/>
      <c r="W36" s="7" t="s">
        <v>386</v>
      </c>
      <c r="X36" s="113" t="s">
        <v>299</v>
      </c>
      <c r="Y36" s="32"/>
    </row>
    <row r="37" spans="1:25">
      <c r="D37" s="7" t="s">
        <v>387</v>
      </c>
      <c r="E37" s="8" t="s">
        <v>388</v>
      </c>
      <c r="K37" s="32"/>
      <c r="L37" s="32"/>
      <c r="N37" s="32"/>
      <c r="O37" s="32"/>
      <c r="W37" s="7" t="s">
        <v>389</v>
      </c>
      <c r="X37" s="113" t="s">
        <v>305</v>
      </c>
      <c r="Y37" s="32"/>
    </row>
    <row r="38" spans="1:25">
      <c r="D38" s="7" t="s">
        <v>390</v>
      </c>
      <c r="E38" s="8" t="s">
        <v>391</v>
      </c>
      <c r="K38" s="32"/>
      <c r="L38" s="32"/>
      <c r="N38" s="32"/>
      <c r="O38" s="32"/>
      <c r="W38" s="7" t="s">
        <v>392</v>
      </c>
      <c r="X38" s="113" t="s">
        <v>171</v>
      </c>
      <c r="Y38" s="32"/>
    </row>
    <row r="39" spans="1:25">
      <c r="D39" s="7" t="s">
        <v>393</v>
      </c>
      <c r="E39" s="8" t="s">
        <v>394</v>
      </c>
      <c r="K39" s="32"/>
      <c r="L39" s="32"/>
      <c r="N39" s="32"/>
      <c r="O39" s="32"/>
      <c r="W39" s="7" t="s">
        <v>395</v>
      </c>
      <c r="X39" s="8" t="s">
        <v>261</v>
      </c>
    </row>
    <row r="40" spans="1:25">
      <c r="D40" s="7" t="s">
        <v>396</v>
      </c>
      <c r="E40" s="8" t="s">
        <v>397</v>
      </c>
      <c r="W40" s="7" t="s">
        <v>398</v>
      </c>
      <c r="X40" s="113" t="s">
        <v>299</v>
      </c>
      <c r="Y40" s="32"/>
    </row>
    <row r="41" spans="1:25" ht="15" thickBot="1">
      <c r="D41" s="7" t="s">
        <v>224</v>
      </c>
      <c r="E41" s="8" t="s">
        <v>399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W41" s="7" t="s">
        <v>400</v>
      </c>
      <c r="X41" s="113" t="s">
        <v>305</v>
      </c>
      <c r="Y41" s="32"/>
    </row>
    <row r="42" spans="1:25">
      <c r="D42" s="7" t="s">
        <v>401</v>
      </c>
      <c r="E42" s="8" t="s">
        <v>402</v>
      </c>
      <c r="H42" s="44" t="s">
        <v>1044</v>
      </c>
      <c r="I42" s="5" t="s">
        <v>1045</v>
      </c>
      <c r="J42" s="5" t="s">
        <v>1043</v>
      </c>
      <c r="K42" s="5"/>
      <c r="L42" s="5"/>
      <c r="M42" s="5"/>
      <c r="N42" s="149"/>
      <c r="O42" s="5" t="s">
        <v>1049</v>
      </c>
      <c r="P42" s="5" t="s">
        <v>1050</v>
      </c>
      <c r="Q42" s="5" t="s">
        <v>1051</v>
      </c>
      <c r="R42" s="40" t="s">
        <v>1052</v>
      </c>
      <c r="S42" s="40" t="s">
        <v>1053</v>
      </c>
      <c r="T42" s="40" t="s">
        <v>1054</v>
      </c>
      <c r="U42" s="6"/>
      <c r="W42" s="7" t="s">
        <v>404</v>
      </c>
      <c r="X42" s="113" t="s">
        <v>405</v>
      </c>
      <c r="Y42" s="32"/>
    </row>
    <row r="43" spans="1:25">
      <c r="D43" s="7" t="s">
        <v>406</v>
      </c>
      <c r="E43" s="8" t="s">
        <v>407</v>
      </c>
      <c r="H43" s="7">
        <f>IF(K43="Yes",1,0)</f>
        <v>0</v>
      </c>
      <c r="I43" s="2"/>
      <c r="J43" s="2"/>
      <c r="K43" s="2" t="str">
        <f t="shared" ref="K43:K58" si="0">IF(ISERROR(VALUE(titleletters5678)),"No",IF(AND(VALUE(titleletters5678)&gt;=L43,VALUE(titleletters5678)&lt;M43),"Yes","No"))</f>
        <v>No</v>
      </c>
      <c r="L43" s="2">
        <v>1</v>
      </c>
      <c r="M43" s="2">
        <v>99</v>
      </c>
      <c r="N43" s="147" t="s">
        <v>997</v>
      </c>
      <c r="O43" s="2" t="s">
        <v>1010</v>
      </c>
      <c r="P43" s="2" t="s">
        <v>1016</v>
      </c>
      <c r="Q43" s="39" t="s">
        <v>1017</v>
      </c>
      <c r="R43" s="39" t="str">
        <f t="shared" ref="R43:R58" si="1">IF(LEN(SUBSTITUTE(Title4,UPPER(O43),""))&lt;LEN(Title4),"Yes","No")</f>
        <v>No</v>
      </c>
      <c r="S43" s="39" t="str">
        <f t="shared" ref="S43:S58" si="2">IF(LEN(SUBSTITUTE(Title4,UPPER(P43),""))&lt;LEN(Title4),"Yes","No")</f>
        <v>Yes</v>
      </c>
      <c r="T43" s="39" t="str">
        <f t="shared" ref="T43:T58" si="3">IF(LEN(SUBSTITUTE(Title4,UPPER(Q43),""))&lt;LEN(Title4),"Yes","No")</f>
        <v>No</v>
      </c>
      <c r="U43" s="122">
        <f>IF(AND(K43="Yes",OR(R43="Yes",S43="Yes",T43="Yes")),1,0)</f>
        <v>0</v>
      </c>
      <c r="W43" s="7" t="s">
        <v>408</v>
      </c>
      <c r="X43" s="113" t="s">
        <v>409</v>
      </c>
      <c r="Y43" s="32"/>
    </row>
    <row r="44" spans="1:25">
      <c r="D44" s="7" t="s">
        <v>233</v>
      </c>
      <c r="E44" s="8" t="s">
        <v>410</v>
      </c>
      <c r="H44" s="7">
        <f t="shared" ref="H44:H45" si="4">IF(K44="Yes",1,0)</f>
        <v>0</v>
      </c>
      <c r="I44" s="2"/>
      <c r="J44" s="2"/>
      <c r="K44" s="2" t="str">
        <f t="shared" si="0"/>
        <v>No</v>
      </c>
      <c r="L44" s="2">
        <v>100</v>
      </c>
      <c r="M44" s="2">
        <v>199</v>
      </c>
      <c r="N44" s="147" t="s">
        <v>998</v>
      </c>
      <c r="O44" s="2" t="s">
        <v>1010</v>
      </c>
      <c r="P44" s="2" t="s">
        <v>1011</v>
      </c>
      <c r="Q44" s="39" t="s">
        <v>1018</v>
      </c>
      <c r="R44" s="39" t="str">
        <f t="shared" si="1"/>
        <v>No</v>
      </c>
      <c r="S44" s="39" t="str">
        <f t="shared" si="2"/>
        <v>No</v>
      </c>
      <c r="T44" s="39" t="str">
        <f t="shared" si="3"/>
        <v>No</v>
      </c>
      <c r="U44" s="122">
        <f t="shared" ref="U44:U58" si="5">IF(AND(K44="Yes",OR(R44="Yes",S44="Yes",T44="Yes")),1,0)</f>
        <v>0</v>
      </c>
      <c r="W44" s="7" t="s">
        <v>412</v>
      </c>
      <c r="X44" s="113" t="s">
        <v>171</v>
      </c>
      <c r="Y44" s="32"/>
    </row>
    <row r="45" spans="1:25" ht="28.5">
      <c r="D45" s="7" t="s">
        <v>413</v>
      </c>
      <c r="E45" s="8" t="s">
        <v>414</v>
      </c>
      <c r="H45" s="7">
        <f t="shared" si="4"/>
        <v>1</v>
      </c>
      <c r="I45" s="2"/>
      <c r="J45" s="2"/>
      <c r="K45" s="2" t="str">
        <f t="shared" si="0"/>
        <v>Yes</v>
      </c>
      <c r="L45" s="2">
        <v>200</v>
      </c>
      <c r="M45" s="2">
        <v>1499</v>
      </c>
      <c r="N45" s="147" t="s">
        <v>999</v>
      </c>
      <c r="O45" s="2" t="s">
        <v>1012</v>
      </c>
      <c r="P45" s="2" t="s">
        <v>1013</v>
      </c>
      <c r="Q45" s="39" t="s">
        <v>1014</v>
      </c>
      <c r="R45" s="39" t="str">
        <f t="shared" si="1"/>
        <v>Yes</v>
      </c>
      <c r="S45" s="39" t="str">
        <f t="shared" si="2"/>
        <v>No</v>
      </c>
      <c r="T45" s="39" t="str">
        <f t="shared" si="3"/>
        <v>No</v>
      </c>
      <c r="U45" s="122">
        <f t="shared" si="5"/>
        <v>1</v>
      </c>
      <c r="W45" s="7" t="s">
        <v>416</v>
      </c>
      <c r="X45" s="8" t="s">
        <v>261</v>
      </c>
    </row>
    <row r="46" spans="1:25" ht="28.5">
      <c r="A46" s="34"/>
      <c r="D46" s="7" t="s">
        <v>417</v>
      </c>
      <c r="E46" s="8" t="s">
        <v>418</v>
      </c>
      <c r="H46" s="7"/>
      <c r="I46" s="2"/>
      <c r="J46" s="2">
        <f>IF(K46="Yes",1,0)</f>
        <v>0</v>
      </c>
      <c r="K46" s="2" t="str">
        <f t="shared" si="0"/>
        <v>No</v>
      </c>
      <c r="L46" s="2">
        <v>2000</v>
      </c>
      <c r="M46" s="2">
        <v>2599</v>
      </c>
      <c r="N46" s="147" t="s">
        <v>1004</v>
      </c>
      <c r="O46" s="39" t="s">
        <v>1015</v>
      </c>
      <c r="P46" s="39" t="s">
        <v>1019</v>
      </c>
      <c r="Q46" s="39"/>
      <c r="R46" s="39" t="str">
        <f t="shared" si="1"/>
        <v>No</v>
      </c>
      <c r="S46" s="39" t="str">
        <f t="shared" si="2"/>
        <v>No</v>
      </c>
      <c r="T46" s="39" t="str">
        <f t="shared" si="3"/>
        <v>No</v>
      </c>
      <c r="U46" s="122">
        <f t="shared" si="5"/>
        <v>0</v>
      </c>
      <c r="W46" s="7" t="s">
        <v>419</v>
      </c>
      <c r="X46" s="113" t="s">
        <v>189</v>
      </c>
      <c r="Y46" s="32"/>
    </row>
    <row r="47" spans="1:25">
      <c r="D47" s="7" t="s">
        <v>243</v>
      </c>
      <c r="E47" s="8" t="s">
        <v>420</v>
      </c>
      <c r="H47" s="7"/>
      <c r="I47" s="2">
        <f>IF(K47="Yes",1,0)</f>
        <v>0</v>
      </c>
      <c r="J47" s="2"/>
      <c r="K47" s="2" t="str">
        <f t="shared" si="0"/>
        <v>No</v>
      </c>
      <c r="L47" s="2">
        <v>2600</v>
      </c>
      <c r="M47" s="2">
        <v>2799</v>
      </c>
      <c r="N47" s="147" t="s">
        <v>1007</v>
      </c>
      <c r="O47" s="39" t="s">
        <v>1020</v>
      </c>
      <c r="P47" s="39" t="s">
        <v>1026</v>
      </c>
      <c r="Q47" s="2"/>
      <c r="R47" s="39" t="str">
        <f t="shared" si="1"/>
        <v>No</v>
      </c>
      <c r="S47" s="39" t="str">
        <f t="shared" si="2"/>
        <v>Yes</v>
      </c>
      <c r="T47" s="39" t="str">
        <f t="shared" si="3"/>
        <v>No</v>
      </c>
      <c r="U47" s="122">
        <f t="shared" si="5"/>
        <v>0</v>
      </c>
      <c r="W47" s="7" t="s">
        <v>421</v>
      </c>
      <c r="X47" s="113" t="s">
        <v>198</v>
      </c>
      <c r="Y47" s="32"/>
    </row>
    <row r="48" spans="1:25" ht="15.75" customHeight="1">
      <c r="D48" s="7" t="s">
        <v>422</v>
      </c>
      <c r="E48" s="8" t="s">
        <v>423</v>
      </c>
      <c r="H48" s="7">
        <f t="shared" ref="H48:H52" si="6">IF(K48="Yes",1,0)</f>
        <v>0</v>
      </c>
      <c r="I48" s="2"/>
      <c r="J48" s="2"/>
      <c r="K48" s="2" t="str">
        <f t="shared" si="0"/>
        <v>No</v>
      </c>
      <c r="L48" s="2">
        <v>2800</v>
      </c>
      <c r="M48" s="2">
        <v>2899</v>
      </c>
      <c r="N48" s="147" t="s">
        <v>1008</v>
      </c>
      <c r="O48" s="39" t="s">
        <v>1021</v>
      </c>
      <c r="P48" s="2"/>
      <c r="Q48" s="2"/>
      <c r="R48" s="39" t="str">
        <f t="shared" si="1"/>
        <v>No</v>
      </c>
      <c r="S48" s="39" t="str">
        <f t="shared" si="2"/>
        <v>No</v>
      </c>
      <c r="T48" s="39" t="str">
        <f t="shared" si="3"/>
        <v>No</v>
      </c>
      <c r="U48" s="122">
        <f t="shared" si="5"/>
        <v>0</v>
      </c>
      <c r="W48" s="7" t="s">
        <v>424</v>
      </c>
      <c r="X48" s="113" t="s">
        <v>425</v>
      </c>
      <c r="Y48" s="32"/>
    </row>
    <row r="49" spans="4:25" ht="15.75" customHeight="1">
      <c r="D49" s="7" t="s">
        <v>426</v>
      </c>
      <c r="E49" s="8" t="s">
        <v>427</v>
      </c>
      <c r="H49" s="7">
        <f t="shared" si="6"/>
        <v>0</v>
      </c>
      <c r="I49" s="2"/>
      <c r="J49" s="2"/>
      <c r="K49" s="2" t="str">
        <f t="shared" si="0"/>
        <v>No</v>
      </c>
      <c r="L49" s="2">
        <v>3000</v>
      </c>
      <c r="M49" s="2">
        <v>3999</v>
      </c>
      <c r="N49" s="147" t="s">
        <v>1000</v>
      </c>
      <c r="O49" s="39" t="s">
        <v>1012</v>
      </c>
      <c r="P49" s="2"/>
      <c r="Q49" s="2"/>
      <c r="R49" s="39" t="str">
        <f t="shared" si="1"/>
        <v>Yes</v>
      </c>
      <c r="S49" s="39" t="str">
        <f t="shared" si="2"/>
        <v>No</v>
      </c>
      <c r="T49" s="39" t="str">
        <f t="shared" si="3"/>
        <v>No</v>
      </c>
      <c r="U49" s="122">
        <f t="shared" si="5"/>
        <v>0</v>
      </c>
      <c r="W49" s="7" t="s">
        <v>428</v>
      </c>
      <c r="X49" s="113" t="s">
        <v>429</v>
      </c>
      <c r="Y49" s="32"/>
    </row>
    <row r="50" spans="4:25" ht="16.5" customHeight="1" thickBot="1">
      <c r="D50" s="7" t="s">
        <v>430</v>
      </c>
      <c r="E50" s="8" t="s">
        <v>431</v>
      </c>
      <c r="H50" s="7">
        <f t="shared" si="6"/>
        <v>0</v>
      </c>
      <c r="I50" s="2"/>
      <c r="J50" s="2"/>
      <c r="K50" s="2" t="str">
        <f t="shared" si="0"/>
        <v>No</v>
      </c>
      <c r="L50" s="2">
        <v>4000</v>
      </c>
      <c r="M50" s="2">
        <v>4999</v>
      </c>
      <c r="N50" s="147" t="s">
        <v>1001</v>
      </c>
      <c r="O50" s="39" t="s">
        <v>1022</v>
      </c>
      <c r="P50" s="2"/>
      <c r="Q50" s="2"/>
      <c r="R50" s="39" t="str">
        <f t="shared" si="1"/>
        <v>No</v>
      </c>
      <c r="S50" s="39" t="str">
        <f t="shared" si="2"/>
        <v>No</v>
      </c>
      <c r="T50" s="39" t="str">
        <f t="shared" si="3"/>
        <v>No</v>
      </c>
      <c r="U50" s="122">
        <f t="shared" si="5"/>
        <v>0</v>
      </c>
      <c r="W50" s="118" t="s">
        <v>432</v>
      </c>
      <c r="X50" s="119" t="s">
        <v>235</v>
      </c>
      <c r="Y50" s="32"/>
    </row>
    <row r="51" spans="4:25" ht="20.25" customHeight="1">
      <c r="D51" s="7" t="s">
        <v>433</v>
      </c>
      <c r="E51" s="8" t="s">
        <v>434</v>
      </c>
      <c r="H51" s="7">
        <f t="shared" si="6"/>
        <v>0</v>
      </c>
      <c r="I51" s="2"/>
      <c r="J51" s="2"/>
      <c r="K51" s="2" t="str">
        <f t="shared" si="0"/>
        <v>No</v>
      </c>
      <c r="L51" s="2">
        <v>5000</v>
      </c>
      <c r="M51" s="2">
        <v>5999</v>
      </c>
      <c r="N51" s="147" t="s">
        <v>1003</v>
      </c>
      <c r="O51" s="39" t="s">
        <v>1014</v>
      </c>
      <c r="P51" s="2" t="s">
        <v>1023</v>
      </c>
      <c r="Q51" s="2" t="s">
        <v>1024</v>
      </c>
      <c r="R51" s="39" t="str">
        <f t="shared" si="1"/>
        <v>No</v>
      </c>
      <c r="S51" s="39" t="str">
        <f t="shared" si="2"/>
        <v>No</v>
      </c>
      <c r="T51" s="39" t="str">
        <f t="shared" si="3"/>
        <v>No</v>
      </c>
      <c r="U51" s="122">
        <f t="shared" si="5"/>
        <v>0</v>
      </c>
    </row>
    <row r="52" spans="4:25" ht="15" customHeight="1">
      <c r="D52" s="7" t="s">
        <v>435</v>
      </c>
      <c r="E52" s="8" t="s">
        <v>436</v>
      </c>
      <c r="H52" s="7">
        <f t="shared" si="6"/>
        <v>0</v>
      </c>
      <c r="I52" s="2"/>
      <c r="J52" s="2"/>
      <c r="K52" s="2" t="str">
        <f t="shared" si="0"/>
        <v>No</v>
      </c>
      <c r="L52" s="39">
        <v>6000</v>
      </c>
      <c r="M52" s="39">
        <v>6999</v>
      </c>
      <c r="N52" s="147" t="s">
        <v>1002</v>
      </c>
      <c r="O52" s="39" t="s">
        <v>1014</v>
      </c>
      <c r="P52" s="2" t="s">
        <v>1023</v>
      </c>
      <c r="Q52" s="2" t="s">
        <v>1025</v>
      </c>
      <c r="R52" s="39" t="str">
        <f t="shared" si="1"/>
        <v>No</v>
      </c>
      <c r="S52" s="39" t="str">
        <f t="shared" si="2"/>
        <v>No</v>
      </c>
      <c r="T52" s="39" t="str">
        <f t="shared" si="3"/>
        <v>No</v>
      </c>
      <c r="U52" s="122">
        <f t="shared" si="5"/>
        <v>0</v>
      </c>
    </row>
    <row r="53" spans="4:25">
      <c r="D53" s="7" t="s">
        <v>437</v>
      </c>
      <c r="E53" s="8" t="s">
        <v>438</v>
      </c>
      <c r="H53" s="7"/>
      <c r="I53" s="2"/>
      <c r="J53" s="2">
        <f>IF(K53="Yes",1,0)</f>
        <v>0</v>
      </c>
      <c r="K53" s="2" t="str">
        <f t="shared" si="0"/>
        <v>No</v>
      </c>
      <c r="L53" s="2">
        <v>7000</v>
      </c>
      <c r="M53" s="2">
        <v>7199</v>
      </c>
      <c r="N53" s="147" t="s">
        <v>403</v>
      </c>
      <c r="O53" s="39" t="s">
        <v>1015</v>
      </c>
      <c r="P53" s="2" t="s">
        <v>1019</v>
      </c>
      <c r="Q53" s="2"/>
      <c r="R53" s="39" t="str">
        <f t="shared" si="1"/>
        <v>No</v>
      </c>
      <c r="S53" s="39" t="str">
        <f t="shared" si="2"/>
        <v>No</v>
      </c>
      <c r="T53" s="39" t="str">
        <f t="shared" si="3"/>
        <v>No</v>
      </c>
      <c r="U53" s="122">
        <f t="shared" si="5"/>
        <v>0</v>
      </c>
    </row>
    <row r="54" spans="4:25">
      <c r="D54" s="7" t="s">
        <v>439</v>
      </c>
      <c r="E54" s="8" t="s">
        <v>440</v>
      </c>
      <c r="H54" s="7"/>
      <c r="I54" s="2">
        <f>IF(K54="Yes",1,0)</f>
        <v>0</v>
      </c>
      <c r="J54" s="2"/>
      <c r="K54" s="2" t="str">
        <f t="shared" si="0"/>
        <v>No</v>
      </c>
      <c r="L54" s="2">
        <v>7200</v>
      </c>
      <c r="M54" s="2">
        <v>7399</v>
      </c>
      <c r="N54" s="147" t="s">
        <v>411</v>
      </c>
      <c r="O54" s="39" t="s">
        <v>1020</v>
      </c>
      <c r="P54" s="2"/>
      <c r="Q54" s="2"/>
      <c r="R54" s="39" t="str">
        <f t="shared" si="1"/>
        <v>No</v>
      </c>
      <c r="S54" s="39" t="str">
        <f t="shared" si="2"/>
        <v>No</v>
      </c>
      <c r="T54" s="39" t="str">
        <f t="shared" si="3"/>
        <v>No</v>
      </c>
      <c r="U54" s="122">
        <f t="shared" si="5"/>
        <v>0</v>
      </c>
    </row>
    <row r="55" spans="4:25">
      <c r="D55" s="7" t="s">
        <v>441</v>
      </c>
      <c r="E55" s="8" t="s">
        <v>442</v>
      </c>
      <c r="H55" s="7"/>
      <c r="I55" s="2">
        <f>IF(K55="Yes",1,0)</f>
        <v>0</v>
      </c>
      <c r="J55" s="2"/>
      <c r="K55" s="2" t="str">
        <f t="shared" si="0"/>
        <v>No</v>
      </c>
      <c r="L55" s="2">
        <v>7400</v>
      </c>
      <c r="M55" s="2">
        <v>7599</v>
      </c>
      <c r="N55" s="147" t="s">
        <v>415</v>
      </c>
      <c r="O55" s="39" t="s">
        <v>1026</v>
      </c>
      <c r="P55" s="2" t="s">
        <v>1020</v>
      </c>
      <c r="Q55" s="2"/>
      <c r="R55" s="39" t="str">
        <f t="shared" si="1"/>
        <v>Yes</v>
      </c>
      <c r="S55" s="39" t="str">
        <f t="shared" si="2"/>
        <v>No</v>
      </c>
      <c r="T55" s="39" t="str">
        <f t="shared" si="3"/>
        <v>No</v>
      </c>
      <c r="U55" s="122">
        <f t="shared" si="5"/>
        <v>0</v>
      </c>
    </row>
    <row r="56" spans="4:25">
      <c r="D56" s="7" t="s">
        <v>443</v>
      </c>
      <c r="E56" s="8" t="s">
        <v>444</v>
      </c>
      <c r="H56" s="7">
        <f t="shared" ref="H56:H58" si="7">IF(K56="Yes",1,0)</f>
        <v>0</v>
      </c>
      <c r="I56" s="2"/>
      <c r="J56" s="2"/>
      <c r="K56" s="2" t="str">
        <f t="shared" si="0"/>
        <v>No</v>
      </c>
      <c r="L56" s="2">
        <v>7600</v>
      </c>
      <c r="M56" s="2">
        <v>7999</v>
      </c>
      <c r="N56" s="148" t="s">
        <v>1009</v>
      </c>
      <c r="O56" s="39" t="s">
        <v>1021</v>
      </c>
      <c r="P56" s="2" t="s">
        <v>1027</v>
      </c>
      <c r="Q56" s="2" t="s">
        <v>1028</v>
      </c>
      <c r="R56" s="39" t="str">
        <f t="shared" si="1"/>
        <v>No</v>
      </c>
      <c r="S56" s="39" t="str">
        <f t="shared" si="2"/>
        <v>No</v>
      </c>
      <c r="T56" s="39" t="str">
        <f t="shared" si="3"/>
        <v>No</v>
      </c>
      <c r="U56" s="122">
        <f t="shared" si="5"/>
        <v>0</v>
      </c>
    </row>
    <row r="57" spans="4:25">
      <c r="D57" s="7" t="s">
        <v>445</v>
      </c>
      <c r="E57" s="8" t="s">
        <v>446</v>
      </c>
      <c r="H57" s="7">
        <f t="shared" si="7"/>
        <v>0</v>
      </c>
      <c r="I57" s="2"/>
      <c r="J57" s="2"/>
      <c r="K57" s="2" t="str">
        <f t="shared" si="0"/>
        <v>No</v>
      </c>
      <c r="L57" s="2">
        <v>8000</v>
      </c>
      <c r="M57" s="2">
        <v>8050</v>
      </c>
      <c r="N57" s="147" t="s">
        <v>1005</v>
      </c>
      <c r="O57" s="39" t="s">
        <v>1029</v>
      </c>
      <c r="P57" s="2"/>
      <c r="Q57" s="2"/>
      <c r="R57" s="39" t="str">
        <f t="shared" si="1"/>
        <v>No</v>
      </c>
      <c r="S57" s="39" t="str">
        <f t="shared" si="2"/>
        <v>No</v>
      </c>
      <c r="T57" s="39" t="str">
        <f t="shared" si="3"/>
        <v>No</v>
      </c>
      <c r="U57" s="122">
        <f t="shared" si="5"/>
        <v>0</v>
      </c>
    </row>
    <row r="58" spans="4:25" ht="15" thickBot="1">
      <c r="D58" s="7" t="s">
        <v>447</v>
      </c>
      <c r="E58" s="8" t="s">
        <v>448</v>
      </c>
      <c r="H58" s="152">
        <f t="shared" si="7"/>
        <v>0</v>
      </c>
      <c r="I58" s="153"/>
      <c r="J58" s="153"/>
      <c r="K58" s="10" t="str">
        <f t="shared" si="0"/>
        <v>No</v>
      </c>
      <c r="L58" s="10">
        <v>9800</v>
      </c>
      <c r="M58" s="10">
        <v>9999</v>
      </c>
      <c r="N58" s="150" t="s">
        <v>1006</v>
      </c>
      <c r="O58" s="151" t="s">
        <v>1030</v>
      </c>
      <c r="P58" s="10" t="s">
        <v>1031</v>
      </c>
      <c r="Q58" s="10" t="s">
        <v>1025</v>
      </c>
      <c r="R58" s="151" t="str">
        <f t="shared" si="1"/>
        <v>No</v>
      </c>
      <c r="S58" s="151" t="str">
        <f t="shared" si="2"/>
        <v>No</v>
      </c>
      <c r="T58" s="151" t="str">
        <f t="shared" si="3"/>
        <v>No</v>
      </c>
      <c r="U58" s="154">
        <f t="shared" si="5"/>
        <v>0</v>
      </c>
    </row>
    <row r="59" spans="4:25">
      <c r="D59" s="7" t="s">
        <v>449</v>
      </c>
      <c r="E59" s="8" t="s">
        <v>450</v>
      </c>
      <c r="H59" s="44" t="s">
        <v>1048</v>
      </c>
      <c r="I59" s="5" t="s">
        <v>1047</v>
      </c>
      <c r="J59" s="6" t="s">
        <v>1046</v>
      </c>
      <c r="U59" s="114" t="s">
        <v>1055</v>
      </c>
    </row>
    <row r="60" spans="4:25" ht="15" thickBot="1">
      <c r="D60" s="7" t="s">
        <v>451</v>
      </c>
      <c r="E60" s="8" t="s">
        <v>452</v>
      </c>
      <c r="H60" s="9" t="str">
        <f t="shared" ref="H60:I60" si="8">IF(SUM(H43:H58)&gt;0,"Yes","No")</f>
        <v>Yes</v>
      </c>
      <c r="I60" s="10" t="str">
        <f t="shared" si="8"/>
        <v>No</v>
      </c>
      <c r="J60" s="11" t="str">
        <f>IF(SUM(J43:J58)&gt;0,"Yes","No")</f>
        <v>No</v>
      </c>
      <c r="U60" s="116" t="str">
        <f>IF(SUM(U43:U58)&gt;0,"Yes","No")</f>
        <v>Yes</v>
      </c>
    </row>
    <row r="61" spans="4:25">
      <c r="D61" s="7" t="s">
        <v>453</v>
      </c>
      <c r="E61" s="8" t="s">
        <v>454</v>
      </c>
      <c r="K61" s="37"/>
      <c r="L61" s="37"/>
      <c r="M61" s="37"/>
      <c r="N61" s="37"/>
    </row>
    <row r="62" spans="4:25">
      <c r="D62" s="7" t="s">
        <v>455</v>
      </c>
      <c r="E62" s="8" t="s">
        <v>456</v>
      </c>
      <c r="K62" s="37"/>
      <c r="L62" s="37"/>
      <c r="M62" s="37"/>
      <c r="N62" s="37"/>
    </row>
    <row r="63" spans="4:25">
      <c r="D63" s="7" t="s">
        <v>457</v>
      </c>
      <c r="E63" s="8" t="s">
        <v>458</v>
      </c>
      <c r="K63" s="37"/>
      <c r="L63" s="37"/>
      <c r="M63" s="37"/>
      <c r="N63" s="37"/>
    </row>
    <row r="64" spans="4:25">
      <c r="D64" s="7" t="s">
        <v>459</v>
      </c>
      <c r="E64" s="8" t="s">
        <v>460</v>
      </c>
      <c r="K64" s="37"/>
      <c r="L64" s="37"/>
      <c r="M64" s="37"/>
      <c r="N64" s="140"/>
    </row>
    <row r="65" spans="4:14">
      <c r="D65" s="7" t="s">
        <v>461</v>
      </c>
      <c r="E65" s="8" t="s">
        <v>462</v>
      </c>
      <c r="K65" s="37"/>
      <c r="L65" s="37"/>
      <c r="M65" s="37"/>
      <c r="N65" s="37"/>
    </row>
    <row r="66" spans="4:14">
      <c r="D66" s="7" t="s">
        <v>463</v>
      </c>
      <c r="E66" s="8" t="s">
        <v>464</v>
      </c>
      <c r="K66" s="37"/>
      <c r="L66" s="37"/>
      <c r="M66" s="37"/>
      <c r="N66" s="37"/>
    </row>
    <row r="67" spans="4:14">
      <c r="D67" s="7" t="s">
        <v>465</v>
      </c>
      <c r="E67" s="8" t="s">
        <v>466</v>
      </c>
      <c r="K67" s="37"/>
      <c r="L67" s="37"/>
      <c r="M67" s="37"/>
      <c r="N67" s="37"/>
    </row>
    <row r="68" spans="4:14">
      <c r="D68" s="7" t="s">
        <v>467</v>
      </c>
      <c r="E68" s="8" t="s">
        <v>468</v>
      </c>
    </row>
    <row r="69" spans="4:14">
      <c r="D69" s="7" t="s">
        <v>469</v>
      </c>
      <c r="E69" s="8" t="s">
        <v>470</v>
      </c>
    </row>
    <row r="70" spans="4:14">
      <c r="D70" s="7" t="s">
        <v>471</v>
      </c>
      <c r="E70" s="8" t="s">
        <v>472</v>
      </c>
    </row>
    <row r="71" spans="4:14">
      <c r="D71" s="7" t="s">
        <v>473</v>
      </c>
      <c r="E71" s="8" t="s">
        <v>474</v>
      </c>
    </row>
    <row r="72" spans="4:14">
      <c r="D72" s="7" t="s">
        <v>475</v>
      </c>
      <c r="E72" s="8" t="s">
        <v>476</v>
      </c>
    </row>
    <row r="73" spans="4:14">
      <c r="D73" s="7" t="s">
        <v>477</v>
      </c>
      <c r="E73" s="8" t="s">
        <v>478</v>
      </c>
    </row>
    <row r="74" spans="4:14">
      <c r="D74" s="7" t="s">
        <v>479</v>
      </c>
      <c r="E74" s="8" t="s">
        <v>480</v>
      </c>
    </row>
    <row r="75" spans="4:14">
      <c r="D75" s="7" t="s">
        <v>481</v>
      </c>
      <c r="E75" s="8" t="s">
        <v>482</v>
      </c>
    </row>
    <row r="76" spans="4:14">
      <c r="D76" s="7" t="s">
        <v>483</v>
      </c>
      <c r="E76" s="8" t="s">
        <v>484</v>
      </c>
    </row>
    <row r="77" spans="4:14">
      <c r="D77" s="7" t="s">
        <v>485</v>
      </c>
      <c r="E77" s="8" t="s">
        <v>486</v>
      </c>
    </row>
    <row r="78" spans="4:14">
      <c r="D78" s="7" t="s">
        <v>487</v>
      </c>
      <c r="E78" s="8" t="s">
        <v>488</v>
      </c>
    </row>
    <row r="79" spans="4:14">
      <c r="D79" s="7" t="s">
        <v>489</v>
      </c>
      <c r="E79" s="8" t="s">
        <v>490</v>
      </c>
    </row>
    <row r="80" spans="4:14">
      <c r="D80" s="7" t="s">
        <v>491</v>
      </c>
      <c r="E80" s="8" t="s">
        <v>492</v>
      </c>
    </row>
    <row r="81" spans="4:5">
      <c r="D81" s="7" t="s">
        <v>493</v>
      </c>
      <c r="E81" s="8" t="s">
        <v>494</v>
      </c>
    </row>
    <row r="82" spans="4:5">
      <c r="D82" s="7" t="s">
        <v>495</v>
      </c>
      <c r="E82" s="8" t="s">
        <v>496</v>
      </c>
    </row>
    <row r="83" spans="4:5">
      <c r="D83" s="7" t="s">
        <v>497</v>
      </c>
      <c r="E83" s="8" t="s">
        <v>498</v>
      </c>
    </row>
    <row r="84" spans="4:5">
      <c r="D84" s="7" t="s">
        <v>499</v>
      </c>
      <c r="E84" s="8" t="s">
        <v>500</v>
      </c>
    </row>
    <row r="85" spans="4:5">
      <c r="D85" s="7" t="s">
        <v>501</v>
      </c>
      <c r="E85" s="8" t="s">
        <v>502</v>
      </c>
    </row>
    <row r="86" spans="4:5">
      <c r="D86" s="7" t="s">
        <v>503</v>
      </c>
      <c r="E86" s="8" t="s">
        <v>504</v>
      </c>
    </row>
    <row r="87" spans="4:5">
      <c r="D87" s="7" t="s">
        <v>505</v>
      </c>
      <c r="E87" s="8" t="s">
        <v>506</v>
      </c>
    </row>
    <row r="88" spans="4:5">
      <c r="D88" s="7" t="s">
        <v>507</v>
      </c>
      <c r="E88" s="8" t="s">
        <v>508</v>
      </c>
    </row>
    <row r="89" spans="4:5">
      <c r="D89" s="7" t="s">
        <v>509</v>
      </c>
      <c r="E89" s="8" t="s">
        <v>510</v>
      </c>
    </row>
    <row r="90" spans="4:5">
      <c r="D90" s="7" t="s">
        <v>511</v>
      </c>
      <c r="E90" s="8" t="s">
        <v>512</v>
      </c>
    </row>
    <row r="91" spans="4:5">
      <c r="D91" s="7" t="s">
        <v>513</v>
      </c>
      <c r="E91" s="8" t="s">
        <v>514</v>
      </c>
    </row>
    <row r="92" spans="4:5">
      <c r="D92" s="7" t="s">
        <v>515</v>
      </c>
      <c r="E92" s="8" t="s">
        <v>516</v>
      </c>
    </row>
    <row r="93" spans="4:5">
      <c r="D93" s="7" t="s">
        <v>517</v>
      </c>
      <c r="E93" s="8" t="s">
        <v>518</v>
      </c>
    </row>
    <row r="94" spans="4:5">
      <c r="D94" s="7" t="s">
        <v>519</v>
      </c>
      <c r="E94" s="8" t="s">
        <v>520</v>
      </c>
    </row>
    <row r="95" spans="4:5">
      <c r="D95" s="7" t="s">
        <v>521</v>
      </c>
      <c r="E95" s="8" t="s">
        <v>522</v>
      </c>
    </row>
    <row r="96" spans="4:5">
      <c r="D96" s="7" t="s">
        <v>523</v>
      </c>
      <c r="E96" s="8" t="s">
        <v>524</v>
      </c>
    </row>
    <row r="97" spans="4:5">
      <c r="D97" s="7" t="s">
        <v>525</v>
      </c>
      <c r="E97" s="8" t="s">
        <v>526</v>
      </c>
    </row>
    <row r="98" spans="4:5">
      <c r="D98" s="7" t="s">
        <v>527</v>
      </c>
      <c r="E98" s="8" t="s">
        <v>528</v>
      </c>
    </row>
    <row r="99" spans="4:5">
      <c r="D99" s="7" t="s">
        <v>529</v>
      </c>
      <c r="E99" s="8" t="s">
        <v>530</v>
      </c>
    </row>
    <row r="100" spans="4:5">
      <c r="D100" s="7" t="s">
        <v>531</v>
      </c>
      <c r="E100" s="8" t="s">
        <v>532</v>
      </c>
    </row>
    <row r="101" spans="4:5">
      <c r="D101" s="7" t="s">
        <v>533</v>
      </c>
      <c r="E101" s="8" t="s">
        <v>534</v>
      </c>
    </row>
    <row r="102" spans="4:5">
      <c r="D102" s="7" t="s">
        <v>535</v>
      </c>
      <c r="E102" s="8" t="s">
        <v>536</v>
      </c>
    </row>
    <row r="103" spans="4:5">
      <c r="D103" s="7" t="s">
        <v>537</v>
      </c>
      <c r="E103" s="8" t="s">
        <v>538</v>
      </c>
    </row>
    <row r="104" spans="4:5">
      <c r="D104" s="7" t="s">
        <v>539</v>
      </c>
      <c r="E104" s="8" t="s">
        <v>540</v>
      </c>
    </row>
    <row r="105" spans="4:5">
      <c r="D105" s="7" t="s">
        <v>541</v>
      </c>
      <c r="E105" s="8" t="s">
        <v>542</v>
      </c>
    </row>
    <row r="106" spans="4:5">
      <c r="D106" s="7" t="s">
        <v>543</v>
      </c>
      <c r="E106" s="8" t="s">
        <v>544</v>
      </c>
    </row>
    <row r="107" spans="4:5">
      <c r="D107" s="7" t="s">
        <v>545</v>
      </c>
      <c r="E107" s="8" t="s">
        <v>546</v>
      </c>
    </row>
    <row r="108" spans="4:5">
      <c r="D108" s="7" t="s">
        <v>547</v>
      </c>
      <c r="E108" s="8" t="s">
        <v>548</v>
      </c>
    </row>
    <row r="109" spans="4:5">
      <c r="D109" s="7" t="s">
        <v>549</v>
      </c>
      <c r="E109" s="8" t="s">
        <v>550</v>
      </c>
    </row>
    <row r="110" spans="4:5">
      <c r="D110" s="7" t="s">
        <v>551</v>
      </c>
      <c r="E110" s="8" t="s">
        <v>552</v>
      </c>
    </row>
    <row r="111" spans="4:5">
      <c r="D111" s="7" t="s">
        <v>553</v>
      </c>
      <c r="E111" s="8" t="s">
        <v>554</v>
      </c>
    </row>
    <row r="112" spans="4:5">
      <c r="D112" s="7" t="s">
        <v>555</v>
      </c>
      <c r="E112" s="8" t="s">
        <v>556</v>
      </c>
    </row>
    <row r="113" spans="4:5">
      <c r="D113" s="7" t="s">
        <v>557</v>
      </c>
      <c r="E113" s="8" t="s">
        <v>558</v>
      </c>
    </row>
    <row r="114" spans="4:5">
      <c r="D114" s="7" t="s">
        <v>559</v>
      </c>
      <c r="E114" s="8" t="s">
        <v>560</v>
      </c>
    </row>
    <row r="115" spans="4:5" ht="15" thickBot="1">
      <c r="D115" s="9" t="s">
        <v>561</v>
      </c>
      <c r="E115" s="11" t="s">
        <v>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D12" sqref="D12"/>
    </sheetView>
  </sheetViews>
  <sheetFormatPr defaultRowHeight="14.25"/>
  <cols>
    <col min="1" max="1" width="24.625" style="139" customWidth="1"/>
    <col min="2" max="2" width="25" style="155" customWidth="1"/>
    <col min="3" max="9" width="9" style="139"/>
  </cols>
  <sheetData>
    <row r="1" spans="1:5">
      <c r="A1" s="139" t="s">
        <v>1057</v>
      </c>
      <c r="B1" s="155" t="s">
        <v>1058</v>
      </c>
      <c r="D1" s="156" t="s">
        <v>9</v>
      </c>
      <c r="E1" s="157" t="s">
        <v>1067</v>
      </c>
    </row>
    <row r="2" spans="1:5">
      <c r="A2" s="139" t="s">
        <v>73</v>
      </c>
      <c r="B2" s="155">
        <v>1</v>
      </c>
      <c r="D2" s="158">
        <f t="shared" ref="D2:D9" si="0">VALUE(IF(ISERROR(FIND(E2,Scale)),"0",REPLACE(Scale,FIND(E2,Scale),LEN(E2),"")))</f>
        <v>0</v>
      </c>
      <c r="E2" s="159" t="s">
        <v>1059</v>
      </c>
    </row>
    <row r="3" spans="1:5">
      <c r="A3" s="139" t="s">
        <v>994</v>
      </c>
      <c r="B3" s="155">
        <v>2</v>
      </c>
      <c r="D3" s="158">
        <f t="shared" si="0"/>
        <v>100</v>
      </c>
      <c r="E3" s="159" t="s">
        <v>1060</v>
      </c>
    </row>
    <row r="4" spans="1:5">
      <c r="A4" s="139" t="s">
        <v>995</v>
      </c>
      <c r="B4" s="155">
        <v>5</v>
      </c>
      <c r="D4" s="158">
        <f t="shared" si="0"/>
        <v>0</v>
      </c>
      <c r="E4" s="159" t="s">
        <v>1061</v>
      </c>
    </row>
    <row r="5" spans="1:5">
      <c r="A5" s="139" t="s">
        <v>996</v>
      </c>
      <c r="B5" s="155">
        <v>10</v>
      </c>
      <c r="D5" s="158">
        <f t="shared" si="0"/>
        <v>0</v>
      </c>
      <c r="E5" s="159" t="s">
        <v>1062</v>
      </c>
    </row>
    <row r="6" spans="1:5">
      <c r="B6" s="155">
        <v>20</v>
      </c>
      <c r="D6" s="158">
        <f t="shared" si="0"/>
        <v>0</v>
      </c>
      <c r="E6" s="159" t="s">
        <v>1063</v>
      </c>
    </row>
    <row r="7" spans="1:5">
      <c r="B7" s="155">
        <v>25</v>
      </c>
      <c r="D7" s="158">
        <f t="shared" si="0"/>
        <v>0</v>
      </c>
      <c r="E7" s="159" t="s">
        <v>1064</v>
      </c>
    </row>
    <row r="8" spans="1:5">
      <c r="B8" s="155">
        <v>50</v>
      </c>
      <c r="D8" s="158">
        <f t="shared" si="0"/>
        <v>0</v>
      </c>
      <c r="E8" s="159" t="s">
        <v>1065</v>
      </c>
    </row>
    <row r="9" spans="1:5" ht="15" thickBot="1">
      <c r="B9" s="155">
        <v>100</v>
      </c>
      <c r="D9" s="158">
        <f t="shared" si="0"/>
        <v>0</v>
      </c>
      <c r="E9" s="160" t="s">
        <v>1066</v>
      </c>
    </row>
    <row r="10" spans="1:5">
      <c r="B10" s="155">
        <v>200</v>
      </c>
      <c r="D10" s="155"/>
    </row>
    <row r="11" spans="1:5">
      <c r="B11" s="155">
        <v>250</v>
      </c>
      <c r="C11" s="155" t="s">
        <v>1068</v>
      </c>
      <c r="D11" s="161">
        <f>SUM(D2:D9)</f>
        <v>100</v>
      </c>
    </row>
    <row r="12" spans="1:5">
      <c r="B12" s="155">
        <v>500</v>
      </c>
      <c r="C12" s="139" t="s">
        <v>1069</v>
      </c>
      <c r="D12" s="155" t="str">
        <f>IF(ISERROR(VLOOKUP(D11,allowedScales,1,FALSE)),"No",IF(VLOOKUP(D11,allowedScales,1,FALSE)=D11,"Yes","No"))</f>
        <v>Yes</v>
      </c>
    </row>
    <row r="13" spans="1:5">
      <c r="B13" s="155">
        <v>1000</v>
      </c>
      <c r="D13" s="155"/>
    </row>
    <row r="14" spans="1:5">
      <c r="B14" s="155">
        <v>2000</v>
      </c>
    </row>
    <row r="15" spans="1:5">
      <c r="B15" s="155">
        <v>2500</v>
      </c>
    </row>
    <row r="16" spans="1:5">
      <c r="B16" s="155">
        <v>5000</v>
      </c>
    </row>
    <row r="17" spans="2:2">
      <c r="B17" s="155">
        <v>10000</v>
      </c>
    </row>
    <row r="18" spans="2:2">
      <c r="B18" s="155">
        <v>20000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8"/>
  <sheetViews>
    <sheetView topLeftCell="A36" workbookViewId="0">
      <selection activeCell="C40" sqref="C40:C56"/>
    </sheetView>
  </sheetViews>
  <sheetFormatPr defaultRowHeight="14.25"/>
  <cols>
    <col min="1" max="1" width="25.375" customWidth="1"/>
    <col min="2" max="2" width="12.75" customWidth="1"/>
    <col min="3" max="3" width="11.25" customWidth="1"/>
  </cols>
  <sheetData>
    <row r="1" spans="1:1" ht="15">
      <c r="A1" s="136" t="s">
        <v>987</v>
      </c>
    </row>
    <row r="2" spans="1:1">
      <c r="A2" s="130" t="s">
        <v>894</v>
      </c>
    </row>
    <row r="3" spans="1:1">
      <c r="A3" s="130" t="s">
        <v>895</v>
      </c>
    </row>
    <row r="4" spans="1:1">
      <c r="A4" s="130" t="s">
        <v>896</v>
      </c>
    </row>
    <row r="5" spans="1:1">
      <c r="A5" s="130" t="s">
        <v>897</v>
      </c>
    </row>
    <row r="6" spans="1:1">
      <c r="A6" s="130" t="s">
        <v>898</v>
      </c>
    </row>
    <row r="7" spans="1:1">
      <c r="A7" s="130" t="s">
        <v>899</v>
      </c>
    </row>
    <row r="8" spans="1:1">
      <c r="A8" s="130" t="s">
        <v>900</v>
      </c>
    </row>
    <row r="9" spans="1:1">
      <c r="A9" s="130" t="s">
        <v>901</v>
      </c>
    </row>
    <row r="10" spans="1:1">
      <c r="A10" s="130" t="s">
        <v>902</v>
      </c>
    </row>
    <row r="11" spans="1:1">
      <c r="A11" s="130" t="s">
        <v>903</v>
      </c>
    </row>
    <row r="12" spans="1:1">
      <c r="A12" s="130" t="s">
        <v>904</v>
      </c>
    </row>
    <row r="13" spans="1:1">
      <c r="A13" s="130" t="s">
        <v>905</v>
      </c>
    </row>
    <row r="14" spans="1:1">
      <c r="A14" s="130" t="s">
        <v>906</v>
      </c>
    </row>
    <row r="15" spans="1:1">
      <c r="A15" s="131" t="s">
        <v>907</v>
      </c>
    </row>
    <row r="16" spans="1:1">
      <c r="A16" s="131" t="s">
        <v>908</v>
      </c>
    </row>
    <row r="17" spans="1:1">
      <c r="A17" s="132" t="s">
        <v>81</v>
      </c>
    </row>
    <row r="18" spans="1:1">
      <c r="A18" s="133" t="s">
        <v>909</v>
      </c>
    </row>
    <row r="19" spans="1:1">
      <c r="A19" s="133" t="s">
        <v>910</v>
      </c>
    </row>
    <row r="20" spans="1:1">
      <c r="A20" s="133" t="s">
        <v>911</v>
      </c>
    </row>
    <row r="21" spans="1:1">
      <c r="A21" s="133" t="s">
        <v>912</v>
      </c>
    </row>
    <row r="22" spans="1:1">
      <c r="A22" s="133" t="s">
        <v>913</v>
      </c>
    </row>
    <row r="23" spans="1:1">
      <c r="A23" s="133" t="s">
        <v>914</v>
      </c>
    </row>
    <row r="24" spans="1:1">
      <c r="A24" s="132" t="s">
        <v>915</v>
      </c>
    </row>
    <row r="25" spans="1:1">
      <c r="A25" s="132" t="s">
        <v>916</v>
      </c>
    </row>
    <row r="26" spans="1:1">
      <c r="A26" s="132" t="s">
        <v>917</v>
      </c>
    </row>
    <row r="27" spans="1:1">
      <c r="A27" s="132" t="s">
        <v>918</v>
      </c>
    </row>
    <row r="28" spans="1:1">
      <c r="A28" s="134" t="s">
        <v>919</v>
      </c>
    </row>
    <row r="29" spans="1:1">
      <c r="A29" s="133" t="s">
        <v>920</v>
      </c>
    </row>
    <row r="30" spans="1:1">
      <c r="A30" s="135" t="s">
        <v>110</v>
      </c>
    </row>
    <row r="31" spans="1:1">
      <c r="A31" s="133" t="s">
        <v>921</v>
      </c>
    </row>
    <row r="32" spans="1:1">
      <c r="A32" s="133" t="s">
        <v>922</v>
      </c>
    </row>
    <row r="33" spans="1:3">
      <c r="A33" s="133" t="s">
        <v>923</v>
      </c>
    </row>
    <row r="34" spans="1:3">
      <c r="A34" s="133" t="s">
        <v>924</v>
      </c>
    </row>
    <row r="35" spans="1:3">
      <c r="A35" s="133" t="s">
        <v>925</v>
      </c>
    </row>
    <row r="36" spans="1:3">
      <c r="A36" s="133" t="s">
        <v>926</v>
      </c>
    </row>
    <row r="37" spans="1:3">
      <c r="A37" s="133" t="s">
        <v>927</v>
      </c>
    </row>
    <row r="38" spans="1:3">
      <c r="A38" s="133" t="s">
        <v>928</v>
      </c>
    </row>
    <row r="39" spans="1:3">
      <c r="A39" s="133" t="s">
        <v>929</v>
      </c>
      <c r="B39" t="s">
        <v>734</v>
      </c>
      <c r="C39" t="s">
        <v>1042</v>
      </c>
    </row>
    <row r="40" spans="1:3">
      <c r="A40" s="133" t="s">
        <v>930</v>
      </c>
      <c r="B40" t="str">
        <f>LEFT(A40,LEN(A40)-4)</f>
        <v>I1183sht_F</v>
      </c>
      <c r="C40" t="str">
        <f t="shared" ref="C40:C56" si="0">IF(ISERROR(VLOOKUP(B40,xrefnames,1,FALSE)),"",1)</f>
        <v/>
      </c>
    </row>
    <row r="41" spans="1:3">
      <c r="A41" s="133" t="s">
        <v>931</v>
      </c>
      <c r="B41" t="str">
        <f t="shared" ref="B41:B56" si="1">LEFT(A41,LEN(A41)-4)</f>
        <v>i1184</v>
      </c>
      <c r="C41" t="str">
        <f t="shared" si="0"/>
        <v/>
      </c>
    </row>
    <row r="42" spans="1:3">
      <c r="A42" s="133" t="s">
        <v>90</v>
      </c>
      <c r="B42" t="str">
        <f t="shared" si="1"/>
        <v>I1184sht_F</v>
      </c>
      <c r="C42">
        <f t="shared" si="0"/>
        <v>1</v>
      </c>
    </row>
    <row r="43" spans="1:3">
      <c r="A43" s="133" t="s">
        <v>932</v>
      </c>
      <c r="B43" t="str">
        <f t="shared" si="1"/>
        <v>I1184sht_FC</v>
      </c>
      <c r="C43" t="str">
        <f t="shared" si="0"/>
        <v/>
      </c>
    </row>
    <row r="44" spans="1:3">
      <c r="A44" s="133" t="s">
        <v>933</v>
      </c>
      <c r="B44" t="str">
        <f t="shared" si="1"/>
        <v>I1184sht_F-cpi</v>
      </c>
      <c r="C44" t="str">
        <f t="shared" si="0"/>
        <v/>
      </c>
    </row>
    <row r="45" spans="1:3">
      <c r="A45" s="133" t="s">
        <v>934</v>
      </c>
      <c r="B45" t="str">
        <f t="shared" si="1"/>
        <v>I1184sht_F-els</v>
      </c>
      <c r="C45" t="str">
        <f t="shared" si="0"/>
        <v/>
      </c>
    </row>
    <row r="46" spans="1:3">
      <c r="A46" s="133" t="s">
        <v>935</v>
      </c>
      <c r="B46" t="str">
        <f t="shared" si="1"/>
        <v>I1184sht_FF</v>
      </c>
      <c r="C46" t="str">
        <f t="shared" si="0"/>
        <v/>
      </c>
    </row>
    <row r="47" spans="1:3">
      <c r="A47" s="133" t="s">
        <v>936</v>
      </c>
      <c r="B47" t="str">
        <f t="shared" si="1"/>
        <v>I1184sht_FG</v>
      </c>
      <c r="C47" t="str">
        <f t="shared" si="0"/>
        <v/>
      </c>
    </row>
    <row r="48" spans="1:3">
      <c r="A48" s="133" t="s">
        <v>937</v>
      </c>
      <c r="B48" t="str">
        <f t="shared" si="1"/>
        <v>I1185sht_FC</v>
      </c>
      <c r="C48" t="str">
        <f t="shared" si="0"/>
        <v/>
      </c>
    </row>
    <row r="49" spans="1:3">
      <c r="A49" s="133" t="s">
        <v>938</v>
      </c>
      <c r="B49" t="str">
        <f t="shared" si="1"/>
        <v>I1185sht_FF</v>
      </c>
      <c r="C49" t="str">
        <f t="shared" si="0"/>
        <v/>
      </c>
    </row>
    <row r="50" spans="1:3">
      <c r="A50" s="133" t="s">
        <v>939</v>
      </c>
      <c r="B50" t="str">
        <f t="shared" si="1"/>
        <v>I1185sht_FG</v>
      </c>
      <c r="C50" t="str">
        <f t="shared" si="0"/>
        <v/>
      </c>
    </row>
    <row r="51" spans="1:3">
      <c r="A51" s="133" t="s">
        <v>940</v>
      </c>
      <c r="B51" t="str">
        <f t="shared" si="1"/>
        <v>I1185sht_FL</v>
      </c>
      <c r="C51" t="str">
        <f t="shared" si="0"/>
        <v/>
      </c>
    </row>
    <row r="52" spans="1:3">
      <c r="A52" s="133" t="s">
        <v>941</v>
      </c>
      <c r="B52" t="str">
        <f t="shared" si="1"/>
        <v>I1186sht_FF</v>
      </c>
      <c r="C52" t="str">
        <f t="shared" si="0"/>
        <v/>
      </c>
    </row>
    <row r="53" spans="1:3">
      <c r="A53" s="133" t="s">
        <v>942</v>
      </c>
      <c r="B53" t="str">
        <f t="shared" si="1"/>
        <v>I1186sht_FL</v>
      </c>
      <c r="C53" t="str">
        <f t="shared" si="0"/>
        <v/>
      </c>
    </row>
    <row r="54" spans="1:3">
      <c r="A54" s="133" t="s">
        <v>943</v>
      </c>
      <c r="B54" t="str">
        <f t="shared" si="1"/>
        <v>I4229sht_F</v>
      </c>
      <c r="C54" t="str">
        <f t="shared" si="0"/>
        <v/>
      </c>
    </row>
    <row r="55" spans="1:3">
      <c r="A55" s="133" t="s">
        <v>944</v>
      </c>
      <c r="B55" t="str">
        <f t="shared" si="1"/>
        <v>I4229sht_FF</v>
      </c>
      <c r="C55" t="str">
        <f t="shared" si="0"/>
        <v/>
      </c>
    </row>
    <row r="56" spans="1:3">
      <c r="A56" s="133" t="s">
        <v>945</v>
      </c>
      <c r="B56" t="str">
        <f t="shared" si="1"/>
        <v>I4229sht_FFD</v>
      </c>
      <c r="C56" t="str">
        <f t="shared" si="0"/>
        <v/>
      </c>
    </row>
    <row r="57" spans="1:3">
      <c r="A57" s="133" t="s">
        <v>946</v>
      </c>
    </row>
    <row r="58" spans="1:3">
      <c r="A58" s="133" t="s">
        <v>947</v>
      </c>
    </row>
    <row r="59" spans="1:3">
      <c r="A59" s="133" t="s">
        <v>948</v>
      </c>
    </row>
    <row r="60" spans="1:3">
      <c r="A60" s="133" t="s">
        <v>949</v>
      </c>
    </row>
    <row r="61" spans="1:3">
      <c r="A61" s="133" t="s">
        <v>950</v>
      </c>
    </row>
    <row r="62" spans="1:3">
      <c r="A62" s="133" t="s">
        <v>951</v>
      </c>
    </row>
    <row r="63" spans="1:3">
      <c r="A63" s="130" t="s">
        <v>952</v>
      </c>
    </row>
    <row r="64" spans="1:3">
      <c r="A64" s="130" t="s">
        <v>953</v>
      </c>
    </row>
    <row r="65" spans="1:1">
      <c r="A65" s="130" t="s">
        <v>954</v>
      </c>
    </row>
    <row r="66" spans="1:1">
      <c r="A66" s="130" t="s">
        <v>955</v>
      </c>
    </row>
    <row r="67" spans="1:1">
      <c r="A67" s="130" t="s">
        <v>956</v>
      </c>
    </row>
    <row r="68" spans="1:1">
      <c r="A68" s="130" t="s">
        <v>957</v>
      </c>
    </row>
    <row r="69" spans="1:1">
      <c r="A69" s="130" t="s">
        <v>958</v>
      </c>
    </row>
    <row r="70" spans="1:1">
      <c r="A70" s="130" t="s">
        <v>959</v>
      </c>
    </row>
    <row r="71" spans="1:1">
      <c r="A71" s="130" t="s">
        <v>960</v>
      </c>
    </row>
    <row r="72" spans="1:1">
      <c r="A72" s="130" t="s">
        <v>961</v>
      </c>
    </row>
    <row r="73" spans="1:1">
      <c r="A73" s="130" t="s">
        <v>962</v>
      </c>
    </row>
    <row r="74" spans="1:1">
      <c r="A74" s="130" t="s">
        <v>963</v>
      </c>
    </row>
    <row r="75" spans="1:1">
      <c r="A75" s="130" t="s">
        <v>964</v>
      </c>
    </row>
    <row r="76" spans="1:1">
      <c r="A76" s="130" t="s">
        <v>965</v>
      </c>
    </row>
    <row r="77" spans="1:1">
      <c r="A77" s="130" t="s">
        <v>966</v>
      </c>
    </row>
    <row r="78" spans="1:1">
      <c r="A78" s="130" t="s">
        <v>967</v>
      </c>
    </row>
    <row r="79" spans="1:1">
      <c r="A79" s="130" t="s">
        <v>968</v>
      </c>
    </row>
    <row r="80" spans="1:1">
      <c r="A80" s="130" t="s">
        <v>969</v>
      </c>
    </row>
    <row r="81" spans="1:1">
      <c r="A81" s="130" t="s">
        <v>970</v>
      </c>
    </row>
    <row r="82" spans="1:1">
      <c r="A82" s="130" t="s">
        <v>971</v>
      </c>
    </row>
    <row r="83" spans="1:1">
      <c r="A83" s="130" t="s">
        <v>972</v>
      </c>
    </row>
    <row r="84" spans="1:1">
      <c r="A84" s="130" t="s">
        <v>973</v>
      </c>
    </row>
    <row r="85" spans="1:1">
      <c r="A85" s="130" t="s">
        <v>974</v>
      </c>
    </row>
    <row r="86" spans="1:1">
      <c r="A86" s="130" t="s">
        <v>975</v>
      </c>
    </row>
    <row r="87" spans="1:1">
      <c r="A87" s="130" t="s">
        <v>976</v>
      </c>
    </row>
    <row r="88" spans="1:1">
      <c r="A88" s="130" t="s">
        <v>977</v>
      </c>
    </row>
    <row r="89" spans="1:1">
      <c r="A89" s="130" t="s">
        <v>978</v>
      </c>
    </row>
    <row r="90" spans="1:1">
      <c r="A90" s="130" t="s">
        <v>979</v>
      </c>
    </row>
    <row r="91" spans="1:1">
      <c r="A91" s="130" t="s">
        <v>980</v>
      </c>
    </row>
    <row r="92" spans="1:1">
      <c r="A92" s="130" t="s">
        <v>981</v>
      </c>
    </row>
    <row r="93" spans="1:1">
      <c r="A93" s="130" t="s">
        <v>982</v>
      </c>
    </row>
    <row r="94" spans="1:1">
      <c r="A94" s="130" t="s">
        <v>983</v>
      </c>
    </row>
    <row r="95" spans="1:1">
      <c r="A95" s="130" t="s">
        <v>984</v>
      </c>
    </row>
    <row r="96" spans="1:1">
      <c r="A96" s="130" t="s">
        <v>985</v>
      </c>
    </row>
    <row r="97" spans="1:1">
      <c r="A97" s="130"/>
    </row>
    <row r="98" spans="1:1">
      <c r="A98" s="130" t="s">
        <v>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1:E50"/>
  <sheetViews>
    <sheetView workbookViewId="0">
      <selection activeCell="I10" sqref="I10"/>
    </sheetView>
  </sheetViews>
  <sheetFormatPr defaultRowHeight="14.25"/>
  <cols>
    <col min="1" max="3" width="9.125" customWidth="1"/>
    <col min="4" max="4" width="9.75" bestFit="1" customWidth="1"/>
    <col min="5" max="5" width="12.625" customWidth="1"/>
  </cols>
  <sheetData>
    <row r="1" spans="3:5">
      <c r="C1" s="44">
        <f>LEN(D1)</f>
        <v>0</v>
      </c>
      <c r="D1" s="5" t="str">
        <f t="shared" ref="D1:D32" si="0">IF(ISERROR(VLOOKUP(E1,AllBlocks,1,AllBlocks)),"",VLOOKUP(E1,AllBlocks,1,AllBlocks))</f>
        <v/>
      </c>
      <c r="E1" s="6" t="s">
        <v>602</v>
      </c>
    </row>
    <row r="2" spans="3:5">
      <c r="C2" s="7">
        <f t="shared" ref="C2:C50" si="1">LEN(D2)</f>
        <v>0</v>
      </c>
      <c r="D2" s="2" t="str">
        <f t="shared" si="0"/>
        <v/>
      </c>
      <c r="E2" s="8" t="s">
        <v>603</v>
      </c>
    </row>
    <row r="3" spans="3:5">
      <c r="C3" s="7">
        <f t="shared" si="1"/>
        <v>0</v>
      </c>
      <c r="D3" s="2" t="str">
        <f t="shared" si="0"/>
        <v/>
      </c>
      <c r="E3" s="8" t="s">
        <v>604</v>
      </c>
    </row>
    <row r="4" spans="3:5">
      <c r="C4" s="7">
        <f t="shared" si="1"/>
        <v>0</v>
      </c>
      <c r="D4" s="2" t="str">
        <f t="shared" si="0"/>
        <v/>
      </c>
      <c r="E4" s="8" t="s">
        <v>605</v>
      </c>
    </row>
    <row r="5" spans="3:5">
      <c r="C5" s="7">
        <f t="shared" si="1"/>
        <v>0</v>
      </c>
      <c r="D5" s="2" t="str">
        <f t="shared" si="0"/>
        <v/>
      </c>
      <c r="E5" s="8" t="s">
        <v>606</v>
      </c>
    </row>
    <row r="6" spans="3:5">
      <c r="C6" s="7">
        <f t="shared" si="1"/>
        <v>0</v>
      </c>
      <c r="D6" s="2" t="str">
        <f t="shared" si="0"/>
        <v/>
      </c>
      <c r="E6" s="8" t="s">
        <v>607</v>
      </c>
    </row>
    <row r="7" spans="3:5">
      <c r="C7" s="7">
        <f t="shared" si="1"/>
        <v>0</v>
      </c>
      <c r="D7" s="2" t="str">
        <f t="shared" si="0"/>
        <v/>
      </c>
      <c r="E7" s="8" t="s">
        <v>608</v>
      </c>
    </row>
    <row r="8" spans="3:5">
      <c r="C8" s="7">
        <f t="shared" si="1"/>
        <v>0</v>
      </c>
      <c r="D8" s="2" t="str">
        <f t="shared" si="0"/>
        <v/>
      </c>
      <c r="E8" s="8" t="s">
        <v>609</v>
      </c>
    </row>
    <row r="9" spans="3:5">
      <c r="C9" s="7">
        <f t="shared" si="1"/>
        <v>0</v>
      </c>
      <c r="D9" s="2" t="str">
        <f t="shared" si="0"/>
        <v/>
      </c>
      <c r="E9" s="8" t="s">
        <v>610</v>
      </c>
    </row>
    <row r="10" spans="3:5">
      <c r="C10" s="7">
        <f t="shared" si="1"/>
        <v>0</v>
      </c>
      <c r="D10" s="2" t="str">
        <f t="shared" si="0"/>
        <v/>
      </c>
      <c r="E10" s="8" t="s">
        <v>611</v>
      </c>
    </row>
    <row r="11" spans="3:5">
      <c r="C11" s="7">
        <f t="shared" si="1"/>
        <v>0</v>
      </c>
      <c r="D11" s="2" t="str">
        <f t="shared" si="0"/>
        <v/>
      </c>
      <c r="E11" s="8" t="s">
        <v>612</v>
      </c>
    </row>
    <row r="12" spans="3:5">
      <c r="C12" s="7">
        <f t="shared" si="1"/>
        <v>0</v>
      </c>
      <c r="D12" s="2" t="str">
        <f t="shared" si="0"/>
        <v/>
      </c>
      <c r="E12" s="8" t="s">
        <v>613</v>
      </c>
    </row>
    <row r="13" spans="3:5">
      <c r="C13" s="7">
        <f t="shared" si="1"/>
        <v>0</v>
      </c>
      <c r="D13" s="2" t="str">
        <f t="shared" si="0"/>
        <v/>
      </c>
      <c r="E13" s="8" t="s">
        <v>614</v>
      </c>
    </row>
    <row r="14" spans="3:5">
      <c r="C14" s="7">
        <f t="shared" si="1"/>
        <v>0</v>
      </c>
      <c r="D14" s="2" t="str">
        <f t="shared" si="0"/>
        <v/>
      </c>
      <c r="E14" s="8" t="s">
        <v>615</v>
      </c>
    </row>
    <row r="15" spans="3:5">
      <c r="C15" s="7">
        <f t="shared" si="1"/>
        <v>0</v>
      </c>
      <c r="D15" s="2" t="str">
        <f t="shared" si="0"/>
        <v/>
      </c>
      <c r="E15" s="8" t="s">
        <v>616</v>
      </c>
    </row>
    <row r="16" spans="3:5">
      <c r="C16" s="7">
        <f t="shared" si="1"/>
        <v>0</v>
      </c>
      <c r="D16" s="2" t="str">
        <f t="shared" si="0"/>
        <v/>
      </c>
      <c r="E16" s="8" t="s">
        <v>617</v>
      </c>
    </row>
    <row r="17" spans="3:5">
      <c r="C17" s="7">
        <f t="shared" si="1"/>
        <v>0</v>
      </c>
      <c r="D17" s="2" t="str">
        <f t="shared" si="0"/>
        <v/>
      </c>
      <c r="E17" s="8" t="s">
        <v>618</v>
      </c>
    </row>
    <row r="18" spans="3:5">
      <c r="C18" s="7">
        <f t="shared" si="1"/>
        <v>0</v>
      </c>
      <c r="D18" s="2" t="str">
        <f t="shared" si="0"/>
        <v/>
      </c>
      <c r="E18" s="8" t="s">
        <v>619</v>
      </c>
    </row>
    <row r="19" spans="3:5">
      <c r="C19" s="7">
        <f t="shared" si="1"/>
        <v>0</v>
      </c>
      <c r="D19" s="2" t="str">
        <f t="shared" si="0"/>
        <v/>
      </c>
      <c r="E19" s="8" t="s">
        <v>620</v>
      </c>
    </row>
    <row r="20" spans="3:5">
      <c r="C20" s="7">
        <f t="shared" si="1"/>
        <v>0</v>
      </c>
      <c r="D20" s="2" t="str">
        <f t="shared" si="0"/>
        <v/>
      </c>
      <c r="E20" s="8" t="s">
        <v>621</v>
      </c>
    </row>
    <row r="21" spans="3:5">
      <c r="C21" s="7">
        <f t="shared" si="1"/>
        <v>0</v>
      </c>
      <c r="D21" s="2" t="str">
        <f t="shared" si="0"/>
        <v/>
      </c>
      <c r="E21" s="8" t="s">
        <v>622</v>
      </c>
    </row>
    <row r="22" spans="3:5">
      <c r="C22" s="7">
        <f t="shared" si="1"/>
        <v>0</v>
      </c>
      <c r="D22" s="2" t="str">
        <f t="shared" si="0"/>
        <v/>
      </c>
      <c r="E22" s="8" t="s">
        <v>623</v>
      </c>
    </row>
    <row r="23" spans="3:5">
      <c r="C23" s="7">
        <f t="shared" si="1"/>
        <v>0</v>
      </c>
      <c r="D23" s="2" t="str">
        <f t="shared" si="0"/>
        <v/>
      </c>
      <c r="E23" s="8" t="s">
        <v>624</v>
      </c>
    </row>
    <row r="24" spans="3:5">
      <c r="C24" s="7">
        <f t="shared" si="1"/>
        <v>7</v>
      </c>
      <c r="D24" s="2" t="str">
        <f t="shared" si="0"/>
        <v>G-DONUT</v>
      </c>
      <c r="E24" s="8" t="s">
        <v>625</v>
      </c>
    </row>
    <row r="25" spans="3:5">
      <c r="C25" s="7">
        <f t="shared" si="1"/>
        <v>0</v>
      </c>
      <c r="D25" s="2" t="str">
        <f t="shared" si="0"/>
        <v/>
      </c>
      <c r="E25" s="8" t="s">
        <v>626</v>
      </c>
    </row>
    <row r="26" spans="3:5">
      <c r="C26" s="7">
        <f t="shared" si="1"/>
        <v>0</v>
      </c>
      <c r="D26" s="2" t="str">
        <f t="shared" si="0"/>
        <v/>
      </c>
      <c r="E26" s="8" t="s">
        <v>651</v>
      </c>
    </row>
    <row r="27" spans="3:5">
      <c r="C27" s="7">
        <f t="shared" si="1"/>
        <v>0</v>
      </c>
      <c r="D27" s="2" t="str">
        <f t="shared" si="0"/>
        <v/>
      </c>
      <c r="E27" s="8" t="s">
        <v>627</v>
      </c>
    </row>
    <row r="28" spans="3:5">
      <c r="C28" s="7">
        <f t="shared" si="1"/>
        <v>0</v>
      </c>
      <c r="D28" s="2" t="str">
        <f t="shared" si="0"/>
        <v/>
      </c>
      <c r="E28" s="8" t="s">
        <v>628</v>
      </c>
    </row>
    <row r="29" spans="3:5">
      <c r="C29" s="7">
        <f t="shared" si="1"/>
        <v>0</v>
      </c>
      <c r="D29" s="2" t="str">
        <f t="shared" si="0"/>
        <v/>
      </c>
      <c r="E29" s="8" t="s">
        <v>629</v>
      </c>
    </row>
    <row r="30" spans="3:5">
      <c r="C30" s="7">
        <f t="shared" si="1"/>
        <v>0</v>
      </c>
      <c r="D30" s="2" t="str">
        <f t="shared" si="0"/>
        <v/>
      </c>
      <c r="E30" s="8" t="s">
        <v>630</v>
      </c>
    </row>
    <row r="31" spans="3:5">
      <c r="C31" s="7">
        <f t="shared" si="1"/>
        <v>0</v>
      </c>
      <c r="D31" s="2" t="str">
        <f t="shared" si="0"/>
        <v/>
      </c>
      <c r="E31" s="8" t="s">
        <v>631</v>
      </c>
    </row>
    <row r="32" spans="3:5">
      <c r="C32" s="7">
        <f t="shared" si="1"/>
        <v>0</v>
      </c>
      <c r="D32" s="2" t="str">
        <f t="shared" si="0"/>
        <v/>
      </c>
      <c r="E32" s="8" t="s">
        <v>632</v>
      </c>
    </row>
    <row r="33" spans="3:5">
      <c r="C33" s="7">
        <f t="shared" si="1"/>
        <v>0</v>
      </c>
      <c r="D33" s="2" t="str">
        <f t="shared" ref="D33:D50" si="2">IF(ISERROR(VLOOKUP(E33,AllBlocks,1,AllBlocks)),"",VLOOKUP(E33,AllBlocks,1,AllBlocks))</f>
        <v/>
      </c>
      <c r="E33" s="8" t="s">
        <v>633</v>
      </c>
    </row>
    <row r="34" spans="3:5">
      <c r="C34" s="7">
        <f t="shared" si="1"/>
        <v>0</v>
      </c>
      <c r="D34" s="2" t="str">
        <f t="shared" si="2"/>
        <v/>
      </c>
      <c r="E34" s="8" t="s">
        <v>634</v>
      </c>
    </row>
    <row r="35" spans="3:5">
      <c r="C35" s="7">
        <f t="shared" si="1"/>
        <v>0</v>
      </c>
      <c r="D35" s="2" t="str">
        <f t="shared" si="2"/>
        <v/>
      </c>
      <c r="E35" s="8" t="s">
        <v>635</v>
      </c>
    </row>
    <row r="36" spans="3:5">
      <c r="C36" s="7">
        <f t="shared" si="1"/>
        <v>0</v>
      </c>
      <c r="D36" s="2" t="str">
        <f t="shared" si="2"/>
        <v/>
      </c>
      <c r="E36" s="8" t="s">
        <v>636</v>
      </c>
    </row>
    <row r="37" spans="3:5">
      <c r="C37" s="7">
        <f t="shared" si="1"/>
        <v>0</v>
      </c>
      <c r="D37" s="2" t="str">
        <f t="shared" si="2"/>
        <v/>
      </c>
      <c r="E37" s="8" t="s">
        <v>637</v>
      </c>
    </row>
    <row r="38" spans="3:5">
      <c r="C38" s="7">
        <f t="shared" si="1"/>
        <v>0</v>
      </c>
      <c r="D38" s="2" t="str">
        <f t="shared" si="2"/>
        <v/>
      </c>
      <c r="E38" s="8" t="s">
        <v>638</v>
      </c>
    </row>
    <row r="39" spans="3:5">
      <c r="C39" s="7">
        <f t="shared" si="1"/>
        <v>0</v>
      </c>
      <c r="D39" s="2" t="str">
        <f t="shared" si="2"/>
        <v/>
      </c>
      <c r="E39" s="8" t="s">
        <v>639</v>
      </c>
    </row>
    <row r="40" spans="3:5">
      <c r="C40" s="7">
        <f t="shared" si="1"/>
        <v>0</v>
      </c>
      <c r="D40" s="2" t="str">
        <f t="shared" si="2"/>
        <v/>
      </c>
      <c r="E40" s="8" t="s">
        <v>640</v>
      </c>
    </row>
    <row r="41" spans="3:5">
      <c r="C41" s="7">
        <f t="shared" si="1"/>
        <v>0</v>
      </c>
      <c r="D41" s="2" t="str">
        <f t="shared" si="2"/>
        <v/>
      </c>
      <c r="E41" s="8" t="s">
        <v>641</v>
      </c>
    </row>
    <row r="42" spans="3:5">
      <c r="C42" s="7">
        <f t="shared" si="1"/>
        <v>0</v>
      </c>
      <c r="D42" s="2" t="str">
        <f t="shared" si="2"/>
        <v/>
      </c>
      <c r="E42" s="8" t="s">
        <v>642</v>
      </c>
    </row>
    <row r="43" spans="3:5">
      <c r="C43" s="7">
        <f t="shared" si="1"/>
        <v>0</v>
      </c>
      <c r="D43" s="2" t="str">
        <f t="shared" si="2"/>
        <v/>
      </c>
      <c r="E43" s="8" t="s">
        <v>643</v>
      </c>
    </row>
    <row r="44" spans="3:5">
      <c r="C44" s="7">
        <f t="shared" si="1"/>
        <v>0</v>
      </c>
      <c r="D44" s="2" t="str">
        <f t="shared" si="2"/>
        <v/>
      </c>
      <c r="E44" s="8" t="s">
        <v>644</v>
      </c>
    </row>
    <row r="45" spans="3:5">
      <c r="C45" s="7">
        <f t="shared" si="1"/>
        <v>0</v>
      </c>
      <c r="D45" s="2" t="str">
        <f t="shared" si="2"/>
        <v/>
      </c>
      <c r="E45" s="8" t="s">
        <v>645</v>
      </c>
    </row>
    <row r="46" spans="3:5">
      <c r="C46" s="7">
        <f t="shared" si="1"/>
        <v>0</v>
      </c>
      <c r="D46" s="2" t="str">
        <f t="shared" si="2"/>
        <v/>
      </c>
      <c r="E46" s="8" t="s">
        <v>646</v>
      </c>
    </row>
    <row r="47" spans="3:5">
      <c r="C47" s="7">
        <f t="shared" si="1"/>
        <v>0</v>
      </c>
      <c r="D47" s="2" t="str">
        <f t="shared" si="2"/>
        <v/>
      </c>
      <c r="E47" s="8" t="s">
        <v>647</v>
      </c>
    </row>
    <row r="48" spans="3:5">
      <c r="C48" s="7">
        <f t="shared" si="1"/>
        <v>0</v>
      </c>
      <c r="D48" s="2" t="str">
        <f t="shared" si="2"/>
        <v/>
      </c>
      <c r="E48" s="8" t="s">
        <v>648</v>
      </c>
    </row>
    <row r="49" spans="3:5">
      <c r="C49" s="7">
        <f t="shared" si="1"/>
        <v>0</v>
      </c>
      <c r="D49" s="2" t="str">
        <f t="shared" si="2"/>
        <v/>
      </c>
      <c r="E49" s="8" t="s">
        <v>649</v>
      </c>
    </row>
    <row r="50" spans="3:5" ht="15" thickBot="1">
      <c r="C50" s="9">
        <f t="shared" si="1"/>
        <v>0</v>
      </c>
      <c r="D50" s="10" t="str">
        <f t="shared" si="2"/>
        <v/>
      </c>
      <c r="E50" s="11" t="s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2"/>
  <sheetViews>
    <sheetView workbookViewId="0">
      <selection activeCell="H9" sqref="H9"/>
    </sheetView>
  </sheetViews>
  <sheetFormatPr defaultRowHeight="14.25"/>
  <cols>
    <col min="1" max="1" width="16.75" bestFit="1" customWidth="1"/>
    <col min="2" max="2" width="13.125" bestFit="1" customWidth="1"/>
  </cols>
  <sheetData>
    <row r="1" spans="1:2">
      <c r="A1" s="44" t="s">
        <v>764</v>
      </c>
      <c r="B1" s="6"/>
    </row>
    <row r="2" spans="1:2">
      <c r="A2" s="7"/>
      <c r="B2" s="8" t="s">
        <v>119</v>
      </c>
    </row>
    <row r="3" spans="1:2">
      <c r="A3" s="7"/>
      <c r="B3" s="8" t="s">
        <v>120</v>
      </c>
    </row>
    <row r="4" spans="1:2">
      <c r="A4" s="7"/>
      <c r="B4" s="8" t="s">
        <v>121</v>
      </c>
    </row>
    <row r="5" spans="1:2">
      <c r="A5" s="7"/>
      <c r="B5" s="122" t="s">
        <v>766</v>
      </c>
    </row>
    <row r="6" spans="1:2">
      <c r="A6" s="7"/>
      <c r="B6" s="122" t="s">
        <v>767</v>
      </c>
    </row>
    <row r="7" spans="1:2">
      <c r="A7" s="7"/>
      <c r="B7" s="122" t="s">
        <v>768</v>
      </c>
    </row>
    <row r="8" spans="1:2">
      <c r="A8" s="7"/>
      <c r="B8" s="122" t="s">
        <v>769</v>
      </c>
    </row>
    <row r="9" spans="1:2">
      <c r="A9" s="7"/>
      <c r="B9" s="122" t="s">
        <v>770</v>
      </c>
    </row>
    <row r="10" spans="1:2">
      <c r="A10" s="7"/>
      <c r="B10" s="122" t="s">
        <v>771</v>
      </c>
    </row>
    <row r="11" spans="1:2">
      <c r="A11" s="7"/>
      <c r="B11" s="122" t="s">
        <v>772</v>
      </c>
    </row>
    <row r="12" spans="1:2">
      <c r="A12" s="7"/>
      <c r="B12" s="122" t="s">
        <v>773</v>
      </c>
    </row>
    <row r="13" spans="1:2">
      <c r="A13" s="7"/>
      <c r="B13" s="122" t="s">
        <v>774</v>
      </c>
    </row>
    <row r="14" spans="1:2">
      <c r="A14" s="7"/>
      <c r="B14" s="122" t="s">
        <v>775</v>
      </c>
    </row>
    <row r="15" spans="1:2">
      <c r="A15" s="7"/>
      <c r="B15" s="122" t="s">
        <v>776</v>
      </c>
    </row>
    <row r="16" spans="1:2">
      <c r="A16" s="7"/>
      <c r="B16" s="122" t="s">
        <v>777</v>
      </c>
    </row>
    <row r="17" spans="1:2">
      <c r="A17" s="7"/>
      <c r="B17" s="122" t="s">
        <v>778</v>
      </c>
    </row>
    <row r="18" spans="1:2">
      <c r="A18" s="7"/>
      <c r="B18" s="122" t="s">
        <v>779</v>
      </c>
    </row>
    <row r="19" spans="1:2">
      <c r="A19" s="7"/>
      <c r="B19" s="122" t="s">
        <v>780</v>
      </c>
    </row>
    <row r="20" spans="1:2">
      <c r="A20" s="7"/>
      <c r="B20" s="122" t="s">
        <v>781</v>
      </c>
    </row>
    <row r="21" spans="1:2">
      <c r="A21" s="7"/>
      <c r="B21" s="122" t="s">
        <v>782</v>
      </c>
    </row>
    <row r="22" spans="1:2">
      <c r="A22" s="7"/>
      <c r="B22" s="122" t="s">
        <v>783</v>
      </c>
    </row>
    <row r="23" spans="1:2">
      <c r="A23" s="7"/>
      <c r="B23" s="122" t="s">
        <v>784</v>
      </c>
    </row>
    <row r="24" spans="1:2">
      <c r="A24" s="7"/>
      <c r="B24" s="122" t="s">
        <v>785</v>
      </c>
    </row>
    <row r="25" spans="1:2">
      <c r="A25" s="7"/>
      <c r="B25" s="122" t="s">
        <v>786</v>
      </c>
    </row>
    <row r="26" spans="1:2">
      <c r="A26" s="7"/>
      <c r="B26" s="122" t="s">
        <v>787</v>
      </c>
    </row>
    <row r="27" spans="1:2">
      <c r="A27" s="7"/>
      <c r="B27" s="122" t="s">
        <v>788</v>
      </c>
    </row>
    <row r="28" spans="1:2">
      <c r="A28" s="7"/>
      <c r="B28" s="122" t="s">
        <v>789</v>
      </c>
    </row>
    <row r="29" spans="1:2">
      <c r="A29" s="7"/>
      <c r="B29" s="122" t="s">
        <v>790</v>
      </c>
    </row>
    <row r="30" spans="1:2">
      <c r="A30" s="7"/>
      <c r="B30" s="122" t="s">
        <v>791</v>
      </c>
    </row>
    <row r="31" spans="1:2">
      <c r="A31" s="7"/>
      <c r="B31" s="122" t="s">
        <v>792</v>
      </c>
    </row>
    <row r="32" spans="1:2">
      <c r="A32" s="7"/>
      <c r="B32" s="122" t="s">
        <v>793</v>
      </c>
    </row>
    <row r="33" spans="1:2">
      <c r="A33" s="7"/>
      <c r="B33" s="122" t="s">
        <v>794</v>
      </c>
    </row>
    <row r="34" spans="1:2">
      <c r="A34" s="7"/>
      <c r="B34" s="122" t="s">
        <v>795</v>
      </c>
    </row>
    <row r="35" spans="1:2">
      <c r="A35" s="7"/>
      <c r="B35" s="122" t="s">
        <v>796</v>
      </c>
    </row>
    <row r="36" spans="1:2">
      <c r="A36" s="7"/>
      <c r="B36" s="122" t="s">
        <v>797</v>
      </c>
    </row>
    <row r="37" spans="1:2">
      <c r="A37" s="7"/>
      <c r="B37" s="122" t="s">
        <v>798</v>
      </c>
    </row>
    <row r="38" spans="1:2">
      <c r="A38" s="7"/>
      <c r="B38" s="122" t="s">
        <v>799</v>
      </c>
    </row>
    <row r="39" spans="1:2">
      <c r="A39" s="7"/>
      <c r="B39" s="122" t="s">
        <v>800</v>
      </c>
    </row>
    <row r="40" spans="1:2">
      <c r="A40" s="7"/>
      <c r="B40" s="122" t="s">
        <v>330</v>
      </c>
    </row>
    <row r="41" spans="1:2">
      <c r="A41" s="7"/>
      <c r="B41" s="122" t="s">
        <v>801</v>
      </c>
    </row>
    <row r="42" spans="1:2" ht="15" thickBot="1">
      <c r="A42" s="9"/>
      <c r="B42" s="123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7</vt:i4>
      </vt:variant>
      <vt:variant>
        <vt:lpstr>טווחים בעלי שם</vt:lpstr>
      </vt:variant>
      <vt:variant>
        <vt:i4>206</vt:i4>
      </vt:variant>
    </vt:vector>
  </HeadingPairs>
  <TitlesOfParts>
    <vt:vector size="213" baseType="lpstr">
      <vt:lpstr>summary</vt:lpstr>
      <vt:lpstr>extractions</vt:lpstr>
      <vt:lpstr>chk1</vt:lpstr>
      <vt:lpstr>chk2</vt:lpstr>
      <vt:lpstr>chk5</vt:lpstr>
      <vt:lpstr>chk13</vt:lpstr>
      <vt:lpstr>chk17</vt:lpstr>
      <vt:lpstr>_chk1</vt:lpstr>
      <vt:lpstr>_chk10</vt:lpstr>
      <vt:lpstr>_chk11</vt:lpstr>
      <vt:lpstr>_chk12</vt:lpstr>
      <vt:lpstr>_chk13</vt:lpstr>
      <vt:lpstr>_chk14</vt:lpstr>
      <vt:lpstr>_chk15</vt:lpstr>
      <vt:lpstr>_chk16</vt:lpstr>
      <vt:lpstr>_chk17</vt:lpstr>
      <vt:lpstr>_chk18</vt:lpstr>
      <vt:lpstr>_chk2</vt:lpstr>
      <vt:lpstr>_chk3</vt:lpstr>
      <vt:lpstr>_chk4</vt:lpstr>
      <vt:lpstr>_chk5</vt:lpstr>
      <vt:lpstr>_chk6</vt:lpstr>
      <vt:lpstr>_chk7</vt:lpstr>
      <vt:lpstr>_chk8</vt:lpstr>
      <vt:lpstr>_chk9</vt:lpstr>
      <vt:lpstr>AllBlocks</vt:lpstr>
      <vt:lpstr>allowedLineTypes</vt:lpstr>
      <vt:lpstr>allowedPlotScales</vt:lpstr>
      <vt:lpstr>allowedScales</vt:lpstr>
      <vt:lpstr>AnnotationSymbols</vt:lpstr>
      <vt:lpstr>AppDate</vt:lpstr>
      <vt:lpstr>Approved</vt:lpstr>
      <vt:lpstr>blockname</vt:lpstr>
      <vt:lpstr>building</vt:lpstr>
      <vt:lpstr>buildingNumberInTitle1</vt:lpstr>
      <vt:lpstr>CheckDate</vt:lpstr>
      <vt:lpstr>Checked</vt:lpstr>
      <vt:lpstr>chk10Summary</vt:lpstr>
      <vt:lpstr>chk11Summary</vt:lpstr>
      <vt:lpstr>chk12Summary</vt:lpstr>
      <vt:lpstr>chk13Summary</vt:lpstr>
      <vt:lpstr>chk14Summary</vt:lpstr>
      <vt:lpstr>chk15Summary</vt:lpstr>
      <vt:lpstr>chk16Summary</vt:lpstr>
      <vt:lpstr>chk17Summary</vt:lpstr>
      <vt:lpstr>chk18Summary</vt:lpstr>
      <vt:lpstr>chk1Summary</vt:lpstr>
      <vt:lpstr>chk2Layer</vt:lpstr>
      <vt:lpstr>chk2Summary</vt:lpstr>
      <vt:lpstr>chk3Summary</vt:lpstr>
      <vt:lpstr>chk4Summary</vt:lpstr>
      <vt:lpstr>chk5Summary</vt:lpstr>
      <vt:lpstr>chk6Summary</vt:lpstr>
      <vt:lpstr>chk7Summary</vt:lpstr>
      <vt:lpstr>chk8Summary</vt:lpstr>
      <vt:lpstr>chk9Summary</vt:lpstr>
      <vt:lpstr>copyarea</vt:lpstr>
      <vt:lpstr>CrossCheck</vt:lpstr>
      <vt:lpstr>CrsDate</vt:lpstr>
      <vt:lpstr>Date</vt:lpstr>
      <vt:lpstr>dimEntities</vt:lpstr>
      <vt:lpstr>dimScaleOk</vt:lpstr>
      <vt:lpstr>dimstyle</vt:lpstr>
      <vt:lpstr>DimStyleNames</vt:lpstr>
      <vt:lpstr>DimStyleScales</vt:lpstr>
      <vt:lpstr>discipline</vt:lpstr>
      <vt:lpstr>Drawn</vt:lpstr>
      <vt:lpstr>dwgchecked</vt:lpstr>
      <vt:lpstr>DwgDate</vt:lpstr>
      <vt:lpstr>dwgname</vt:lpstr>
      <vt:lpstr>DwgNum</vt:lpstr>
      <vt:lpstr>EngDate</vt:lpstr>
      <vt:lpstr>Engineer</vt:lpstr>
      <vt:lpstr>EqtCode</vt:lpstr>
      <vt:lpstr>expectedgridname</vt:lpstr>
      <vt:lpstr>expectedxreflayout</vt:lpstr>
      <vt:lpstr>File</vt:lpstr>
      <vt:lpstr>fileNameFormatOK</vt:lpstr>
      <vt:lpstr>fontProblem</vt:lpstr>
      <vt:lpstr>fontsAccurate</vt:lpstr>
      <vt:lpstr>Fwr</vt:lpstr>
      <vt:lpstr>hasAnnotation</vt:lpstr>
      <vt:lpstr>hasBindError</vt:lpstr>
      <vt:lpstr>hasDollarError</vt:lpstr>
      <vt:lpstr>hasOriginProblem</vt:lpstr>
      <vt:lpstr>hasPathProblem</vt:lpstr>
      <vt:lpstr>hasTitleBlock</vt:lpstr>
      <vt:lpstr>IsCivil</vt:lpstr>
      <vt:lpstr>IsDetail</vt:lpstr>
      <vt:lpstr>isDetail1</vt:lpstr>
      <vt:lpstr>isEightLetters</vt:lpstr>
      <vt:lpstr>IsElevation</vt:lpstr>
      <vt:lpstr>IsEnlarged</vt:lpstr>
      <vt:lpstr>isEnlargedView1</vt:lpstr>
      <vt:lpstr>isEnlargedView2</vt:lpstr>
      <vt:lpstr>IsLayout</vt:lpstr>
      <vt:lpstr>isPurged</vt:lpstr>
      <vt:lpstr>isRecordDrawing</vt:lpstr>
      <vt:lpstr>IsSection</vt:lpstr>
      <vt:lpstr>IsView</vt:lpstr>
      <vt:lpstr>layer0ents</vt:lpstr>
      <vt:lpstr>layer0model</vt:lpstr>
      <vt:lpstr>layer0paper</vt:lpstr>
      <vt:lpstr>layers</vt:lpstr>
      <vt:lpstr>layoutOrViewInTitle</vt:lpstr>
      <vt:lpstr>legalHeights</vt:lpstr>
      <vt:lpstr>legalStyles</vt:lpstr>
      <vt:lpstr>letter1legal</vt:lpstr>
      <vt:lpstr>levelInTitle</vt:lpstr>
      <vt:lpstr>linetype</vt:lpstr>
      <vt:lpstr>lineTypeError</vt:lpstr>
      <vt:lpstr>modelall</vt:lpstr>
      <vt:lpstr>modelblks</vt:lpstr>
      <vt:lpstr>modelcircles</vt:lpstr>
      <vt:lpstr>modellines</vt:lpstr>
      <vt:lpstr>modeltext</vt:lpstr>
      <vt:lpstr>nameProblem</vt:lpstr>
      <vt:lpstr>NCAreas</vt:lpstr>
      <vt:lpstr>NCBuilding</vt:lpstr>
      <vt:lpstr>NCDetailsHighNum1</vt:lpstr>
      <vt:lpstr>NCDetailsLowNum1</vt:lpstr>
      <vt:lpstr>NCDisciplines</vt:lpstr>
      <vt:lpstr>NCElevationsHighNum</vt:lpstr>
      <vt:lpstr>NCElevationsLowNum</vt:lpstr>
      <vt:lpstr>NCEnlargedHighNum1</vt:lpstr>
      <vt:lpstr>NCEnlargedHighNum2</vt:lpstr>
      <vt:lpstr>NCEnlargedLowNum1</vt:lpstr>
      <vt:lpstr>NCEnlargedLowNum2</vt:lpstr>
      <vt:lpstr>NCLevels</vt:lpstr>
      <vt:lpstr>NCPlanKey</vt:lpstr>
      <vt:lpstr>NCSectionsHighNum</vt:lpstr>
      <vt:lpstr>NCSectionsLowNum</vt:lpstr>
      <vt:lpstr>NCSeries</vt:lpstr>
      <vt:lpstr>NCSpecial</vt:lpstr>
      <vt:lpstr>northarrowangle</vt:lpstr>
      <vt:lpstr>northarrowok</vt:lpstr>
      <vt:lpstr>northarrowqty</vt:lpstr>
      <vt:lpstr>northxscale</vt:lpstr>
      <vt:lpstr>oddXrefs</vt:lpstr>
      <vt:lpstr>OldNum</vt:lpstr>
      <vt:lpstr>oncorrectlayer</vt:lpstr>
      <vt:lpstr>originRange</vt:lpstr>
      <vt:lpstr>overallSectorInTitle</vt:lpstr>
      <vt:lpstr>paperall</vt:lpstr>
      <vt:lpstr>paperblks</vt:lpstr>
      <vt:lpstr>papercircles</vt:lpstr>
      <vt:lpstr>paperlines</vt:lpstr>
      <vt:lpstr>papertext</vt:lpstr>
      <vt:lpstr>pathRange</vt:lpstr>
      <vt:lpstr>PlaDate</vt:lpstr>
      <vt:lpstr>Planning</vt:lpstr>
      <vt:lpstr>PlotScale</vt:lpstr>
      <vt:lpstr>plotscaleok</vt:lpstr>
      <vt:lpstr>properXrefFound</vt:lpstr>
      <vt:lpstr>purge</vt:lpstr>
      <vt:lpstr>Rev</vt:lpstr>
      <vt:lpstr>RevDescriptions</vt:lpstr>
      <vt:lpstr>revInsert</vt:lpstr>
      <vt:lpstr>revisionline</vt:lpstr>
      <vt:lpstr>SafDate</vt:lpstr>
      <vt:lpstr>Safety</vt:lpstr>
      <vt:lpstr>Scale</vt:lpstr>
      <vt:lpstr>scaleformatok</vt:lpstr>
      <vt:lpstr>SecondLetterAllowed</vt:lpstr>
      <vt:lpstr>sector</vt:lpstr>
      <vt:lpstr>series</vt:lpstr>
      <vt:lpstr>styleHtProblem</vt:lpstr>
      <vt:lpstr>SumLegal</vt:lpstr>
      <vt:lpstr>SummaryNotes</vt:lpstr>
      <vt:lpstr>textEntity</vt:lpstr>
      <vt:lpstr>textHeightProblem</vt:lpstr>
      <vt:lpstr>textHeightRemainder</vt:lpstr>
      <vt:lpstr>textHts</vt:lpstr>
      <vt:lpstr>textstyle</vt:lpstr>
      <vt:lpstr>thisdwg</vt:lpstr>
      <vt:lpstr>Title1</vt:lpstr>
      <vt:lpstr>title1proper</vt:lpstr>
      <vt:lpstr>Title2</vt:lpstr>
      <vt:lpstr>title2proper</vt:lpstr>
      <vt:lpstr>Title3</vt:lpstr>
      <vt:lpstr>title3proper</vt:lpstr>
      <vt:lpstr>Title4</vt:lpstr>
      <vt:lpstr>title4proper</vt:lpstr>
      <vt:lpstr>title4WithKeyWord</vt:lpstr>
      <vt:lpstr>titleinmodel</vt:lpstr>
      <vt:lpstr>titleinpaper</vt:lpstr>
      <vt:lpstr>titleIsLayout</vt:lpstr>
      <vt:lpstr>titlelayer</vt:lpstr>
      <vt:lpstr>titleletter1</vt:lpstr>
      <vt:lpstr>titleletter2</vt:lpstr>
      <vt:lpstr>titleletter3</vt:lpstr>
      <vt:lpstr>titleletter4</vt:lpstr>
      <vt:lpstr>titleletter5</vt:lpstr>
      <vt:lpstr>titleletter6</vt:lpstr>
      <vt:lpstr>titleletter7</vt:lpstr>
      <vt:lpstr>titleletter78</vt:lpstr>
      <vt:lpstr>titleletter8</vt:lpstr>
      <vt:lpstr>titleletter9</vt:lpstr>
      <vt:lpstr>titleletters256</vt:lpstr>
      <vt:lpstr>titleletters34</vt:lpstr>
      <vt:lpstr>titleletters5678</vt:lpstr>
      <vt:lpstr>titleqtymodel</vt:lpstr>
      <vt:lpstr>titleqtypaper</vt:lpstr>
      <vt:lpstr>titleScaleAllowed</vt:lpstr>
      <vt:lpstr>titleSum</vt:lpstr>
      <vt:lpstr>titleunique</vt:lpstr>
      <vt:lpstr>UniqueTitle</vt:lpstr>
      <vt:lpstr>Value5678</vt:lpstr>
      <vt:lpstr>xrefLetterTable</vt:lpstr>
      <vt:lpstr>XrefList</vt:lpstr>
      <vt:lpstr>xrefNameProper</vt:lpstr>
      <vt:lpstr>xrefnames</vt:lpstr>
      <vt:lpstr>xrefsInModel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2012-05-06T07:58:17Z</dcterms:created>
  <dcterms:modified xsi:type="dcterms:W3CDTF">2012-08-13T13:43:13Z</dcterms:modified>
</cp:coreProperties>
</file>