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75" windowHeight="6885" activeTab="1"/>
  </bookViews>
  <sheets>
    <sheet name="summary" sheetId="12" r:id="rId1"/>
    <sheet name="extractions" sheetId="1" r:id="rId2"/>
    <sheet name="chk1" sheetId="4" r:id="rId3"/>
    <sheet name="chk5" sheetId="14" r:id="rId4"/>
    <sheet name="chk13" sheetId="9" r:id="rId5"/>
    <sheet name="chk17" sheetId="13" r:id="rId6"/>
  </sheets>
  <definedNames>
    <definedName name="_chk1">extractions!$E$43</definedName>
    <definedName name="_chk10">extractions!$CE$20</definedName>
    <definedName name="_chk11">extractions!$CT$9</definedName>
    <definedName name="_chk12">extractions!$DK$5</definedName>
    <definedName name="_chk13">extractions!$DP$6</definedName>
    <definedName name="_chk14">extractions!$DT$11</definedName>
    <definedName name="_chk15">extractions!$DX$5</definedName>
    <definedName name="_chk16">extractions!$FC$3</definedName>
    <definedName name="_chk17">extractions!$GP$1</definedName>
    <definedName name="_chk18">extractions!$GT$1</definedName>
    <definedName name="_chk2">extractions!$K$47</definedName>
    <definedName name="_chk3">extractions!$P$14</definedName>
    <definedName name="_chk4">extractions!$X$8</definedName>
    <definedName name="_chk5">extractions!$AB$8</definedName>
    <definedName name="_chk6">extractions!$AH$5</definedName>
    <definedName name="_chk7">extractions!$AM$5</definedName>
    <definedName name="_chk8">extractions!$BQ$5</definedName>
    <definedName name="_chk9">extractions!$BW$4</definedName>
    <definedName name="AllBlocks">extractions!$DG$7:$DG$116</definedName>
    <definedName name="allowedLineTypes">'chk17'!$B$2:$B$170</definedName>
    <definedName name="AnnotationSymbols">'chk13'!$E$1:$E$56</definedName>
    <definedName name="AppDate">extractions!$K$27</definedName>
    <definedName name="Approved">extractions!$K$34</definedName>
    <definedName name="blockname">extractions!$DG$7</definedName>
    <definedName name="building">extractions!$E$21</definedName>
    <definedName name="buildingNumberInTitle1">extractions!$M$15</definedName>
    <definedName name="CheckDate">extractions!$K$22</definedName>
    <definedName name="Checked">extractions!$K$29</definedName>
    <definedName name="chk10Summary">summary!$K$14</definedName>
    <definedName name="chk11Summary">summary!$L$14</definedName>
    <definedName name="chk12Summary">summary!$M$14</definedName>
    <definedName name="chk13Summary">summary!$N$14</definedName>
    <definedName name="chk14Summary">summary!$O$14</definedName>
    <definedName name="chk15Summary">summary!$P$14</definedName>
    <definedName name="chk16Summary">summary!$Q$14</definedName>
    <definedName name="chk17Summary">summary!$R$14</definedName>
    <definedName name="chk18Summary">summary!$S$14</definedName>
    <definedName name="chk1Summary">summary!$B$14</definedName>
    <definedName name="chk2Layer">extractions!$L$46</definedName>
    <definedName name="chk2Summary">summary!$C$14</definedName>
    <definedName name="chk3Summary">summary!$D$14</definedName>
    <definedName name="chk4Summary">summary!$E$14</definedName>
    <definedName name="chk5Summary">summary!$F$14</definedName>
    <definedName name="chk6Summary">summary!$G$14</definedName>
    <definedName name="chk7Summary">summary!$H$14</definedName>
    <definedName name="chk8Summary">summary!$I$14</definedName>
    <definedName name="chk9Summary">summary!$J$14</definedName>
    <definedName name="copyarea">extractions!$A$1:$GT$100</definedName>
    <definedName name="CrossCheck">extractions!$K$30</definedName>
    <definedName name="CrsDate">extractions!$K$23</definedName>
    <definedName name="Date">extractions!$B$2</definedName>
    <definedName name="dimEntities">extractions!$FM$2</definedName>
    <definedName name="dimScaleOk">extractions!$FC$2</definedName>
    <definedName name="dimstyle">extractions!$EE$2</definedName>
    <definedName name="DimStyleNames">extractions!$EE$2:$EE$15</definedName>
    <definedName name="DimStyleScales">extractions!$EG$2:$EG$15</definedName>
    <definedName name="discipline">extractions!$E$24</definedName>
    <definedName name="Drawn">extractions!$K$28</definedName>
    <definedName name="dwgchecked">summary!$A$14</definedName>
    <definedName name="DwgDate">extractions!$K$21</definedName>
    <definedName name="dwgname">extractions!$D$5</definedName>
    <definedName name="DwgNum">extractions!$K$20</definedName>
    <definedName name="EngDate">extractions!$K$26</definedName>
    <definedName name="Engineer">extractions!$K$33</definedName>
    <definedName name="EqtCode">extractions!$K$35</definedName>
    <definedName name="expectedgridname">extractions!$X$22</definedName>
    <definedName name="expectedxreflayout">extractions!$P$9</definedName>
    <definedName name="File">extractions!$K$19</definedName>
    <definedName name="Fwr">extractions!$K$11</definedName>
    <definedName name="hasAnnotation">extractions!$DP$5</definedName>
    <definedName name="hasBindError">extractions!$DI$6</definedName>
    <definedName name="hasDollarError">extractions!$DJ$6</definedName>
    <definedName name="hasOriginProblem">extractions!$AH$4</definedName>
    <definedName name="hasPathProblem">extractions!$AM$4</definedName>
    <definedName name="hasTitleBlock">extractions!$K$36</definedName>
    <definedName name="IsCivil">extractions!$DT$5</definedName>
    <definedName name="IsDetail">extractions!$E$48</definedName>
    <definedName name="isDetail1">'chk1'!$K$46</definedName>
    <definedName name="isDetail2">'chk1'!$K$47</definedName>
    <definedName name="isEightLetters">extractions!$E$38</definedName>
    <definedName name="IsElevation">'chk1'!$K$45</definedName>
    <definedName name="IsEnlarged">extractions!$E$45</definedName>
    <definedName name="isEnlargedView1">'chk1'!$K$42</definedName>
    <definedName name="isEnlargedView2">'chk1'!$K$43</definedName>
    <definedName name="IsLayout">extractions!$E$40</definedName>
    <definedName name="isPurged">extractions!$GT$1</definedName>
    <definedName name="isRecordDrawing">extractions!$DZ$5</definedName>
    <definedName name="IsSection">'chk1'!$K$44</definedName>
    <definedName name="IsView">extractions!$B$62</definedName>
    <definedName name="layer0ents">extractions!$BQ$4</definedName>
    <definedName name="layer0model">extractions!$BP$11</definedName>
    <definedName name="layer0paper">extractions!$BQ$11</definedName>
    <definedName name="layers">extractions!$CA$2</definedName>
    <definedName name="layoutOrViewInTitle">extractions!$M$18</definedName>
    <definedName name="legalStyles">extractions!$CS$2:$CS$5</definedName>
    <definedName name="letter1legal">extractions!$E$17</definedName>
    <definedName name="levelInTitle">extractions!$M$16</definedName>
    <definedName name="linetype">extractions!$GP$4</definedName>
    <definedName name="lineTypeError">extractions!$GQ$4:$GQ$39</definedName>
    <definedName name="modelall">extractions!$CE$18</definedName>
    <definedName name="modelblks">extractions!$CE$15</definedName>
    <definedName name="modelcircles">extractions!$CE$17</definedName>
    <definedName name="modellines">extractions!$CE$16</definedName>
    <definedName name="modeltext">extractions!$CE$14</definedName>
    <definedName name="nameProblem">extractions!$CT$7</definedName>
    <definedName name="NCAreas">'chk1'!$O$1:$O$16</definedName>
    <definedName name="NCBuilding">'chk1'!$K$1:$L$33</definedName>
    <definedName name="NCDetailsHighNum1">'chk1'!$M$46</definedName>
    <definedName name="NCDetailsHighNum2">'chk1'!$M$47</definedName>
    <definedName name="NCDetailsLowNum1">'chk1'!$L$46</definedName>
    <definedName name="NCDetailsLowNum2">'chk1'!$L$47</definedName>
    <definedName name="NCDisciplines">'chk1'!$D$1:$E$115</definedName>
    <definedName name="NCElevationsHighNum">'chk1'!$M$45</definedName>
    <definedName name="NCElevationsLowNum">'chk1'!$L$45</definedName>
    <definedName name="NCEnlargedHighNum1">'chk1'!$M$42</definedName>
    <definedName name="NCEnlargedHighNum2">'chk1'!$M$43</definedName>
    <definedName name="NCEnlargedLowNum1">'chk1'!$L$42</definedName>
    <definedName name="NCEnlargedLowNum2">'chk1'!$L$43</definedName>
    <definedName name="NCLevels">'chk1'!$T$1:$U$50</definedName>
    <definedName name="NCPlanKey">'chk1'!$W$1:$X$16</definedName>
    <definedName name="NCSectionsHighNum">'chk1'!$M$44</definedName>
    <definedName name="NCSectionsLowNum">'chk1'!$L$44</definedName>
    <definedName name="NCSeries">'chk1'!$K$42:$N$47</definedName>
    <definedName name="NCSpecial">'chk1'!$Z$1:$AA$9</definedName>
    <definedName name="northarrowangle">extractions!$DT$14</definedName>
    <definedName name="northarrowok">extractions!$DT$9</definedName>
    <definedName name="northarrowqty">extractions!$DT$13</definedName>
    <definedName name="oddXrefs">'chk5'!$A$2:$A$103</definedName>
    <definedName name="OldNum">extractions!$K$10</definedName>
    <definedName name="oncorrectlayer">extractions!$K$46</definedName>
    <definedName name="originRange">extractions!$BG$2:$BG$40</definedName>
    <definedName name="overallSectorInTitle">extractions!$M$17</definedName>
    <definedName name="paperall">extractions!$CE$13</definedName>
    <definedName name="paperblks">extractions!$CE$10</definedName>
    <definedName name="papercircles">extractions!$CE$12</definedName>
    <definedName name="paperlines">extractions!$CE$11</definedName>
    <definedName name="papertext">extractions!$CE$9</definedName>
    <definedName name="pathRange">extractions!$BE$2:$BE$40</definedName>
    <definedName name="PlaDate">extractions!$K$25</definedName>
    <definedName name="Planning">extractions!$K$32</definedName>
    <definedName name="PlotScale">extractions!$K$13</definedName>
    <definedName name="plotscaleok">extractions!$K$45</definedName>
    <definedName name="properXrefFound">extractions!$P$12</definedName>
    <definedName name="purge">extractions!$B$4</definedName>
    <definedName name="Rev">extractions!$K$12</definedName>
    <definedName name="RevDescriptions">extractions!$DY$8:$DY$20</definedName>
    <definedName name="revInsert">extractions!$DW$8</definedName>
    <definedName name="revisionline">extractions!$DX$8</definedName>
    <definedName name="SafDate">extractions!$K$24</definedName>
    <definedName name="Safety">extractions!$K$31</definedName>
    <definedName name="Scale">extractions!$K$14</definedName>
    <definedName name="scaleformatok">extractions!$K$44</definedName>
    <definedName name="sector">extractions!$E$33</definedName>
    <definedName name="series">extractions!$E$36</definedName>
    <definedName name="SumLegal">extractions!$BN$2:$BN$40</definedName>
    <definedName name="SummaryNotes">summary!$T$14</definedName>
    <definedName name="textEntity">extractions!$CY$2</definedName>
    <definedName name="textHeightProblem">extractions!$CT$8</definedName>
    <definedName name="textHeightRemainder">extractions!$CV$2:$CV$151</definedName>
    <definedName name="textstyle">extractions!$CL$6</definedName>
    <definedName name="thisdwg">extractions!$B$1</definedName>
    <definedName name="Title1">extractions!$K$15</definedName>
    <definedName name="title1proper">extractions!$K$40</definedName>
    <definedName name="Title2">extractions!$K$16</definedName>
    <definedName name="title2proper">extractions!$K$41</definedName>
    <definedName name="Title3">extractions!$K$17</definedName>
    <definedName name="title3proper">extractions!$K$42</definedName>
    <definedName name="Title4">extractions!$K$18</definedName>
    <definedName name="title4proper">extractions!$K$43</definedName>
    <definedName name="titleinmodel">extractions!$K$37</definedName>
    <definedName name="titleinpaper">extractions!$K$38</definedName>
    <definedName name="titleIsLayout">extractions!$K$43</definedName>
    <definedName name="titlelayer">extractions!$K$7</definedName>
    <definedName name="titleletter1">extractions!$E$6</definedName>
    <definedName name="titleletter2">extractions!$E$7</definedName>
    <definedName name="titleletter3">extractions!$E$8</definedName>
    <definedName name="titleletter4">extractions!$E$9</definedName>
    <definedName name="titleletter5">extractions!$E$10</definedName>
    <definedName name="titleletter6">extractions!$E$11</definedName>
    <definedName name="titleletter7">extractions!$E$12</definedName>
    <definedName name="titleletter78">extractions!$E$32</definedName>
    <definedName name="titleletter8">extractions!$E$13</definedName>
    <definedName name="titleletter9">extractions!$E$14</definedName>
    <definedName name="titleletters256">extractions!$E$26</definedName>
    <definedName name="titleletters34">extractions!$E$23</definedName>
    <definedName name="titleletters5678">extractions!$E$35</definedName>
    <definedName name="titleqtymodel">extractions!$K$4</definedName>
    <definedName name="titleqtypaper">extractions!$K$5</definedName>
    <definedName name="titleunique">extractions!$K$6</definedName>
    <definedName name="UniqueTitle">extractions!$K$39</definedName>
    <definedName name="Value5678">extractions!$E$44</definedName>
    <definedName name="xrefLetterTable">extractions!$T$8:$U$9</definedName>
    <definedName name="XrefList">extractions!$AS$2</definedName>
    <definedName name="xrefNameProper">extractions!$P$26</definedName>
    <definedName name="xrefnames">extractions!$AS$2:$AS$100</definedName>
  </definedNames>
  <calcPr calcId="125725"/>
</workbook>
</file>

<file path=xl/calcChain.xml><?xml version="1.0" encoding="utf-8"?>
<calcChain xmlns="http://schemas.openxmlformats.org/spreadsheetml/2006/main">
  <c r="AB8" i="1"/>
  <c r="BN3"/>
  <c r="BN4"/>
  <c r="BN5"/>
  <c r="BN6"/>
  <c r="BN7"/>
  <c r="BN8"/>
  <c r="BN9"/>
  <c r="BN10"/>
  <c r="BN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N34"/>
  <c r="BN35"/>
  <c r="BN36"/>
  <c r="BN37"/>
  <c r="BN38"/>
  <c r="BN39"/>
  <c r="BN40"/>
  <c r="BN2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2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3"/>
  <c r="BM3" s="1"/>
  <c r="BJ4"/>
  <c r="BM4" s="1"/>
  <c r="BJ5"/>
  <c r="BM5" s="1"/>
  <c r="BJ6"/>
  <c r="BM6" s="1"/>
  <c r="BJ7"/>
  <c r="BM7" s="1"/>
  <c r="BJ8"/>
  <c r="BM8" s="1"/>
  <c r="BJ9"/>
  <c r="BM9" s="1"/>
  <c r="BJ10"/>
  <c r="BM10" s="1"/>
  <c r="BJ11"/>
  <c r="BJ12"/>
  <c r="BJ13"/>
  <c r="BJ14"/>
  <c r="BJ15"/>
  <c r="BJ2"/>
  <c r="BM2" s="1"/>
  <c r="CQ7"/>
  <c r="CQ8"/>
  <c r="CQ9"/>
  <c r="CQ10"/>
  <c r="CQ11"/>
  <c r="CQ12"/>
  <c r="CQ13"/>
  <c r="CQ14"/>
  <c r="CQ15"/>
  <c r="CQ16"/>
  <c r="CQ17"/>
  <c r="CQ18"/>
  <c r="CQ19"/>
  <c r="CQ20"/>
  <c r="CQ21"/>
  <c r="CQ22"/>
  <c r="CQ23"/>
  <c r="CQ24"/>
  <c r="CQ25"/>
  <c r="CQ6"/>
  <c r="CT7" s="1"/>
  <c r="K36"/>
  <c r="L44"/>
  <c r="M44"/>
  <c r="DZ5"/>
  <c r="FE15"/>
  <c r="FE16"/>
  <c r="FI3"/>
  <c r="FI4"/>
  <c r="FI5"/>
  <c r="FE5" s="1"/>
  <c r="FD5" s="1"/>
  <c r="FI6"/>
  <c r="FE6" s="1"/>
  <c r="FD6" s="1"/>
  <c r="FI7"/>
  <c r="FE7" s="1"/>
  <c r="FD7" s="1"/>
  <c r="FI8"/>
  <c r="FE8" s="1"/>
  <c r="FD8" s="1"/>
  <c r="FI9"/>
  <c r="FE9" s="1"/>
  <c r="FD9" s="1"/>
  <c r="FI10"/>
  <c r="FE10" s="1"/>
  <c r="FD10" s="1"/>
  <c r="FI11"/>
  <c r="FE11" s="1"/>
  <c r="FD11" s="1"/>
  <c r="FI12"/>
  <c r="FE12" s="1"/>
  <c r="FD12" s="1"/>
  <c r="FI13"/>
  <c r="FE13" s="1"/>
  <c r="FD13" s="1"/>
  <c r="FI14"/>
  <c r="FE14" s="1"/>
  <c r="FD14" s="1"/>
  <c r="FI2"/>
  <c r="FF2" s="1"/>
  <c r="C4" i="12"/>
  <c r="DJ8" i="1"/>
  <c r="DJ9"/>
  <c r="DJ10"/>
  <c r="DJ11"/>
  <c r="DJ12"/>
  <c r="DJ13"/>
  <c r="DJ14"/>
  <c r="DJ15"/>
  <c r="DJ16"/>
  <c r="DJ17"/>
  <c r="DJ18"/>
  <c r="DJ19"/>
  <c r="DJ20"/>
  <c r="DJ21"/>
  <c r="DJ22"/>
  <c r="DJ23"/>
  <c r="DJ24"/>
  <c r="DJ25"/>
  <c r="DJ26"/>
  <c r="DJ27"/>
  <c r="DJ28"/>
  <c r="DJ29"/>
  <c r="DJ30"/>
  <c r="DJ31"/>
  <c r="DJ32"/>
  <c r="DJ33"/>
  <c r="DJ34"/>
  <c r="DJ35"/>
  <c r="DJ36"/>
  <c r="DJ37"/>
  <c r="DJ38"/>
  <c r="DJ39"/>
  <c r="DJ40"/>
  <c r="DJ41"/>
  <c r="DJ42"/>
  <c r="DJ43"/>
  <c r="DJ44"/>
  <c r="DJ45"/>
  <c r="DJ7"/>
  <c r="DJ6" s="1"/>
  <c r="DL7" s="1"/>
  <c r="DI45"/>
  <c r="DI44"/>
  <c r="DI43"/>
  <c r="DI42"/>
  <c r="DI41"/>
  <c r="DI40"/>
  <c r="DI39"/>
  <c r="DI38"/>
  <c r="DI37"/>
  <c r="DI36"/>
  <c r="DI35"/>
  <c r="DI34"/>
  <c r="DI33"/>
  <c r="DI32"/>
  <c r="DI31"/>
  <c r="DI30"/>
  <c r="DI29"/>
  <c r="DI28"/>
  <c r="DI27"/>
  <c r="DI26"/>
  <c r="DI25"/>
  <c r="DI24"/>
  <c r="DI23"/>
  <c r="DI22"/>
  <c r="DI21"/>
  <c r="DI20"/>
  <c r="DI19"/>
  <c r="DI7"/>
  <c r="DI6" s="1"/>
  <c r="DI16"/>
  <c r="DI15"/>
  <c r="DI14"/>
  <c r="DI13"/>
  <c r="DI12"/>
  <c r="DI11"/>
  <c r="DI10"/>
  <c r="DI9"/>
  <c r="DI8"/>
  <c r="DI18"/>
  <c r="DI17"/>
  <c r="FJ2"/>
  <c r="FG3"/>
  <c r="FJ3"/>
  <c r="FF4"/>
  <c r="FF5"/>
  <c r="FJ5"/>
  <c r="FF6"/>
  <c r="FJ6"/>
  <c r="FF7"/>
  <c r="FJ7"/>
  <c r="FF8"/>
  <c r="FJ8"/>
  <c r="FF9"/>
  <c r="FJ9"/>
  <c r="FF10"/>
  <c r="FJ10"/>
  <c r="FF11"/>
  <c r="FJ11"/>
  <c r="FF12"/>
  <c r="FJ12"/>
  <c r="FF13"/>
  <c r="FJ13"/>
  <c r="FF14"/>
  <c r="FJ14"/>
  <c r="DT8"/>
  <c r="CX2"/>
  <c r="CV2"/>
  <c r="CX3"/>
  <c r="CW3"/>
  <c r="CV3" s="1"/>
  <c r="CX4"/>
  <c r="CW4" s="1"/>
  <c r="CV4" s="1"/>
  <c r="CX5"/>
  <c r="CW5"/>
  <c r="CV5" s="1"/>
  <c r="CX6"/>
  <c r="CW6" s="1"/>
  <c r="CV6" s="1"/>
  <c r="CX7"/>
  <c r="CW7"/>
  <c r="CV7" s="1"/>
  <c r="CX8"/>
  <c r="CW8" s="1"/>
  <c r="CV8" s="1"/>
  <c r="CX9"/>
  <c r="CW9"/>
  <c r="CV9" s="1"/>
  <c r="CX10"/>
  <c r="CW10" s="1"/>
  <c r="CV10" s="1"/>
  <c r="CX11"/>
  <c r="CW11"/>
  <c r="CV11" s="1"/>
  <c r="CX12"/>
  <c r="CW12" s="1"/>
  <c r="CV12" s="1"/>
  <c r="CX13"/>
  <c r="CW13"/>
  <c r="CV13" s="1"/>
  <c r="CX14"/>
  <c r="CW14" s="1"/>
  <c r="CV14" s="1"/>
  <c r="CX15"/>
  <c r="CW15"/>
  <c r="CV15" s="1"/>
  <c r="CX16"/>
  <c r="CW16" s="1"/>
  <c r="CV16" s="1"/>
  <c r="CX17"/>
  <c r="CW17"/>
  <c r="CV17" s="1"/>
  <c r="CX18"/>
  <c r="CW18" s="1"/>
  <c r="CV18" s="1"/>
  <c r="CX19"/>
  <c r="CW19"/>
  <c r="CV19" s="1"/>
  <c r="CX20"/>
  <c r="CW20" s="1"/>
  <c r="CV20" s="1"/>
  <c r="CX21"/>
  <c r="CW21"/>
  <c r="CV21" s="1"/>
  <c r="CX22"/>
  <c r="CW22" s="1"/>
  <c r="CV22" s="1"/>
  <c r="CX23"/>
  <c r="CW23"/>
  <c r="CV23" s="1"/>
  <c r="CX24"/>
  <c r="CW24" s="1"/>
  <c r="CV24" s="1"/>
  <c r="CX25"/>
  <c r="CW25"/>
  <c r="CV25" s="1"/>
  <c r="CX26"/>
  <c r="CW26" s="1"/>
  <c r="CV26" s="1"/>
  <c r="CX27"/>
  <c r="CW27"/>
  <c r="CV27" s="1"/>
  <c r="CX28"/>
  <c r="CW28" s="1"/>
  <c r="CV28" s="1"/>
  <c r="CX29"/>
  <c r="CW29"/>
  <c r="CV29" s="1"/>
  <c r="CX30"/>
  <c r="CW30" s="1"/>
  <c r="CV30" s="1"/>
  <c r="CX31"/>
  <c r="CW31"/>
  <c r="CV31" s="1"/>
  <c r="CX32"/>
  <c r="CW32" s="1"/>
  <c r="CV32" s="1"/>
  <c r="CX33"/>
  <c r="CW33"/>
  <c r="CV33" s="1"/>
  <c r="CX34"/>
  <c r="CW34" s="1"/>
  <c r="CV34" s="1"/>
  <c r="CX35"/>
  <c r="CW35"/>
  <c r="CV35" s="1"/>
  <c r="CX36"/>
  <c r="CW36" s="1"/>
  <c r="CV36" s="1"/>
  <c r="CX37"/>
  <c r="CW37"/>
  <c r="CV37" s="1"/>
  <c r="CX38"/>
  <c r="CW38" s="1"/>
  <c r="CV38" s="1"/>
  <c r="CX39"/>
  <c r="CW39"/>
  <c r="CV39" s="1"/>
  <c r="CX40"/>
  <c r="CW40" s="1"/>
  <c r="CV40" s="1"/>
  <c r="CX41"/>
  <c r="CW41"/>
  <c r="CV41" s="1"/>
  <c r="CX42"/>
  <c r="CW42" s="1"/>
  <c r="CV42" s="1"/>
  <c r="CX43"/>
  <c r="CW43"/>
  <c r="CV43" s="1"/>
  <c r="CX44"/>
  <c r="CW44" s="1"/>
  <c r="CV44" s="1"/>
  <c r="CX45"/>
  <c r="CW45"/>
  <c r="CV45" s="1"/>
  <c r="CX46"/>
  <c r="CW46" s="1"/>
  <c r="CV46" s="1"/>
  <c r="CX47"/>
  <c r="CW47"/>
  <c r="CV47" s="1"/>
  <c r="CX48"/>
  <c r="CW48" s="1"/>
  <c r="CV48" s="1"/>
  <c r="CX49"/>
  <c r="CW49"/>
  <c r="CV49" s="1"/>
  <c r="CX50"/>
  <c r="CW50" s="1"/>
  <c r="CV50" s="1"/>
  <c r="CX51"/>
  <c r="CW51"/>
  <c r="CV51" s="1"/>
  <c r="CX52"/>
  <c r="CW52" s="1"/>
  <c r="CV52" s="1"/>
  <c r="CX53"/>
  <c r="CW53"/>
  <c r="CV53" s="1"/>
  <c r="CX54"/>
  <c r="CW54" s="1"/>
  <c r="CV54" s="1"/>
  <c r="CX55"/>
  <c r="CW55"/>
  <c r="CV55" s="1"/>
  <c r="CX56"/>
  <c r="CW56" s="1"/>
  <c r="CV56" s="1"/>
  <c r="CX57"/>
  <c r="CW57"/>
  <c r="CV57" s="1"/>
  <c r="CX58"/>
  <c r="CW58" s="1"/>
  <c r="CV58" s="1"/>
  <c r="CX59"/>
  <c r="CW59"/>
  <c r="CV59" s="1"/>
  <c r="CX60"/>
  <c r="CW60" s="1"/>
  <c r="CV60" s="1"/>
  <c r="CX61"/>
  <c r="CW61"/>
  <c r="CV61" s="1"/>
  <c r="CX62"/>
  <c r="CW62" s="1"/>
  <c r="CV62" s="1"/>
  <c r="CX63"/>
  <c r="CW63"/>
  <c r="CV63" s="1"/>
  <c r="CX64"/>
  <c r="CW64" s="1"/>
  <c r="CV64" s="1"/>
  <c r="CX65"/>
  <c r="CW65"/>
  <c r="CV65" s="1"/>
  <c r="CX66"/>
  <c r="CW66" s="1"/>
  <c r="CV66" s="1"/>
  <c r="CX67"/>
  <c r="CW67"/>
  <c r="CV67" s="1"/>
  <c r="CX68"/>
  <c r="CW68" s="1"/>
  <c r="CV68" s="1"/>
  <c r="CX69"/>
  <c r="CW69"/>
  <c r="CV69" s="1"/>
  <c r="CX70"/>
  <c r="CW70" s="1"/>
  <c r="CV70" s="1"/>
  <c r="CX71"/>
  <c r="CW71"/>
  <c r="CV71" s="1"/>
  <c r="CX72"/>
  <c r="CW72" s="1"/>
  <c r="CV72" s="1"/>
  <c r="CX73"/>
  <c r="CW73"/>
  <c r="CV73" s="1"/>
  <c r="CX74"/>
  <c r="CW74" s="1"/>
  <c r="CV74" s="1"/>
  <c r="CX75"/>
  <c r="CW75"/>
  <c r="CV75" s="1"/>
  <c r="CX76"/>
  <c r="CW76" s="1"/>
  <c r="CV76" s="1"/>
  <c r="CX77"/>
  <c r="CW77"/>
  <c r="CV77" s="1"/>
  <c r="CX78"/>
  <c r="CW78" s="1"/>
  <c r="CV78" s="1"/>
  <c r="CX79"/>
  <c r="CW79"/>
  <c r="CV79" s="1"/>
  <c r="CX80"/>
  <c r="CW80" s="1"/>
  <c r="CV80" s="1"/>
  <c r="CX81"/>
  <c r="CW81"/>
  <c r="CV81" s="1"/>
  <c r="CX82"/>
  <c r="CW82" s="1"/>
  <c r="CV82" s="1"/>
  <c r="CX83"/>
  <c r="CW83"/>
  <c r="CV83" s="1"/>
  <c r="CX84"/>
  <c r="CW84" s="1"/>
  <c r="CV84" s="1"/>
  <c r="CX85"/>
  <c r="CW85"/>
  <c r="CV85" s="1"/>
  <c r="CX86"/>
  <c r="CW86" s="1"/>
  <c r="CV86" s="1"/>
  <c r="CX87"/>
  <c r="CW87"/>
  <c r="CV87" s="1"/>
  <c r="CX88"/>
  <c r="CW88" s="1"/>
  <c r="CV88" s="1"/>
  <c r="CX89"/>
  <c r="CW89"/>
  <c r="CV89" s="1"/>
  <c r="CX90"/>
  <c r="CW90" s="1"/>
  <c r="CV90" s="1"/>
  <c r="CX91"/>
  <c r="CW91"/>
  <c r="CV91" s="1"/>
  <c r="CX92"/>
  <c r="CW92" s="1"/>
  <c r="CV92" s="1"/>
  <c r="CX93"/>
  <c r="CW93"/>
  <c r="CV93" s="1"/>
  <c r="CX94"/>
  <c r="CW94" s="1"/>
  <c r="CV94" s="1"/>
  <c r="CX95"/>
  <c r="CW95"/>
  <c r="CV95" s="1"/>
  <c r="CX96"/>
  <c r="CW96" s="1"/>
  <c r="CV96" s="1"/>
  <c r="CX97"/>
  <c r="CW97"/>
  <c r="CV97" s="1"/>
  <c r="CX98"/>
  <c r="CW98" s="1"/>
  <c r="CV98" s="1"/>
  <c r="CX99"/>
  <c r="CW99"/>
  <c r="CV99" s="1"/>
  <c r="CX100"/>
  <c r="CW100" s="1"/>
  <c r="CV100" s="1"/>
  <c r="CX101"/>
  <c r="CW101"/>
  <c r="CV101" s="1"/>
  <c r="CX102"/>
  <c r="CW102" s="1"/>
  <c r="CV102" s="1"/>
  <c r="CX103"/>
  <c r="CW103"/>
  <c r="CV103" s="1"/>
  <c r="CX104"/>
  <c r="CW104" s="1"/>
  <c r="CV104" s="1"/>
  <c r="CX105"/>
  <c r="CW105"/>
  <c r="CV105" s="1"/>
  <c r="CX106"/>
  <c r="CW106" s="1"/>
  <c r="CV106" s="1"/>
  <c r="CX107"/>
  <c r="CW107"/>
  <c r="CV107" s="1"/>
  <c r="CX108"/>
  <c r="CW108" s="1"/>
  <c r="CV108" s="1"/>
  <c r="CX109"/>
  <c r="CW109"/>
  <c r="CV109" s="1"/>
  <c r="CX110"/>
  <c r="CW110" s="1"/>
  <c r="CV110" s="1"/>
  <c r="CX111"/>
  <c r="CW111"/>
  <c r="CV111" s="1"/>
  <c r="CX112"/>
  <c r="CW112" s="1"/>
  <c r="CV112" s="1"/>
  <c r="CX113"/>
  <c r="CW113"/>
  <c r="CV113" s="1"/>
  <c r="CX114"/>
  <c r="CW114" s="1"/>
  <c r="CV114" s="1"/>
  <c r="CX115"/>
  <c r="CW115"/>
  <c r="CV115" s="1"/>
  <c r="CX116"/>
  <c r="CW116" s="1"/>
  <c r="CV116" s="1"/>
  <c r="CX117"/>
  <c r="CW117"/>
  <c r="CV117" s="1"/>
  <c r="CX118"/>
  <c r="CW118" s="1"/>
  <c r="CV118" s="1"/>
  <c r="CX119"/>
  <c r="CW119"/>
  <c r="CV119" s="1"/>
  <c r="CX120"/>
  <c r="CW120" s="1"/>
  <c r="CV120" s="1"/>
  <c r="CX121"/>
  <c r="CW121"/>
  <c r="CV121" s="1"/>
  <c r="CX122"/>
  <c r="CW122" s="1"/>
  <c r="CV122" s="1"/>
  <c r="CX123"/>
  <c r="CW123"/>
  <c r="CV123" s="1"/>
  <c r="CX124"/>
  <c r="CW124" s="1"/>
  <c r="CV124" s="1"/>
  <c r="CX125"/>
  <c r="CW125"/>
  <c r="CV125" s="1"/>
  <c r="CX126"/>
  <c r="CW126" s="1"/>
  <c r="CV126" s="1"/>
  <c r="CX127"/>
  <c r="CW127"/>
  <c r="CV127" s="1"/>
  <c r="CX128"/>
  <c r="CW128" s="1"/>
  <c r="CV128" s="1"/>
  <c r="CX129"/>
  <c r="CW129"/>
  <c r="CV129" s="1"/>
  <c r="CX130"/>
  <c r="CW130" s="1"/>
  <c r="CV130" s="1"/>
  <c r="CX131"/>
  <c r="CW131"/>
  <c r="CV131" s="1"/>
  <c r="CX132"/>
  <c r="CW132" s="1"/>
  <c r="CV132" s="1"/>
  <c r="CX133"/>
  <c r="CW133"/>
  <c r="CV133" s="1"/>
  <c r="CX134"/>
  <c r="CW134" s="1"/>
  <c r="CV134" s="1"/>
  <c r="CX135"/>
  <c r="CW135"/>
  <c r="CV135" s="1"/>
  <c r="CX136"/>
  <c r="CW136" s="1"/>
  <c r="CV136" s="1"/>
  <c r="CX137"/>
  <c r="CW137"/>
  <c r="CV137" s="1"/>
  <c r="CX138"/>
  <c r="CW138" s="1"/>
  <c r="CV138" s="1"/>
  <c r="CX139"/>
  <c r="CW139"/>
  <c r="CV139" s="1"/>
  <c r="CX140"/>
  <c r="CW140" s="1"/>
  <c r="CV140" s="1"/>
  <c r="CX141"/>
  <c r="CW141"/>
  <c r="CV141" s="1"/>
  <c r="CX142"/>
  <c r="CW142" s="1"/>
  <c r="CV142" s="1"/>
  <c r="CX143"/>
  <c r="CW143"/>
  <c r="CV143" s="1"/>
  <c r="CX144"/>
  <c r="CW144" s="1"/>
  <c r="CV144" s="1"/>
  <c r="CX145"/>
  <c r="CW145"/>
  <c r="CV145" s="1"/>
  <c r="CX146"/>
  <c r="CW146" s="1"/>
  <c r="CV146" s="1"/>
  <c r="CX147"/>
  <c r="CW147"/>
  <c r="CV147" s="1"/>
  <c r="CX148"/>
  <c r="CW148" s="1"/>
  <c r="CV148" s="1"/>
  <c r="CX149"/>
  <c r="CW149"/>
  <c r="CV149" s="1"/>
  <c r="CX150"/>
  <c r="CW150" s="1"/>
  <c r="CV150" s="1"/>
  <c r="CX151"/>
  <c r="CW151"/>
  <c r="CV151" s="1"/>
  <c r="AM4"/>
  <c r="X6"/>
  <c r="M18"/>
  <c r="M17"/>
  <c r="M16"/>
  <c r="K37"/>
  <c r="K38"/>
  <c r="K45"/>
  <c r="L46"/>
  <c r="K46" s="1"/>
  <c r="M15"/>
  <c r="K40" s="1"/>
  <c r="D4"/>
  <c r="D5"/>
  <c r="G15" s="1"/>
  <c r="E6"/>
  <c r="R17" s="1"/>
  <c r="E7"/>
  <c r="R18" s="1"/>
  <c r="E8"/>
  <c r="P19" s="1"/>
  <c r="E9"/>
  <c r="R20" s="1"/>
  <c r="E10"/>
  <c r="P21" s="1"/>
  <c r="E11"/>
  <c r="R22" s="1"/>
  <c r="E12"/>
  <c r="R23" s="1"/>
  <c r="E13"/>
  <c r="R24" s="1"/>
  <c r="E14"/>
  <c r="E44"/>
  <c r="GQ24"/>
  <c r="GQ25"/>
  <c r="GQ26"/>
  <c r="GQ27"/>
  <c r="GQ28"/>
  <c r="GQ29"/>
  <c r="GQ30"/>
  <c r="GQ31"/>
  <c r="GQ32"/>
  <c r="GQ33"/>
  <c r="GQ34"/>
  <c r="GQ35"/>
  <c r="GQ36"/>
  <c r="GQ37"/>
  <c r="GQ38"/>
  <c r="GQ39"/>
  <c r="GQ5"/>
  <c r="GQ6"/>
  <c r="GQ7"/>
  <c r="GQ8"/>
  <c r="GQ9"/>
  <c r="GQ10"/>
  <c r="GQ11"/>
  <c r="GQ12"/>
  <c r="GQ13"/>
  <c r="GQ14"/>
  <c r="GQ15"/>
  <c r="GQ16"/>
  <c r="GQ17"/>
  <c r="GQ18"/>
  <c r="GQ19"/>
  <c r="GQ20"/>
  <c r="GQ21"/>
  <c r="GQ22"/>
  <c r="GQ23"/>
  <c r="GQ4"/>
  <c r="BQ5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2"/>
  <c r="D50" i="9"/>
  <c r="C50" s="1"/>
  <c r="D49"/>
  <c r="C49" s="1"/>
  <c r="D48"/>
  <c r="C48" s="1"/>
  <c r="D47"/>
  <c r="C47" s="1"/>
  <c r="D46"/>
  <c r="C46" s="1"/>
  <c r="D45"/>
  <c r="C45" s="1"/>
  <c r="D44"/>
  <c r="C44" s="1"/>
  <c r="D43"/>
  <c r="C43" s="1"/>
  <c r="D42"/>
  <c r="C42" s="1"/>
  <c r="D41"/>
  <c r="C41" s="1"/>
  <c r="D40"/>
  <c r="C40" s="1"/>
  <c r="D39"/>
  <c r="C39" s="1"/>
  <c r="D38"/>
  <c r="C38" s="1"/>
  <c r="D37"/>
  <c r="C37" s="1"/>
  <c r="D36"/>
  <c r="C36" s="1"/>
  <c r="D35"/>
  <c r="C35" s="1"/>
  <c r="D34"/>
  <c r="C34" s="1"/>
  <c r="D33"/>
  <c r="C33" s="1"/>
  <c r="D32"/>
  <c r="C32" s="1"/>
  <c r="D31"/>
  <c r="C31" s="1"/>
  <c r="D30"/>
  <c r="C30" s="1"/>
  <c r="D29"/>
  <c r="C29" s="1"/>
  <c r="D28"/>
  <c r="C28" s="1"/>
  <c r="D27"/>
  <c r="C27" s="1"/>
  <c r="D26"/>
  <c r="C26" s="1"/>
  <c r="D25"/>
  <c r="C25" s="1"/>
  <c r="D24"/>
  <c r="C24" s="1"/>
  <c r="D23"/>
  <c r="C23" s="1"/>
  <c r="D22"/>
  <c r="C22" s="1"/>
  <c r="D21"/>
  <c r="C21" s="1"/>
  <c r="D20"/>
  <c r="C20" s="1"/>
  <c r="D19"/>
  <c r="C19" s="1"/>
  <c r="D18"/>
  <c r="C18" s="1"/>
  <c r="D17"/>
  <c r="C17" s="1"/>
  <c r="D16"/>
  <c r="C16" s="1"/>
  <c r="D15"/>
  <c r="C15" s="1"/>
  <c r="D14"/>
  <c r="C14" s="1"/>
  <c r="D13"/>
  <c r="C13" s="1"/>
  <c r="D12"/>
  <c r="C12" s="1"/>
  <c r="D11"/>
  <c r="C11" s="1"/>
  <c r="D10"/>
  <c r="C10" s="1"/>
  <c r="D9"/>
  <c r="C9" s="1"/>
  <c r="D8"/>
  <c r="C8" s="1"/>
  <c r="D7"/>
  <c r="C7" s="1"/>
  <c r="D6"/>
  <c r="C6" s="1"/>
  <c r="D5"/>
  <c r="C5" s="1"/>
  <c r="D4"/>
  <c r="C4" s="1"/>
  <c r="D3"/>
  <c r="C3" s="1"/>
  <c r="D2"/>
  <c r="C2" s="1"/>
  <c r="D1"/>
  <c r="C1" s="1"/>
  <c r="K6" i="1"/>
  <c r="K39" s="1"/>
  <c r="GP1"/>
  <c r="P22"/>
  <c r="P18"/>
  <c r="E35"/>
  <c r="K43" i="4" s="1"/>
  <c r="E38" i="1"/>
  <c r="E32"/>
  <c r="E40" s="1"/>
  <c r="E23"/>
  <c r="E24" s="1"/>
  <c r="G9" s="1"/>
  <c r="E21"/>
  <c r="G8" s="1"/>
  <c r="E26"/>
  <c r="B62"/>
  <c r="E41" s="1"/>
  <c r="P20"/>
  <c r="E20"/>
  <c r="E29"/>
  <c r="FG14"/>
  <c r="FG13"/>
  <c r="FG11"/>
  <c r="FG9"/>
  <c r="FG8"/>
  <c r="FG7"/>
  <c r="FG6"/>
  <c r="FG5"/>
  <c r="FG2"/>
  <c r="AH4"/>
  <c r="AH5" s="1"/>
  <c r="G7"/>
  <c r="DX5"/>
  <c r="FF3"/>
  <c r="K47" i="4"/>
  <c r="E18" i="1"/>
  <c r="P17"/>
  <c r="DT5"/>
  <c r="DT9" s="1"/>
  <c r="FG4"/>
  <c r="FG10"/>
  <c r="FG12"/>
  <c r="E16"/>
  <c r="E17"/>
  <c r="E39" s="1"/>
  <c r="K46" i="4"/>
  <c r="K44"/>
  <c r="E46" i="1" s="1"/>
  <c r="K45" i="4"/>
  <c r="E47" i="1" s="1"/>
  <c r="K43" l="1"/>
  <c r="K41"/>
  <c r="K42"/>
  <c r="E43"/>
  <c r="DK5"/>
  <c r="DL6"/>
  <c r="CT8"/>
  <c r="CT9" s="1"/>
  <c r="E48"/>
  <c r="K44"/>
  <c r="FE3"/>
  <c r="FD3" s="1"/>
  <c r="FE2"/>
  <c r="FE4"/>
  <c r="FD4" s="1"/>
  <c r="CE20"/>
  <c r="AM5"/>
  <c r="DP5"/>
  <c r="DP6" s="1"/>
  <c r="E33"/>
  <c r="F11"/>
  <c r="CE6"/>
  <c r="DT6"/>
  <c r="X5"/>
  <c r="G10"/>
  <c r="G6"/>
  <c r="FD2"/>
  <c r="P26"/>
  <c r="P12" s="1"/>
  <c r="R26"/>
  <c r="E36"/>
  <c r="E27"/>
  <c r="G11" s="1"/>
  <c r="K47"/>
  <c r="P8"/>
  <c r="P9"/>
  <c r="E30"/>
  <c r="G12"/>
  <c r="F12"/>
  <c r="K48" i="4"/>
  <c r="K42"/>
  <c r="E45" i="1" s="1"/>
  <c r="FC2" l="1"/>
  <c r="FC3" s="1"/>
  <c r="P7"/>
  <c r="P14"/>
  <c r="X4"/>
  <c r="DT7"/>
  <c r="DT11" s="1"/>
  <c r="X8"/>
</calcChain>
</file>

<file path=xl/sharedStrings.xml><?xml version="1.0" encoding="utf-8"?>
<sst xmlns="http://schemas.openxmlformats.org/spreadsheetml/2006/main" count="1229" uniqueCount="1000">
  <si>
    <t>thisdwg</t>
  </si>
  <si>
    <t>titleinmodel</t>
  </si>
  <si>
    <t>titleinpaper</t>
  </si>
  <si>
    <t>titleunique</t>
  </si>
  <si>
    <t>titlelayer</t>
  </si>
  <si>
    <t>OldNum</t>
  </si>
  <si>
    <t>Fwr</t>
  </si>
  <si>
    <t>Rev</t>
  </si>
  <si>
    <t>PlotScale</t>
  </si>
  <si>
    <t>Scale</t>
  </si>
  <si>
    <t>Title4</t>
  </si>
  <si>
    <t>Title3</t>
  </si>
  <si>
    <t>Title2</t>
  </si>
  <si>
    <t>Title1</t>
  </si>
  <si>
    <t>File</t>
  </si>
  <si>
    <t>DwgNum</t>
  </si>
  <si>
    <t>DwgDate</t>
  </si>
  <si>
    <t>CheckDate</t>
  </si>
  <si>
    <t>CrsDate</t>
  </si>
  <si>
    <t>SafDate</t>
  </si>
  <si>
    <t>PlaDate</t>
  </si>
  <si>
    <t>EngDate</t>
  </si>
  <si>
    <t>AppDate</t>
  </si>
  <si>
    <t>Drawn</t>
  </si>
  <si>
    <t>Checked</t>
  </si>
  <si>
    <t>CrossCheck</t>
  </si>
  <si>
    <t>Safety</t>
  </si>
  <si>
    <t>Planning</t>
  </si>
  <si>
    <t>Engineer</t>
  </si>
  <si>
    <t>Approved</t>
  </si>
  <si>
    <t>EqtCode</t>
  </si>
  <si>
    <t>XrefList</t>
  </si>
  <si>
    <t>xrefname</t>
  </si>
  <si>
    <t>Path</t>
  </si>
  <si>
    <t>1-anon</t>
  </si>
  <si>
    <t>2-atts</t>
  </si>
  <si>
    <t>4-xref</t>
  </si>
  <si>
    <t>8-overlay</t>
  </si>
  <si>
    <t>16-externally dependant</t>
  </si>
  <si>
    <t>32-resolved</t>
  </si>
  <si>
    <t>Origin</t>
  </si>
  <si>
    <t>Origin problem?</t>
  </si>
  <si>
    <t>Has path?</t>
  </si>
  <si>
    <t>w/o dwg</t>
  </si>
  <si>
    <t>Key?</t>
  </si>
  <si>
    <t>length error?</t>
  </si>
  <si>
    <t>chk8</t>
  </si>
  <si>
    <t>layer0ents</t>
  </si>
  <si>
    <t>chk10</t>
  </si>
  <si>
    <t>papertext</t>
  </si>
  <si>
    <t>paperblks</t>
  </si>
  <si>
    <t>paperlines</t>
  </si>
  <si>
    <t>papercircles</t>
  </si>
  <si>
    <t>paperall</t>
  </si>
  <si>
    <t>modeltext</t>
  </si>
  <si>
    <t>modelblks</t>
  </si>
  <si>
    <t>modellines</t>
  </si>
  <si>
    <t>modelcircles</t>
  </si>
  <si>
    <t>modelall</t>
  </si>
  <si>
    <t>name</t>
  </si>
  <si>
    <t>entqty</t>
  </si>
  <si>
    <t>chk11</t>
  </si>
  <si>
    <t>textstyle</t>
  </si>
  <si>
    <t>chk9</t>
  </si>
  <si>
    <t>chk12</t>
  </si>
  <si>
    <t>blockname</t>
  </si>
  <si>
    <t>chk16</t>
  </si>
  <si>
    <t>dimstyle</t>
  </si>
  <si>
    <t>chk17</t>
  </si>
  <si>
    <t>linetype</t>
  </si>
  <si>
    <t>chk18</t>
  </si>
  <si>
    <t>G-ANNO-TTLB</t>
  </si>
  <si>
    <t>-</t>
  </si>
  <si>
    <t>1    1</t>
  </si>
  <si>
    <t>1=1</t>
  </si>
  <si>
    <t>1=100</t>
  </si>
  <si>
    <t>INFRASTRUCTURE LAYOUT</t>
  </si>
  <si>
    <t>SECTOR F</t>
  </si>
  <si>
    <t>OFFICE/ROOF LEVEL - 2</t>
  </si>
  <si>
    <t>LC13 - COMMUNICATIONS</t>
  </si>
  <si>
    <t>KST-2-F-</t>
  </si>
  <si>
    <t>JDi</t>
  </si>
  <si>
    <t>GKEY</t>
  </si>
  <si>
    <t>GKEY.dwg</t>
  </si>
  <si>
    <t>No</t>
  </si>
  <si>
    <t>0,0,0</t>
  </si>
  <si>
    <t>Yes</t>
  </si>
  <si>
    <t>GSKEY-F-</t>
  </si>
  <si>
    <t>GSG-0-F-</t>
  </si>
  <si>
    <t>GSA-2-OV</t>
  </si>
  <si>
    <t>GSS-2-OV</t>
  </si>
  <si>
    <t>I1184sht_F</t>
  </si>
  <si>
    <t>I1184sht_F.dwg</t>
  </si>
  <si>
    <t>GST-2-OV</t>
  </si>
  <si>
    <t>GSME2-OV</t>
  </si>
  <si>
    <t>new block</t>
  </si>
  <si>
    <t>DEFPOINTS</t>
  </si>
  <si>
    <t>xrf</t>
  </si>
  <si>
    <t>G-ANNO-NOTE</t>
  </si>
  <si>
    <t>STANDARD</t>
  </si>
  <si>
    <t>TITLE</t>
  </si>
  <si>
    <t>Big Font</t>
  </si>
  <si>
    <t>Font File</t>
  </si>
  <si>
    <t>Text ht</t>
  </si>
  <si>
    <t>Text width</t>
  </si>
  <si>
    <t>ARIAL</t>
  </si>
  <si>
    <t>ARIALBD</t>
  </si>
  <si>
    <t>IBLK_1</t>
  </si>
  <si>
    <t>I1184sht</t>
  </si>
  <si>
    <t>GSA-1-OV</t>
  </si>
  <si>
    <t>GSA-1-OV.dwg</t>
  </si>
  <si>
    <t>GSG-0-E-</t>
  </si>
  <si>
    <t>GSG-0-E-.dwg</t>
  </si>
  <si>
    <t>GSKEY-E-</t>
  </si>
  <si>
    <t>GSKEY-E-.dwg</t>
  </si>
  <si>
    <t>GSS-1-OV</t>
  </si>
  <si>
    <t>GSS-1-OV.dwg</t>
  </si>
  <si>
    <t>GST-1-OV</t>
  </si>
  <si>
    <t>GST-1-OV.dwg</t>
  </si>
  <si>
    <t>GSI-1-OV</t>
  </si>
  <si>
    <t>GSI-1-OV.dwg</t>
  </si>
  <si>
    <t>GSME1-OV</t>
  </si>
  <si>
    <t>GSME1-OV.dwg</t>
  </si>
  <si>
    <t>BYBLOCK</t>
  </si>
  <si>
    <t>BYLAYER</t>
  </si>
  <si>
    <t>CONTINUOUS</t>
  </si>
  <si>
    <t>70 resolve</t>
  </si>
  <si>
    <t>40 dimscale</t>
  </si>
  <si>
    <t>45 dimrnd</t>
  </si>
  <si>
    <t>140 dimtxt</t>
  </si>
  <si>
    <t>144 dimlfac</t>
  </si>
  <si>
    <t>77 dimtad</t>
  </si>
  <si>
    <t>176 dimclrd</t>
  </si>
  <si>
    <t>177 dimclre</t>
  </si>
  <si>
    <t>178 dimclrt</t>
  </si>
  <si>
    <t>271 dimdec</t>
  </si>
  <si>
    <t>275 dimaunit</t>
  </si>
  <si>
    <t>340 dimtsxty</t>
  </si>
  <si>
    <t>date</t>
  </si>
  <si>
    <t>chk4</t>
  </si>
  <si>
    <t>chk5</t>
  </si>
  <si>
    <t>chk6</t>
  </si>
  <si>
    <t>chk7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</si>
  <si>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</si>
  <si>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</si>
  <si>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</si>
  <si>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</si>
  <si>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</si>
  <si>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</si>
  <si>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</si>
  <si>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</si>
  <si>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</si>
  <si>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First letter</t>
  </si>
  <si>
    <t>Allowed</t>
  </si>
  <si>
    <t>Second letter</t>
  </si>
  <si>
    <t>Discipline</t>
  </si>
  <si>
    <t>Letter34 - Discipline</t>
  </si>
  <si>
    <t>Letter256</t>
  </si>
  <si>
    <t>Level</t>
  </si>
  <si>
    <t>Sixth letter</t>
  </si>
  <si>
    <t>Sublevel</t>
  </si>
  <si>
    <t>Letter78</t>
  </si>
  <si>
    <t>Is layout?</t>
  </si>
  <si>
    <t>Sector</t>
  </si>
  <si>
    <t>Letter5678</t>
  </si>
  <si>
    <t>Series</t>
  </si>
  <si>
    <t>Eight letters?</t>
  </si>
  <si>
    <t>Disciple ok?</t>
  </si>
  <si>
    <t>Check 1</t>
  </si>
  <si>
    <t>A-</t>
  </si>
  <si>
    <t xml:space="preserve">Architectural </t>
  </si>
  <si>
    <t>A</t>
  </si>
  <si>
    <t>Site-Old drawing</t>
  </si>
  <si>
    <t>OV</t>
  </si>
  <si>
    <t>B0-</t>
  </si>
  <si>
    <t>Level 0 (Underground)</t>
  </si>
  <si>
    <t>Overview</t>
  </si>
  <si>
    <t>Above Floor-Fandeck for Fab</t>
  </si>
  <si>
    <t>AF</t>
  </si>
  <si>
    <t xml:space="preserve">Architectural - Furniture and Cubicle Layout </t>
  </si>
  <si>
    <t>C</t>
  </si>
  <si>
    <t>Campus</t>
  </si>
  <si>
    <t>B1-</t>
  </si>
  <si>
    <t>Level 1 (Utilities)</t>
  </si>
  <si>
    <t>Sector A-</t>
  </si>
  <si>
    <t>W</t>
  </si>
  <si>
    <t>Clean Room Partition Walls-Fan Deck</t>
  </si>
  <si>
    <t>AI</t>
  </si>
  <si>
    <t xml:space="preserve">Architectural - Interiors </t>
  </si>
  <si>
    <t>X</t>
  </si>
  <si>
    <t>Campus - shared</t>
  </si>
  <si>
    <t>B-</t>
  </si>
  <si>
    <t>B2-</t>
  </si>
  <si>
    <t>Level 2 (Sub Fab)</t>
  </si>
  <si>
    <t>Sector B-</t>
  </si>
  <si>
    <t>B</t>
  </si>
  <si>
    <t>Raised Flooring</t>
  </si>
  <si>
    <t>AS</t>
  </si>
  <si>
    <t xml:space="preserve">Architectural - Signage </t>
  </si>
  <si>
    <t>Fab</t>
  </si>
  <si>
    <t>C-</t>
  </si>
  <si>
    <t>B3-</t>
  </si>
  <si>
    <t>Level 3 (Fab)</t>
  </si>
  <si>
    <t>Sector C-</t>
  </si>
  <si>
    <t>Partition Height</t>
  </si>
  <si>
    <t>AT</t>
  </si>
  <si>
    <t xml:space="preserve">Architectural - Environment </t>
  </si>
  <si>
    <t>O</t>
  </si>
  <si>
    <t>MSB</t>
  </si>
  <si>
    <t>D-</t>
  </si>
  <si>
    <t>B4-</t>
  </si>
  <si>
    <t>Level 4 (Interstitial)</t>
  </si>
  <si>
    <t>Sector D-</t>
  </si>
  <si>
    <t>D</t>
  </si>
  <si>
    <t>Reflected Ceiling Plans</t>
  </si>
  <si>
    <t>AP</t>
  </si>
  <si>
    <t xml:space="preserve">Architectural - Drop Road Points (for CR only) </t>
  </si>
  <si>
    <t>S</t>
  </si>
  <si>
    <t>CUB</t>
  </si>
  <si>
    <t>E-</t>
  </si>
  <si>
    <t>B4A</t>
  </si>
  <si>
    <t>Level 4A (Fan Deck)</t>
  </si>
  <si>
    <t>Sector E-</t>
  </si>
  <si>
    <t>E</t>
  </si>
  <si>
    <t>Catwalks</t>
  </si>
  <si>
    <t>AC</t>
  </si>
  <si>
    <t xml:space="preserve">Architectural - Clean area preliminary design  </t>
  </si>
  <si>
    <t>Warehouse LC4E</t>
  </si>
  <si>
    <t>F-</t>
  </si>
  <si>
    <t>B5-</t>
  </si>
  <si>
    <t>Level 5 (None)</t>
  </si>
  <si>
    <t>Sector F-</t>
  </si>
  <si>
    <t>U</t>
  </si>
  <si>
    <t>Under Slab</t>
  </si>
  <si>
    <t xml:space="preserve">Civil </t>
  </si>
  <si>
    <t>K</t>
  </si>
  <si>
    <t>PMB</t>
  </si>
  <si>
    <t>G-</t>
  </si>
  <si>
    <t>B6-</t>
  </si>
  <si>
    <t>Level 6 (Roof)</t>
  </si>
  <si>
    <t>Sector G-</t>
  </si>
  <si>
    <t>M</t>
  </si>
  <si>
    <t>Mezzanine Floor</t>
  </si>
  <si>
    <t>CA</t>
  </si>
  <si>
    <t xml:space="preserve">Civil – Aerial Photography </t>
  </si>
  <si>
    <t>H</t>
  </si>
  <si>
    <t>HMB</t>
  </si>
  <si>
    <t>H-</t>
  </si>
  <si>
    <t>B7-</t>
  </si>
  <si>
    <t>Level 7 (Upper Roof)</t>
  </si>
  <si>
    <t>Sector H-</t>
  </si>
  <si>
    <t>L</t>
  </si>
  <si>
    <t>Mezzanine Ceiling</t>
  </si>
  <si>
    <t>CB</t>
  </si>
  <si>
    <t xml:space="preserve">Civil - Gates </t>
  </si>
  <si>
    <t>G</t>
  </si>
  <si>
    <t>North Guard House</t>
  </si>
  <si>
    <t>AA</t>
  </si>
  <si>
    <t>S0-</t>
  </si>
  <si>
    <t>Sector AA</t>
  </si>
  <si>
    <t>CC</t>
  </si>
  <si>
    <t xml:space="preserve">Civil - Cathode </t>
  </si>
  <si>
    <t>West Guard House</t>
  </si>
  <si>
    <t>BB</t>
  </si>
  <si>
    <t>S1-</t>
  </si>
  <si>
    <t>Level 1 (Ground)</t>
  </si>
  <si>
    <t>Sector BB</t>
  </si>
  <si>
    <t>CD</t>
  </si>
  <si>
    <t xml:space="preserve">Civil - Drainage </t>
  </si>
  <si>
    <t>Q</t>
  </si>
  <si>
    <t>South Guard House</t>
  </si>
  <si>
    <t>S2-</t>
  </si>
  <si>
    <t>Level 2 (Office-Roof)</t>
  </si>
  <si>
    <t>Sector CC</t>
  </si>
  <si>
    <t>CE</t>
  </si>
  <si>
    <t xml:space="preserve">Civil – Earth Work </t>
  </si>
  <si>
    <t>V</t>
  </si>
  <si>
    <t>East Guard House</t>
  </si>
  <si>
    <t>DD</t>
  </si>
  <si>
    <t>S3-</t>
  </si>
  <si>
    <t>Level 3 (Roof)</t>
  </si>
  <si>
    <t>Sector DD</t>
  </si>
  <si>
    <t>CF</t>
  </si>
  <si>
    <t xml:space="preserve">Civil - Fence </t>
  </si>
  <si>
    <t>I</t>
  </si>
  <si>
    <t>IQ Staging area</t>
  </si>
  <si>
    <t>EE</t>
  </si>
  <si>
    <t>W0-</t>
  </si>
  <si>
    <t>Level 0</t>
  </si>
  <si>
    <t>Sector EE</t>
  </si>
  <si>
    <t>CI</t>
  </si>
  <si>
    <t xml:space="preserve">Civil - Irrigation </t>
  </si>
  <si>
    <t>DVR station</t>
  </si>
  <si>
    <t>FF</t>
  </si>
  <si>
    <t>W1-</t>
  </si>
  <si>
    <t>Level 1</t>
  </si>
  <si>
    <t>Sector FF</t>
  </si>
  <si>
    <t>CL</t>
  </si>
  <si>
    <t xml:space="preserve">Civil - Landscape </t>
  </si>
  <si>
    <t>F</t>
  </si>
  <si>
    <t>Pump house</t>
  </si>
  <si>
    <t>GG</t>
  </si>
  <si>
    <t>W2-</t>
  </si>
  <si>
    <t>Level 2</t>
  </si>
  <si>
    <t>Sector GG</t>
  </si>
  <si>
    <t>CM</t>
  </si>
  <si>
    <t xml:space="preserve">Civil - Measurement </t>
  </si>
  <si>
    <t>Substation building</t>
  </si>
  <si>
    <t>W3-</t>
  </si>
  <si>
    <t>Level 3</t>
  </si>
  <si>
    <t>CS</t>
  </si>
  <si>
    <t xml:space="preserve">Civil - Signage </t>
  </si>
  <si>
    <t>T</t>
  </si>
  <si>
    <t>Substation Yard</t>
  </si>
  <si>
    <t>E0-</t>
  </si>
  <si>
    <t>CT</t>
  </si>
  <si>
    <t xml:space="preserve">Civil – Traffic  </t>
  </si>
  <si>
    <t>R</t>
  </si>
  <si>
    <t>CuW building</t>
  </si>
  <si>
    <t>E1-</t>
  </si>
  <si>
    <t>CU</t>
  </si>
  <si>
    <t xml:space="preserve">Civil - Water supply for  Sewage  &amp;  Waste </t>
  </si>
  <si>
    <t>Y</t>
  </si>
  <si>
    <t>Bulk Gas Yard</t>
  </si>
  <si>
    <t>E2-</t>
  </si>
  <si>
    <t>CG</t>
  </si>
  <si>
    <t xml:space="preserve">Civil - Gardening </t>
  </si>
  <si>
    <t>Z</t>
  </si>
  <si>
    <t>MLCP</t>
  </si>
  <si>
    <t>E3-</t>
  </si>
  <si>
    <t>CP</t>
  </si>
  <si>
    <t xml:space="preserve">Civil - Planting </t>
  </si>
  <si>
    <t>LPG</t>
  </si>
  <si>
    <t>Y0-</t>
  </si>
  <si>
    <t>CW</t>
  </si>
  <si>
    <t xml:space="preserve">Civil - Temporary construction fence north area Phase 1 </t>
  </si>
  <si>
    <t>N</t>
  </si>
  <si>
    <t>Induction</t>
  </si>
  <si>
    <t>Y1-</t>
  </si>
  <si>
    <t>CX</t>
  </si>
  <si>
    <t xml:space="preserve">Civil - Temporary construction fence north area Phase 2 </t>
  </si>
  <si>
    <t>P</t>
  </si>
  <si>
    <t>OET</t>
  </si>
  <si>
    <t>Y2-</t>
  </si>
  <si>
    <t>CY</t>
  </si>
  <si>
    <t xml:space="preserve">Civil - Temporary construction fence north area Phase 3 </t>
  </si>
  <si>
    <t>OET-OB</t>
  </si>
  <si>
    <t>Y3-</t>
  </si>
  <si>
    <t>CZ</t>
  </si>
  <si>
    <t xml:space="preserve">Civil - Temporary construction fence north area Phase 4 </t>
  </si>
  <si>
    <t>2</t>
  </si>
  <si>
    <t>Trailers 100/150</t>
  </si>
  <si>
    <t>L0-</t>
  </si>
  <si>
    <t xml:space="preserve">Electrical </t>
  </si>
  <si>
    <t>3</t>
  </si>
  <si>
    <t>Contractors staging area</t>
  </si>
  <si>
    <t>L1-</t>
  </si>
  <si>
    <t>EG</t>
  </si>
  <si>
    <t xml:space="preserve">Electrical - Grounding </t>
  </si>
  <si>
    <t>8</t>
  </si>
  <si>
    <t>Purge gases yard</t>
  </si>
  <si>
    <t>L2-</t>
  </si>
  <si>
    <t>EL</t>
  </si>
  <si>
    <t xml:space="preserve">Electrical - lighting </t>
  </si>
  <si>
    <t xml:space="preserve">Cleanpak construction in Fab, change 9 to B </t>
  </si>
  <si>
    <t>L3-</t>
  </si>
  <si>
    <t>EN</t>
  </si>
  <si>
    <t xml:space="preserve">Electrical - lightning </t>
  </si>
  <si>
    <t>Cleanpak construction in MSB, change 4 to O</t>
  </si>
  <si>
    <t>Q0-</t>
  </si>
  <si>
    <t>EP</t>
  </si>
  <si>
    <t xml:space="preserve">Electrical - Power </t>
  </si>
  <si>
    <t>MWZ construction in MSB, change 5 to O</t>
  </si>
  <si>
    <t>Q1-</t>
  </si>
  <si>
    <t>EC</t>
  </si>
  <si>
    <t xml:space="preserve">Electrical - Temporary </t>
  </si>
  <si>
    <t>Construction in Cub cooling tower, change 6 to S</t>
  </si>
  <si>
    <t>Q2-</t>
  </si>
  <si>
    <t>EO</t>
  </si>
  <si>
    <t xml:space="preserve">Electrical - Pop out </t>
  </si>
  <si>
    <t>Construction in Cub UPW Tank farm, change 7 to S</t>
  </si>
  <si>
    <t>Q3-</t>
  </si>
  <si>
    <t>ET</t>
  </si>
  <si>
    <t xml:space="preserve">Electrical - Cable Tray / Conduit </t>
  </si>
  <si>
    <t>V0-</t>
  </si>
  <si>
    <t>EI</t>
  </si>
  <si>
    <t xml:space="preserve">Electrical - ionization (Cleanpak) </t>
  </si>
  <si>
    <t>V1-</t>
  </si>
  <si>
    <t>EA</t>
  </si>
  <si>
    <t xml:space="preserve">Electrical – TAS / VPMS      (PSSS  system) </t>
  </si>
  <si>
    <t>V2-</t>
  </si>
  <si>
    <t>EB</t>
  </si>
  <si>
    <t xml:space="preserve">Electrical – BCDS                (PSSS  system) </t>
  </si>
  <si>
    <t>V3-</t>
  </si>
  <si>
    <t>ER</t>
  </si>
  <si>
    <t xml:space="preserve">Electrical – PSDS, PCDS    (PSSS  system)     </t>
  </si>
  <si>
    <t>Z0-</t>
  </si>
  <si>
    <t>ES</t>
  </si>
  <si>
    <t xml:space="preserve">Electrical – Specialty gas   (PSSS  system) </t>
  </si>
  <si>
    <t>Z1-</t>
  </si>
  <si>
    <t>R-</t>
  </si>
  <si>
    <t xml:space="preserve">Emergency Response Team </t>
  </si>
  <si>
    <t>Z2-</t>
  </si>
  <si>
    <t xml:space="preserve">Fire Protection </t>
  </si>
  <si>
    <t>Z3-</t>
  </si>
  <si>
    <t>FZ</t>
  </si>
  <si>
    <t xml:space="preserve">Fire Protection – zones </t>
  </si>
  <si>
    <t>Enlarged views, stairs and elevators</t>
  </si>
  <si>
    <t>Z4-</t>
  </si>
  <si>
    <t>Level 4</t>
  </si>
  <si>
    <t>FS</t>
  </si>
  <si>
    <t xml:space="preserve">Fire Protection – seismic </t>
  </si>
  <si>
    <t>Z4A</t>
  </si>
  <si>
    <t>Level 5 (Roof)</t>
  </si>
  <si>
    <t xml:space="preserve">General – grid, key plan, blocks, symbols, cover sheet </t>
  </si>
  <si>
    <t>Sections</t>
  </si>
  <si>
    <t>O0-</t>
  </si>
  <si>
    <t>GC</t>
  </si>
  <si>
    <t xml:space="preserve">General –  Clean level division (for CR only) </t>
  </si>
  <si>
    <t>Interior,Exterior elevs and sections</t>
  </si>
  <si>
    <t>O1-</t>
  </si>
  <si>
    <t>GP</t>
  </si>
  <si>
    <t xml:space="preserve">General –  Pop out division </t>
  </si>
  <si>
    <t>Details</t>
  </si>
  <si>
    <t>O2-</t>
  </si>
  <si>
    <t xml:space="preserve">Life Safety-Basic Life Safety </t>
  </si>
  <si>
    <t>O3-</t>
  </si>
  <si>
    <t>HE</t>
  </si>
  <si>
    <t xml:space="preserve">Life Safety-Smoke Detection/Equipment </t>
  </si>
  <si>
    <t>O4-</t>
  </si>
  <si>
    <t>Level 4 (Office)</t>
  </si>
  <si>
    <t>HD</t>
  </si>
  <si>
    <t xml:space="preserve">Life Safety-Smoke Detection/Dampers interface </t>
  </si>
  <si>
    <t>O5-</t>
  </si>
  <si>
    <t>Level 5 (Office)</t>
  </si>
  <si>
    <t>HH</t>
  </si>
  <si>
    <t xml:space="preserve">Life Safety-HPM Monitoring </t>
  </si>
  <si>
    <t>O6-</t>
  </si>
  <si>
    <t>HM</t>
  </si>
  <si>
    <t xml:space="preserve">Life safety - Music </t>
  </si>
  <si>
    <t>HR</t>
  </si>
  <si>
    <t xml:space="preserve">Life safety - Radio </t>
  </si>
  <si>
    <t>HS</t>
  </si>
  <si>
    <t xml:space="preserve">Life safety - Security </t>
  </si>
  <si>
    <t>V-</t>
  </si>
  <si>
    <t xml:space="preserve">Evacuation / Code  </t>
  </si>
  <si>
    <t>I-</t>
  </si>
  <si>
    <t xml:space="preserve">I&amp;C (Instrumentation and Controls) </t>
  </si>
  <si>
    <t>IC</t>
  </si>
  <si>
    <t xml:space="preserve">I&amp;C – FMS Controlnet network  </t>
  </si>
  <si>
    <t>IF</t>
  </si>
  <si>
    <t xml:space="preserve">I&amp;C – FFU Control System (for CR only) </t>
  </si>
  <si>
    <t>II</t>
  </si>
  <si>
    <t xml:space="preserve">I&amp;C - location </t>
  </si>
  <si>
    <t>IM</t>
  </si>
  <si>
    <t xml:space="preserve">I&amp;C – CAPMS (Clean room Airborne Particle Monitoring System) </t>
  </si>
  <si>
    <t>IP</t>
  </si>
  <si>
    <t xml:space="preserve">I&amp;C - zero pressure system </t>
  </si>
  <si>
    <t>Z-</t>
  </si>
  <si>
    <t xml:space="preserve">I&amp;C from vendor </t>
  </si>
  <si>
    <t>K-</t>
  </si>
  <si>
    <t xml:space="preserve">Food Services </t>
  </si>
  <si>
    <t>ME</t>
  </si>
  <si>
    <t xml:space="preserve">Mechanical  -  Equipment </t>
  </si>
  <si>
    <t>MG</t>
  </si>
  <si>
    <t xml:space="preserve">Mechanical  -  General </t>
  </si>
  <si>
    <t>MM</t>
  </si>
  <si>
    <t xml:space="preserve">Mechanical – HVAC Dry Systems  </t>
  </si>
  <si>
    <t>M-</t>
  </si>
  <si>
    <t xml:space="preserve">Mechanical – HVAC Wet Systems  </t>
  </si>
  <si>
    <t>MH</t>
  </si>
  <si>
    <t xml:space="preserve">Mechanical – Exhaust Systems  </t>
  </si>
  <si>
    <t>MB</t>
  </si>
  <si>
    <t xml:space="preserve">Mechanical – Exhaust Systems (PSSS only: BCDS)  </t>
  </si>
  <si>
    <t>MP</t>
  </si>
  <si>
    <t xml:space="preserve">Mechanical – Exhaust Systems (PSSS only: PCDS) </t>
  </si>
  <si>
    <t>MA</t>
  </si>
  <si>
    <t xml:space="preserve">Mechanical – Exhaust Systems (PSSS only: Spec Gas systems) </t>
  </si>
  <si>
    <t>MS</t>
  </si>
  <si>
    <t xml:space="preserve">Mechanical – Support </t>
  </si>
  <si>
    <t>PL</t>
  </si>
  <si>
    <t xml:space="preserve">Plumbing  (General or BCDS) </t>
  </si>
  <si>
    <t>PY</t>
  </si>
  <si>
    <t xml:space="preserve">Plumbing (PSSS only: PCDS) </t>
  </si>
  <si>
    <t>P-</t>
  </si>
  <si>
    <t xml:space="preserve">Process       </t>
  </si>
  <si>
    <t>PE</t>
  </si>
  <si>
    <t xml:space="preserve">Process  -  Equipment </t>
  </si>
  <si>
    <t>PW</t>
  </si>
  <si>
    <t xml:space="preserve">Process  -  Water (General or BCDS) </t>
  </si>
  <si>
    <t>PZ</t>
  </si>
  <si>
    <t xml:space="preserve">Process  -  Water (PSSS only: PCDS) </t>
  </si>
  <si>
    <t>PA</t>
  </si>
  <si>
    <t xml:space="preserve">Process  -  Compressed Air (General or BCDS) </t>
  </si>
  <si>
    <t>PK</t>
  </si>
  <si>
    <t xml:space="preserve">Process  -  Compressed Air (PSSS only: PCDS) </t>
  </si>
  <si>
    <t>PV</t>
  </si>
  <si>
    <t xml:space="preserve">Process  -  Vacuum System  </t>
  </si>
  <si>
    <t>PU</t>
  </si>
  <si>
    <t xml:space="preserve">Process  - UPW  (General or BCDS) </t>
  </si>
  <si>
    <t>PT</t>
  </si>
  <si>
    <t xml:space="preserve">Process  -  UPW  (PSSS only: PCDS) </t>
  </si>
  <si>
    <t>PD</t>
  </si>
  <si>
    <t xml:space="preserve">Process  -  Waste System (General or BCDS) </t>
  </si>
  <si>
    <t>PR</t>
  </si>
  <si>
    <t xml:space="preserve">Process  -  Waste System (PSSS only: PCDS) </t>
  </si>
  <si>
    <t>PC</t>
  </si>
  <si>
    <t xml:space="preserve">Process  -  Bulk Feed Chemical    </t>
  </si>
  <si>
    <t>PB</t>
  </si>
  <si>
    <t xml:space="preserve">Process  -  PSSS only: BCDS  (Bulk Chemical Distribution Systems)  </t>
  </si>
  <si>
    <t>PH</t>
  </si>
  <si>
    <t xml:space="preserve">Process -  BCDS Equipment (PSSS only)  </t>
  </si>
  <si>
    <t>PP</t>
  </si>
  <si>
    <t xml:space="preserve">Process – PSSS only: PCDS (Planar Chemical Distribution Systems) </t>
  </si>
  <si>
    <t>PJ</t>
  </si>
  <si>
    <t xml:space="preserve">Process  -  PCDS Equipment  (PSSS only) </t>
  </si>
  <si>
    <t>PS</t>
  </si>
  <si>
    <t xml:space="preserve">Process  -  Specialty Gas   (PSSS only) </t>
  </si>
  <si>
    <t>PF</t>
  </si>
  <si>
    <t xml:space="preserve">Process  -  Specialty Gas Equipment (PSSS only) </t>
  </si>
  <si>
    <t>PG</t>
  </si>
  <si>
    <t xml:space="preserve">Process  -  Bulk Gas  (General or BCDS)  </t>
  </si>
  <si>
    <t>PN</t>
  </si>
  <si>
    <t xml:space="preserve">Process  -  Bulk Gas  (PSSS only: PCDS)  </t>
  </si>
  <si>
    <t>PM</t>
  </si>
  <si>
    <t xml:space="preserve">Process  -  Bulk Gas  (PSSS only: Spec Gas) </t>
  </si>
  <si>
    <t>PX</t>
  </si>
  <si>
    <t xml:space="preserve">Process Space Management   (Superposition ONLY) </t>
  </si>
  <si>
    <t>S-</t>
  </si>
  <si>
    <t xml:space="preserve">Structural </t>
  </si>
  <si>
    <t>SR</t>
  </si>
  <si>
    <t xml:space="preserve">Structural - Reinforcement </t>
  </si>
  <si>
    <t>SS</t>
  </si>
  <si>
    <t xml:space="preserve">Structural - Support / Base plates </t>
  </si>
  <si>
    <t>SD</t>
  </si>
  <si>
    <t xml:space="preserve">Structural – Drain Support  </t>
  </si>
  <si>
    <t>ST</t>
  </si>
  <si>
    <t xml:space="preserve">Structural - Prefabricated ("TROMI") </t>
  </si>
  <si>
    <t>SX</t>
  </si>
  <si>
    <t xml:space="preserve">Structural - Secondary Steel </t>
  </si>
  <si>
    <t>SP</t>
  </si>
  <si>
    <t xml:space="preserve">Structural – Steel Support Drop Road </t>
  </si>
  <si>
    <t>T-</t>
  </si>
  <si>
    <t xml:space="preserve">Telecommunications </t>
  </si>
  <si>
    <t>TC</t>
  </si>
  <si>
    <t xml:space="preserve">Telecommunications - Cabling </t>
  </si>
  <si>
    <t>TE</t>
  </si>
  <si>
    <t xml:space="preserve">Telecommunications - Equipment </t>
  </si>
  <si>
    <t>TF</t>
  </si>
  <si>
    <t xml:space="preserve">Telecommunications - FMS </t>
  </si>
  <si>
    <t>TT</t>
  </si>
  <si>
    <t xml:space="preserve">Telecommunications – Tray &amp; conduit </t>
  </si>
  <si>
    <t>X-</t>
  </si>
  <si>
    <t>Space Management (Superposition ONLY)</t>
  </si>
  <si>
    <t>XE</t>
  </si>
  <si>
    <t>Space Management – Equipment</t>
  </si>
  <si>
    <t>XP</t>
  </si>
  <si>
    <t xml:space="preserve">Space Management - Penetration </t>
  </si>
  <si>
    <t>XF</t>
  </si>
  <si>
    <t>Space Management – Foundation</t>
  </si>
  <si>
    <t>XA</t>
  </si>
  <si>
    <t>Space Management – Shafts</t>
  </si>
  <si>
    <t>XS</t>
  </si>
  <si>
    <t>Space Management – Support</t>
  </si>
  <si>
    <t>XT</t>
  </si>
  <si>
    <t>Space Management – Cable tray foundation loads</t>
  </si>
  <si>
    <t>XL</t>
  </si>
  <si>
    <t>Space Management – Piping foundation loads</t>
  </si>
  <si>
    <t>IsLayout</t>
  </si>
  <si>
    <t>Title in model?</t>
  </si>
  <si>
    <t>Title in paper?</t>
  </si>
  <si>
    <t>Title unique?</t>
  </si>
  <si>
    <t>Level in title?</t>
  </si>
  <si>
    <t>Scale format ok?</t>
  </si>
  <si>
    <t>Plotscale ok?</t>
  </si>
  <si>
    <t>On correct layer?</t>
  </si>
  <si>
    <t>Result of chk2</t>
  </si>
  <si>
    <t>xref found?</t>
  </si>
  <si>
    <t>Result of chk3</t>
  </si>
  <si>
    <t>northarrowqty</t>
  </si>
  <si>
    <t>northarrowangle</t>
  </si>
  <si>
    <t>chk14</t>
  </si>
  <si>
    <t>IsCivil</t>
  </si>
  <si>
    <t>IsEnlargement</t>
  </si>
  <si>
    <t>NorthInPaper</t>
  </si>
  <si>
    <t>AngleOK</t>
  </si>
  <si>
    <t>IsEnlarged</t>
  </si>
  <si>
    <t>IsSection</t>
  </si>
  <si>
    <t>IsElevation</t>
  </si>
  <si>
    <t>IsDetail</t>
  </si>
  <si>
    <t>Value5678</t>
  </si>
  <si>
    <t>chk15</t>
  </si>
  <si>
    <t>R1NO</t>
  </si>
  <si>
    <t>R1DESC</t>
  </si>
  <si>
    <t>R1APPR</t>
  </si>
  <si>
    <t>R1DATE</t>
  </si>
  <si>
    <t>R1BY</t>
  </si>
  <si>
    <t>947.7,165.3,0</t>
  </si>
  <si>
    <t>947.7,178,0</t>
  </si>
  <si>
    <t>947.7,184.35,0</t>
  </si>
  <si>
    <t>947.7,171.65,0</t>
  </si>
  <si>
    <t>947.7,146.25,0</t>
  </si>
  <si>
    <t>COK</t>
  </si>
  <si>
    <t>947.7,158.95,0</t>
  </si>
  <si>
    <t>947.7,152.6,0</t>
  </si>
  <si>
    <t>RECORD DRAWING</t>
  </si>
  <si>
    <t>record dwg in rev</t>
  </si>
  <si>
    <t>G-KEYNOTE</t>
  </si>
  <si>
    <t>G-HEX</t>
  </si>
  <si>
    <t>G-L-HEX</t>
  </si>
  <si>
    <t>G-SQ</t>
  </si>
  <si>
    <t>G-RECT</t>
  </si>
  <si>
    <t>G-S-CIRC</t>
  </si>
  <si>
    <t>G-DIAMD</t>
  </si>
  <si>
    <t>G-S-DIAMD</t>
  </si>
  <si>
    <t>G-OVAL</t>
  </si>
  <si>
    <t>G-L-OVAL</t>
  </si>
  <si>
    <t>G-RTRIA</t>
  </si>
  <si>
    <t>G-NEWCONN</t>
  </si>
  <si>
    <t>G-ELEV</t>
  </si>
  <si>
    <t>G-DATM</t>
  </si>
  <si>
    <t>G-ARROW1</t>
  </si>
  <si>
    <t>G-ARROW</t>
  </si>
  <si>
    <t>G-PIPEBK1</t>
  </si>
  <si>
    <t>G-MSC-BK1</t>
  </si>
  <si>
    <t>G-PIPEBK2</t>
  </si>
  <si>
    <t>G-PITCH</t>
  </si>
  <si>
    <t>G-DETAIL</t>
  </si>
  <si>
    <t>G-SECCUT1</t>
  </si>
  <si>
    <t>G-SECCUT3</t>
  </si>
  <si>
    <t>G-DONUT</t>
  </si>
  <si>
    <t>G-SECCUT2</t>
  </si>
  <si>
    <t>G-SECCUTD</t>
  </si>
  <si>
    <t>G-INORTH</t>
  </si>
  <si>
    <t>G-DOT</t>
  </si>
  <si>
    <t>G-FA-L</t>
  </si>
  <si>
    <t>G-FA-R</t>
  </si>
  <si>
    <t>G-LFA</t>
  </si>
  <si>
    <t>G-RARROW</t>
  </si>
  <si>
    <t>G-SARROW</t>
  </si>
  <si>
    <t>G-X</t>
  </si>
  <si>
    <t>G-LTLP</t>
  </si>
  <si>
    <t>G-GRSC010</t>
  </si>
  <si>
    <t>G-GRSC020</t>
  </si>
  <si>
    <t>G-GRSC040</t>
  </si>
  <si>
    <t>G-GRSC050</t>
  </si>
  <si>
    <t>G-GRSC060</t>
  </si>
  <si>
    <t>G-GRSC080</t>
  </si>
  <si>
    <t>G-GRSC100</t>
  </si>
  <si>
    <t>G-GRSC200</t>
  </si>
  <si>
    <t>G-GRSC125</t>
  </si>
  <si>
    <t>G-GRSC250</t>
  </si>
  <si>
    <t>G-GRSCI02</t>
  </si>
  <si>
    <t>G-GRSCI04</t>
  </si>
  <si>
    <t>G-GRSCI08</t>
  </si>
  <si>
    <t>G-GRSCI16</t>
  </si>
  <si>
    <t>G-EYEBALD</t>
  </si>
  <si>
    <t>hasAnno</t>
  </si>
  <si>
    <t>278 dimfit</t>
  </si>
  <si>
    <t>289 dimatfit</t>
  </si>
  <si>
    <t>Dimstyle</t>
  </si>
  <si>
    <t>Dimscale</t>
  </si>
  <si>
    <t>suffix</t>
  </si>
  <si>
    <t>STANDARD100</t>
  </si>
  <si>
    <t>STANDARD-200</t>
  </si>
  <si>
    <t>dashed suffix</t>
  </si>
  <si>
    <t>legal</t>
  </si>
  <si>
    <t>dimscaleok</t>
  </si>
  <si>
    <t>no</t>
  </si>
  <si>
    <t>hasOriginProblem</t>
  </si>
  <si>
    <t>hasPathProblem</t>
  </si>
  <si>
    <t>Text entities</t>
  </si>
  <si>
    <t>dfsaa</t>
  </si>
  <si>
    <t>model space</t>
  </si>
  <si>
    <t xml:space="preserve">FIELD ROUTE CONDUIT FROM LEVEL 1 INTERNAL TRAY TO EXTERNAL FOR VOICE </t>
  </si>
  <si>
    <t>paper space</t>
  </si>
  <si>
    <t xml:space="preserve">ALL OUTLETS AND PHONES TO BE LABELLED AS PER THE INTEL LABELLING </t>
  </si>
  <si>
    <t>ALL COMMUNICATIONS TRAY TO HAVE 100mm HIGH SIDES EXCEPT WHERE</t>
  </si>
  <si>
    <t xml:space="preserve">FINAL LOCATION OF TELECOMMUNICATION OUTLETS TO BE COORDINATED  WITH </t>
  </si>
  <si>
    <t>CONDUITS ROUTED PERPENDICULAR THROUGH FLOORS, WALLS, OR OTHER</t>
  </si>
  <si>
    <t xml:space="preserve">EXPOSED CONDUITS AND WIREWAYS, INCLUDING RACEWAYS, TOGETHER WITH </t>
  </si>
  <si>
    <t>REFER TO DRAWING KST-0050 FOR GENERAL NOTES, LEGENDS AND</t>
  </si>
  <si>
    <t>REQUIREMENTS OUTSIDE.</t>
  </si>
  <si>
    <t>GENERAL NOTES</t>
  </si>
  <si>
    <t>KEYED NOTES</t>
  </si>
  <si>
    <t>SPECIFICATION (16076).</t>
  </si>
  <si>
    <t>OTHERWISE NOTED.</t>
  </si>
  <si>
    <t>OWNER AND IT CONSTRUCTION MANAGER.</t>
  </si>
  <si>
    <t>expected size</t>
  </si>
  <si>
    <t>Legend</t>
  </si>
  <si>
    <t>MONO</t>
  </si>
  <si>
    <t>SUBTITLE</t>
  </si>
  <si>
    <t>Multiple</t>
  </si>
  <si>
    <t>Remainder</t>
  </si>
  <si>
    <t>textHtProblem</t>
  </si>
  <si>
    <t>dimEntities</t>
  </si>
  <si>
    <t>,</t>
  </si>
  <si>
    <t>ByBlock</t>
  </si>
  <si>
    <t>AcDbRotatedDimension</t>
  </si>
  <si>
    <t>AcDbAlignedDimension</t>
  </si>
  <si>
    <t>DecimalSeparator</t>
  </si>
  <si>
    <t>DimensionLineColor</t>
  </si>
  <si>
    <t>DimensionLineExtend</t>
  </si>
  <si>
    <t>DimensionLinetype</t>
  </si>
  <si>
    <t>ExtensionLineColor</t>
  </si>
  <si>
    <t>ExtensionLineExtend</t>
  </si>
  <si>
    <t>ExtensionLineOffset</t>
  </si>
  <si>
    <t>Fit</t>
  </si>
  <si>
    <t>HorizontalTextPosition</t>
  </si>
  <si>
    <t>Layer</t>
  </si>
  <si>
    <t>LinearScaleFactor</t>
  </si>
  <si>
    <t>Measurement</t>
  </si>
  <si>
    <t>ObjectName</t>
  </si>
  <si>
    <t>PrimaryUnitsPrecision</t>
  </si>
  <si>
    <t>Rotation</t>
  </si>
  <si>
    <t>RoundDistance</t>
  </si>
  <si>
    <t>ScaleFactor</t>
  </si>
  <si>
    <t>StyleName</t>
  </si>
  <si>
    <t>TextColor</t>
  </si>
  <si>
    <t>TextFill</t>
  </si>
  <si>
    <t>TextHeight</t>
  </si>
  <si>
    <t>TextOverride</t>
  </si>
  <si>
    <t>TextPrefix</t>
  </si>
  <si>
    <t>TextRotation</t>
  </si>
  <si>
    <t>TextStyle</t>
  </si>
  <si>
    <t>TextSuffix</t>
  </si>
  <si>
    <t>UnitsFormat</t>
  </si>
  <si>
    <t>Project Name:</t>
  </si>
  <si>
    <t xml:space="preserve"> F28</t>
  </si>
  <si>
    <t>Checked by:</t>
  </si>
  <si>
    <t>Liser Elena</t>
  </si>
  <si>
    <t>Number:</t>
  </si>
  <si>
    <t xml:space="preserve">1 (HMB - Structural) </t>
  </si>
  <si>
    <t>Date Checked:</t>
  </si>
  <si>
    <t>For full description of the requirements please see the list below</t>
  </si>
  <si>
    <r>
      <t xml:space="preserve">All the drawings have to be in </t>
    </r>
    <r>
      <rPr>
        <b/>
        <i/>
        <sz val="12"/>
        <rFont val="Times New Roman"/>
        <family val="1"/>
      </rPr>
      <t>iCAD standard 2005 rev 8.0 Supplement to the National CAD standard version 3.0</t>
    </r>
  </si>
  <si>
    <t>Drawing that does not follow iCAD standards will be returned for correction.</t>
  </si>
  <si>
    <t>Drawing #</t>
  </si>
  <si>
    <t xml:space="preserve">DWG </t>
  </si>
  <si>
    <t>Title</t>
  </si>
  <si>
    <t>Dwg</t>
  </si>
  <si>
    <t xml:space="preserve">Layout </t>
  </si>
  <si>
    <t>X-Ref</t>
  </si>
  <si>
    <t xml:space="preserve">Layer </t>
  </si>
  <si>
    <t>Model/</t>
  </si>
  <si>
    <t>Text</t>
  </si>
  <si>
    <t>Blocks</t>
  </si>
  <si>
    <t>Annot.</t>
  </si>
  <si>
    <t>North</t>
  </si>
  <si>
    <t xml:space="preserve">Rev </t>
  </si>
  <si>
    <t>Dim.</t>
  </si>
  <si>
    <t>Ltype</t>
  </si>
  <si>
    <t>Purge</t>
  </si>
  <si>
    <t>Notes</t>
  </si>
  <si>
    <t xml:space="preserve">Block </t>
  </si>
  <si>
    <t>created</t>
  </si>
  <si>
    <t>with</t>
  </si>
  <si>
    <t>Paper</t>
  </si>
  <si>
    <t>Symbols</t>
  </si>
  <si>
    <t>Arrow</t>
  </si>
  <si>
    <t>descrip</t>
  </si>
  <si>
    <t>Style</t>
  </si>
  <si>
    <t xml:space="preserve"> </t>
  </si>
  <si>
    <t>no.</t>
  </si>
  <si>
    <t>Name</t>
  </si>
  <si>
    <t>correctly</t>
  </si>
  <si>
    <t>empty</t>
  </si>
  <si>
    <t>hasTitleBlock</t>
  </si>
  <si>
    <t>chk13</t>
  </si>
  <si>
    <t>Allowable line types</t>
  </si>
  <si>
    <t>found</t>
  </si>
  <si>
    <t>SDASH3</t>
  </si>
  <si>
    <t>SDASH2</t>
  </si>
  <si>
    <t>SDASH1</t>
  </si>
  <si>
    <t>SDASH</t>
  </si>
  <si>
    <t>DASH</t>
  </si>
  <si>
    <t>MDASH</t>
  </si>
  <si>
    <t>MDASH1</t>
  </si>
  <si>
    <t>LDASH</t>
  </si>
  <si>
    <t>LDASH1</t>
  </si>
  <si>
    <t>LDASH2</t>
  </si>
  <si>
    <t>LDASH3</t>
  </si>
  <si>
    <t>SCENTER</t>
  </si>
  <si>
    <t>CENTER</t>
  </si>
  <si>
    <t>MCENTER</t>
  </si>
  <si>
    <t>LCENTER</t>
  </si>
  <si>
    <t>SPHANTOM</t>
  </si>
  <si>
    <t>PHANTOM</t>
  </si>
  <si>
    <t>MPHANTOM</t>
  </si>
  <si>
    <t>LPHANTOM</t>
  </si>
  <si>
    <t>SDOT</t>
  </si>
  <si>
    <t>DOT</t>
  </si>
  <si>
    <t>MDOT</t>
  </si>
  <si>
    <t>LDOT</t>
  </si>
  <si>
    <t>SDASHDOT</t>
  </si>
  <si>
    <t>DASHDOT</t>
  </si>
  <si>
    <t>MDASHDOT</t>
  </si>
  <si>
    <t>LDASHDOT</t>
  </si>
  <si>
    <t>SDIVIDE</t>
  </si>
  <si>
    <t>DIVIDE</t>
  </si>
  <si>
    <t>MDIVIDE</t>
  </si>
  <si>
    <t>LDIVIDE</t>
  </si>
  <si>
    <t>SBORDER</t>
  </si>
  <si>
    <t>BORDER</t>
  </si>
  <si>
    <t>MBORDER</t>
  </si>
  <si>
    <t>LBORDER</t>
  </si>
  <si>
    <t>HW</t>
  </si>
  <si>
    <t>RHW</t>
  </si>
  <si>
    <t>FISH</t>
  </si>
  <si>
    <t>Layer0 model</t>
  </si>
  <si>
    <t>Layer 0 paper</t>
  </si>
  <si>
    <t>IsView</t>
  </si>
  <si>
    <t>Building</t>
  </si>
  <si>
    <t>Check 1 analysis</t>
  </si>
  <si>
    <r>
      <t xml:space="preserve">1. Drawing number should be per the </t>
    </r>
    <r>
      <rPr>
        <b/>
        <sz val="10"/>
        <color indexed="8"/>
        <rFont val="Times New Roman"/>
        <family val="1"/>
      </rPr>
      <t>Naming convention</t>
    </r>
    <r>
      <rPr>
        <sz val="10"/>
        <color indexed="8"/>
        <rFont val="Times New Roman"/>
        <family val="1"/>
      </rPr>
      <t xml:space="preserve"> and equal to the file number.</t>
    </r>
  </si>
  <si>
    <t>According to the naming convention</t>
  </si>
  <si>
    <t>this file is:</t>
  </si>
  <si>
    <t>drawing</t>
  </si>
  <si>
    <t>file</t>
  </si>
  <si>
    <t>it is</t>
  </si>
  <si>
    <t>it shows</t>
  </si>
  <si>
    <t>design</t>
  </si>
  <si>
    <t>of the</t>
  </si>
  <si>
    <t>discipline</t>
  </si>
  <si>
    <t>type is</t>
  </si>
  <si>
    <t>KST-2-F-.dwg</t>
  </si>
  <si>
    <t>number are</t>
  </si>
  <si>
    <t>The drawing name and drawing</t>
  </si>
  <si>
    <t>Check 2 analysis</t>
  </si>
  <si>
    <t>2. Title name should be by standard.</t>
  </si>
  <si>
    <t>Extractions from title block:</t>
  </si>
  <si>
    <t>LC in title?</t>
  </si>
  <si>
    <t>Sector or Overview in title?</t>
  </si>
  <si>
    <t>Layout or View in title?</t>
  </si>
  <si>
    <t>Title1 proper?</t>
  </si>
  <si>
    <t>Title 2 proper?</t>
  </si>
  <si>
    <t>Title 4 proper?</t>
  </si>
  <si>
    <t>Title 3 proper?</t>
  </si>
  <si>
    <t>Check 3 analysis</t>
  </si>
  <si>
    <r>
      <t xml:space="preserve">3. Drawing should be created according to </t>
    </r>
    <r>
      <rPr>
        <b/>
        <sz val="10"/>
        <color indexed="8"/>
        <rFont val="Times New Roman"/>
        <family val="1"/>
      </rPr>
      <t>Fab 28 Construction specific CAD guide</t>
    </r>
    <r>
      <rPr>
        <sz val="10"/>
        <color indexed="8"/>
        <rFont val="Times New Roman"/>
        <family val="1"/>
      </rPr>
      <t>:</t>
    </r>
  </si>
  <si>
    <r>
      <t xml:space="preserve">- layout </t>
    </r>
    <r>
      <rPr>
        <b/>
        <sz val="10"/>
        <color indexed="8"/>
        <rFont val="Times New Roman"/>
        <family val="1"/>
      </rPr>
      <t>View</t>
    </r>
    <r>
      <rPr>
        <sz val="10"/>
        <color indexed="8"/>
        <rFont val="Times New Roman"/>
        <family val="1"/>
      </rPr>
      <t xml:space="preserve"> drawings should have a </t>
    </r>
    <r>
      <rPr>
        <b/>
        <sz val="10"/>
        <color indexed="8"/>
        <rFont val="Times New Roman"/>
        <family val="1"/>
      </rPr>
      <t>Master X-Ref</t>
    </r>
    <r>
      <rPr>
        <sz val="10"/>
        <color indexed="8"/>
        <rFont val="Times New Roman"/>
        <family val="1"/>
      </rPr>
      <t xml:space="preserve"> (for example: </t>
    </r>
    <r>
      <rPr>
        <b/>
        <sz val="10"/>
        <color indexed="8"/>
        <rFont val="Times New Roman"/>
        <family val="1"/>
      </rPr>
      <t>KBA-1-C-</t>
    </r>
    <r>
      <rPr>
        <sz val="10"/>
        <color indexed="8"/>
        <rFont val="Times New Roman"/>
        <family val="1"/>
      </rPr>
      <t xml:space="preserve"> should be based on </t>
    </r>
    <r>
      <rPr>
        <b/>
        <sz val="10"/>
        <color indexed="8"/>
        <rFont val="Times New Roman"/>
        <family val="1"/>
      </rPr>
      <t>GBA-1-OV</t>
    </r>
    <r>
      <rPr>
        <sz val="10"/>
        <color indexed="8"/>
        <rFont val="Times New Roman"/>
        <family val="1"/>
      </rPr>
      <t>)</t>
    </r>
  </si>
  <si>
    <r>
      <t xml:space="preserve"> - non layout drawings can be without x-refs (except of </t>
    </r>
    <r>
      <rPr>
        <i/>
        <sz val="10"/>
        <color indexed="8"/>
        <rFont val="Times New Roman"/>
        <family val="1"/>
      </rPr>
      <t>enlarged views</t>
    </r>
    <r>
      <rPr>
        <sz val="10"/>
        <color indexed="8"/>
        <rFont val="Times New Roman"/>
        <family val="1"/>
      </rPr>
      <t>).</t>
    </r>
  </si>
  <si>
    <t>Proper xref name</t>
  </si>
  <si>
    <t>View</t>
  </si>
  <si>
    <t>Xref</t>
  </si>
  <si>
    <t>xref name should be:</t>
  </si>
  <si>
    <t>first letter:</t>
  </si>
  <si>
    <t>second letter:</t>
  </si>
  <si>
    <t>third letter:</t>
  </si>
  <si>
    <t>fourth letter:</t>
  </si>
  <si>
    <t>fifth letter:</t>
  </si>
  <si>
    <t>sixth letter:</t>
  </si>
  <si>
    <t>seventh letter:</t>
  </si>
  <si>
    <t>Eighth letter:</t>
  </si>
  <si>
    <t>Xref for check:</t>
  </si>
  <si>
    <t>isEnlarged view?</t>
  </si>
  <si>
    <t>Check 4 analysis</t>
  </si>
  <si>
    <t>Are there xrefs?</t>
  </si>
  <si>
    <t>Is enlarged?</t>
  </si>
  <si>
    <t>4. Layout drawing should have external references (X-Ref)</t>
  </si>
  <si>
    <t>Check 5 analysis</t>
  </si>
  <si>
    <t>5. Should be used just two types of background drawings:</t>
  </si>
  <si>
    <t xml:space="preserve"> - Existing X-Ref</t>
  </si>
  <si>
    <t xml:space="preserve"> - New X-Refs created according to Fab 28 Construction specific CAD guide </t>
  </si>
  <si>
    <t>Check 6 analysis</t>
  </si>
  <si>
    <t>6. X-Ref's insertion point should be Lachish Campus 0,0,0.</t>
  </si>
  <si>
    <t>Check 7 analysis</t>
  </si>
  <si>
    <t>7. X-Ref's saved path should contain only X-Ref dwg name (without the path).</t>
  </si>
  <si>
    <t>Check 8 analysis</t>
  </si>
  <si>
    <t>8. Layer "0" must be empty of all entities, (only blocks should be created on layer "0").</t>
  </si>
  <si>
    <t>Entities in drawing</t>
  </si>
  <si>
    <t>Viewport entities not shown in list</t>
  </si>
  <si>
    <t>Check 9 analysis</t>
  </si>
  <si>
    <t>9. Layer name per standard (color &amp; line type by layer).</t>
  </si>
  <si>
    <t>Check 10 analysis</t>
  </si>
  <si>
    <t>10. Paper space: Title block, Key plan,  General &amp; Key notes, Legends</t>
  </si>
  <si>
    <t xml:space="preserve">non layout – X-Ref or/and main drawings (technical information) </t>
  </si>
  <si>
    <t>Model space:</t>
  </si>
  <si>
    <t xml:space="preserve"> layout -  just X-Ref drawings </t>
  </si>
  <si>
    <t>is Layout?</t>
  </si>
  <si>
    <t>Entity count</t>
  </si>
  <si>
    <t>Check 11 analysis</t>
  </si>
  <si>
    <t>11. Style &amp; size of text by standard.</t>
  </si>
  <si>
    <t>grid xref should be</t>
  </si>
  <si>
    <t>Check 12 analysis</t>
  </si>
  <si>
    <r>
      <t>12. The standard blocks should be</t>
    </r>
    <r>
      <rPr>
        <sz val="10"/>
        <color indexed="1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used in the drawings. Do not redefine or explode the standard blocks!</t>
    </r>
  </si>
  <si>
    <t xml:space="preserve">  The designer can create a new block if required, but the new block names should be according to standard.  </t>
  </si>
  <si>
    <t>$0$G-INORTH</t>
  </si>
  <si>
    <t>has bind error</t>
  </si>
  <si>
    <t>has dollar error</t>
  </si>
  <si>
    <t>Check 13 analysis</t>
  </si>
  <si>
    <t xml:space="preserve">The drawings should have annotation symbols with cross directions include drawing number: annotation symbols of layout drawing should </t>
  </si>
  <si>
    <t>point to non layout drawing and non layout drawing should have annotation symbol include layout drawing number.</t>
  </si>
  <si>
    <t>Check 14 analysis</t>
  </si>
  <si>
    <t>North arrow in the layout &amp; enlarged views drawings of Lachish Campus should point left.</t>
  </si>
  <si>
    <t>Check 15 analysis</t>
  </si>
  <si>
    <t>15. All record drawings should have two revisions only: Rev.0, revision description: IFC (Issued for construction)</t>
  </si>
  <si>
    <t>Rev. 1, revision description: Record drawing</t>
  </si>
  <si>
    <t>Legal name?</t>
  </si>
  <si>
    <t>fih</t>
  </si>
  <si>
    <t>name problem</t>
  </si>
  <si>
    <t>GBKEY-A-.dwg</t>
  </si>
  <si>
    <t>GBKEY-AA.dwg</t>
  </si>
  <si>
    <t>GBKEY-B-.dwg</t>
  </si>
  <si>
    <t>GBKEY-C-.dwg</t>
  </si>
  <si>
    <t>GBKEY-CC.dwg</t>
  </si>
  <si>
    <t>GBKEY-D-.dwg</t>
  </si>
  <si>
    <t>GBKEY-E-.dwg</t>
  </si>
  <si>
    <t>GBKEY-EE.dwg</t>
  </si>
  <si>
    <t>GBKEY-F-.dwg</t>
  </si>
  <si>
    <t>GBKEY-G-.dwg</t>
  </si>
  <si>
    <t>GBKEY-GG.dwg</t>
  </si>
  <si>
    <t>GBKEY-H-.dwg</t>
  </si>
  <si>
    <t>GBKEY-OV.dwg</t>
  </si>
  <si>
    <t>GCKEY-OV.dwg</t>
  </si>
  <si>
    <t>GEKEY.dwg</t>
  </si>
  <si>
    <t>GKKEY-OV.dwg</t>
  </si>
  <si>
    <t>GOKEY-A-.dwg</t>
  </si>
  <si>
    <t>GOKEY-B-.dwg</t>
  </si>
  <si>
    <t>GOKEY-C-.dwg</t>
  </si>
  <si>
    <t>GOKEY-D-.dwg</t>
  </si>
  <si>
    <t>GOKEY-OV.dwg</t>
  </si>
  <si>
    <t>GSKEY-A-.dwg</t>
  </si>
  <si>
    <t>GSKEY-B-.dwg</t>
  </si>
  <si>
    <t>GSKEY-BB.dwg</t>
  </si>
  <si>
    <t>GSKEY-C-.dwg</t>
  </si>
  <si>
    <t>GSKEY-D-.dwg</t>
  </si>
  <si>
    <t>GSKEY-DD.dwg</t>
  </si>
  <si>
    <t>GSKEY-F-.dwg</t>
  </si>
  <si>
    <t>GSKEY-FF.dwg</t>
  </si>
  <si>
    <t>GSKEY-OV.dwg</t>
  </si>
  <si>
    <t>GWKEY-A-.dwg</t>
  </si>
  <si>
    <t>GWKEY-B-.dwg</t>
  </si>
  <si>
    <t>GWKEY-C-.dwg</t>
  </si>
  <si>
    <t>GWKEY-D-.dwg</t>
  </si>
  <si>
    <t>GWKEY-OV.dwg</t>
  </si>
  <si>
    <t>GYKEY.dwg</t>
  </si>
  <si>
    <t>I1183sht_F.dwg</t>
  </si>
  <si>
    <t>i1184.dwg</t>
  </si>
  <si>
    <t>I1184sht_FC.dwg</t>
  </si>
  <si>
    <t>I1184sht_F-cpi.dwg</t>
  </si>
  <si>
    <t>I1184sht_F-els.dwg</t>
  </si>
  <si>
    <t>I1184sht_FF.dwg</t>
  </si>
  <si>
    <t>I1184sht_FG.dwg</t>
  </si>
  <si>
    <t>I1185sht_FC.dwg</t>
  </si>
  <si>
    <t>I1185sht_FF.dwg</t>
  </si>
  <si>
    <t>I1185sht_FG.dwg</t>
  </si>
  <si>
    <t>I1185sht_FL.dwg</t>
  </si>
  <si>
    <t>I1186sht_FF.dwg</t>
  </si>
  <si>
    <t>I1186sht_FL.dwg</t>
  </si>
  <si>
    <t>I4229sht_F.dwg</t>
  </si>
  <si>
    <t>I4229sht_FF.dwg</t>
  </si>
  <si>
    <t>I4229sht_FFD.dwg</t>
  </si>
  <si>
    <t>IABE0700.dwg</t>
  </si>
  <si>
    <t>IABT0700.dwg</t>
  </si>
  <si>
    <t>IABU0700.dwg</t>
  </si>
  <si>
    <t>IOG-1-OV.dwg</t>
  </si>
  <si>
    <t>IOG-4-C-.dwg</t>
  </si>
  <si>
    <t>IOG-4-G-.dwg</t>
  </si>
  <si>
    <t>SKEY.dwg</t>
  </si>
  <si>
    <t>SKEY-J0.dwg</t>
  </si>
  <si>
    <t>SKEY-JA.dwg</t>
  </si>
  <si>
    <t>SKEY-M0.dwg</t>
  </si>
  <si>
    <t>SKEY-MA.dwg</t>
  </si>
  <si>
    <t>SKEY-MB.dwg</t>
  </si>
  <si>
    <t>SKEY-MBR.dwg</t>
  </si>
  <si>
    <t>SKEY-MC.dwg</t>
  </si>
  <si>
    <t>SKEY-MD.dwg</t>
  </si>
  <si>
    <t>SKEY-N0.dwg</t>
  </si>
  <si>
    <t>SKEY-NA.dwg</t>
  </si>
  <si>
    <t>SKEY-NB.dwg</t>
  </si>
  <si>
    <t>SKEY-NC.dwg</t>
  </si>
  <si>
    <t>SKEY-ND.dwg</t>
  </si>
  <si>
    <t>SKEY-P0.dwg</t>
  </si>
  <si>
    <t>SKEY-PA.dwg</t>
  </si>
  <si>
    <t>SKEY-PB.dwg</t>
  </si>
  <si>
    <t>SKEY-PC.dwg</t>
  </si>
  <si>
    <t>SKEY-PD.dwg</t>
  </si>
  <si>
    <t>SKEY-T0.dwg</t>
  </si>
  <si>
    <t>SKEY-TA.dwg</t>
  </si>
  <si>
    <t>SKEY-TB.dwg</t>
  </si>
  <si>
    <t>SKEY-TC.dwg</t>
  </si>
  <si>
    <t>SKEY-TD.dwg</t>
  </si>
  <si>
    <t>SKEY-U0.dwg</t>
  </si>
  <si>
    <t>SKEY-UA.dwg</t>
  </si>
  <si>
    <t>SKEY-UB.dwg</t>
  </si>
  <si>
    <t>SKEY-UC.dwg</t>
  </si>
  <si>
    <t>SKEY-UD.dwg</t>
  </si>
  <si>
    <t>SKEY-V0.dwg</t>
  </si>
  <si>
    <t>SKEY-VA.dwg</t>
  </si>
  <si>
    <t>SKEY-VB.dwg</t>
  </si>
  <si>
    <t>SKEY-VC.dwg</t>
  </si>
  <si>
    <t>SKEY-VD.dwg</t>
  </si>
  <si>
    <t>SKEY-W0.dwg</t>
  </si>
  <si>
    <t>Atypical xrefs</t>
  </si>
  <si>
    <t>is in list?</t>
  </si>
  <si>
    <t>is 8 letters?</t>
  </si>
  <si>
    <t>first letter G or R?</t>
  </si>
  <si>
    <t>IsLegal?</t>
  </si>
  <si>
    <t>SumLegal</t>
  </si>
</sst>
</file>

<file path=xl/styles.xml><?xml version="1.0" encoding="utf-8"?>
<styleSheet xmlns="http://schemas.openxmlformats.org/spreadsheetml/2006/main">
  <numFmts count="1">
    <numFmt numFmtId="164" formatCode="B1dd\-mmm\-yy"/>
  </numFmts>
  <fonts count="21">
    <font>
      <sz val="11"/>
      <color theme="1"/>
      <name val="Arial"/>
      <family val="2"/>
      <charset val="177"/>
      <scheme val="minor"/>
    </font>
    <font>
      <b/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Times New Roman"/>
      <family val="1"/>
    </font>
    <font>
      <b/>
      <i/>
      <sz val="12"/>
      <name val="Times New Roman"/>
      <family val="1"/>
    </font>
    <font>
      <sz val="8"/>
      <name val="Arial"/>
      <family val="2"/>
    </font>
    <font>
      <b/>
      <sz val="8"/>
      <color indexed="1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0"/>
      <color indexed="18"/>
      <name val="Times New Roman"/>
      <family val="1"/>
    </font>
    <font>
      <sz val="10"/>
      <name val="Times New Roman"/>
      <family val="1"/>
    </font>
    <font>
      <sz val="1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0"/>
      <color theme="1"/>
      <name val="Times New Roman"/>
      <family val="1"/>
    </font>
    <font>
      <sz val="10"/>
      <color theme="1"/>
      <name val="Times New Roman"/>
      <family val="1"/>
      <scheme val="maj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0" xfId="0" applyFill="1"/>
    <xf numFmtId="0" fontId="0" fillId="0" borderId="1" xfId="0" applyBorder="1"/>
    <xf numFmtId="0" fontId="14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9" xfId="0" applyFont="1" applyBorder="1"/>
    <xf numFmtId="0" fontId="2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0" xfId="0" applyFont="1"/>
    <xf numFmtId="0" fontId="2" fillId="0" borderId="23" xfId="0" applyFont="1" applyBorder="1"/>
    <xf numFmtId="0" fontId="2" fillId="0" borderId="0" xfId="0" applyFont="1" applyFill="1" applyBorder="1"/>
    <xf numFmtId="49" fontId="2" fillId="0" borderId="0" xfId="0" applyNumberFormat="1" applyFont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64" fontId="0" fillId="0" borderId="1" xfId="0" applyNumberFormat="1" applyBorder="1"/>
    <xf numFmtId="0" fontId="0" fillId="0" borderId="9" xfId="0" applyFill="1" applyBorder="1"/>
    <xf numFmtId="0" fontId="0" fillId="0" borderId="12" xfId="0" applyBorder="1"/>
    <xf numFmtId="0" fontId="3" fillId="0" borderId="0" xfId="0" applyFont="1" applyAlignment="1"/>
    <xf numFmtId="0" fontId="4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  <xf numFmtId="0" fontId="7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top" wrapText="1"/>
    </xf>
    <xf numFmtId="0" fontId="7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top" wrapText="1"/>
    </xf>
    <xf numFmtId="0" fontId="1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vertical="top" wrapText="1"/>
    </xf>
    <xf numFmtId="0" fontId="1" fillId="0" borderId="30" xfId="0" applyFont="1" applyBorder="1" applyAlignment="1">
      <alignment vertical="center" wrapText="1"/>
    </xf>
    <xf numFmtId="0" fontId="7" fillId="0" borderId="30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2" borderId="13" xfId="0" applyFill="1" applyBorder="1"/>
    <xf numFmtId="0" fontId="0" fillId="0" borderId="31" xfId="0" applyBorder="1"/>
    <xf numFmtId="0" fontId="15" fillId="0" borderId="22" xfId="0" applyFont="1" applyBorder="1"/>
    <xf numFmtId="0" fontId="0" fillId="2" borderId="0" xfId="0" applyFill="1" applyBorder="1"/>
    <xf numFmtId="0" fontId="0" fillId="0" borderId="0" xfId="0" applyFill="1"/>
    <xf numFmtId="0" fontId="0" fillId="0" borderId="21" xfId="0" applyFill="1" applyBorder="1"/>
    <xf numFmtId="0" fontId="0" fillId="2" borderId="19" xfId="0" applyFill="1" applyBorder="1"/>
    <xf numFmtId="0" fontId="0" fillId="2" borderId="25" xfId="0" applyFill="1" applyBorder="1"/>
    <xf numFmtId="0" fontId="0" fillId="0" borderId="25" xfId="0" applyFill="1" applyBorder="1"/>
    <xf numFmtId="0" fontId="0" fillId="0" borderId="20" xfId="0" applyFill="1" applyBorder="1"/>
    <xf numFmtId="0" fontId="0" fillId="0" borderId="22" xfId="0" applyFill="1" applyBorder="1"/>
    <xf numFmtId="0" fontId="2" fillId="0" borderId="21" xfId="0" applyFont="1" applyFill="1" applyBorder="1"/>
    <xf numFmtId="0" fontId="2" fillId="2" borderId="21" xfId="0" applyFont="1" applyFill="1" applyBorder="1"/>
    <xf numFmtId="1" fontId="0" fillId="0" borderId="0" xfId="0" applyNumberFormat="1" applyBorder="1"/>
    <xf numFmtId="0" fontId="0" fillId="0" borderId="26" xfId="0" applyFill="1" applyBorder="1"/>
    <xf numFmtId="0" fontId="0" fillId="0" borderId="24" xfId="0" applyFill="1" applyBorder="1"/>
    <xf numFmtId="0" fontId="16" fillId="0" borderId="21" xfId="0" applyFont="1" applyBorder="1"/>
    <xf numFmtId="0" fontId="0" fillId="0" borderId="23" xfId="0" applyFill="1" applyBorder="1"/>
    <xf numFmtId="0" fontId="0" fillId="2" borderId="20" xfId="0" applyFill="1" applyBorder="1"/>
    <xf numFmtId="0" fontId="0" fillId="2" borderId="26" xfId="0" applyFill="1" applyBorder="1"/>
    <xf numFmtId="0" fontId="0" fillId="2" borderId="6" xfId="0" applyFill="1" applyBorder="1"/>
    <xf numFmtId="0" fontId="0" fillId="0" borderId="4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5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6" fillId="3" borderId="21" xfId="0" applyFont="1" applyFill="1" applyBorder="1" applyAlignment="1">
      <alignment horizontal="left" indent="1"/>
    </xf>
    <xf numFmtId="0" fontId="0" fillId="3" borderId="0" xfId="0" applyFill="1" applyBorder="1"/>
    <xf numFmtId="0" fontId="0" fillId="3" borderId="22" xfId="0" applyFill="1" applyBorder="1"/>
    <xf numFmtId="0" fontId="0" fillId="0" borderId="0" xfId="0" applyNumberFormat="1" applyBorder="1"/>
    <xf numFmtId="0" fontId="0" fillId="5" borderId="0" xfId="0" applyFill="1" applyBorder="1"/>
    <xf numFmtId="0" fontId="2" fillId="0" borderId="1" xfId="0" applyFont="1" applyBorder="1"/>
    <xf numFmtId="0" fontId="0" fillId="4" borderId="1" xfId="0" applyFill="1" applyBorder="1"/>
    <xf numFmtId="0" fontId="2" fillId="4" borderId="1" xfId="0" applyFont="1" applyFill="1" applyBorder="1"/>
    <xf numFmtId="0" fontId="16" fillId="3" borderId="21" xfId="0" applyFont="1" applyFill="1" applyBorder="1"/>
    <xf numFmtId="0" fontId="2" fillId="5" borderId="21" xfId="0" applyFont="1" applyFill="1" applyBorder="1"/>
    <xf numFmtId="0" fontId="16" fillId="3" borderId="0" xfId="0" applyFont="1" applyFill="1" applyBorder="1" applyAlignment="1">
      <alignment horizontal="left" indent="1"/>
    </xf>
    <xf numFmtId="0" fontId="16" fillId="3" borderId="22" xfId="0" applyFont="1" applyFill="1" applyBorder="1" applyAlignment="1">
      <alignment horizontal="left" indent="1"/>
    </xf>
    <xf numFmtId="0" fontId="16" fillId="3" borderId="0" xfId="0" applyFont="1" applyFill="1" applyBorder="1"/>
    <xf numFmtId="0" fontId="0" fillId="3" borderId="21" xfId="0" applyFill="1" applyBorder="1"/>
    <xf numFmtId="0" fontId="13" fillId="3" borderId="21" xfId="0" applyFont="1" applyFill="1" applyBorder="1" applyAlignment="1">
      <alignment horizontal="left" indent="1"/>
    </xf>
    <xf numFmtId="0" fontId="17" fillId="3" borderId="0" xfId="0" applyFont="1" applyFill="1" applyBorder="1"/>
    <xf numFmtId="49" fontId="0" fillId="0" borderId="4" xfId="0" applyNumberFormat="1" applyBorder="1"/>
    <xf numFmtId="0" fontId="2" fillId="0" borderId="5" xfId="0" applyFont="1" applyBorder="1"/>
    <xf numFmtId="49" fontId="0" fillId="0" borderId="6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2" fillId="0" borderId="3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4" xfId="0" applyFont="1" applyBorder="1"/>
    <xf numFmtId="0" fontId="0" fillId="0" borderId="5" xfId="0" applyFill="1" applyBorder="1"/>
    <xf numFmtId="0" fontId="0" fillId="0" borderId="8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32" xfId="0" applyFill="1" applyBorder="1"/>
    <xf numFmtId="0" fontId="0" fillId="5" borderId="36" xfId="0" applyFill="1" applyBorder="1"/>
    <xf numFmtId="0" fontId="0" fillId="5" borderId="33" xfId="0" applyFill="1" applyBorder="1"/>
    <xf numFmtId="14" fontId="4" fillId="0" borderId="0" xfId="0" applyNumberFormat="1" applyFont="1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18" fillId="0" borderId="0" xfId="0" applyFont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20" fillId="0" borderId="0" xfId="0" applyFont="1"/>
    <xf numFmtId="0" fontId="0" fillId="0" borderId="16" xfId="0" applyFill="1" applyBorder="1"/>
  </cellXfs>
  <cellStyles count="1">
    <cellStyle name="Normal" xfId="0" builtinId="0"/>
  </cellStyles>
  <dxfs count="2">
    <dxf>
      <font>
        <condense val="0"/>
        <extend val="0"/>
        <color indexed="18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4</xdr:row>
      <xdr:rowOff>104775</xdr:rowOff>
    </xdr:from>
    <xdr:to>
      <xdr:col>20</xdr:col>
      <xdr:colOff>0</xdr:colOff>
      <xdr:row>7</xdr:row>
      <xdr:rowOff>190500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11344275" y="904875"/>
          <a:ext cx="23717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For Clarifications Turn To: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Tzeitin Lili                 68-57628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Liser Elena                 68-57627 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1"/>
  <sheetViews>
    <sheetView workbookViewId="0">
      <selection activeCell="C4" sqref="C4:D4"/>
    </sheetView>
  </sheetViews>
  <sheetFormatPr defaultRowHeight="14.25"/>
  <cols>
    <col min="3" max="3" width="20.375" bestFit="1" customWidth="1"/>
  </cols>
  <sheetData>
    <row r="1" spans="1:20" ht="15.75">
      <c r="A1" s="45" t="s">
        <v>727</v>
      </c>
      <c r="C1" s="46" t="s">
        <v>728</v>
      </c>
      <c r="T1" s="47"/>
    </row>
    <row r="2" spans="1:20" ht="15.75">
      <c r="A2" s="48" t="s">
        <v>729</v>
      </c>
      <c r="C2" s="46" t="s">
        <v>730</v>
      </c>
      <c r="T2" s="47"/>
    </row>
    <row r="3" spans="1:20" ht="15.75">
      <c r="A3" s="48" t="s">
        <v>731</v>
      </c>
      <c r="C3" s="46" t="s">
        <v>732</v>
      </c>
      <c r="T3" s="47"/>
    </row>
    <row r="4" spans="1:20" ht="15.75">
      <c r="A4" s="48" t="s">
        <v>733</v>
      </c>
      <c r="C4" s="132">
        <f>Date</f>
        <v>0</v>
      </c>
      <c r="D4" s="132"/>
      <c r="T4" s="47"/>
    </row>
    <row r="5" spans="1:20" ht="15.75">
      <c r="A5" s="48"/>
      <c r="T5" s="47"/>
    </row>
    <row r="6" spans="1:20" ht="15.75">
      <c r="A6" s="49" t="s">
        <v>734</v>
      </c>
      <c r="T6" s="47"/>
    </row>
    <row r="7" spans="1:20" ht="15.75">
      <c r="A7" s="49" t="s">
        <v>735</v>
      </c>
      <c r="T7" s="47"/>
    </row>
    <row r="8" spans="1:20" ht="15.75">
      <c r="A8" s="49" t="s">
        <v>736</v>
      </c>
      <c r="T8" s="47"/>
    </row>
    <row r="9" spans="1:20" ht="16.5" thickBot="1">
      <c r="A9" s="49"/>
      <c r="T9" s="47"/>
    </row>
    <row r="10" spans="1:20">
      <c r="A10" s="50"/>
      <c r="B10" s="51">
        <v>1</v>
      </c>
      <c r="C10" s="51">
        <v>2</v>
      </c>
      <c r="D10" s="51">
        <v>3</v>
      </c>
      <c r="E10" s="51">
        <v>4</v>
      </c>
      <c r="F10" s="51">
        <v>5</v>
      </c>
      <c r="G10" s="52">
        <v>6</v>
      </c>
      <c r="H10" s="51">
        <v>7</v>
      </c>
      <c r="I10" s="51">
        <v>8</v>
      </c>
      <c r="J10" s="51">
        <v>9</v>
      </c>
      <c r="K10" s="51">
        <v>10</v>
      </c>
      <c r="L10" s="51">
        <v>11</v>
      </c>
      <c r="M10" s="51">
        <v>12</v>
      </c>
      <c r="N10" s="51">
        <v>13</v>
      </c>
      <c r="O10" s="51">
        <v>14</v>
      </c>
      <c r="P10" s="51">
        <v>15</v>
      </c>
      <c r="Q10" s="51">
        <v>16</v>
      </c>
      <c r="R10" s="51">
        <v>17</v>
      </c>
      <c r="S10" s="51">
        <v>18</v>
      </c>
      <c r="T10" s="52"/>
    </row>
    <row r="11" spans="1:20">
      <c r="A11" s="53" t="s">
        <v>737</v>
      </c>
      <c r="B11" s="54" t="s">
        <v>738</v>
      </c>
      <c r="C11" s="54" t="s">
        <v>739</v>
      </c>
      <c r="D11" s="54" t="s">
        <v>740</v>
      </c>
      <c r="E11" s="54" t="s">
        <v>741</v>
      </c>
      <c r="F11" s="54" t="s">
        <v>742</v>
      </c>
      <c r="G11" s="55" t="s">
        <v>742</v>
      </c>
      <c r="H11" s="54" t="s">
        <v>742</v>
      </c>
      <c r="I11" s="54" t="s">
        <v>709</v>
      </c>
      <c r="J11" s="54" t="s">
        <v>743</v>
      </c>
      <c r="K11" s="54" t="s">
        <v>744</v>
      </c>
      <c r="L11" s="54" t="s">
        <v>745</v>
      </c>
      <c r="M11" s="54" t="s">
        <v>746</v>
      </c>
      <c r="N11" s="54" t="s">
        <v>747</v>
      </c>
      <c r="O11" s="54" t="s">
        <v>748</v>
      </c>
      <c r="P11" s="54" t="s">
        <v>749</v>
      </c>
      <c r="Q11" s="54" t="s">
        <v>750</v>
      </c>
      <c r="R11" s="54" t="s">
        <v>751</v>
      </c>
      <c r="S11" s="54" t="s">
        <v>752</v>
      </c>
      <c r="T11" s="55" t="s">
        <v>753</v>
      </c>
    </row>
    <row r="12" spans="1:20">
      <c r="A12" s="53"/>
      <c r="B12" s="54" t="s">
        <v>14</v>
      </c>
      <c r="C12" s="54" t="s">
        <v>754</v>
      </c>
      <c r="D12" s="54" t="s">
        <v>755</v>
      </c>
      <c r="E12" s="54" t="s">
        <v>756</v>
      </c>
      <c r="F12" s="54"/>
      <c r="G12" s="55" t="s">
        <v>85</v>
      </c>
      <c r="H12" s="54" t="s">
        <v>33</v>
      </c>
      <c r="I12" s="54">
        <v>0</v>
      </c>
      <c r="J12" s="54" t="s">
        <v>59</v>
      </c>
      <c r="K12" s="54" t="s">
        <v>757</v>
      </c>
      <c r="L12" s="54"/>
      <c r="M12" s="54"/>
      <c r="N12" s="54" t="s">
        <v>758</v>
      </c>
      <c r="O12" s="54" t="s">
        <v>759</v>
      </c>
      <c r="P12" s="54" t="s">
        <v>760</v>
      </c>
      <c r="Q12" s="54" t="s">
        <v>761</v>
      </c>
      <c r="R12" s="54" t="s">
        <v>762</v>
      </c>
      <c r="S12" s="54"/>
      <c r="T12" s="55"/>
    </row>
    <row r="13" spans="1:20" ht="15" thickBot="1">
      <c r="A13" s="56"/>
      <c r="B13" s="57" t="s">
        <v>763</v>
      </c>
      <c r="C13" s="57" t="s">
        <v>764</v>
      </c>
      <c r="D13" s="57" t="s">
        <v>765</v>
      </c>
      <c r="E13" s="57" t="s">
        <v>742</v>
      </c>
      <c r="F13" s="57"/>
      <c r="G13" s="58"/>
      <c r="H13" s="57"/>
      <c r="I13" s="57" t="s">
        <v>766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8"/>
    </row>
    <row r="14" spans="1:20" ht="15.75" thickTop="1" thickBot="1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1"/>
    </row>
    <row r="15" spans="1:20" ht="15" thickBot="1">
      <c r="A15" s="5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1"/>
    </row>
    <row r="16" spans="1:20" ht="15" thickBot="1">
      <c r="A16" s="59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1"/>
    </row>
    <row r="17" spans="1:20" ht="15" thickBot="1">
      <c r="A17" s="62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3"/>
    </row>
    <row r="18" spans="1:20" ht="15" thickBot="1">
      <c r="A18" s="62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3"/>
    </row>
    <row r="19" spans="1:20" ht="15" thickBot="1">
      <c r="A19" s="62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3"/>
    </row>
    <row r="20" spans="1:20" ht="15" thickBot="1">
      <c r="A20" s="62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3"/>
    </row>
    <row r="21" spans="1:20" ht="15" thickBot="1">
      <c r="A21" s="62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3"/>
    </row>
    <row r="22" spans="1:20" ht="15" thickBot="1">
      <c r="A22" s="64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5"/>
    </row>
    <row r="23" spans="1:20" ht="15" thickBot="1">
      <c r="A23" s="64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5"/>
    </row>
    <row r="24" spans="1:20" ht="15" thickBot="1">
      <c r="A24" s="64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5"/>
    </row>
    <row r="25" spans="1:20" ht="15" thickBot="1">
      <c r="A25" s="64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5"/>
    </row>
    <row r="26" spans="1:20" ht="15" thickBot="1">
      <c r="A26" s="64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5"/>
    </row>
    <row r="27" spans="1:20" ht="15" thickBot="1">
      <c r="A27" s="64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5"/>
    </row>
    <row r="28" spans="1:20" ht="15" thickBot="1">
      <c r="A28" s="64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5"/>
    </row>
    <row r="29" spans="1:20" ht="15" thickBot="1">
      <c r="A29" s="64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5"/>
    </row>
    <row r="30" spans="1:20" ht="15" thickBot="1">
      <c r="A30" s="64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5"/>
    </row>
    <row r="31" spans="1:20" ht="15" thickBot="1">
      <c r="A31" s="64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5"/>
    </row>
    <row r="32" spans="1:20" ht="15" thickBot="1">
      <c r="A32" s="64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5"/>
    </row>
    <row r="33" spans="1:20" ht="15" thickBot="1">
      <c r="A33" s="64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5"/>
    </row>
    <row r="34" spans="1:20" ht="15" thickBot="1">
      <c r="A34" s="64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5"/>
    </row>
    <row r="35" spans="1:20" ht="15" thickBot="1">
      <c r="A35" s="64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5"/>
    </row>
    <row r="36" spans="1:20" ht="15" thickBot="1">
      <c r="A36" s="64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5"/>
    </row>
    <row r="37" spans="1:20" ht="15" thickBot="1">
      <c r="A37" s="64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5"/>
    </row>
    <row r="38" spans="1:20" ht="15" thickBot="1">
      <c r="A38" s="64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5"/>
    </row>
    <row r="39" spans="1:20" ht="15" thickBot="1">
      <c r="A39" s="64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5"/>
    </row>
    <row r="40" spans="1:20" ht="15" thickBot="1">
      <c r="A40" s="64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5"/>
    </row>
    <row r="41" spans="1:20" ht="15" thickBot="1">
      <c r="A41" s="64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5"/>
    </row>
    <row r="42" spans="1:20" ht="15" thickBot="1">
      <c r="A42" s="64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5"/>
    </row>
    <row r="43" spans="1:20" ht="15" thickBot="1">
      <c r="A43" s="64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5"/>
    </row>
    <row r="44" spans="1:20" ht="15" thickBot="1">
      <c r="A44" s="64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5"/>
    </row>
    <row r="45" spans="1:20" ht="15" thickBot="1">
      <c r="A45" s="64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5"/>
    </row>
    <row r="46" spans="1:20" ht="15" thickBot="1">
      <c r="A46" s="64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5"/>
    </row>
    <row r="47" spans="1:20" ht="15" thickBot="1">
      <c r="A47" s="64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5"/>
    </row>
    <row r="48" spans="1:20" ht="15" thickBot="1">
      <c r="A48" s="64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5"/>
    </row>
    <row r="49" spans="1:20" ht="15" thickBot="1">
      <c r="A49" s="64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5"/>
    </row>
    <row r="50" spans="1:20" ht="15" thickBot="1">
      <c r="A50" s="64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5"/>
    </row>
    <row r="51" spans="1:20" ht="15" thickBot="1">
      <c r="A51" s="64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5"/>
    </row>
    <row r="52" spans="1:20" ht="15" thickBot="1">
      <c r="A52" s="64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5"/>
    </row>
    <row r="53" spans="1:20" ht="15" thickBot="1">
      <c r="A53" s="64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5"/>
    </row>
    <row r="54" spans="1:20" ht="15" thickBot="1">
      <c r="A54" s="64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5"/>
    </row>
    <row r="55" spans="1:20" ht="15" thickBot="1">
      <c r="A55" s="64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5"/>
    </row>
    <row r="56" spans="1:20" ht="15" thickBot="1">
      <c r="A56" s="64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5"/>
    </row>
    <row r="57" spans="1:20" ht="15" thickBot="1">
      <c r="A57" s="64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5"/>
    </row>
    <row r="58" spans="1:20" ht="15" thickBot="1">
      <c r="A58" s="64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5"/>
    </row>
    <row r="59" spans="1:20" ht="15" thickBot="1">
      <c r="A59" s="64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5"/>
    </row>
    <row r="60" spans="1:20" ht="15" thickBot="1">
      <c r="A60" s="64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5"/>
    </row>
    <row r="61" spans="1:20" ht="15" thickBot="1">
      <c r="A61" s="64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5"/>
    </row>
    <row r="62" spans="1:20" ht="15" thickBot="1">
      <c r="A62" s="64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5"/>
    </row>
    <row r="63" spans="1:20" ht="15" thickBot="1">
      <c r="A63" s="64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5"/>
    </row>
    <row r="64" spans="1:20" ht="15" thickBot="1">
      <c r="A64" s="64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5"/>
    </row>
    <row r="65" spans="1:20" ht="15" thickBot="1">
      <c r="A65" s="64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5"/>
    </row>
    <row r="66" spans="1:20" ht="15" thickBot="1">
      <c r="A66" s="64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5"/>
    </row>
    <row r="67" spans="1:20" ht="15" thickBot="1">
      <c r="A67" s="64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5"/>
    </row>
    <row r="68" spans="1:20">
      <c r="A68" s="66"/>
      <c r="T68" s="47"/>
    </row>
    <row r="69" spans="1:20">
      <c r="A69" s="66"/>
      <c r="T69" s="47"/>
    </row>
    <row r="70" spans="1:20">
      <c r="A70" s="66"/>
      <c r="T70" s="47"/>
    </row>
    <row r="71" spans="1:20">
      <c r="A71" s="66"/>
      <c r="T71" s="47"/>
    </row>
  </sheetData>
  <mergeCells count="1">
    <mergeCell ref="C4:D4"/>
  </mergeCells>
  <conditionalFormatting sqref="B14:S67">
    <cfRule type="cellIs" dxfId="1" priority="1" stopIfTrue="1" operator="equal">
      <formula>"X"</formula>
    </cfRule>
    <cfRule type="cellIs" dxfId="0" priority="2" stopIfTrue="1" operator="equal">
      <formula>"ok"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S151"/>
  <sheetViews>
    <sheetView tabSelected="1" topLeftCell="AK1" workbookViewId="0">
      <selection activeCell="AC13" sqref="AC13"/>
    </sheetView>
  </sheetViews>
  <sheetFormatPr defaultRowHeight="14.25"/>
  <cols>
    <col min="1" max="1" width="15.75" bestFit="1" customWidth="1"/>
    <col min="2" max="2" width="25.625" bestFit="1" customWidth="1"/>
    <col min="3" max="3" width="11.125" customWidth="1"/>
    <col min="4" max="4" width="24.25" customWidth="1"/>
    <col min="5" max="5" width="18.625" bestFit="1" customWidth="1"/>
    <col min="6" max="6" width="15.625" customWidth="1"/>
    <col min="7" max="7" width="18.625" bestFit="1" customWidth="1"/>
    <col min="8" max="8" width="8.375" bestFit="1" customWidth="1"/>
    <col min="9" max="9" width="8.375" customWidth="1"/>
    <col min="10" max="10" width="17.875" customWidth="1"/>
    <col min="11" max="11" width="25.625" bestFit="1" customWidth="1"/>
    <col min="12" max="12" width="23" bestFit="1" customWidth="1"/>
    <col min="13" max="14" width="8.375" customWidth="1"/>
    <col min="15" max="15" width="14.875" bestFit="1" customWidth="1"/>
    <col min="16" max="16" width="9.5" bestFit="1" customWidth="1"/>
    <col min="17" max="18" width="8.375" customWidth="1"/>
    <col min="19" max="22" width="11.125" customWidth="1"/>
    <col min="23" max="23" width="14.875" bestFit="1" customWidth="1"/>
    <col min="24" max="25" width="14.875" customWidth="1"/>
    <col min="26" max="26" width="11.125" customWidth="1"/>
    <col min="27" max="27" width="14.875" bestFit="1" customWidth="1"/>
    <col min="28" max="32" width="11.125" customWidth="1"/>
    <col min="33" max="33" width="15.75" bestFit="1" customWidth="1"/>
    <col min="34" max="37" width="11.125" customWidth="1"/>
    <col min="38" max="38" width="14.875" bestFit="1" customWidth="1"/>
    <col min="39" max="40" width="14.875" customWidth="1"/>
    <col min="41" max="41" width="11.5" customWidth="1"/>
    <col min="43" max="43" width="4.75" bestFit="1" customWidth="1"/>
    <col min="44" max="44" width="7" bestFit="1" customWidth="1"/>
    <col min="45" max="45" width="10.375" bestFit="1" customWidth="1"/>
    <col min="46" max="46" width="14.375" bestFit="1" customWidth="1"/>
    <col min="47" max="47" width="2.875" bestFit="1" customWidth="1"/>
    <col min="48" max="48" width="6.5" bestFit="1" customWidth="1"/>
    <col min="49" max="50" width="5.5" bestFit="1" customWidth="1"/>
    <col min="51" max="51" width="8.25" bestFit="1" customWidth="1"/>
    <col min="52" max="52" width="20.375" bestFit="1" customWidth="1"/>
    <col min="53" max="53" width="10.375" bestFit="1" customWidth="1"/>
    <col min="55" max="55" width="5.75" bestFit="1" customWidth="1"/>
    <col min="56" max="56" width="14" bestFit="1" customWidth="1"/>
    <col min="57" max="57" width="9.125" bestFit="1" customWidth="1"/>
    <col min="58" max="58" width="7.625" bestFit="1" customWidth="1"/>
    <col min="59" max="59" width="14" bestFit="1" customWidth="1"/>
    <col min="60" max="60" width="5" bestFit="1" customWidth="1"/>
    <col min="61" max="61" width="11.125" bestFit="1" customWidth="1"/>
    <col min="62" max="63" width="11.125" customWidth="1"/>
    <col min="64" max="64" width="15.375" bestFit="1" customWidth="1"/>
    <col min="65" max="66" width="15.375" customWidth="1"/>
    <col min="67" max="67" width="11.125" customWidth="1"/>
    <col min="68" max="68" width="15.875" customWidth="1"/>
    <col min="69" max="70" width="14.875" customWidth="1"/>
    <col min="71" max="73" width="11.125" customWidth="1"/>
    <col min="74" max="74" width="14.875" bestFit="1" customWidth="1"/>
    <col min="75" max="77" width="11.125" customWidth="1"/>
    <col min="78" max="78" width="4.75" bestFit="1" customWidth="1"/>
    <col min="79" max="79" width="13.875" bestFit="1" customWidth="1"/>
    <col min="80" max="80" width="5.75" bestFit="1" customWidth="1"/>
    <col min="81" max="81" width="5.75" customWidth="1"/>
    <col min="82" max="82" width="15.875" bestFit="1" customWidth="1"/>
    <col min="83" max="83" width="8" customWidth="1"/>
    <col min="84" max="88" width="9" customWidth="1"/>
    <col min="89" max="89" width="7.5" bestFit="1" customWidth="1"/>
    <col min="90" max="90" width="10.875" bestFit="1" customWidth="1"/>
    <col min="91" max="91" width="7.625" bestFit="1" customWidth="1"/>
    <col min="92" max="92" width="8.5" bestFit="1" customWidth="1"/>
    <col min="93" max="93" width="6.375" bestFit="1" customWidth="1"/>
    <col min="94" max="94" width="9.125" bestFit="1" customWidth="1"/>
    <col min="95" max="95" width="11.375" bestFit="1" customWidth="1"/>
    <col min="96" max="96" width="9.125" customWidth="1"/>
    <col min="97" max="97" width="11.875" bestFit="1" customWidth="1"/>
    <col min="98" max="98" width="12" bestFit="1" customWidth="1"/>
    <col min="100" max="101" width="10.875" bestFit="1" customWidth="1"/>
    <col min="102" max="102" width="12.125" bestFit="1" customWidth="1"/>
    <col min="103" max="103" width="10.625" bestFit="1" customWidth="1"/>
    <col min="104" max="104" width="13.875" bestFit="1" customWidth="1"/>
    <col min="105" max="105" width="76.375" bestFit="1" customWidth="1"/>
    <col min="106" max="106" width="10.875" bestFit="1" customWidth="1"/>
    <col min="107" max="107" width="11.375" bestFit="1" customWidth="1"/>
    <col min="108" max="109" width="9.125" customWidth="1"/>
    <col min="110" max="110" width="15.875" bestFit="1" customWidth="1"/>
    <col min="111" max="111" width="10.375" bestFit="1" customWidth="1"/>
    <col min="115" max="115" width="13.25" bestFit="1" customWidth="1"/>
    <col min="117" max="117" width="9.375" customWidth="1"/>
    <col min="118" max="118" width="9" style="37"/>
    <col min="119" max="119" width="15.875" style="37" bestFit="1" customWidth="1"/>
    <col min="120" max="120" width="9" style="37"/>
    <col min="121" max="121" width="69.75" style="37" customWidth="1"/>
    <col min="122" max="122" width="17.75" customWidth="1"/>
    <col min="123" max="123" width="16.25" customWidth="1"/>
    <col min="124" max="124" width="13.125" customWidth="1"/>
    <col min="125" max="125" width="37.375" customWidth="1"/>
    <col min="126" max="126" width="13.125" customWidth="1"/>
    <col min="127" max="127" width="15.875" bestFit="1" customWidth="1"/>
    <col min="128" max="128" width="6" bestFit="1" customWidth="1"/>
    <col min="129" max="129" width="18.625" bestFit="1" customWidth="1"/>
    <col min="130" max="130" width="8.25" bestFit="1" customWidth="1"/>
    <col min="132" max="132" width="20.125" customWidth="1"/>
    <col min="134" max="134" width="7.625" bestFit="1" customWidth="1"/>
    <col min="135" max="135" width="14.625" bestFit="1" customWidth="1"/>
    <col min="136" max="136" width="9.25" bestFit="1" customWidth="1"/>
    <col min="137" max="137" width="10.75" bestFit="1" customWidth="1"/>
    <col min="139" max="139" width="9.25" bestFit="1" customWidth="1"/>
    <col min="140" max="140" width="10.25" bestFit="1" customWidth="1"/>
    <col min="141" max="141" width="8.875" bestFit="1" customWidth="1"/>
    <col min="142" max="143" width="10.375" bestFit="1" customWidth="1"/>
    <col min="144" max="144" width="9.875" bestFit="1" customWidth="1"/>
    <col min="145" max="145" width="10.375" bestFit="1" customWidth="1"/>
    <col min="146" max="146" width="11.25" bestFit="1" customWidth="1"/>
    <col min="147" max="147" width="8.75" bestFit="1" customWidth="1"/>
    <col min="148" max="148" width="10.25" bestFit="1" customWidth="1"/>
    <col min="149" max="149" width="11.125" bestFit="1" customWidth="1"/>
    <col min="150" max="155" width="3.875" bestFit="1" customWidth="1"/>
    <col min="156" max="156" width="3.875" customWidth="1"/>
    <col min="165" max="165" width="15" customWidth="1"/>
    <col min="195" max="195" width="10.875" bestFit="1" customWidth="1"/>
    <col min="197" max="197" width="7" bestFit="1" customWidth="1"/>
    <col min="198" max="198" width="13.125" bestFit="1" customWidth="1"/>
    <col min="199" max="199" width="13.125" customWidth="1"/>
  </cols>
  <sheetData>
    <row r="1" spans="1:201">
      <c r="A1" s="44" t="s">
        <v>0</v>
      </c>
      <c r="B1" s="6" t="s">
        <v>825</v>
      </c>
      <c r="C1" s="67"/>
      <c r="D1" s="74" t="s">
        <v>813</v>
      </c>
      <c r="E1" s="76"/>
      <c r="F1" s="76"/>
      <c r="G1" s="76"/>
      <c r="H1" s="77"/>
      <c r="I1" s="67"/>
      <c r="J1" s="74" t="s">
        <v>828</v>
      </c>
      <c r="K1" s="76"/>
      <c r="L1" s="76"/>
      <c r="M1" s="77"/>
      <c r="N1" s="67"/>
      <c r="O1" s="74" t="s">
        <v>838</v>
      </c>
      <c r="P1" s="76"/>
      <c r="Q1" s="76"/>
      <c r="R1" s="76"/>
      <c r="S1" s="76"/>
      <c r="T1" s="76"/>
      <c r="U1" s="77"/>
      <c r="V1" s="67"/>
      <c r="W1" s="74" t="s">
        <v>856</v>
      </c>
      <c r="X1" s="75"/>
      <c r="Y1" s="86"/>
      <c r="Z1" s="67"/>
      <c r="AA1" s="74" t="s">
        <v>860</v>
      </c>
      <c r="AB1" s="76"/>
      <c r="AC1" s="76"/>
      <c r="AD1" s="76"/>
      <c r="AE1" s="77"/>
      <c r="AF1" s="67"/>
      <c r="AG1" s="74" t="s">
        <v>864</v>
      </c>
      <c r="AH1" s="76"/>
      <c r="AI1" s="76"/>
      <c r="AJ1" s="77"/>
      <c r="AK1" s="67"/>
      <c r="AL1" s="74" t="s">
        <v>866</v>
      </c>
      <c r="AM1" s="75"/>
      <c r="AN1" s="75"/>
      <c r="AO1" s="77"/>
      <c r="AQ1" s="18" t="s">
        <v>139</v>
      </c>
      <c r="AR1" s="16"/>
      <c r="AS1" s="5" t="s">
        <v>32</v>
      </c>
      <c r="AT1" s="5" t="s">
        <v>33</v>
      </c>
      <c r="AU1" s="5"/>
      <c r="AV1" s="5" t="s">
        <v>34</v>
      </c>
      <c r="AW1" s="5" t="s">
        <v>35</v>
      </c>
      <c r="AX1" s="5" t="s">
        <v>36</v>
      </c>
      <c r="AY1" s="5" t="s">
        <v>37</v>
      </c>
      <c r="AZ1" s="5" t="s">
        <v>38</v>
      </c>
      <c r="BA1" s="5" t="s">
        <v>39</v>
      </c>
      <c r="BB1" s="5"/>
      <c r="BC1" s="5" t="s">
        <v>40</v>
      </c>
      <c r="BD1" s="5"/>
      <c r="BE1" s="5" t="s">
        <v>42</v>
      </c>
      <c r="BF1" s="5" t="s">
        <v>43</v>
      </c>
      <c r="BG1" s="5" t="s">
        <v>41</v>
      </c>
      <c r="BH1" s="5" t="s">
        <v>44</v>
      </c>
      <c r="BI1" s="2" t="s">
        <v>45</v>
      </c>
      <c r="BJ1" s="140" t="s">
        <v>995</v>
      </c>
      <c r="BK1" s="140" t="s">
        <v>996</v>
      </c>
      <c r="BL1" s="140" t="s">
        <v>997</v>
      </c>
      <c r="BM1" s="140" t="s">
        <v>998</v>
      </c>
      <c r="BN1" s="140" t="s">
        <v>999</v>
      </c>
      <c r="BO1" s="37"/>
      <c r="BP1" s="74" t="s">
        <v>868</v>
      </c>
      <c r="BQ1" s="75"/>
      <c r="BR1" s="75"/>
      <c r="BS1" s="36"/>
      <c r="BT1" s="23"/>
      <c r="BU1" s="37"/>
      <c r="BV1" s="74" t="s">
        <v>872</v>
      </c>
      <c r="BW1" s="36"/>
      <c r="BX1" s="36"/>
      <c r="BY1" s="36"/>
      <c r="BZ1" s="68" t="s">
        <v>63</v>
      </c>
      <c r="CA1" s="5" t="s">
        <v>59</v>
      </c>
      <c r="CB1" s="6" t="s">
        <v>60</v>
      </c>
      <c r="CC1" s="37"/>
      <c r="CD1" s="74" t="s">
        <v>874</v>
      </c>
      <c r="CE1" s="36"/>
      <c r="CF1" s="36"/>
      <c r="CG1" s="36"/>
      <c r="CH1" s="36"/>
      <c r="CI1" s="23"/>
      <c r="CK1" s="74" t="s">
        <v>881</v>
      </c>
      <c r="CL1" s="75"/>
      <c r="CM1" s="36"/>
      <c r="CN1" s="36"/>
      <c r="CO1" s="36"/>
      <c r="CP1" s="36"/>
      <c r="CQ1" s="36"/>
      <c r="CR1" s="36"/>
      <c r="CS1" s="44" t="s">
        <v>689</v>
      </c>
      <c r="CT1" s="6"/>
      <c r="CU1" s="36"/>
      <c r="CV1" s="5" t="s">
        <v>693</v>
      </c>
      <c r="CW1" s="5" t="s">
        <v>692</v>
      </c>
      <c r="CX1" s="5" t="s">
        <v>688</v>
      </c>
      <c r="CY1" s="5" t="s">
        <v>671</v>
      </c>
      <c r="CZ1" s="5"/>
      <c r="DA1" s="5"/>
      <c r="DB1" s="5"/>
      <c r="DC1" s="6"/>
      <c r="DE1" s="37"/>
      <c r="DF1" s="74" t="s">
        <v>884</v>
      </c>
      <c r="DG1" s="36"/>
      <c r="DH1" s="36"/>
      <c r="DI1" s="36"/>
      <c r="DJ1" s="36"/>
      <c r="DK1" s="36"/>
      <c r="DL1" s="36"/>
      <c r="DM1" s="23"/>
      <c r="DO1" s="74" t="s">
        <v>890</v>
      </c>
      <c r="DP1" s="36"/>
      <c r="DQ1" s="23"/>
      <c r="DS1" s="74" t="s">
        <v>893</v>
      </c>
      <c r="DT1" s="36"/>
      <c r="DU1" s="23"/>
      <c r="DV1" s="37"/>
      <c r="DW1" s="74" t="s">
        <v>895</v>
      </c>
      <c r="DX1" s="36"/>
      <c r="DY1" s="36"/>
      <c r="DZ1" s="36"/>
      <c r="EA1" s="36"/>
      <c r="EB1" s="23"/>
      <c r="ED1" s="15" t="s">
        <v>66</v>
      </c>
      <c r="EE1" s="5" t="s">
        <v>59</v>
      </c>
      <c r="EF1" s="5" t="s">
        <v>126</v>
      </c>
      <c r="EG1" s="5" t="s">
        <v>127</v>
      </c>
      <c r="EH1" s="5" t="s">
        <v>128</v>
      </c>
      <c r="EI1" s="5" t="s">
        <v>129</v>
      </c>
      <c r="EJ1" s="5" t="s">
        <v>130</v>
      </c>
      <c r="EK1" s="5" t="s">
        <v>131</v>
      </c>
      <c r="EL1" s="5" t="s">
        <v>132</v>
      </c>
      <c r="EM1" s="5" t="s">
        <v>133</v>
      </c>
      <c r="EN1" s="5" t="s">
        <v>134</v>
      </c>
      <c r="EO1" s="5" t="s">
        <v>135</v>
      </c>
      <c r="EP1" s="5" t="s">
        <v>136</v>
      </c>
      <c r="EQ1" s="40" t="s">
        <v>658</v>
      </c>
      <c r="ER1" s="43" t="s">
        <v>659</v>
      </c>
      <c r="ES1" s="6" t="s">
        <v>137</v>
      </c>
      <c r="ET1" s="75">
        <v>341</v>
      </c>
      <c r="EU1" s="75">
        <v>342</v>
      </c>
      <c r="EV1" s="75">
        <v>343</v>
      </c>
      <c r="EW1" s="75">
        <v>344</v>
      </c>
      <c r="EX1" s="75">
        <v>371</v>
      </c>
      <c r="EY1" s="75">
        <v>372</v>
      </c>
      <c r="EZ1" s="75"/>
      <c r="FA1" s="36"/>
      <c r="FB1" s="22"/>
      <c r="FC1" s="36"/>
      <c r="FD1" s="5" t="s">
        <v>668</v>
      </c>
      <c r="FE1" s="5" t="s">
        <v>666</v>
      </c>
      <c r="FF1" s="5" t="s">
        <v>662</v>
      </c>
      <c r="FG1" s="5" t="s">
        <v>665</v>
      </c>
      <c r="FH1" s="5"/>
      <c r="FI1" s="5" t="s">
        <v>660</v>
      </c>
      <c r="FJ1" s="5" t="s">
        <v>661</v>
      </c>
      <c r="FK1" s="36"/>
      <c r="FL1" s="36" t="s">
        <v>695</v>
      </c>
      <c r="FM1" s="36" t="s">
        <v>700</v>
      </c>
      <c r="FN1" s="75" t="s">
        <v>701</v>
      </c>
      <c r="FO1" s="36" t="s">
        <v>702</v>
      </c>
      <c r="FP1" s="36" t="s">
        <v>703</v>
      </c>
      <c r="FQ1" s="75" t="s">
        <v>704</v>
      </c>
      <c r="FR1" s="36" t="s">
        <v>705</v>
      </c>
      <c r="FS1" s="36" t="s">
        <v>706</v>
      </c>
      <c r="FT1" s="36" t="s">
        <v>707</v>
      </c>
      <c r="FU1" s="36" t="s">
        <v>708</v>
      </c>
      <c r="FV1" s="36" t="s">
        <v>709</v>
      </c>
      <c r="FW1" s="36" t="s">
        <v>710</v>
      </c>
      <c r="FX1" s="36" t="s">
        <v>711</v>
      </c>
      <c r="FY1" s="36" t="s">
        <v>712</v>
      </c>
      <c r="FZ1" s="75" t="s">
        <v>713</v>
      </c>
      <c r="GA1" s="36" t="s">
        <v>714</v>
      </c>
      <c r="GB1" s="75" t="s">
        <v>715</v>
      </c>
      <c r="GC1" s="75" t="s">
        <v>716</v>
      </c>
      <c r="GD1" s="75" t="s">
        <v>717</v>
      </c>
      <c r="GE1" s="75" t="s">
        <v>718</v>
      </c>
      <c r="GF1" s="36" t="s">
        <v>719</v>
      </c>
      <c r="GG1" s="75" t="s">
        <v>720</v>
      </c>
      <c r="GH1" s="36" t="s">
        <v>721</v>
      </c>
      <c r="GI1" s="36" t="s">
        <v>722</v>
      </c>
      <c r="GJ1" s="36" t="s">
        <v>723</v>
      </c>
      <c r="GK1" s="36" t="s">
        <v>724</v>
      </c>
      <c r="GL1" s="36" t="s">
        <v>725</v>
      </c>
      <c r="GM1" s="86" t="s">
        <v>726</v>
      </c>
      <c r="GO1" s="4" t="s">
        <v>68</v>
      </c>
      <c r="GP1" s="2" t="str">
        <f>IF(SUM(lineTypeError)&gt;0,"x","ok")</f>
        <v>x</v>
      </c>
      <c r="GS1" s="1" t="s">
        <v>70</v>
      </c>
    </row>
    <row r="2" spans="1:201" ht="15" thickBot="1">
      <c r="A2" s="9" t="s">
        <v>138</v>
      </c>
      <c r="B2" s="11"/>
      <c r="C2" s="67"/>
      <c r="D2" s="97" t="s">
        <v>814</v>
      </c>
      <c r="E2" s="98"/>
      <c r="F2" s="98"/>
      <c r="G2" s="98"/>
      <c r="H2" s="99"/>
      <c r="I2" s="67"/>
      <c r="J2" s="97" t="s">
        <v>829</v>
      </c>
      <c r="K2" s="98"/>
      <c r="L2" s="98"/>
      <c r="M2" s="99"/>
      <c r="N2" s="67"/>
      <c r="O2" s="105" t="s">
        <v>839</v>
      </c>
      <c r="P2" s="98"/>
      <c r="Q2" s="98"/>
      <c r="R2" s="98"/>
      <c r="S2" s="98"/>
      <c r="T2" s="98"/>
      <c r="U2" s="99"/>
      <c r="V2" s="67"/>
      <c r="W2" s="97" t="s">
        <v>859</v>
      </c>
      <c r="X2" s="107"/>
      <c r="Y2" s="108"/>
      <c r="Z2" s="67"/>
      <c r="AA2" s="105" t="s">
        <v>861</v>
      </c>
      <c r="AB2" s="98"/>
      <c r="AC2" s="98"/>
      <c r="AD2" s="98"/>
      <c r="AE2" s="99"/>
      <c r="AF2" s="67"/>
      <c r="AG2" s="97" t="s">
        <v>865</v>
      </c>
      <c r="AH2" s="98"/>
      <c r="AI2" s="98"/>
      <c r="AJ2" s="99"/>
      <c r="AK2" s="67"/>
      <c r="AL2" s="97" t="s">
        <v>867</v>
      </c>
      <c r="AM2" s="107"/>
      <c r="AN2" s="107"/>
      <c r="AO2" s="99"/>
      <c r="AQ2" s="19" t="s">
        <v>140</v>
      </c>
      <c r="AR2" s="17" t="s">
        <v>31</v>
      </c>
      <c r="AS2" s="2" t="s">
        <v>82</v>
      </c>
      <c r="AT2" s="2" t="s">
        <v>83</v>
      </c>
      <c r="AU2" s="2">
        <v>12</v>
      </c>
      <c r="AV2" s="2"/>
      <c r="AW2" s="2"/>
      <c r="AX2" s="2" t="s">
        <v>86</v>
      </c>
      <c r="AY2" s="2" t="s">
        <v>86</v>
      </c>
      <c r="AZ2" s="2"/>
      <c r="BA2" s="2"/>
      <c r="BB2" s="2"/>
      <c r="BC2" s="2" t="s">
        <v>85</v>
      </c>
      <c r="BD2" s="2"/>
      <c r="BE2" s="2" t="s">
        <v>84</v>
      </c>
      <c r="BF2" s="2"/>
      <c r="BG2" s="2" t="str">
        <f>IF(LEN(BC2)&gt;2,IF(BC2="0,0,0","No","Yes"),"")</f>
        <v>No</v>
      </c>
      <c r="BH2" s="2"/>
      <c r="BI2" s="2"/>
      <c r="BJ2" s="37" t="str">
        <f>IF(AT2="","",IF(ISERROR(VLOOKUP(AT2,oddXrefs,1,FALSE)),"No",(IF(AT2=VLOOKUP(AT2,oddXrefs,1,FALSE),"Yes","No"))))</f>
        <v>Yes</v>
      </c>
      <c r="BK2" s="37" t="str">
        <f>IF(AS2="","",IF(LEN(AS2)=8,"Yes","No"))</f>
        <v>No</v>
      </c>
      <c r="BL2" s="37" t="str">
        <f>IF(AS2="","",IF(OR(LEFT(AS2,1)="G",LEFT(AS2,1)="R"),"Yes","No"))</f>
        <v>Yes</v>
      </c>
      <c r="BM2" s="37" t="str">
        <f>IF(AS2="","",IF(BJ2="Yes","Yes",IF(AND(BK2="Yes",BL2="Yes"),"Yes","No")))</f>
        <v>Yes</v>
      </c>
      <c r="BN2" s="37">
        <f>IF(BM2="No",1,0)</f>
        <v>0</v>
      </c>
      <c r="BO2" s="37"/>
      <c r="BP2" s="97" t="s">
        <v>869</v>
      </c>
      <c r="BQ2" s="107"/>
      <c r="BR2" s="107"/>
      <c r="BS2" s="98"/>
      <c r="BT2" s="99"/>
      <c r="BU2" s="37"/>
      <c r="BV2" s="105" t="s">
        <v>873</v>
      </c>
      <c r="BW2" s="98"/>
      <c r="BX2" s="98"/>
      <c r="BY2" s="98"/>
      <c r="BZ2" s="17"/>
      <c r="CA2" s="2">
        <v>0</v>
      </c>
      <c r="CB2" s="8"/>
      <c r="CC2" s="37"/>
      <c r="CD2" s="105" t="s">
        <v>875</v>
      </c>
      <c r="CE2" s="98"/>
      <c r="CF2" s="98"/>
      <c r="CG2" s="98"/>
      <c r="CH2" s="98"/>
      <c r="CI2" s="99"/>
      <c r="CK2" s="97" t="s">
        <v>882</v>
      </c>
      <c r="CL2" s="98"/>
      <c r="CM2" s="98"/>
      <c r="CN2" s="98"/>
      <c r="CO2" s="37"/>
      <c r="CP2" s="37"/>
      <c r="CQ2" s="37"/>
      <c r="CR2" s="37"/>
      <c r="CS2" s="7" t="s">
        <v>99</v>
      </c>
      <c r="CT2" s="8">
        <v>2.38</v>
      </c>
      <c r="CU2" s="37"/>
      <c r="CV2" s="2">
        <f t="shared" ref="CV2:CV33" si="0">IF(ISERROR(CW2-FIXED(CW2,0)),"",CW2-FIXED(CW2,0))</f>
        <v>0</v>
      </c>
      <c r="CW2" s="2">
        <v>1</v>
      </c>
      <c r="CX2" s="2">
        <f t="shared" ref="CX2:CX33" si="1">IF(ISERROR(VLOOKUP(DB2,$CS$2:$CT$5,2)),"",VLOOKUP(DB2,$CS$2:$CT$5,2))</f>
        <v>6.35</v>
      </c>
      <c r="CY2" s="2">
        <v>2.38</v>
      </c>
      <c r="CZ2" s="2">
        <v>0</v>
      </c>
      <c r="DA2" s="2" t="s">
        <v>672</v>
      </c>
      <c r="DB2" s="2" t="s">
        <v>100</v>
      </c>
      <c r="DC2" s="8" t="s">
        <v>673</v>
      </c>
      <c r="DE2" s="37"/>
      <c r="DF2" s="105" t="s">
        <v>885</v>
      </c>
      <c r="DG2" s="98"/>
      <c r="DH2" s="98"/>
      <c r="DI2" s="98"/>
      <c r="DJ2" s="98"/>
      <c r="DK2" s="98"/>
      <c r="DL2" s="98"/>
      <c r="DM2" s="99"/>
      <c r="DO2" s="105" t="s">
        <v>891</v>
      </c>
      <c r="DP2" s="98"/>
      <c r="DQ2" s="99"/>
      <c r="DS2" s="105" t="s">
        <v>894</v>
      </c>
      <c r="DT2" s="98"/>
      <c r="DU2" s="99"/>
      <c r="DV2" s="37"/>
      <c r="DW2" s="105" t="s">
        <v>896</v>
      </c>
      <c r="DX2" s="98"/>
      <c r="DY2" s="98"/>
      <c r="DZ2" s="98"/>
      <c r="EA2" s="98"/>
      <c r="EB2" s="99"/>
      <c r="ED2" s="7" t="s">
        <v>67</v>
      </c>
      <c r="EE2" s="2" t="s">
        <v>99</v>
      </c>
      <c r="EF2" s="2">
        <v>0</v>
      </c>
      <c r="EG2" s="2">
        <v>1</v>
      </c>
      <c r="EH2" s="2"/>
      <c r="EI2" s="2"/>
      <c r="EJ2" s="2"/>
      <c r="EK2" s="2"/>
      <c r="EL2" s="2"/>
      <c r="EM2" s="2"/>
      <c r="EN2" s="2"/>
      <c r="EO2" s="2"/>
      <c r="EP2" s="2"/>
      <c r="EQ2" s="2"/>
      <c r="ER2" s="13"/>
      <c r="ES2" s="8"/>
      <c r="ET2" s="37"/>
      <c r="EU2" s="37"/>
      <c r="EV2" s="37"/>
      <c r="EW2" s="37"/>
      <c r="EX2" s="37"/>
      <c r="EY2" s="37"/>
      <c r="EZ2" s="37"/>
      <c r="FA2" s="37"/>
      <c r="FB2" s="24" t="s">
        <v>667</v>
      </c>
      <c r="FC2" s="37" t="str">
        <f>IF(SUM(FD2:FD14)&gt;0,"No","Yes")</f>
        <v>Yes</v>
      </c>
      <c r="FD2" s="2" t="str">
        <f t="shared" ref="FD2:FD14" si="2">IF(FE2="No",1,"")</f>
        <v/>
      </c>
      <c r="FE2" s="2" t="str">
        <f>IF(LEN(FI2)&gt;2,IF(OR(AND(FJ2=1,FI2="STANDARD"),AND(FJ2=0,FI2="STANDARD"),FJ2=FF2,FJ2=FG2),"Yes","No"),"")</f>
        <v>Yes</v>
      </c>
      <c r="FF2" s="2" t="str">
        <f t="shared" ref="FF2:FF14" si="3">IF(ISERROR(VALUE(REPLACE(FI2,1,8,""))),"",VALUE(REPLACE(FI2,1,8,"")))</f>
        <v/>
      </c>
      <c r="FG2" s="2" t="str">
        <f t="shared" ref="FG2:FG14" si="4">IF(ISERROR(VALUE(REPLACE(FI2,1,9,""))),"",VALUE(REPLACE(FI2,1,9,"")))</f>
        <v/>
      </c>
      <c r="FH2" s="2">
        <v>1</v>
      </c>
      <c r="FI2" s="2" t="str">
        <f t="shared" ref="FI2:FI14" si="5">UPPER(INDEX(DimStyleNames,FH2))</f>
        <v>STANDARD</v>
      </c>
      <c r="FJ2" s="2">
        <f t="shared" ref="FJ2:FJ14" si="6">INDEX(DimStyleScales,FH2)</f>
        <v>1</v>
      </c>
      <c r="FK2" s="37"/>
      <c r="FL2" s="37"/>
      <c r="FM2" s="37" t="s">
        <v>696</v>
      </c>
      <c r="FN2" s="37">
        <v>256</v>
      </c>
      <c r="FO2" s="37">
        <v>0</v>
      </c>
      <c r="FP2" s="37" t="s">
        <v>697</v>
      </c>
      <c r="FQ2" s="37">
        <v>256</v>
      </c>
      <c r="FR2" s="37">
        <v>1</v>
      </c>
      <c r="FS2" s="37">
        <v>1</v>
      </c>
      <c r="FT2" s="37">
        <v>3</v>
      </c>
      <c r="FU2" s="37">
        <v>0</v>
      </c>
      <c r="FV2" s="37">
        <v>0</v>
      </c>
      <c r="FW2" s="37">
        <v>1</v>
      </c>
      <c r="FX2" s="37">
        <v>96.28115991107876</v>
      </c>
      <c r="FY2" s="37" t="s">
        <v>698</v>
      </c>
      <c r="FZ2" s="37">
        <v>0</v>
      </c>
      <c r="GA2" s="37">
        <v>0</v>
      </c>
      <c r="GB2" s="37">
        <v>0</v>
      </c>
      <c r="GC2" s="37">
        <v>1</v>
      </c>
      <c r="GD2" s="37" t="s">
        <v>99</v>
      </c>
      <c r="GE2" s="37">
        <v>0</v>
      </c>
      <c r="GF2" s="37" t="b">
        <v>0</v>
      </c>
      <c r="GG2" s="37">
        <v>2.38</v>
      </c>
      <c r="GH2" s="37"/>
      <c r="GI2" s="37"/>
      <c r="GJ2" s="37">
        <v>0</v>
      </c>
      <c r="GK2" s="37" t="s">
        <v>99</v>
      </c>
      <c r="GL2" s="37"/>
      <c r="GM2" s="25">
        <v>2</v>
      </c>
    </row>
    <row r="3" spans="1:201">
      <c r="A3" s="37"/>
      <c r="B3" s="37"/>
      <c r="D3" s="24"/>
      <c r="E3" s="37"/>
      <c r="F3" s="37"/>
      <c r="G3" s="37"/>
      <c r="H3" s="25"/>
      <c r="I3" s="37"/>
      <c r="J3" s="24"/>
      <c r="K3" s="37"/>
      <c r="L3" s="37"/>
      <c r="M3" s="25"/>
      <c r="N3" s="37"/>
      <c r="O3" s="105" t="s">
        <v>840</v>
      </c>
      <c r="P3" s="98"/>
      <c r="Q3" s="98"/>
      <c r="R3" s="98"/>
      <c r="S3" s="98"/>
      <c r="T3" s="98"/>
      <c r="U3" s="99"/>
      <c r="V3" s="37"/>
      <c r="W3" s="24"/>
      <c r="X3" s="37"/>
      <c r="Y3" s="25"/>
      <c r="Z3" s="37"/>
      <c r="AA3" s="105" t="s">
        <v>862</v>
      </c>
      <c r="AB3" s="98"/>
      <c r="AC3" s="98"/>
      <c r="AD3" s="98"/>
      <c r="AE3" s="99"/>
      <c r="AF3" s="37"/>
      <c r="AG3" s="24"/>
      <c r="AH3" s="37"/>
      <c r="AI3" s="37"/>
      <c r="AJ3" s="25"/>
      <c r="AK3" s="37"/>
      <c r="AL3" s="24"/>
      <c r="AM3" s="37"/>
      <c r="AN3" s="37"/>
      <c r="AO3" s="25"/>
      <c r="AQ3" s="19" t="s">
        <v>141</v>
      </c>
      <c r="AR3" s="17"/>
      <c r="AS3" s="2" t="s">
        <v>109</v>
      </c>
      <c r="AT3" s="2" t="s">
        <v>110</v>
      </c>
      <c r="AU3" s="2">
        <v>12</v>
      </c>
      <c r="AV3" s="2"/>
      <c r="AW3" s="2"/>
      <c r="AX3" s="2" t="s">
        <v>86</v>
      </c>
      <c r="AY3" s="2" t="s">
        <v>86</v>
      </c>
      <c r="AZ3" s="2"/>
      <c r="BA3" s="2"/>
      <c r="BB3" s="2"/>
      <c r="BC3" s="2" t="s">
        <v>85</v>
      </c>
      <c r="BD3" s="2"/>
      <c r="BE3" s="2" t="s">
        <v>84</v>
      </c>
      <c r="BF3" s="2"/>
      <c r="BG3" s="2" t="str">
        <f t="shared" ref="BG3:BG40" si="7">IF(LEN(BC3)&gt;2,IF(BC3="0,0,0","No","Yes"),"")</f>
        <v>No</v>
      </c>
      <c r="BH3" s="2"/>
      <c r="BI3" s="2"/>
      <c r="BJ3" s="37" t="str">
        <f>IF(AT3="","",IF(ISERROR(VLOOKUP(AT3,oddXrefs,1,FALSE)),"No",(IF(AT3=VLOOKUP(AT3,oddXrefs,1,FALSE),"Yes","No"))))</f>
        <v>No</v>
      </c>
      <c r="BK3" s="37" t="str">
        <f t="shared" ref="BK3:BK40" si="8">IF(AS3="","",IF(LEN(AS3)=8,"Yes","No"))</f>
        <v>Yes</v>
      </c>
      <c r="BL3" s="37" t="str">
        <f t="shared" ref="BL3:BL40" si="9">IF(AS3="","",IF(OR(LEFT(AS3,1)="G",LEFT(AS3,1)="R"),"Yes","No"))</f>
        <v>Yes</v>
      </c>
      <c r="BM3" s="37" t="str">
        <f t="shared" ref="BM3:BM45" si="10">IF(AS3="","",IF(BJ3="Yes","Yes",IF(AND(BK3="Yes",BL3="Yes"),"Yes","No")))</f>
        <v>Yes</v>
      </c>
      <c r="BN3" s="37">
        <f t="shared" ref="BN3:BN40" si="11">IF(BM3="No",1,0)</f>
        <v>0</v>
      </c>
      <c r="BO3" s="37"/>
      <c r="BP3" s="24"/>
      <c r="BQ3" s="37"/>
      <c r="BR3" s="37"/>
      <c r="BS3" s="37"/>
      <c r="BT3" s="25"/>
      <c r="BU3" s="37"/>
      <c r="BV3" s="24"/>
      <c r="BW3" s="37"/>
      <c r="BX3" s="37"/>
      <c r="BY3" s="37"/>
      <c r="BZ3" s="17"/>
      <c r="CA3" s="2" t="s">
        <v>96</v>
      </c>
      <c r="CB3" s="8"/>
      <c r="CC3" s="37"/>
      <c r="CD3" s="105" t="s">
        <v>877</v>
      </c>
      <c r="CE3" s="109" t="s">
        <v>878</v>
      </c>
      <c r="CF3" s="98"/>
      <c r="CG3" s="98"/>
      <c r="CH3" s="98"/>
      <c r="CI3" s="99"/>
      <c r="CK3" s="24"/>
      <c r="CL3" s="37"/>
      <c r="CM3" s="37"/>
      <c r="CN3" s="37"/>
      <c r="CO3" s="37"/>
      <c r="CP3" s="37"/>
      <c r="CQ3" s="37"/>
      <c r="CR3" s="37"/>
      <c r="CS3" s="7" t="s">
        <v>690</v>
      </c>
      <c r="CT3" s="8">
        <v>2.38</v>
      </c>
      <c r="CU3" s="37"/>
      <c r="CV3" s="2">
        <f t="shared" si="0"/>
        <v>0</v>
      </c>
      <c r="CW3" s="2">
        <f t="shared" ref="CW3:CW33" si="12">IF(ISERROR(CY3/CX3),"",CY3/CX3)</f>
        <v>1</v>
      </c>
      <c r="CX3" s="2">
        <f t="shared" si="1"/>
        <v>2.38</v>
      </c>
      <c r="CY3" s="2">
        <v>2.38</v>
      </c>
      <c r="CZ3" s="2" t="s">
        <v>98</v>
      </c>
      <c r="DA3" s="2" t="s">
        <v>674</v>
      </c>
      <c r="DB3" s="2" t="s">
        <v>99</v>
      </c>
      <c r="DC3" s="8" t="s">
        <v>675</v>
      </c>
      <c r="DE3" s="37"/>
      <c r="DF3" s="111" t="s">
        <v>886</v>
      </c>
      <c r="DG3" s="98"/>
      <c r="DH3" s="98"/>
      <c r="DI3" s="98"/>
      <c r="DJ3" s="98"/>
      <c r="DK3" s="98"/>
      <c r="DL3" s="98"/>
      <c r="DM3" s="99"/>
      <c r="DO3" s="105" t="s">
        <v>892</v>
      </c>
      <c r="DP3" s="98"/>
      <c r="DQ3" s="99"/>
      <c r="DS3" s="24"/>
      <c r="DT3" s="37"/>
      <c r="DU3" s="25"/>
      <c r="DV3" s="37"/>
      <c r="DW3" s="110"/>
      <c r="DX3" s="98"/>
      <c r="DY3" s="112" t="s">
        <v>897</v>
      </c>
      <c r="DZ3" s="98"/>
      <c r="EA3" s="98"/>
      <c r="EB3" s="99"/>
      <c r="ED3" s="7"/>
      <c r="EE3" s="2" t="s">
        <v>663</v>
      </c>
      <c r="EF3" s="2"/>
      <c r="EG3" s="2">
        <v>100</v>
      </c>
      <c r="EH3" s="2"/>
      <c r="EI3" s="2"/>
      <c r="EJ3" s="2"/>
      <c r="EK3" s="2"/>
      <c r="EL3" s="2"/>
      <c r="EM3" s="2"/>
      <c r="EN3" s="2"/>
      <c r="EO3" s="2"/>
      <c r="EP3" s="2"/>
      <c r="EQ3" s="2"/>
      <c r="ER3" s="13"/>
      <c r="ES3" s="8"/>
      <c r="ET3" s="37"/>
      <c r="EU3" s="37"/>
      <c r="EV3" s="37"/>
      <c r="EW3" s="37"/>
      <c r="EX3" s="37"/>
      <c r="EY3" s="37"/>
      <c r="EZ3" s="37"/>
      <c r="FA3" s="37"/>
      <c r="FB3" s="7" t="s">
        <v>66</v>
      </c>
      <c r="FC3" s="4" t="str">
        <f>IF(dimScaleOk="No","x","ok")</f>
        <v>ok</v>
      </c>
      <c r="FD3" s="2" t="str">
        <f t="shared" si="2"/>
        <v/>
      </c>
      <c r="FE3" s="2" t="str">
        <f t="shared" ref="FE3:FE16" si="13">IF(LEN(FI3)&gt;2,IF(OR(AND(FJ3=1,FI3="STANDARD"),AND(FJ3=0,FI3="STANDARD"),FJ3=FF3,FJ3=FG3),"Yes","No"),"")</f>
        <v>Yes</v>
      </c>
      <c r="FF3" s="2">
        <f t="shared" si="3"/>
        <v>100</v>
      </c>
      <c r="FG3" s="2">
        <f t="shared" si="4"/>
        <v>0</v>
      </c>
      <c r="FH3" s="2">
        <v>2</v>
      </c>
      <c r="FI3" s="2" t="str">
        <f t="shared" si="5"/>
        <v>STANDARD100</v>
      </c>
      <c r="FJ3" s="2">
        <f t="shared" si="6"/>
        <v>100</v>
      </c>
      <c r="FK3" s="37"/>
      <c r="FL3" s="37"/>
      <c r="FM3" s="37" t="s">
        <v>696</v>
      </c>
      <c r="FN3" s="37">
        <v>256</v>
      </c>
      <c r="FO3" s="37">
        <v>0</v>
      </c>
      <c r="FP3" s="37" t="s">
        <v>697</v>
      </c>
      <c r="FQ3" s="37">
        <v>256</v>
      </c>
      <c r="FR3" s="37">
        <v>1</v>
      </c>
      <c r="FS3" s="37">
        <v>1</v>
      </c>
      <c r="FT3" s="37">
        <v>3</v>
      </c>
      <c r="FU3" s="37">
        <v>0</v>
      </c>
      <c r="FV3" s="37">
        <v>0</v>
      </c>
      <c r="FW3" s="37">
        <v>1</v>
      </c>
      <c r="FX3" s="37">
        <v>200.71435459544273</v>
      </c>
      <c r="FY3" s="37" t="s">
        <v>699</v>
      </c>
      <c r="FZ3" s="37">
        <v>0</v>
      </c>
      <c r="GA3" s="37">
        <v>0</v>
      </c>
      <c r="GB3" s="37">
        <v>0</v>
      </c>
      <c r="GC3" s="37">
        <v>1</v>
      </c>
      <c r="GD3" s="37" t="s">
        <v>99</v>
      </c>
      <c r="GE3" s="37">
        <v>0</v>
      </c>
      <c r="GF3" s="37" t="b">
        <v>0</v>
      </c>
      <c r="GG3" s="37">
        <v>2.38</v>
      </c>
      <c r="GH3" s="37"/>
      <c r="GI3" s="37"/>
      <c r="GJ3" s="37">
        <v>0</v>
      </c>
      <c r="GK3" s="37" t="s">
        <v>99</v>
      </c>
      <c r="GL3" s="37"/>
      <c r="GM3" s="25">
        <v>2</v>
      </c>
      <c r="GO3" s="15" t="s">
        <v>68</v>
      </c>
      <c r="GP3" s="5" t="s">
        <v>59</v>
      </c>
      <c r="GQ3" s="6" t="s">
        <v>770</v>
      </c>
    </row>
    <row r="4" spans="1:201" ht="15" thickBot="1">
      <c r="A4" s="37"/>
      <c r="B4" s="37"/>
      <c r="D4" s="21" t="str">
        <f>thisdwg</f>
        <v>KST-2-F-.dwg</v>
      </c>
      <c r="E4" s="37"/>
      <c r="F4" s="37"/>
      <c r="G4" s="37"/>
      <c r="H4" s="25"/>
      <c r="I4" s="37"/>
      <c r="J4" s="7" t="s">
        <v>1</v>
      </c>
      <c r="K4" s="2">
        <v>0</v>
      </c>
      <c r="L4" s="37"/>
      <c r="M4" s="25"/>
      <c r="N4" s="37"/>
      <c r="O4" s="105" t="s">
        <v>841</v>
      </c>
      <c r="P4" s="98"/>
      <c r="Q4" s="98"/>
      <c r="R4" s="98"/>
      <c r="S4" s="98"/>
      <c r="T4" s="98"/>
      <c r="U4" s="99"/>
      <c r="V4" s="37"/>
      <c r="W4" s="24" t="s">
        <v>858</v>
      </c>
      <c r="X4" s="37" t="str">
        <f>IsEnlarged</f>
        <v>No</v>
      </c>
      <c r="Y4" s="25"/>
      <c r="Z4" s="37"/>
      <c r="AA4" s="105" t="s">
        <v>863</v>
      </c>
      <c r="AB4" s="98"/>
      <c r="AC4" s="98"/>
      <c r="AD4" s="98"/>
      <c r="AE4" s="99"/>
      <c r="AF4" s="37"/>
      <c r="AG4" s="89" t="s">
        <v>669</v>
      </c>
      <c r="AH4" s="2" t="str">
        <f>IF(ISERROR(VLOOKUP("Yes",originRange,1,FALSE)),"No",IF(VLOOKUP("Yes",originRange,1,FALSE)="Yes","Yes","No"))</f>
        <v>No</v>
      </c>
      <c r="AI4" s="39"/>
      <c r="AJ4" s="25"/>
      <c r="AK4" s="37"/>
      <c r="AL4" s="89" t="s">
        <v>670</v>
      </c>
      <c r="AM4" s="39" t="str">
        <f>IF(ISERROR(VLOOKUP("Yes",pathRange,1,FALSE)),"No",IF(VLOOKUP("Yes",pathRange,1,FALSE)="Yes","Yes","No"))</f>
        <v>No</v>
      </c>
      <c r="AN4" s="4" t="s">
        <v>142</v>
      </c>
      <c r="AO4" s="25"/>
      <c r="AQ4" s="20" t="s">
        <v>142</v>
      </c>
      <c r="AR4" s="17"/>
      <c r="AS4" s="2" t="s">
        <v>111</v>
      </c>
      <c r="AT4" s="2" t="s">
        <v>112</v>
      </c>
      <c r="AU4" s="2">
        <v>12</v>
      </c>
      <c r="AV4" s="2"/>
      <c r="AW4" s="2"/>
      <c r="AX4" s="2" t="s">
        <v>86</v>
      </c>
      <c r="AY4" s="2" t="s">
        <v>86</v>
      </c>
      <c r="AZ4" s="2"/>
      <c r="BA4" s="2"/>
      <c r="BB4" s="2"/>
      <c r="BC4" s="2" t="s">
        <v>85</v>
      </c>
      <c r="BD4" s="2"/>
      <c r="BE4" s="2" t="s">
        <v>84</v>
      </c>
      <c r="BF4" s="2"/>
      <c r="BG4" s="2" t="str">
        <f t="shared" si="7"/>
        <v>No</v>
      </c>
      <c r="BH4" s="2"/>
      <c r="BI4" s="2"/>
      <c r="BJ4" s="37" t="str">
        <f>IF(AT4="","",IF(ISERROR(VLOOKUP(AT4,oddXrefs,1,FALSE)),"No",(IF(AT4=VLOOKUP(AT4,oddXrefs,1,FALSE),"Yes","No"))))</f>
        <v>No</v>
      </c>
      <c r="BK4" s="37" t="str">
        <f t="shared" si="8"/>
        <v>Yes</v>
      </c>
      <c r="BL4" s="37" t="str">
        <f t="shared" si="9"/>
        <v>Yes</v>
      </c>
      <c r="BM4" s="37" t="str">
        <f t="shared" si="10"/>
        <v>Yes</v>
      </c>
      <c r="BN4" s="37">
        <f t="shared" si="11"/>
        <v>0</v>
      </c>
      <c r="BO4" s="37"/>
      <c r="BP4" s="7" t="s">
        <v>47</v>
      </c>
      <c r="BQ4" s="2">
        <v>2</v>
      </c>
      <c r="BR4" s="39"/>
      <c r="BS4" s="37"/>
      <c r="BT4" s="25"/>
      <c r="BU4" s="37"/>
      <c r="BV4" s="90" t="s">
        <v>63</v>
      </c>
      <c r="BW4" s="2" t="s">
        <v>72</v>
      </c>
      <c r="BX4" s="37"/>
      <c r="BY4" s="37"/>
      <c r="BZ4" s="17"/>
      <c r="CA4" s="2" t="s">
        <v>71</v>
      </c>
      <c r="CB4" s="8"/>
      <c r="CC4" s="37"/>
      <c r="CD4" s="110"/>
      <c r="CE4" s="109" t="s">
        <v>876</v>
      </c>
      <c r="CF4" s="98"/>
      <c r="CG4" s="98"/>
      <c r="CH4" s="98"/>
      <c r="CI4" s="99"/>
      <c r="CK4" s="24"/>
      <c r="CL4" s="37"/>
      <c r="CM4" s="37"/>
      <c r="CN4" s="37"/>
      <c r="CO4" s="37"/>
      <c r="CP4" s="37"/>
      <c r="CQ4" s="37"/>
      <c r="CR4" s="37"/>
      <c r="CS4" s="7" t="s">
        <v>691</v>
      </c>
      <c r="CT4" s="8">
        <v>4.76</v>
      </c>
      <c r="CU4" s="37"/>
      <c r="CV4" s="2">
        <f t="shared" si="0"/>
        <v>0</v>
      </c>
      <c r="CW4" s="2">
        <f t="shared" si="12"/>
        <v>1</v>
      </c>
      <c r="CX4" s="2">
        <f t="shared" si="1"/>
        <v>2.38</v>
      </c>
      <c r="CY4" s="2">
        <v>2.38</v>
      </c>
      <c r="CZ4" s="2" t="s">
        <v>98</v>
      </c>
      <c r="DA4" s="2" t="s">
        <v>676</v>
      </c>
      <c r="DB4" s="2" t="s">
        <v>99</v>
      </c>
      <c r="DC4" s="8" t="s">
        <v>675</v>
      </c>
      <c r="DE4" s="37"/>
      <c r="DF4" s="24"/>
      <c r="DG4" s="37"/>
      <c r="DH4" s="37"/>
      <c r="DI4" s="37"/>
      <c r="DJ4" s="37"/>
      <c r="DK4" s="37"/>
      <c r="DL4" s="37"/>
      <c r="DM4" s="25"/>
      <c r="DO4" s="24"/>
      <c r="DQ4" s="25"/>
      <c r="DS4" s="24"/>
      <c r="DT4" s="37"/>
      <c r="DU4" s="25"/>
      <c r="DV4" s="37"/>
      <c r="DW4" s="24"/>
      <c r="DX4" s="37"/>
      <c r="DY4" s="37"/>
      <c r="DZ4" s="37"/>
      <c r="EA4" s="37"/>
      <c r="EB4" s="25"/>
      <c r="ED4" s="7"/>
      <c r="EE4" s="2" t="s">
        <v>664</v>
      </c>
      <c r="EF4" s="2"/>
      <c r="EG4" s="2">
        <v>150</v>
      </c>
      <c r="EH4" s="2"/>
      <c r="EI4" s="2"/>
      <c r="EJ4" s="2"/>
      <c r="EK4" s="2"/>
      <c r="EL4" s="2"/>
      <c r="EM4" s="2"/>
      <c r="EN4" s="2"/>
      <c r="EO4" s="2"/>
      <c r="EP4" s="2"/>
      <c r="EQ4" s="2"/>
      <c r="ER4" s="13"/>
      <c r="ES4" s="8"/>
      <c r="ET4" s="37"/>
      <c r="EU4" s="37"/>
      <c r="EV4" s="37"/>
      <c r="EW4" s="37"/>
      <c r="EX4" s="37"/>
      <c r="EY4" s="37"/>
      <c r="EZ4" s="37"/>
      <c r="FA4" s="37"/>
      <c r="FB4" s="24"/>
      <c r="FC4" s="37"/>
      <c r="FD4" s="2" t="str">
        <f t="shared" si="2"/>
        <v/>
      </c>
      <c r="FE4" s="2" t="str">
        <f t="shared" si="13"/>
        <v>Yes</v>
      </c>
      <c r="FF4" s="2">
        <f t="shared" si="3"/>
        <v>-200</v>
      </c>
      <c r="FG4" s="2">
        <f t="shared" si="4"/>
        <v>200</v>
      </c>
      <c r="FH4" s="2">
        <v>3</v>
      </c>
      <c r="FI4" s="2" t="str">
        <f t="shared" si="5"/>
        <v>STANDARD-200</v>
      </c>
      <c r="FJ4" s="2">
        <v>200</v>
      </c>
      <c r="FK4" s="37"/>
      <c r="FL4" s="37"/>
      <c r="FM4" s="37" t="s">
        <v>696</v>
      </c>
      <c r="FN4" s="37">
        <v>256</v>
      </c>
      <c r="FO4" s="37">
        <v>0</v>
      </c>
      <c r="FP4" s="37" t="s">
        <v>697</v>
      </c>
      <c r="FQ4" s="37">
        <v>256</v>
      </c>
      <c r="FR4" s="37">
        <v>1</v>
      </c>
      <c r="FS4" s="37">
        <v>1</v>
      </c>
      <c r="FT4" s="37">
        <v>3</v>
      </c>
      <c r="FU4" s="37">
        <v>0</v>
      </c>
      <c r="FV4" s="37">
        <v>0</v>
      </c>
      <c r="FW4" s="37">
        <v>1</v>
      </c>
      <c r="FX4" s="37">
        <v>302.69769007975628</v>
      </c>
      <c r="FY4" s="37" t="s">
        <v>698</v>
      </c>
      <c r="FZ4" s="37">
        <v>0</v>
      </c>
      <c r="GA4" s="37">
        <v>0</v>
      </c>
      <c r="GB4" s="37">
        <v>0</v>
      </c>
      <c r="GC4" s="37">
        <v>1</v>
      </c>
      <c r="GD4" s="37" t="s">
        <v>99</v>
      </c>
      <c r="GE4" s="37">
        <v>0</v>
      </c>
      <c r="GF4" s="37" t="b">
        <v>0</v>
      </c>
      <c r="GG4" s="37">
        <v>2.38</v>
      </c>
      <c r="GH4" s="37"/>
      <c r="GI4" s="37"/>
      <c r="GJ4" s="37">
        <v>0</v>
      </c>
      <c r="GK4" s="37" t="s">
        <v>99</v>
      </c>
      <c r="GL4" s="37"/>
      <c r="GM4" s="25">
        <v>2</v>
      </c>
      <c r="GO4" s="7" t="s">
        <v>69</v>
      </c>
      <c r="GP4" s="2" t="s">
        <v>123</v>
      </c>
      <c r="GQ4" s="8">
        <f t="shared" ref="GQ4:GQ39" si="14">IF(ISERROR(MATCH(GP4,allowedLineTypes,0)),IF(LEN(GP4)&gt;0,1,""),IF(MATCH(GP4,allowedLineTypes,0)&gt;0,0,1))</f>
        <v>0</v>
      </c>
    </row>
    <row r="5" spans="1:201" ht="15" thickBot="1">
      <c r="A5" s="37"/>
      <c r="B5" s="37"/>
      <c r="D5" s="22" t="str">
        <f>REPLACE(thisdwg,FIND(".dwg",thisdwg),4,"")</f>
        <v>KST-2-F-</v>
      </c>
      <c r="E5" s="23"/>
      <c r="F5" s="126" t="s">
        <v>815</v>
      </c>
      <c r="G5" s="127"/>
      <c r="H5" s="128"/>
      <c r="I5" s="37"/>
      <c r="J5" s="7" t="s">
        <v>2</v>
      </c>
      <c r="K5" s="2">
        <v>1</v>
      </c>
      <c r="L5" s="37"/>
      <c r="M5" s="25"/>
      <c r="N5" s="37"/>
      <c r="O5" s="24"/>
      <c r="P5" s="37"/>
      <c r="Q5" s="37"/>
      <c r="R5" s="37"/>
      <c r="S5" s="37"/>
      <c r="T5" s="37"/>
      <c r="U5" s="25"/>
      <c r="V5" s="37"/>
      <c r="W5" s="24" t="s">
        <v>162</v>
      </c>
      <c r="X5" s="37" t="str">
        <f>IsLayout</f>
        <v>Yes</v>
      </c>
      <c r="Y5" s="25"/>
      <c r="Z5" s="37"/>
      <c r="AA5" s="24"/>
      <c r="AB5" s="37"/>
      <c r="AC5" s="37"/>
      <c r="AD5" s="37"/>
      <c r="AE5" s="25"/>
      <c r="AF5" s="37"/>
      <c r="AG5" s="90" t="s">
        <v>141</v>
      </c>
      <c r="AH5" s="2" t="str">
        <f>IF(IsView="Yes",IF(hasOriginProblem="Yes","x","ok"),"na")</f>
        <v>ok</v>
      </c>
      <c r="AI5" s="37"/>
      <c r="AJ5" s="25"/>
      <c r="AK5" s="37"/>
      <c r="AL5" s="90" t="s">
        <v>142</v>
      </c>
      <c r="AM5" s="2" t="str">
        <f>IF(IsView="Yes",IF(hasPathProblem="Yes","x","ok"),"na")</f>
        <v>ok</v>
      </c>
      <c r="AN5" s="37"/>
      <c r="AO5" s="25"/>
      <c r="AR5" s="7"/>
      <c r="AS5" s="2" t="s">
        <v>113</v>
      </c>
      <c r="AT5" s="2" t="s">
        <v>114</v>
      </c>
      <c r="AU5" s="2">
        <v>12</v>
      </c>
      <c r="AV5" s="2"/>
      <c r="AW5" s="2"/>
      <c r="AX5" s="2" t="s">
        <v>86</v>
      </c>
      <c r="AY5" s="2" t="s">
        <v>86</v>
      </c>
      <c r="AZ5" s="2"/>
      <c r="BA5" s="2"/>
      <c r="BB5" s="2"/>
      <c r="BC5" s="2" t="s">
        <v>85</v>
      </c>
      <c r="BD5" s="2"/>
      <c r="BE5" s="2" t="s">
        <v>84</v>
      </c>
      <c r="BF5" s="2"/>
      <c r="BG5" s="2" t="str">
        <f t="shared" si="7"/>
        <v>No</v>
      </c>
      <c r="BH5" s="2"/>
      <c r="BI5" s="2"/>
      <c r="BJ5" s="37" t="str">
        <f>IF(AT5="","",IF(ISERROR(VLOOKUP(AT5,oddXrefs,1,FALSE)),"No",(IF(AT5=VLOOKUP(AT5,oddXrefs,1,FALSE),"Yes","No"))))</f>
        <v>Yes</v>
      </c>
      <c r="BK5" s="37" t="str">
        <f t="shared" si="8"/>
        <v>Yes</v>
      </c>
      <c r="BL5" s="37" t="str">
        <f t="shared" si="9"/>
        <v>Yes</v>
      </c>
      <c r="BM5" s="37" t="str">
        <f t="shared" si="10"/>
        <v>Yes</v>
      </c>
      <c r="BN5" s="37">
        <f t="shared" si="11"/>
        <v>0</v>
      </c>
      <c r="BO5" s="37"/>
      <c r="BP5" s="90" t="s">
        <v>46</v>
      </c>
      <c r="BQ5" s="2" t="str">
        <f>IF(layer0ents&gt;0,"x","ok")</f>
        <v>x</v>
      </c>
      <c r="BR5" s="37"/>
      <c r="BS5" s="37"/>
      <c r="BT5" s="25"/>
      <c r="BU5" s="37"/>
      <c r="BV5" s="24"/>
      <c r="BW5" s="37"/>
      <c r="BX5" s="37"/>
      <c r="BY5" s="37"/>
      <c r="BZ5" s="17"/>
      <c r="CA5" s="2" t="s">
        <v>97</v>
      </c>
      <c r="CB5" s="8"/>
      <c r="CC5" s="37"/>
      <c r="CD5" s="24"/>
      <c r="CE5" s="37"/>
      <c r="CF5" s="37"/>
      <c r="CG5" s="37"/>
      <c r="CH5" s="37"/>
      <c r="CI5" s="25"/>
      <c r="CK5" s="15" t="s">
        <v>61</v>
      </c>
      <c r="CL5" s="5" t="s">
        <v>59</v>
      </c>
      <c r="CM5" s="5" t="s">
        <v>101</v>
      </c>
      <c r="CN5" s="5" t="s">
        <v>102</v>
      </c>
      <c r="CO5" s="5" t="s">
        <v>103</v>
      </c>
      <c r="CP5" s="5" t="s">
        <v>104</v>
      </c>
      <c r="CQ5" s="41" t="s">
        <v>898</v>
      </c>
      <c r="CR5" s="37"/>
      <c r="CS5" s="9" t="s">
        <v>100</v>
      </c>
      <c r="CT5" s="11">
        <v>6.35</v>
      </c>
      <c r="CU5" s="37"/>
      <c r="CV5" s="2">
        <f t="shared" si="0"/>
        <v>0</v>
      </c>
      <c r="CW5" s="2">
        <f t="shared" si="12"/>
        <v>1</v>
      </c>
      <c r="CX5" s="2">
        <f t="shared" si="1"/>
        <v>2.38</v>
      </c>
      <c r="CY5" s="2">
        <v>2.38</v>
      </c>
      <c r="CZ5" s="2" t="s">
        <v>98</v>
      </c>
      <c r="DA5" s="2" t="s">
        <v>677</v>
      </c>
      <c r="DB5" s="2" t="s">
        <v>99</v>
      </c>
      <c r="DC5" s="8" t="s">
        <v>675</v>
      </c>
      <c r="DD5" s="37"/>
      <c r="DE5" s="37"/>
      <c r="DF5" s="24"/>
      <c r="DG5" s="37"/>
      <c r="DH5" s="37"/>
      <c r="DI5" s="37"/>
      <c r="DJ5" s="4" t="s">
        <v>64</v>
      </c>
      <c r="DK5" s="2" t="str">
        <f>IF(OR(hasBindError&gt;0,hasDollarError&gt;0),"x","-")</f>
        <v>x</v>
      </c>
      <c r="DL5" s="37"/>
      <c r="DM5" s="25"/>
      <c r="DO5" s="22" t="s">
        <v>657</v>
      </c>
      <c r="DP5" s="23" t="str">
        <f>IF(SUM('chk13'!C1:C50)&gt;0,"Yes","No")</f>
        <v>Yes</v>
      </c>
      <c r="DQ5" s="25"/>
      <c r="DR5" s="37"/>
      <c r="DS5" s="22" t="s">
        <v>582</v>
      </c>
      <c r="DT5" s="23" t="str">
        <f>IF(titleletter1="C","Yes","No")</f>
        <v>No</v>
      </c>
      <c r="DU5" s="25"/>
      <c r="DV5" s="37"/>
      <c r="DW5" s="15" t="s">
        <v>591</v>
      </c>
      <c r="DX5" s="5" t="str">
        <f>IF(IsView="Yes",IF(isRecordDrawing="Yes","ok","x"),"na")</f>
        <v>ok</v>
      </c>
      <c r="DY5" s="40" t="s">
        <v>606</v>
      </c>
      <c r="DZ5" s="5" t="str">
        <f>IF(ISERROR(VLOOKUP("RECORD DRAWING",RevDescriptions,1,FALSE)),"x",IF(VLOOKUP("RECORD DRAWING",RevDescriptions,1,FALSE)="RECORD DRAWING","Yes","No"))</f>
        <v>Yes</v>
      </c>
      <c r="EA5" s="40"/>
      <c r="EB5" s="23"/>
      <c r="ED5" s="7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13"/>
      <c r="ES5" s="8"/>
      <c r="ET5" s="37"/>
      <c r="EU5" s="37"/>
      <c r="EV5" s="37"/>
      <c r="EW5" s="37"/>
      <c r="EX5" s="37"/>
      <c r="EY5" s="37"/>
      <c r="EZ5" s="37"/>
      <c r="FA5" s="37"/>
      <c r="FB5" s="24"/>
      <c r="FC5" s="37"/>
      <c r="FD5" s="2" t="str">
        <f t="shared" si="2"/>
        <v/>
      </c>
      <c r="FE5" s="2" t="str">
        <f t="shared" si="13"/>
        <v/>
      </c>
      <c r="FF5" s="2" t="str">
        <f t="shared" si="3"/>
        <v/>
      </c>
      <c r="FG5" s="2" t="str">
        <f t="shared" si="4"/>
        <v/>
      </c>
      <c r="FH5" s="2">
        <v>4</v>
      </c>
      <c r="FI5" s="2" t="str">
        <f t="shared" si="5"/>
        <v/>
      </c>
      <c r="FJ5" s="2">
        <f t="shared" si="6"/>
        <v>0</v>
      </c>
      <c r="FK5" s="37"/>
      <c r="FL5" s="37"/>
      <c r="FM5" s="37" t="s">
        <v>696</v>
      </c>
      <c r="FN5" s="37">
        <v>256</v>
      </c>
      <c r="FO5" s="37">
        <v>0</v>
      </c>
      <c r="FP5" s="37" t="s">
        <v>697</v>
      </c>
      <c r="FQ5" s="37">
        <v>256</v>
      </c>
      <c r="FR5" s="37">
        <v>1</v>
      </c>
      <c r="FS5" s="37">
        <v>1</v>
      </c>
      <c r="FT5" s="37">
        <v>3</v>
      </c>
      <c r="FU5" s="37">
        <v>0</v>
      </c>
      <c r="FV5" s="37">
        <v>0</v>
      </c>
      <c r="FW5" s="37">
        <v>1</v>
      </c>
      <c r="FX5" s="37">
        <v>371.25770180277982</v>
      </c>
      <c r="FY5" s="37" t="s">
        <v>698</v>
      </c>
      <c r="FZ5" s="37">
        <v>0</v>
      </c>
      <c r="GA5" s="37">
        <v>0</v>
      </c>
      <c r="GB5" s="37">
        <v>0</v>
      </c>
      <c r="GC5" s="37">
        <v>1</v>
      </c>
      <c r="GD5" s="37" t="s">
        <v>99</v>
      </c>
      <c r="GE5" s="37">
        <v>0</v>
      </c>
      <c r="GF5" s="37" t="b">
        <v>0</v>
      </c>
      <c r="GG5" s="37">
        <v>2.38</v>
      </c>
      <c r="GH5" s="37"/>
      <c r="GI5" s="37"/>
      <c r="GJ5" s="37">
        <v>0</v>
      </c>
      <c r="GK5" s="37" t="s">
        <v>99</v>
      </c>
      <c r="GL5" s="37"/>
      <c r="GM5" s="25">
        <v>2</v>
      </c>
      <c r="GO5" s="7"/>
      <c r="GP5" s="2" t="s">
        <v>124</v>
      </c>
      <c r="GQ5" s="8">
        <f t="shared" si="14"/>
        <v>0</v>
      </c>
    </row>
    <row r="6" spans="1:201" ht="15" thickBot="1">
      <c r="A6" s="37"/>
      <c r="B6" s="37"/>
      <c r="C6" s="37"/>
      <c r="D6" s="24" t="s">
        <v>143</v>
      </c>
      <c r="E6" s="25" t="str">
        <f>MID(thisdwg,1,1)</f>
        <v>K</v>
      </c>
      <c r="F6" s="129" t="s">
        <v>816</v>
      </c>
      <c r="G6" s="130" t="str">
        <f>IF(IsLayout="Yes","a layout","a non-layout")</f>
        <v>a layout</v>
      </c>
      <c r="H6" s="131" t="s">
        <v>817</v>
      </c>
      <c r="I6" s="37"/>
      <c r="J6" s="7" t="s">
        <v>3</v>
      </c>
      <c r="K6" s="3" t="str">
        <f>IF(titleqtymodel+titleqtypaper&lt;2,"Yes","No")</f>
        <v>Yes</v>
      </c>
      <c r="L6" s="37"/>
      <c r="M6" s="25"/>
      <c r="N6" s="37"/>
      <c r="O6" s="24"/>
      <c r="P6" s="37"/>
      <c r="Q6" s="37"/>
      <c r="R6" s="37"/>
      <c r="S6" s="37"/>
      <c r="T6" s="37"/>
      <c r="U6" s="25"/>
      <c r="V6" s="37"/>
      <c r="W6" s="24" t="s">
        <v>857</v>
      </c>
      <c r="X6" s="37" t="str">
        <f>IF(COUNTIF(xrefnames,"*")&gt;0,"Yes","No")</f>
        <v>Yes</v>
      </c>
      <c r="Y6" s="25"/>
      <c r="Z6" s="37"/>
      <c r="AA6" s="24"/>
      <c r="AB6" s="37"/>
      <c r="AC6" s="37"/>
      <c r="AD6" s="37"/>
      <c r="AE6" s="25"/>
      <c r="AF6" s="37"/>
      <c r="AG6" s="26"/>
      <c r="AH6" s="38"/>
      <c r="AI6" s="38"/>
      <c r="AJ6" s="27"/>
      <c r="AK6" s="37"/>
      <c r="AL6" s="26"/>
      <c r="AM6" s="38"/>
      <c r="AN6" s="38"/>
      <c r="AO6" s="27"/>
      <c r="AR6" s="7"/>
      <c r="AS6" s="2" t="s">
        <v>115</v>
      </c>
      <c r="AT6" s="2" t="s">
        <v>116</v>
      </c>
      <c r="AU6" s="2">
        <v>12</v>
      </c>
      <c r="AV6" s="2"/>
      <c r="AW6" s="2"/>
      <c r="AX6" s="2" t="s">
        <v>86</v>
      </c>
      <c r="AY6" s="2" t="s">
        <v>86</v>
      </c>
      <c r="AZ6" s="2"/>
      <c r="BA6" s="2"/>
      <c r="BB6" s="2"/>
      <c r="BC6" s="2" t="s">
        <v>85</v>
      </c>
      <c r="BD6" s="2"/>
      <c r="BE6" s="2" t="s">
        <v>84</v>
      </c>
      <c r="BF6" s="2"/>
      <c r="BG6" s="2" t="str">
        <f t="shared" si="7"/>
        <v>No</v>
      </c>
      <c r="BH6" s="2"/>
      <c r="BI6" s="2"/>
      <c r="BJ6" s="37" t="str">
        <f>IF(AT6="","",IF(ISERROR(VLOOKUP(AT6,oddXrefs,1,FALSE)),"No",(IF(AT6=VLOOKUP(AT6,oddXrefs,1,FALSE),"Yes","No"))))</f>
        <v>No</v>
      </c>
      <c r="BK6" s="37" t="str">
        <f t="shared" si="8"/>
        <v>Yes</v>
      </c>
      <c r="BL6" s="37" t="str">
        <f t="shared" si="9"/>
        <v>Yes</v>
      </c>
      <c r="BM6" s="37" t="str">
        <f t="shared" si="10"/>
        <v>Yes</v>
      </c>
      <c r="BN6" s="37">
        <f t="shared" si="11"/>
        <v>0</v>
      </c>
      <c r="BO6" s="37"/>
      <c r="BP6" s="24"/>
      <c r="BQ6" s="37"/>
      <c r="BR6" s="37"/>
      <c r="BS6" s="37"/>
      <c r="BT6" s="25"/>
      <c r="BU6" s="37"/>
      <c r="BV6" s="24"/>
      <c r="BW6" s="37"/>
      <c r="BX6" s="37"/>
      <c r="BY6" s="37"/>
      <c r="BZ6" s="17"/>
      <c r="CA6" s="2" t="s">
        <v>98</v>
      </c>
      <c r="CB6" s="8"/>
      <c r="CC6" s="37"/>
      <c r="CD6" s="24" t="s">
        <v>879</v>
      </c>
      <c r="CE6" s="37" t="str">
        <f>IsLayout</f>
        <v>Yes</v>
      </c>
      <c r="CF6" s="37"/>
      <c r="CG6" s="37"/>
      <c r="CH6" s="37"/>
      <c r="CI6" s="25"/>
      <c r="CK6" s="7" t="s">
        <v>62</v>
      </c>
      <c r="CL6" s="2" t="s">
        <v>99</v>
      </c>
      <c r="CM6" s="2"/>
      <c r="CN6" s="2" t="s">
        <v>105</v>
      </c>
      <c r="CO6" s="2">
        <v>0</v>
      </c>
      <c r="CP6" s="2">
        <v>1</v>
      </c>
      <c r="CQ6" s="8">
        <f t="shared" ref="CQ6:CQ25" si="15">IF(CL6="","",IF(ISERROR(VLOOKUP(CL6,legalStyles,1,FALSE)),1,0))</f>
        <v>0</v>
      </c>
      <c r="CR6" s="37"/>
      <c r="CS6" s="37"/>
      <c r="CT6" s="37"/>
      <c r="CU6" s="37"/>
      <c r="CV6" s="2">
        <f t="shared" si="0"/>
        <v>0</v>
      </c>
      <c r="CW6" s="2">
        <f t="shared" si="12"/>
        <v>1</v>
      </c>
      <c r="CX6" s="2">
        <f t="shared" si="1"/>
        <v>2.38</v>
      </c>
      <c r="CY6" s="2">
        <v>2.38</v>
      </c>
      <c r="CZ6" s="2" t="s">
        <v>98</v>
      </c>
      <c r="DA6" s="2" t="s">
        <v>678</v>
      </c>
      <c r="DB6" s="2" t="s">
        <v>99</v>
      </c>
      <c r="DC6" s="8" t="s">
        <v>675</v>
      </c>
      <c r="DD6" s="37"/>
      <c r="DE6" s="37"/>
      <c r="DF6" s="15" t="s">
        <v>64</v>
      </c>
      <c r="DG6" s="5" t="s">
        <v>59</v>
      </c>
      <c r="DH6" s="12"/>
      <c r="DI6" s="37">
        <f>SUM(DI7:DI45)</f>
        <v>1</v>
      </c>
      <c r="DJ6" s="37">
        <f>SUM(DJ7:DJ45)</f>
        <v>1</v>
      </c>
      <c r="DK6" t="s">
        <v>888</v>
      </c>
      <c r="DL6" s="37" t="str">
        <f>IF(hasBindError&gt;0,"Yes","No")</f>
        <v>Yes</v>
      </c>
      <c r="DM6" s="25"/>
      <c r="DO6" s="9" t="s">
        <v>768</v>
      </c>
      <c r="DP6" s="91" t="str">
        <f>IF(hasAnnotation="Yes","na","x")</f>
        <v>na</v>
      </c>
      <c r="DQ6" s="83"/>
      <c r="DR6" s="37"/>
      <c r="DS6" s="24" t="s">
        <v>568</v>
      </c>
      <c r="DT6" s="25" t="str">
        <f>IsLayout</f>
        <v>Yes</v>
      </c>
      <c r="DU6" s="25"/>
      <c r="DV6" s="37"/>
      <c r="DW6" s="24"/>
      <c r="DX6" s="37"/>
      <c r="DY6" s="37"/>
      <c r="DZ6" s="37"/>
      <c r="EA6" s="37"/>
      <c r="EB6" s="25"/>
      <c r="ED6" s="7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13"/>
      <c r="ES6" s="8"/>
      <c r="ET6" s="37"/>
      <c r="EU6" s="37"/>
      <c r="EV6" s="37"/>
      <c r="EW6" s="37"/>
      <c r="EX6" s="37"/>
      <c r="EY6" s="37"/>
      <c r="EZ6" s="37"/>
      <c r="FA6" s="37"/>
      <c r="FB6" s="24"/>
      <c r="FC6" s="37"/>
      <c r="FD6" s="2" t="str">
        <f t="shared" si="2"/>
        <v/>
      </c>
      <c r="FE6" s="2" t="str">
        <f t="shared" si="13"/>
        <v/>
      </c>
      <c r="FF6" s="2" t="str">
        <f t="shared" si="3"/>
        <v/>
      </c>
      <c r="FG6" s="2" t="str">
        <f t="shared" si="4"/>
        <v/>
      </c>
      <c r="FH6" s="2">
        <v>5</v>
      </c>
      <c r="FI6" s="2" t="str">
        <f t="shared" si="5"/>
        <v/>
      </c>
      <c r="FJ6" s="2">
        <f t="shared" si="6"/>
        <v>0</v>
      </c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25"/>
      <c r="GO6" s="7"/>
      <c r="GP6" s="2" t="s">
        <v>125</v>
      </c>
      <c r="GQ6" s="8">
        <f t="shared" si="14"/>
        <v>0</v>
      </c>
    </row>
    <row r="7" spans="1:201" ht="15" thickBot="1">
      <c r="D7" s="24" t="s">
        <v>144</v>
      </c>
      <c r="E7" s="25" t="str">
        <f>MID(thisdwg,2,1)</f>
        <v>S</v>
      </c>
      <c r="F7" s="129" t="s">
        <v>819</v>
      </c>
      <c r="G7" s="130" t="str">
        <f>IF(IsView="Yes","a view","an xref")</f>
        <v>a view</v>
      </c>
      <c r="H7" s="131" t="s">
        <v>818</v>
      </c>
      <c r="I7" s="37"/>
      <c r="J7" s="7" t="s">
        <v>4</v>
      </c>
      <c r="K7" s="3" t="s">
        <v>71</v>
      </c>
      <c r="L7" s="37"/>
      <c r="M7" s="25"/>
      <c r="N7" s="37"/>
      <c r="O7" s="84" t="s">
        <v>855</v>
      </c>
      <c r="P7" s="37" t="str">
        <f>IsEnlarged</f>
        <v>No</v>
      </c>
      <c r="Q7" s="37"/>
      <c r="R7" s="37"/>
      <c r="S7" s="37"/>
      <c r="T7" s="22" t="s">
        <v>843</v>
      </c>
      <c r="U7" s="23" t="s">
        <v>844</v>
      </c>
      <c r="V7" s="37"/>
      <c r="W7" s="24"/>
      <c r="X7" s="37"/>
      <c r="Y7" s="25"/>
      <c r="Z7" s="37"/>
      <c r="AA7" s="24"/>
      <c r="AB7" s="37"/>
      <c r="AC7" s="37"/>
      <c r="AD7" s="37"/>
      <c r="AE7" s="25"/>
      <c r="AF7" s="37"/>
      <c r="AR7" s="7"/>
      <c r="AS7" s="2" t="s">
        <v>91</v>
      </c>
      <c r="AT7" s="2" t="s">
        <v>92</v>
      </c>
      <c r="AU7" s="2">
        <v>12</v>
      </c>
      <c r="AV7" s="2"/>
      <c r="AW7" s="2"/>
      <c r="AX7" s="2" t="s">
        <v>86</v>
      </c>
      <c r="AY7" s="2" t="s">
        <v>86</v>
      </c>
      <c r="AZ7" s="2"/>
      <c r="BA7" s="2"/>
      <c r="BB7" s="2"/>
      <c r="BC7" s="2" t="s">
        <v>85</v>
      </c>
      <c r="BD7" s="2"/>
      <c r="BE7" s="2" t="s">
        <v>84</v>
      </c>
      <c r="BF7" s="2"/>
      <c r="BG7" s="2" t="str">
        <f t="shared" si="7"/>
        <v>No</v>
      </c>
      <c r="BH7" s="2"/>
      <c r="BI7" s="2"/>
      <c r="BJ7" s="37" t="str">
        <f>IF(AT7="","",IF(ISERROR(VLOOKUP(AT7,oddXrefs,1,FALSE)),"No",(IF(AT7=VLOOKUP(AT7,oddXrefs,1,FALSE),"Yes","No"))))</f>
        <v>Yes</v>
      </c>
      <c r="BK7" s="37" t="str">
        <f t="shared" si="8"/>
        <v>No</v>
      </c>
      <c r="BL7" s="37" t="str">
        <f t="shared" si="9"/>
        <v>No</v>
      </c>
      <c r="BM7" s="37" t="str">
        <f t="shared" si="10"/>
        <v>Yes</v>
      </c>
      <c r="BN7" s="37">
        <f t="shared" si="11"/>
        <v>0</v>
      </c>
      <c r="BO7" s="37"/>
      <c r="BP7" s="24"/>
      <c r="BQ7" s="37"/>
      <c r="BR7" s="37"/>
      <c r="BS7" s="37"/>
      <c r="BT7" s="25"/>
      <c r="BU7" s="37"/>
      <c r="BV7" s="24"/>
      <c r="BW7" s="37"/>
      <c r="BX7" s="37"/>
      <c r="BY7" s="37"/>
      <c r="BZ7" s="17"/>
      <c r="CA7" s="2"/>
      <c r="CB7" s="8"/>
      <c r="CC7" s="37"/>
      <c r="CD7" s="24"/>
      <c r="CE7" s="37"/>
      <c r="CF7" s="37"/>
      <c r="CG7" s="37"/>
      <c r="CH7" s="37"/>
      <c r="CI7" s="25"/>
      <c r="CK7" s="7"/>
      <c r="CL7" s="2" t="s">
        <v>100</v>
      </c>
      <c r="CM7" s="2"/>
      <c r="CN7" s="2" t="s">
        <v>106</v>
      </c>
      <c r="CO7" s="2">
        <v>0</v>
      </c>
      <c r="CP7" s="2">
        <v>1</v>
      </c>
      <c r="CQ7" s="8">
        <f t="shared" si="15"/>
        <v>0</v>
      </c>
      <c r="CR7" s="37"/>
      <c r="CS7" s="67" t="s">
        <v>900</v>
      </c>
      <c r="CT7" t="str">
        <f>IF(SUM(CQ6:CQ24)&gt;0,"Yes","No")</f>
        <v>Yes</v>
      </c>
      <c r="CU7" s="37"/>
      <c r="CV7" s="2">
        <f t="shared" si="0"/>
        <v>0</v>
      </c>
      <c r="CW7" s="2">
        <f t="shared" si="12"/>
        <v>1</v>
      </c>
      <c r="CX7" s="2">
        <f t="shared" si="1"/>
        <v>2.38</v>
      </c>
      <c r="CY7" s="2">
        <v>2.38</v>
      </c>
      <c r="CZ7" s="2" t="s">
        <v>98</v>
      </c>
      <c r="DA7" s="2" t="s">
        <v>679</v>
      </c>
      <c r="DB7" s="2" t="s">
        <v>99</v>
      </c>
      <c r="DC7" s="8" t="s">
        <v>675</v>
      </c>
      <c r="DD7" s="37"/>
      <c r="DE7" s="37"/>
      <c r="DF7" s="7" t="s">
        <v>65</v>
      </c>
      <c r="DG7" s="2" t="s">
        <v>107</v>
      </c>
      <c r="DH7" s="13"/>
      <c r="DI7" s="37">
        <f>IF(ISERROR(FIND("$0$",DG7)),0,1)</f>
        <v>0</v>
      </c>
      <c r="DJ7" s="37">
        <f>IF(ISERROR(FIND("$",DG7)),0,1)</f>
        <v>0</v>
      </c>
      <c r="DK7" s="37" t="s">
        <v>889</v>
      </c>
      <c r="DL7" s="37" t="str">
        <f>IF(hasDollarError&gt;0,"Yes","No")</f>
        <v>Yes</v>
      </c>
      <c r="DM7" s="25"/>
      <c r="DR7" s="37"/>
      <c r="DS7" s="24" t="s">
        <v>583</v>
      </c>
      <c r="DT7" s="25" t="str">
        <f>IsEnlarged</f>
        <v>No</v>
      </c>
      <c r="DU7" s="25"/>
      <c r="DV7" s="37"/>
      <c r="DW7" s="15" t="s">
        <v>591</v>
      </c>
      <c r="DX7" s="40" t="s">
        <v>592</v>
      </c>
      <c r="DY7" s="40" t="s">
        <v>593</v>
      </c>
      <c r="DZ7" s="40" t="s">
        <v>594</v>
      </c>
      <c r="EA7" s="40" t="s">
        <v>595</v>
      </c>
      <c r="EB7" s="41" t="s">
        <v>596</v>
      </c>
      <c r="ED7" s="7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13"/>
      <c r="ES7" s="8"/>
      <c r="ET7" s="37"/>
      <c r="EU7" s="37"/>
      <c r="EV7" s="37"/>
      <c r="EW7" s="37"/>
      <c r="EX7" s="37"/>
      <c r="EY7" s="37"/>
      <c r="EZ7" s="37"/>
      <c r="FA7" s="37"/>
      <c r="FB7" s="24"/>
      <c r="FC7" s="37"/>
      <c r="FD7" s="2" t="str">
        <f t="shared" si="2"/>
        <v/>
      </c>
      <c r="FE7" s="2" t="str">
        <f t="shared" si="13"/>
        <v/>
      </c>
      <c r="FF7" s="2" t="str">
        <f t="shared" si="3"/>
        <v/>
      </c>
      <c r="FG7" s="2" t="str">
        <f t="shared" si="4"/>
        <v/>
      </c>
      <c r="FH7" s="2">
        <v>6</v>
      </c>
      <c r="FI7" s="2" t="str">
        <f t="shared" si="5"/>
        <v/>
      </c>
      <c r="FJ7" s="2">
        <f t="shared" si="6"/>
        <v>0</v>
      </c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25"/>
      <c r="GO7" s="7"/>
      <c r="GP7" s="2" t="s">
        <v>783</v>
      </c>
      <c r="GQ7" s="8">
        <f t="shared" si="14"/>
        <v>0</v>
      </c>
    </row>
    <row r="8" spans="1:201" ht="15" thickBot="1">
      <c r="D8" s="24" t="s">
        <v>145</v>
      </c>
      <c r="E8" s="25" t="str">
        <f>MID(thisdwg,3,1)</f>
        <v>T</v>
      </c>
      <c r="F8" s="129" t="s">
        <v>820</v>
      </c>
      <c r="G8" s="130" t="str">
        <f>building</f>
        <v>CUB</v>
      </c>
      <c r="H8" s="131" t="s">
        <v>821</v>
      </c>
      <c r="I8" s="37"/>
      <c r="J8" s="24"/>
      <c r="K8" s="37"/>
      <c r="L8" s="37"/>
      <c r="M8" s="25"/>
      <c r="N8" s="37"/>
      <c r="O8" s="30" t="s">
        <v>568</v>
      </c>
      <c r="P8" s="37" t="str">
        <f>IsLayout</f>
        <v>Yes</v>
      </c>
      <c r="Q8" s="37"/>
      <c r="R8" s="37"/>
      <c r="S8" s="37"/>
      <c r="T8" s="24" t="s">
        <v>235</v>
      </c>
      <c r="U8" s="25" t="s">
        <v>255</v>
      </c>
      <c r="V8" s="37"/>
      <c r="W8" s="85" t="s">
        <v>139</v>
      </c>
      <c r="X8" s="87" t="str">
        <f>IF(IsView="Yes",IF(OR(IsLayout="Yes",IsEnlarged="Yes"),IF(X6="Yes","ok","x"),"na"),"na")</f>
        <v>ok</v>
      </c>
      <c r="Y8" s="27"/>
      <c r="Z8" s="37"/>
      <c r="AA8" s="88" t="s">
        <v>140</v>
      </c>
      <c r="AB8" s="10" t="str">
        <f>IF(SUM(SumLegal)=0,"ok","x")</f>
        <v>ok</v>
      </c>
      <c r="AC8" s="38"/>
      <c r="AD8" s="38"/>
      <c r="AE8" s="27"/>
      <c r="AF8" s="37"/>
      <c r="AR8" s="7"/>
      <c r="AS8" s="2" t="s">
        <v>117</v>
      </c>
      <c r="AT8" s="2" t="s">
        <v>118</v>
      </c>
      <c r="AU8" s="2">
        <v>12</v>
      </c>
      <c r="AV8" s="2"/>
      <c r="AW8" s="2"/>
      <c r="AX8" s="2" t="s">
        <v>86</v>
      </c>
      <c r="AY8" s="2" t="s">
        <v>86</v>
      </c>
      <c r="AZ8" s="2"/>
      <c r="BA8" s="2"/>
      <c r="BB8" s="2"/>
      <c r="BC8" s="2" t="s">
        <v>85</v>
      </c>
      <c r="BD8" s="2"/>
      <c r="BE8" s="2" t="s">
        <v>84</v>
      </c>
      <c r="BF8" s="2"/>
      <c r="BG8" s="2" t="str">
        <f t="shared" si="7"/>
        <v>No</v>
      </c>
      <c r="BH8" s="2"/>
      <c r="BI8" s="2"/>
      <c r="BJ8" s="37" t="str">
        <f>IF(AT8="","",IF(ISERROR(VLOOKUP(AT8,oddXrefs,1,FALSE)),"No",(IF(AT8=VLOOKUP(AT8,oddXrefs,1,FALSE),"Yes","No"))))</f>
        <v>No</v>
      </c>
      <c r="BK8" s="37" t="str">
        <f t="shared" si="8"/>
        <v>Yes</v>
      </c>
      <c r="BL8" s="37" t="str">
        <f t="shared" si="9"/>
        <v>Yes</v>
      </c>
      <c r="BM8" s="37" t="str">
        <f t="shared" si="10"/>
        <v>Yes</v>
      </c>
      <c r="BN8" s="37">
        <f t="shared" si="11"/>
        <v>0</v>
      </c>
      <c r="BO8" s="37"/>
      <c r="BP8" s="24" t="s">
        <v>871</v>
      </c>
      <c r="BQ8" s="37"/>
      <c r="BR8" s="37"/>
      <c r="BS8" s="37"/>
      <c r="BT8" s="25"/>
      <c r="BU8" s="37"/>
      <c r="BV8" s="24"/>
      <c r="BW8" s="37"/>
      <c r="BX8" s="37"/>
      <c r="BY8" s="37"/>
      <c r="BZ8" s="17"/>
      <c r="CA8" s="2"/>
      <c r="CB8" s="8"/>
      <c r="CC8" s="37"/>
      <c r="CD8" s="24" t="s">
        <v>880</v>
      </c>
      <c r="CE8" s="37"/>
      <c r="CF8" s="37"/>
      <c r="CG8" s="37"/>
      <c r="CH8" s="37"/>
      <c r="CI8" s="25"/>
      <c r="CK8" s="7"/>
      <c r="CL8" s="2" t="s">
        <v>899</v>
      </c>
      <c r="CM8" s="2"/>
      <c r="CN8" s="2"/>
      <c r="CO8" s="2"/>
      <c r="CP8" s="2"/>
      <c r="CQ8" s="8">
        <f t="shared" si="15"/>
        <v>1</v>
      </c>
      <c r="CR8" s="37"/>
      <c r="CS8" s="22" t="s">
        <v>694</v>
      </c>
      <c r="CT8" s="23" t="str">
        <f>IF(SUM(textHeightRemainder)&gt;0.1,"Yes","No")</f>
        <v>No</v>
      </c>
      <c r="CU8" s="37"/>
      <c r="CV8" s="2">
        <f t="shared" si="0"/>
        <v>0</v>
      </c>
      <c r="CW8" s="2">
        <f t="shared" si="12"/>
        <v>1</v>
      </c>
      <c r="CX8" s="2">
        <f t="shared" si="1"/>
        <v>2.38</v>
      </c>
      <c r="CY8" s="2">
        <v>2.38</v>
      </c>
      <c r="CZ8" s="2" t="s">
        <v>98</v>
      </c>
      <c r="DA8" s="2" t="s">
        <v>680</v>
      </c>
      <c r="DB8" s="2" t="s">
        <v>99</v>
      </c>
      <c r="DC8" s="8" t="s">
        <v>675</v>
      </c>
      <c r="DD8" s="37"/>
      <c r="DE8" s="37"/>
      <c r="DF8" s="7"/>
      <c r="DG8" s="2" t="s">
        <v>82</v>
      </c>
      <c r="DH8" s="13"/>
      <c r="DI8" s="37">
        <f t="shared" ref="DI8:DI16" si="16">IF(ISERROR(FIND("$0$",DG8)),0,1)</f>
        <v>0</v>
      </c>
      <c r="DJ8" s="37">
        <f t="shared" ref="DJ8:DJ45" si="17">IF(ISERROR(FIND("$",DG8)),0,1)</f>
        <v>0</v>
      </c>
      <c r="DK8" s="37"/>
      <c r="DL8" s="37"/>
      <c r="DM8" s="25"/>
      <c r="DR8" s="37"/>
      <c r="DS8" s="24" t="s">
        <v>584</v>
      </c>
      <c r="DT8" s="25" t="str">
        <f>IF(northarrowqty=1,"Yes","No")</f>
        <v>Yes</v>
      </c>
      <c r="DU8" s="25"/>
      <c r="DV8" s="67"/>
      <c r="DW8" s="7" t="s">
        <v>597</v>
      </c>
      <c r="DX8" s="2"/>
      <c r="DY8" s="2"/>
      <c r="DZ8" s="2"/>
      <c r="EA8" s="42"/>
      <c r="EB8" s="8"/>
      <c r="ED8" s="7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13"/>
      <c r="ES8" s="8"/>
      <c r="ET8" s="37"/>
      <c r="EU8" s="37"/>
      <c r="EV8" s="37"/>
      <c r="EW8" s="37"/>
      <c r="EX8" s="37"/>
      <c r="EY8" s="37"/>
      <c r="EZ8" s="37"/>
      <c r="FA8" s="37"/>
      <c r="FB8" s="24"/>
      <c r="FC8" s="37"/>
      <c r="FD8" s="2" t="str">
        <f t="shared" si="2"/>
        <v/>
      </c>
      <c r="FE8" s="2" t="str">
        <f t="shared" si="13"/>
        <v/>
      </c>
      <c r="FF8" s="2" t="str">
        <f t="shared" si="3"/>
        <v/>
      </c>
      <c r="FG8" s="2" t="str">
        <f t="shared" si="4"/>
        <v/>
      </c>
      <c r="FH8" s="2">
        <v>7</v>
      </c>
      <c r="FI8" s="2" t="str">
        <f t="shared" si="5"/>
        <v/>
      </c>
      <c r="FJ8" s="2">
        <f t="shared" si="6"/>
        <v>0</v>
      </c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25"/>
      <c r="GO8" s="7"/>
      <c r="GP8" s="2" t="s">
        <v>798</v>
      </c>
      <c r="GQ8" s="8">
        <f t="shared" si="14"/>
        <v>0</v>
      </c>
    </row>
    <row r="9" spans="1:201" ht="15" thickBot="1">
      <c r="D9" s="24" t="s">
        <v>146</v>
      </c>
      <c r="E9" s="25" t="str">
        <f>MID(thisdwg,4,1)</f>
        <v>-</v>
      </c>
      <c r="F9" s="129" t="s">
        <v>822</v>
      </c>
      <c r="G9" s="130" t="str">
        <f>discipline</f>
        <v xml:space="preserve">Telecommunications </v>
      </c>
      <c r="H9" s="131" t="s">
        <v>823</v>
      </c>
      <c r="I9" s="37"/>
      <c r="J9" s="24" t="s">
        <v>830</v>
      </c>
      <c r="K9" s="37"/>
      <c r="L9" s="37"/>
      <c r="M9" s="25"/>
      <c r="N9" s="37"/>
      <c r="O9" s="106" t="s">
        <v>842</v>
      </c>
      <c r="P9" s="101" t="str">
        <f>IF(IsLayout="Yes",xrefNameProper,"")</f>
        <v>GST-2-OV</v>
      </c>
      <c r="Q9" s="37"/>
      <c r="R9" s="37"/>
      <c r="S9" s="37"/>
      <c r="T9" s="26" t="s">
        <v>241</v>
      </c>
      <c r="U9" s="27" t="s">
        <v>317</v>
      </c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R9" s="7"/>
      <c r="AS9" s="2" t="s">
        <v>119</v>
      </c>
      <c r="AT9" s="2" t="s">
        <v>120</v>
      </c>
      <c r="AU9" s="2">
        <v>12</v>
      </c>
      <c r="AV9" s="2"/>
      <c r="AW9" s="2"/>
      <c r="AX9" s="2" t="s">
        <v>86</v>
      </c>
      <c r="AY9" s="2" t="s">
        <v>86</v>
      </c>
      <c r="AZ9" s="2"/>
      <c r="BA9" s="2"/>
      <c r="BB9" s="2"/>
      <c r="BC9" s="2" t="s">
        <v>85</v>
      </c>
      <c r="BD9" s="2"/>
      <c r="BE9" s="2" t="s">
        <v>84</v>
      </c>
      <c r="BF9" s="2"/>
      <c r="BG9" s="2" t="str">
        <f t="shared" si="7"/>
        <v>No</v>
      </c>
      <c r="BH9" s="2"/>
      <c r="BI9" s="2"/>
      <c r="BJ9" s="37" t="str">
        <f>IF(AT9="","",IF(ISERROR(VLOOKUP(AT9,oddXrefs,1,FALSE)),"No",(IF(AT9=VLOOKUP(AT9,oddXrefs,1,FALSE),"Yes","No"))))</f>
        <v>No</v>
      </c>
      <c r="BK9" s="37" t="str">
        <f t="shared" si="8"/>
        <v>Yes</v>
      </c>
      <c r="BL9" s="37" t="str">
        <f t="shared" si="9"/>
        <v>Yes</v>
      </c>
      <c r="BM9" s="37" t="str">
        <f t="shared" si="10"/>
        <v>Yes</v>
      </c>
      <c r="BN9" s="37">
        <f t="shared" si="11"/>
        <v>0</v>
      </c>
      <c r="BO9" s="37"/>
      <c r="BP9" s="7" t="s">
        <v>870</v>
      </c>
      <c r="BQ9" s="2"/>
      <c r="BR9" s="37"/>
      <c r="BS9" s="37"/>
      <c r="BT9" s="25"/>
      <c r="BU9" s="37"/>
      <c r="BV9" s="24"/>
      <c r="BW9" s="37"/>
      <c r="BX9" s="37"/>
      <c r="BY9" s="37"/>
      <c r="BZ9" s="17"/>
      <c r="CA9" s="2"/>
      <c r="CB9" s="8"/>
      <c r="CC9" s="37"/>
      <c r="CD9" s="7" t="s">
        <v>49</v>
      </c>
      <c r="CE9" s="2">
        <v>31</v>
      </c>
      <c r="CF9" s="39"/>
      <c r="CG9" s="37"/>
      <c r="CH9" s="37"/>
      <c r="CI9" s="25"/>
      <c r="CK9" s="7"/>
      <c r="CL9" s="2"/>
      <c r="CM9" s="2"/>
      <c r="CN9" s="2"/>
      <c r="CO9" s="2"/>
      <c r="CP9" s="2"/>
      <c r="CQ9" s="8" t="str">
        <f t="shared" si="15"/>
        <v/>
      </c>
      <c r="CR9" s="37"/>
      <c r="CS9" s="39" t="s">
        <v>61</v>
      </c>
      <c r="CT9" s="4" t="str">
        <f>IF(OR(textHeightProblem="Yes",nameProblem="Yes"),"x","ok")</f>
        <v>x</v>
      </c>
      <c r="CU9" s="37"/>
      <c r="CV9" s="2">
        <f t="shared" si="0"/>
        <v>0</v>
      </c>
      <c r="CW9" s="2">
        <f t="shared" si="12"/>
        <v>1</v>
      </c>
      <c r="CX9" s="2">
        <f t="shared" si="1"/>
        <v>2.38</v>
      </c>
      <c r="CY9" s="2">
        <v>2.38</v>
      </c>
      <c r="CZ9" s="2" t="s">
        <v>98</v>
      </c>
      <c r="DA9" s="2" t="s">
        <v>681</v>
      </c>
      <c r="DB9" s="2" t="s">
        <v>99</v>
      </c>
      <c r="DC9" s="8" t="s">
        <v>675</v>
      </c>
      <c r="DD9" s="37"/>
      <c r="DE9" s="37"/>
      <c r="DF9" s="7"/>
      <c r="DG9" s="2" t="s">
        <v>108</v>
      </c>
      <c r="DH9" s="13"/>
      <c r="DI9" s="37">
        <f t="shared" si="16"/>
        <v>0</v>
      </c>
      <c r="DJ9" s="37">
        <f t="shared" si="17"/>
        <v>0</v>
      </c>
      <c r="DK9" s="37"/>
      <c r="DL9" s="37"/>
      <c r="DM9" s="25"/>
      <c r="DR9" s="37"/>
      <c r="DS9" s="24" t="s">
        <v>585</v>
      </c>
      <c r="DT9" s="25" t="str">
        <f>IF(OR(AND(IsCivil="Yes",OR(northarrowangle=0,northarrowangle=90)),AND(IsCivil="No",northarrowangle=90)),"Yes","No")</f>
        <v>Yes</v>
      </c>
      <c r="DU9" s="25"/>
      <c r="DV9" s="67"/>
      <c r="DW9" s="7" t="s">
        <v>598</v>
      </c>
      <c r="DX9" s="2"/>
      <c r="DY9" s="2"/>
      <c r="DZ9" s="2"/>
      <c r="EA9" s="2"/>
      <c r="EB9" s="8"/>
      <c r="ED9" s="7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13"/>
      <c r="ES9" s="8"/>
      <c r="ET9" s="37"/>
      <c r="EU9" s="37"/>
      <c r="EV9" s="37"/>
      <c r="EW9" s="37"/>
      <c r="EX9" s="37"/>
      <c r="EY9" s="37"/>
      <c r="EZ9" s="37"/>
      <c r="FA9" s="37"/>
      <c r="FB9" s="24"/>
      <c r="FC9" s="37"/>
      <c r="FD9" s="2" t="str">
        <f t="shared" si="2"/>
        <v/>
      </c>
      <c r="FE9" s="2" t="str">
        <f t="shared" si="13"/>
        <v/>
      </c>
      <c r="FF9" s="2" t="str">
        <f t="shared" si="3"/>
        <v/>
      </c>
      <c r="FG9" s="2" t="str">
        <f t="shared" si="4"/>
        <v/>
      </c>
      <c r="FH9" s="2">
        <v>8</v>
      </c>
      <c r="FI9" s="2" t="str">
        <f t="shared" si="5"/>
        <v/>
      </c>
      <c r="FJ9" s="2">
        <f t="shared" si="6"/>
        <v>0</v>
      </c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25"/>
      <c r="GO9" s="7"/>
      <c r="GP9" s="2" t="s">
        <v>334</v>
      </c>
      <c r="GQ9" s="8">
        <f t="shared" si="14"/>
        <v>0</v>
      </c>
    </row>
    <row r="10" spans="1:201">
      <c r="D10" s="24" t="s">
        <v>147</v>
      </c>
      <c r="E10" s="25" t="str">
        <f>MID(thisdwg,5,1)</f>
        <v>2</v>
      </c>
      <c r="F10" s="129" t="s">
        <v>824</v>
      </c>
      <c r="G10" s="130" t="str">
        <f>IF(IsLayout="Yes","Layout",series)</f>
        <v>Layout</v>
      </c>
      <c r="H10" s="131"/>
      <c r="I10" s="37"/>
      <c r="J10" s="7" t="s">
        <v>5</v>
      </c>
      <c r="K10" s="2" t="s">
        <v>72</v>
      </c>
      <c r="L10" s="37"/>
      <c r="M10" s="25"/>
      <c r="N10" s="37"/>
      <c r="O10" s="24"/>
      <c r="P10" s="37"/>
      <c r="Q10" s="37"/>
      <c r="R10" s="37"/>
      <c r="S10" s="37"/>
      <c r="T10" s="37"/>
      <c r="U10" s="25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R10" s="7"/>
      <c r="AS10" s="2" t="s">
        <v>121</v>
      </c>
      <c r="AT10" s="2" t="s">
        <v>122</v>
      </c>
      <c r="AU10" s="2">
        <v>12</v>
      </c>
      <c r="AV10" s="2"/>
      <c r="AW10" s="2"/>
      <c r="AX10" s="2" t="s">
        <v>86</v>
      </c>
      <c r="AY10" s="2" t="s">
        <v>86</v>
      </c>
      <c r="AZ10" s="2"/>
      <c r="BA10" s="2" t="s">
        <v>86</v>
      </c>
      <c r="BB10" s="2"/>
      <c r="BC10" s="2" t="s">
        <v>85</v>
      </c>
      <c r="BD10" s="2"/>
      <c r="BE10" s="2" t="s">
        <v>84</v>
      </c>
      <c r="BF10" s="2"/>
      <c r="BG10" s="2" t="str">
        <f t="shared" si="7"/>
        <v>No</v>
      </c>
      <c r="BH10" s="2"/>
      <c r="BI10" s="2"/>
      <c r="BJ10" s="37" t="str">
        <f>IF(AT10="","",IF(ISERROR(VLOOKUP(AT10,oddXrefs,1,FALSE)),"No",(IF(AT10=VLOOKUP(AT10,oddXrefs,1,FALSE),"Yes","No"))))</f>
        <v>No</v>
      </c>
      <c r="BK10" s="37" t="str">
        <f t="shared" si="8"/>
        <v>Yes</v>
      </c>
      <c r="BL10" s="37" t="str">
        <f t="shared" si="9"/>
        <v>Yes</v>
      </c>
      <c r="BM10" s="37" t="str">
        <f t="shared" si="10"/>
        <v>Yes</v>
      </c>
      <c r="BN10" s="37">
        <f t="shared" si="11"/>
        <v>0</v>
      </c>
      <c r="BO10" s="37"/>
      <c r="BP10" s="7" t="s">
        <v>809</v>
      </c>
      <c r="BQ10" s="2" t="s">
        <v>810</v>
      </c>
      <c r="BR10" s="37"/>
      <c r="BS10" s="37"/>
      <c r="BT10" s="25"/>
      <c r="BU10" s="37"/>
      <c r="BV10" s="24"/>
      <c r="BW10" s="37"/>
      <c r="BX10" s="37"/>
      <c r="BY10" s="37"/>
      <c r="BZ10" s="17"/>
      <c r="CA10" s="2"/>
      <c r="CB10" s="8"/>
      <c r="CC10" s="37"/>
      <c r="CD10" s="7" t="s">
        <v>50</v>
      </c>
      <c r="CE10" s="2">
        <v>11</v>
      </c>
      <c r="CF10" s="37"/>
      <c r="CG10" s="37"/>
      <c r="CH10" s="37"/>
      <c r="CI10" s="25"/>
      <c r="CK10" s="7"/>
      <c r="CL10" s="2"/>
      <c r="CM10" s="2"/>
      <c r="CN10" s="2"/>
      <c r="CO10" s="2"/>
      <c r="CP10" s="2"/>
      <c r="CQ10" s="8" t="str">
        <f t="shared" si="15"/>
        <v/>
      </c>
      <c r="CR10" s="37"/>
      <c r="CS10" s="37"/>
      <c r="CT10" s="37"/>
      <c r="CU10" s="37"/>
      <c r="CV10" s="2">
        <f t="shared" si="0"/>
        <v>0</v>
      </c>
      <c r="CW10" s="2">
        <f t="shared" si="12"/>
        <v>1</v>
      </c>
      <c r="CX10" s="2">
        <f t="shared" si="1"/>
        <v>2.38</v>
      </c>
      <c r="CY10" s="2">
        <v>2.38</v>
      </c>
      <c r="CZ10" s="2" t="s">
        <v>98</v>
      </c>
      <c r="DA10" s="2">
        <v>1</v>
      </c>
      <c r="DB10" s="2" t="s">
        <v>99</v>
      </c>
      <c r="DC10" s="8" t="s">
        <v>675</v>
      </c>
      <c r="DD10" s="37"/>
      <c r="DE10" s="37"/>
      <c r="DF10" s="7"/>
      <c r="DG10" s="2" t="s">
        <v>87</v>
      </c>
      <c r="DH10" s="13"/>
      <c r="DI10" s="37">
        <f t="shared" si="16"/>
        <v>0</v>
      </c>
      <c r="DJ10" s="37">
        <f t="shared" si="17"/>
        <v>0</v>
      </c>
      <c r="DK10" s="37"/>
      <c r="DL10" s="37"/>
      <c r="DM10" s="25"/>
      <c r="DR10" s="37"/>
      <c r="DS10" s="24"/>
      <c r="DT10" s="25"/>
      <c r="DU10" s="25"/>
      <c r="DV10" s="67"/>
      <c r="DW10" s="7" t="s">
        <v>599</v>
      </c>
      <c r="DX10" s="2"/>
      <c r="DY10" s="2"/>
      <c r="DZ10" s="2"/>
      <c r="EA10" s="2"/>
      <c r="EB10" s="8"/>
      <c r="ED10" s="7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13"/>
      <c r="ES10" s="8"/>
      <c r="ET10" s="37"/>
      <c r="EU10" s="37"/>
      <c r="EV10" s="37"/>
      <c r="EW10" s="37"/>
      <c r="EX10" s="37"/>
      <c r="EY10" s="37"/>
      <c r="EZ10" s="37"/>
      <c r="FA10" s="37"/>
      <c r="FB10" s="24"/>
      <c r="FC10" s="37"/>
      <c r="FD10" s="2" t="str">
        <f t="shared" si="2"/>
        <v/>
      </c>
      <c r="FE10" s="2" t="str">
        <f t="shared" si="13"/>
        <v/>
      </c>
      <c r="FF10" s="2" t="str">
        <f t="shared" si="3"/>
        <v/>
      </c>
      <c r="FG10" s="2" t="str">
        <f t="shared" si="4"/>
        <v/>
      </c>
      <c r="FH10" s="2">
        <v>9</v>
      </c>
      <c r="FI10" s="2" t="str">
        <f t="shared" si="5"/>
        <v/>
      </c>
      <c r="FJ10" s="2">
        <f t="shared" si="6"/>
        <v>0</v>
      </c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25"/>
      <c r="GO10" s="7"/>
      <c r="GP10" s="2" t="s">
        <v>334</v>
      </c>
      <c r="GQ10" s="8">
        <f t="shared" si="14"/>
        <v>0</v>
      </c>
    </row>
    <row r="11" spans="1:201">
      <c r="D11" s="24" t="s">
        <v>148</v>
      </c>
      <c r="E11" s="25" t="str">
        <f>MID(thisdwg,6,1)</f>
        <v>-</v>
      </c>
      <c r="F11" s="129" t="str">
        <f>IF(IsLayout="Yes","Level is:","")</f>
        <v>Level is:</v>
      </c>
      <c r="G11" s="130" t="str">
        <f>IF(IsLayout="Yes",E27,"")</f>
        <v>Level 2 (Office-Roof)</v>
      </c>
      <c r="H11" s="131"/>
      <c r="I11" s="37"/>
      <c r="J11" s="7" t="s">
        <v>6</v>
      </c>
      <c r="K11" s="2" t="s">
        <v>72</v>
      </c>
      <c r="L11" s="37"/>
      <c r="M11" s="25"/>
      <c r="N11" s="37"/>
      <c r="O11" s="24"/>
      <c r="P11" s="37"/>
      <c r="Q11" s="37"/>
      <c r="R11" s="37"/>
      <c r="S11" s="37"/>
      <c r="T11" s="37"/>
      <c r="U11" s="25"/>
      <c r="V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R11" s="7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 t="str">
        <f t="shared" si="7"/>
        <v/>
      </c>
      <c r="BH11" s="2"/>
      <c r="BI11" s="2"/>
      <c r="BJ11" s="37" t="str">
        <f>IF(AT11="","",IF(ISERROR(VLOOKUP(AT11,oddXrefs,1,FALSE)),"No",(IF(AT11=VLOOKUP(AT11,oddXrefs,1,FALSE),"Yes","No"))))</f>
        <v/>
      </c>
      <c r="BK11" s="37" t="str">
        <f t="shared" si="8"/>
        <v/>
      </c>
      <c r="BL11" s="37" t="str">
        <f t="shared" si="9"/>
        <v/>
      </c>
      <c r="BM11" s="37" t="str">
        <f t="shared" si="10"/>
        <v/>
      </c>
      <c r="BN11" s="37">
        <f t="shared" si="11"/>
        <v>0</v>
      </c>
      <c r="BO11" s="37"/>
      <c r="BP11" s="7"/>
      <c r="BQ11" s="2"/>
      <c r="BR11" s="37"/>
      <c r="BS11" s="37"/>
      <c r="BT11" s="25"/>
      <c r="BU11" s="37"/>
      <c r="BV11" s="24"/>
      <c r="BW11" s="37"/>
      <c r="BX11" s="37"/>
      <c r="BY11" s="37"/>
      <c r="BZ11" s="17"/>
      <c r="CA11" s="2"/>
      <c r="CB11" s="8"/>
      <c r="CC11" s="37"/>
      <c r="CD11" s="7" t="s">
        <v>51</v>
      </c>
      <c r="CE11" s="2">
        <v>0</v>
      </c>
      <c r="CF11" s="37"/>
      <c r="CG11" s="37"/>
      <c r="CH11" s="37"/>
      <c r="CI11" s="25"/>
      <c r="CK11" s="7"/>
      <c r="CL11" s="2"/>
      <c r="CM11" s="2"/>
      <c r="CN11" s="2"/>
      <c r="CO11" s="2"/>
      <c r="CP11" s="2"/>
      <c r="CQ11" s="8" t="str">
        <f t="shared" si="15"/>
        <v/>
      </c>
      <c r="CR11" s="37"/>
      <c r="CS11" s="37"/>
      <c r="CT11" s="37"/>
      <c r="CU11" s="37"/>
      <c r="CV11" s="2">
        <f t="shared" si="0"/>
        <v>0</v>
      </c>
      <c r="CW11" s="2">
        <f t="shared" si="12"/>
        <v>1</v>
      </c>
      <c r="CX11" s="2">
        <f t="shared" si="1"/>
        <v>2.38</v>
      </c>
      <c r="CY11" s="2">
        <v>2.38</v>
      </c>
      <c r="CZ11" s="2" t="s">
        <v>98</v>
      </c>
      <c r="DA11" s="2" t="s">
        <v>682</v>
      </c>
      <c r="DB11" s="2" t="s">
        <v>99</v>
      </c>
      <c r="DC11" s="8" t="s">
        <v>675</v>
      </c>
      <c r="DD11" s="37"/>
      <c r="DE11" s="37"/>
      <c r="DF11" s="7"/>
      <c r="DG11" s="2" t="s">
        <v>88</v>
      </c>
      <c r="DH11" s="13"/>
      <c r="DI11" s="37">
        <f t="shared" si="16"/>
        <v>0</v>
      </c>
      <c r="DJ11" s="37">
        <f t="shared" si="17"/>
        <v>0</v>
      </c>
      <c r="DK11" s="37"/>
      <c r="DL11" s="37"/>
      <c r="DM11" s="25"/>
      <c r="DR11" s="37"/>
      <c r="DS11" s="7" t="s">
        <v>581</v>
      </c>
      <c r="DT11" s="92" t="str">
        <f>IF(IsView="Yes",IF(AND(IsLayout="No",DT7="No"),"na",IF(AND(northarrowok="Yes",OR(IsLayout="Yes",DT7="Yes")),"ok","x")),"na")</f>
        <v>ok</v>
      </c>
      <c r="DU11" s="78"/>
      <c r="DV11" s="67"/>
      <c r="DW11" s="7" t="s">
        <v>600</v>
      </c>
      <c r="DX11" s="2"/>
      <c r="DY11" s="2"/>
      <c r="DZ11" s="2"/>
      <c r="EA11" s="2"/>
      <c r="EB11" s="8"/>
      <c r="ED11" s="7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13"/>
      <c r="ES11" s="8"/>
      <c r="ET11" s="37"/>
      <c r="EU11" s="37"/>
      <c r="EV11" s="37"/>
      <c r="EW11" s="37"/>
      <c r="EX11" s="37"/>
      <c r="EY11" s="37"/>
      <c r="EZ11" s="37"/>
      <c r="FA11" s="37"/>
      <c r="FB11" s="24"/>
      <c r="FC11" s="37"/>
      <c r="FD11" s="2" t="str">
        <f t="shared" si="2"/>
        <v/>
      </c>
      <c r="FE11" s="2" t="str">
        <f t="shared" si="13"/>
        <v/>
      </c>
      <c r="FF11" s="2" t="str">
        <f t="shared" si="3"/>
        <v/>
      </c>
      <c r="FG11" s="2" t="str">
        <f t="shared" si="4"/>
        <v/>
      </c>
      <c r="FH11" s="2">
        <v>10</v>
      </c>
      <c r="FI11" s="2" t="str">
        <f t="shared" si="5"/>
        <v/>
      </c>
      <c r="FJ11" s="2">
        <f t="shared" si="6"/>
        <v>0</v>
      </c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25"/>
      <c r="GO11" s="7"/>
      <c r="GP11" s="2" t="s">
        <v>806</v>
      </c>
      <c r="GQ11" s="8">
        <f t="shared" si="14"/>
        <v>0</v>
      </c>
    </row>
    <row r="12" spans="1:201">
      <c r="D12" s="24" t="s">
        <v>149</v>
      </c>
      <c r="E12" s="25" t="str">
        <f>MID(thisdwg,7,1)</f>
        <v>F</v>
      </c>
      <c r="F12" s="129" t="str">
        <f>IF(IsLayout="Yes","in sector","")</f>
        <v>in sector</v>
      </c>
      <c r="G12" s="130" t="str">
        <f>IF(IsLayout="Yes",sector,"")</f>
        <v>Sector F-</v>
      </c>
      <c r="H12" s="131"/>
      <c r="I12" s="37"/>
      <c r="J12" s="7" t="s">
        <v>7</v>
      </c>
      <c r="K12" s="2" t="s">
        <v>73</v>
      </c>
      <c r="L12" s="37"/>
      <c r="M12" s="25"/>
      <c r="N12" s="37"/>
      <c r="O12" s="24" t="s">
        <v>577</v>
      </c>
      <c r="P12" s="37" t="str">
        <f>IF(ISERROR(VLOOKUP(xrefNameProper,xrefnames,1,FALSE)),"No",IF(VLOOKUP(xrefNameProper,xrefnames,1,FALSE)=xrefNameProper,"Yes","No"))</f>
        <v>No</v>
      </c>
      <c r="Q12" s="37"/>
      <c r="R12" s="37"/>
      <c r="S12" s="37"/>
      <c r="T12" s="37"/>
      <c r="U12" s="25"/>
      <c r="V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R12" s="7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 t="str">
        <f t="shared" si="7"/>
        <v/>
      </c>
      <c r="BH12" s="2"/>
      <c r="BI12" s="2"/>
      <c r="BJ12" s="37" t="str">
        <f>IF(AT12="","",IF(ISERROR(VLOOKUP(AT12,oddXrefs,1,FALSE)),"No",(IF(AT12=VLOOKUP(AT12,oddXrefs,1,FALSE),"Yes","No"))))</f>
        <v/>
      </c>
      <c r="BK12" s="37" t="str">
        <f t="shared" si="8"/>
        <v/>
      </c>
      <c r="BL12" s="37" t="str">
        <f t="shared" si="9"/>
        <v/>
      </c>
      <c r="BM12" s="37" t="str">
        <f t="shared" si="10"/>
        <v/>
      </c>
      <c r="BN12" s="37">
        <f t="shared" si="11"/>
        <v>0</v>
      </c>
      <c r="BO12" s="37"/>
      <c r="BP12" s="7"/>
      <c r="BQ12" s="2"/>
      <c r="BR12" s="37"/>
      <c r="BS12" s="37"/>
      <c r="BT12" s="25"/>
      <c r="BU12" s="37"/>
      <c r="BV12" s="24"/>
      <c r="BW12" s="37"/>
      <c r="BX12" s="37"/>
      <c r="BY12" s="37"/>
      <c r="BZ12" s="17"/>
      <c r="CA12" s="2"/>
      <c r="CB12" s="8"/>
      <c r="CC12" s="37"/>
      <c r="CD12" s="7" t="s">
        <v>52</v>
      </c>
      <c r="CE12" s="2">
        <v>0</v>
      </c>
      <c r="CF12" s="37"/>
      <c r="CG12" s="37"/>
      <c r="CH12" s="37"/>
      <c r="CI12" s="25"/>
      <c r="CK12" s="7"/>
      <c r="CL12" s="2"/>
      <c r="CM12" s="2"/>
      <c r="CN12" s="2"/>
      <c r="CO12" s="2"/>
      <c r="CP12" s="2"/>
      <c r="CQ12" s="8" t="str">
        <f t="shared" si="15"/>
        <v/>
      </c>
      <c r="CR12" s="37"/>
      <c r="CS12" s="37"/>
      <c r="CT12" s="37"/>
      <c r="CU12" s="37"/>
      <c r="CV12" s="2">
        <f t="shared" si="0"/>
        <v>0</v>
      </c>
      <c r="CW12" s="2">
        <f t="shared" si="12"/>
        <v>1</v>
      </c>
      <c r="CX12" s="2">
        <f t="shared" si="1"/>
        <v>6.35</v>
      </c>
      <c r="CY12" s="2">
        <v>6.35</v>
      </c>
      <c r="CZ12" s="2" t="s">
        <v>98</v>
      </c>
      <c r="DA12" s="2" t="s">
        <v>683</v>
      </c>
      <c r="DB12" s="2" t="s">
        <v>100</v>
      </c>
      <c r="DC12" s="8" t="s">
        <v>675</v>
      </c>
      <c r="DD12" s="37"/>
      <c r="DE12" s="37"/>
      <c r="DF12" s="7"/>
      <c r="DG12" s="2" t="s">
        <v>89</v>
      </c>
      <c r="DH12" s="13"/>
      <c r="DI12" s="37">
        <f t="shared" si="16"/>
        <v>0</v>
      </c>
      <c r="DJ12" s="37">
        <f t="shared" si="17"/>
        <v>0</v>
      </c>
      <c r="DK12" s="37"/>
      <c r="DL12" s="37"/>
      <c r="DM12" s="25"/>
      <c r="DR12" s="37"/>
      <c r="DS12" s="93"/>
      <c r="DT12" s="94"/>
      <c r="DU12" s="25"/>
      <c r="DV12" s="37"/>
      <c r="DW12" s="7" t="s">
        <v>601</v>
      </c>
      <c r="DX12" s="2">
        <v>0</v>
      </c>
      <c r="DY12" s="2" t="s">
        <v>605</v>
      </c>
      <c r="DZ12" s="2" t="s">
        <v>602</v>
      </c>
      <c r="EA12" s="42">
        <v>38929</v>
      </c>
      <c r="EB12" s="8"/>
      <c r="ED12" s="7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13"/>
      <c r="ES12" s="8"/>
      <c r="ET12" s="37"/>
      <c r="EU12" s="37"/>
      <c r="EV12" s="37"/>
      <c r="EW12" s="37"/>
      <c r="EX12" s="37"/>
      <c r="EY12" s="37"/>
      <c r="EZ12" s="37"/>
      <c r="FA12" s="37"/>
      <c r="FB12" s="24"/>
      <c r="FC12" s="37"/>
      <c r="FD12" s="2" t="str">
        <f t="shared" si="2"/>
        <v/>
      </c>
      <c r="FE12" s="2" t="str">
        <f t="shared" si="13"/>
        <v/>
      </c>
      <c r="FF12" s="2" t="str">
        <f t="shared" si="3"/>
        <v/>
      </c>
      <c r="FG12" s="2" t="str">
        <f t="shared" si="4"/>
        <v/>
      </c>
      <c r="FH12" s="2">
        <v>11</v>
      </c>
      <c r="FI12" s="2" t="str">
        <f t="shared" si="5"/>
        <v/>
      </c>
      <c r="FJ12" s="2">
        <f t="shared" si="6"/>
        <v>0</v>
      </c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25"/>
      <c r="GO12" s="7"/>
      <c r="GP12" s="2" t="s">
        <v>784</v>
      </c>
      <c r="GQ12" s="8">
        <f t="shared" si="14"/>
        <v>0</v>
      </c>
    </row>
    <row r="13" spans="1:201" ht="15" thickBot="1">
      <c r="D13" s="24" t="s">
        <v>150</v>
      </c>
      <c r="E13" s="25" t="str">
        <f>MID(thisdwg,8,1)</f>
        <v>-</v>
      </c>
      <c r="F13" s="37"/>
      <c r="G13" s="37"/>
      <c r="H13" s="25"/>
      <c r="I13" s="37"/>
      <c r="J13" s="7" t="s">
        <v>8</v>
      </c>
      <c r="K13" s="2" t="s">
        <v>74</v>
      </c>
      <c r="L13" s="37"/>
      <c r="M13" s="25"/>
      <c r="N13" s="37"/>
      <c r="O13" s="24"/>
      <c r="P13" s="37"/>
      <c r="Q13" s="37"/>
      <c r="R13" s="37"/>
      <c r="S13" s="37"/>
      <c r="T13" s="37"/>
      <c r="U13" s="25"/>
      <c r="V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R13" s="7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 t="str">
        <f t="shared" si="7"/>
        <v/>
      </c>
      <c r="BH13" s="2"/>
      <c r="BI13" s="2"/>
      <c r="BJ13" s="37" t="str">
        <f>IF(AT13="","",IF(ISERROR(VLOOKUP(AT13,oddXrefs,1,FALSE)),"No",(IF(AT13=VLOOKUP(AT13,oddXrefs,1,FALSE),"Yes","No"))))</f>
        <v/>
      </c>
      <c r="BK13" s="37" t="str">
        <f t="shared" si="8"/>
        <v/>
      </c>
      <c r="BL13" s="37" t="str">
        <f t="shared" si="9"/>
        <v/>
      </c>
      <c r="BM13" s="37" t="str">
        <f t="shared" si="10"/>
        <v/>
      </c>
      <c r="BN13" s="37">
        <f t="shared" si="11"/>
        <v>0</v>
      </c>
      <c r="BO13" s="37"/>
      <c r="BP13" s="7"/>
      <c r="BQ13" s="2"/>
      <c r="BR13" s="37"/>
      <c r="BS13" s="37"/>
      <c r="BT13" s="25"/>
      <c r="BU13" s="37"/>
      <c r="BV13" s="24"/>
      <c r="BW13" s="37"/>
      <c r="BX13" s="37"/>
      <c r="BY13" s="37"/>
      <c r="BZ13" s="17"/>
      <c r="CA13" s="2"/>
      <c r="CB13" s="8"/>
      <c r="CC13" s="37"/>
      <c r="CD13" s="7" t="s">
        <v>53</v>
      </c>
      <c r="CE13" s="2">
        <v>44</v>
      </c>
      <c r="CF13" s="37"/>
      <c r="CG13" s="37"/>
      <c r="CH13" s="37"/>
      <c r="CI13" s="25"/>
      <c r="CK13" s="7"/>
      <c r="CL13" s="2"/>
      <c r="CM13" s="2"/>
      <c r="CN13" s="2"/>
      <c r="CO13" s="2"/>
      <c r="CP13" s="2"/>
      <c r="CQ13" s="8" t="str">
        <f t="shared" si="15"/>
        <v/>
      </c>
      <c r="CR13" s="37"/>
      <c r="CS13" s="37"/>
      <c r="CT13" s="37"/>
      <c r="CU13" s="37"/>
      <c r="CV13" s="2">
        <f t="shared" si="0"/>
        <v>0</v>
      </c>
      <c r="CW13" s="2">
        <f t="shared" si="12"/>
        <v>1</v>
      </c>
      <c r="CX13" s="2">
        <f t="shared" si="1"/>
        <v>6.35</v>
      </c>
      <c r="CY13" s="2">
        <v>6.35</v>
      </c>
      <c r="CZ13" s="2" t="s">
        <v>98</v>
      </c>
      <c r="DA13" s="2" t="s">
        <v>684</v>
      </c>
      <c r="DB13" s="2" t="s">
        <v>100</v>
      </c>
      <c r="DC13" s="8" t="s">
        <v>675</v>
      </c>
      <c r="DD13" s="37"/>
      <c r="DE13" s="37"/>
      <c r="DF13" s="7"/>
      <c r="DG13" s="2" t="s">
        <v>90</v>
      </c>
      <c r="DH13" s="13"/>
      <c r="DI13" s="37">
        <f t="shared" si="16"/>
        <v>0</v>
      </c>
      <c r="DJ13" s="37">
        <f t="shared" si="17"/>
        <v>0</v>
      </c>
      <c r="DK13" s="37"/>
      <c r="DL13" s="37"/>
      <c r="DM13" s="25"/>
      <c r="DR13" s="37"/>
      <c r="DS13" s="89" t="s">
        <v>579</v>
      </c>
      <c r="DT13" s="8">
        <v>1</v>
      </c>
      <c r="DU13" s="25"/>
      <c r="DV13" s="37"/>
      <c r="DW13" s="7" t="s">
        <v>603</v>
      </c>
      <c r="DX13" s="2"/>
      <c r="DY13" s="2"/>
      <c r="DZ13" s="2"/>
      <c r="EA13" s="2"/>
      <c r="EB13" s="8"/>
      <c r="ED13" s="7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13"/>
      <c r="ES13" s="8"/>
      <c r="ET13" s="37"/>
      <c r="EU13" s="37"/>
      <c r="EV13" s="37"/>
      <c r="EW13" s="37"/>
      <c r="EX13" s="37"/>
      <c r="EY13" s="37"/>
      <c r="EZ13" s="37"/>
      <c r="FA13" s="37"/>
      <c r="FB13" s="24"/>
      <c r="FC13" s="37"/>
      <c r="FD13" s="2" t="str">
        <f t="shared" si="2"/>
        <v/>
      </c>
      <c r="FE13" s="2" t="str">
        <f t="shared" si="13"/>
        <v/>
      </c>
      <c r="FF13" s="2" t="str">
        <f t="shared" si="3"/>
        <v/>
      </c>
      <c r="FG13" s="2" t="str">
        <f t="shared" si="4"/>
        <v/>
      </c>
      <c r="FH13" s="2">
        <v>12</v>
      </c>
      <c r="FI13" s="2" t="str">
        <f t="shared" si="5"/>
        <v/>
      </c>
      <c r="FJ13" s="2">
        <f t="shared" si="6"/>
        <v>0</v>
      </c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25"/>
      <c r="GO13" s="7"/>
      <c r="GP13" s="2" t="s">
        <v>125</v>
      </c>
      <c r="GQ13" s="8">
        <f t="shared" si="14"/>
        <v>0</v>
      </c>
    </row>
    <row r="14" spans="1:201" ht="15" thickBot="1">
      <c r="D14" s="26" t="s">
        <v>151</v>
      </c>
      <c r="E14" s="38" t="str">
        <f>MID(thisdwg,9,1)</f>
        <v>.</v>
      </c>
      <c r="F14" s="22" t="s">
        <v>827</v>
      </c>
      <c r="G14" s="23"/>
      <c r="H14" s="25"/>
      <c r="I14" s="37"/>
      <c r="J14" s="7" t="s">
        <v>9</v>
      </c>
      <c r="K14" s="2" t="s">
        <v>75</v>
      </c>
      <c r="L14" s="37"/>
      <c r="M14" s="25"/>
      <c r="N14" s="37"/>
      <c r="O14" s="24" t="s">
        <v>578</v>
      </c>
      <c r="P14" s="71" t="str">
        <f>IF(IsView="Yes",IF(OR(IsLayout="No",AND(OR(IsEnlarged="Yes",IsLayout="Yes"),properXrefFound="Yes")),"ok","x"),IF(paperall&lt;3,"ok","x"))</f>
        <v>x</v>
      </c>
      <c r="Q14" s="67"/>
      <c r="R14" s="67"/>
      <c r="S14" s="37"/>
      <c r="T14" s="37"/>
      <c r="U14" s="25"/>
      <c r="V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R14" s="7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 t="str">
        <f t="shared" si="7"/>
        <v/>
      </c>
      <c r="BH14" s="2"/>
      <c r="BI14" s="2"/>
      <c r="BJ14" s="37" t="str">
        <f>IF(AT14="","",IF(ISERROR(VLOOKUP(AT14,oddXrefs,1,FALSE)),"No",(IF(AT14=VLOOKUP(AT14,oddXrefs,1,FALSE),"Yes","No"))))</f>
        <v/>
      </c>
      <c r="BK14" s="37" t="str">
        <f t="shared" si="8"/>
        <v/>
      </c>
      <c r="BL14" s="37" t="str">
        <f t="shared" si="9"/>
        <v/>
      </c>
      <c r="BM14" s="37" t="str">
        <f t="shared" si="10"/>
        <v/>
      </c>
      <c r="BN14" s="37">
        <f t="shared" si="11"/>
        <v>0</v>
      </c>
      <c r="BO14" s="37"/>
      <c r="BP14" s="7"/>
      <c r="BQ14" s="2"/>
      <c r="BR14" s="37"/>
      <c r="BS14" s="37"/>
      <c r="BT14" s="25"/>
      <c r="BU14" s="37"/>
      <c r="BV14" s="24"/>
      <c r="BW14" s="37"/>
      <c r="BX14" s="37"/>
      <c r="BY14" s="37"/>
      <c r="BZ14" s="17"/>
      <c r="CA14" s="2"/>
      <c r="CB14" s="8"/>
      <c r="CC14" s="37"/>
      <c r="CD14" s="7" t="s">
        <v>54</v>
      </c>
      <c r="CE14" s="2">
        <v>0</v>
      </c>
      <c r="CF14" s="37"/>
      <c r="CG14" s="37"/>
      <c r="CH14" s="37"/>
      <c r="CI14" s="25"/>
      <c r="CK14" s="7"/>
      <c r="CL14" s="2"/>
      <c r="CM14" s="2"/>
      <c r="CN14" s="2"/>
      <c r="CO14" s="2"/>
      <c r="CP14" s="2"/>
      <c r="CQ14" s="8" t="str">
        <f t="shared" si="15"/>
        <v/>
      </c>
      <c r="CR14" s="37"/>
      <c r="CS14" s="37"/>
      <c r="CT14" s="37"/>
      <c r="CU14" s="37"/>
      <c r="CV14" s="2">
        <f t="shared" si="0"/>
        <v>0</v>
      </c>
      <c r="CW14" s="2">
        <f t="shared" si="12"/>
        <v>1</v>
      </c>
      <c r="CX14" s="2">
        <f t="shared" si="1"/>
        <v>2.38</v>
      </c>
      <c r="CY14" s="2">
        <v>2.38</v>
      </c>
      <c r="CZ14" s="2" t="s">
        <v>98</v>
      </c>
      <c r="DA14" s="2" t="s">
        <v>685</v>
      </c>
      <c r="DB14" s="2" t="s">
        <v>99</v>
      </c>
      <c r="DC14" s="8" t="s">
        <v>675</v>
      </c>
      <c r="DD14" s="37"/>
      <c r="DE14" s="37"/>
      <c r="DF14" s="7"/>
      <c r="DG14" s="2" t="s">
        <v>91</v>
      </c>
      <c r="DH14" s="13"/>
      <c r="DI14" s="37">
        <f t="shared" si="16"/>
        <v>0</v>
      </c>
      <c r="DJ14" s="37">
        <f t="shared" si="17"/>
        <v>0</v>
      </c>
      <c r="DK14" s="37"/>
      <c r="DL14" s="37"/>
      <c r="DM14" s="25"/>
      <c r="DR14" s="37"/>
      <c r="DS14" s="89" t="s">
        <v>580</v>
      </c>
      <c r="DT14" s="8">
        <v>90</v>
      </c>
      <c r="DU14" s="25"/>
      <c r="DV14" s="37"/>
      <c r="DW14" s="7" t="s">
        <v>604</v>
      </c>
      <c r="DX14" s="2">
        <v>1</v>
      </c>
      <c r="DY14" s="2"/>
      <c r="DZ14" s="2" t="s">
        <v>602</v>
      </c>
      <c r="EA14" s="42">
        <v>39453</v>
      </c>
      <c r="EB14" s="8"/>
      <c r="ED14" s="7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13"/>
      <c r="ES14" s="8"/>
      <c r="ET14" s="37"/>
      <c r="EU14" s="37"/>
      <c r="EV14" s="37"/>
      <c r="EW14" s="37"/>
      <c r="EX14" s="37"/>
      <c r="EY14" s="37"/>
      <c r="EZ14" s="37"/>
      <c r="FA14" s="37"/>
      <c r="FB14" s="26"/>
      <c r="FC14" s="38"/>
      <c r="FD14" s="10" t="str">
        <f t="shared" si="2"/>
        <v/>
      </c>
      <c r="FE14" s="2" t="str">
        <f t="shared" si="13"/>
        <v/>
      </c>
      <c r="FF14" s="10" t="str">
        <f t="shared" si="3"/>
        <v/>
      </c>
      <c r="FG14" s="10" t="str">
        <f t="shared" si="4"/>
        <v/>
      </c>
      <c r="FH14" s="10">
        <v>13</v>
      </c>
      <c r="FI14" s="2" t="str">
        <f t="shared" si="5"/>
        <v/>
      </c>
      <c r="FJ14" s="10">
        <f t="shared" si="6"/>
        <v>0</v>
      </c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27"/>
      <c r="GO14" s="7"/>
      <c r="GP14" s="2" t="s">
        <v>124</v>
      </c>
      <c r="GQ14" s="8">
        <f t="shared" si="14"/>
        <v>0</v>
      </c>
    </row>
    <row r="15" spans="1:201" ht="15" thickBot="1">
      <c r="D15" s="24"/>
      <c r="E15" s="37"/>
      <c r="F15" s="26" t="s">
        <v>826</v>
      </c>
      <c r="G15" s="27" t="str">
        <f>IF(dwgname=DwgNum,"equal","not equal")</f>
        <v>equal</v>
      </c>
      <c r="H15" s="25"/>
      <c r="I15" s="37"/>
      <c r="J15" s="7" t="s">
        <v>13</v>
      </c>
      <c r="K15" s="2" t="s">
        <v>79</v>
      </c>
      <c r="L15" s="2" t="s">
        <v>831</v>
      </c>
      <c r="M15" s="25" t="str">
        <f>IF(LEN(SUBSTITUTE(Title1,"LC",""))&lt;LEN(Title1),"Yes","No")</f>
        <v>Yes</v>
      </c>
      <c r="N15" s="37"/>
      <c r="O15" s="24"/>
      <c r="P15" s="37"/>
      <c r="Q15" s="37"/>
      <c r="R15" s="37"/>
      <c r="S15" s="37"/>
      <c r="T15" s="37"/>
      <c r="U15" s="25"/>
      <c r="V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R15" s="7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 t="str">
        <f t="shared" si="7"/>
        <v/>
      </c>
      <c r="BH15" s="2"/>
      <c r="BI15" s="2"/>
      <c r="BJ15" s="37" t="str">
        <f>IF(AT15="","",IF(ISERROR(VLOOKUP(AT15,oddXrefs,1,FALSE)),"No",(IF(AT15=VLOOKUP(AT15,oddXrefs,1,FALSE),"Yes","No"))))</f>
        <v/>
      </c>
      <c r="BK15" s="37" t="str">
        <f t="shared" si="8"/>
        <v/>
      </c>
      <c r="BL15" s="37" t="str">
        <f t="shared" si="9"/>
        <v/>
      </c>
      <c r="BM15" s="37" t="str">
        <f t="shared" si="10"/>
        <v/>
      </c>
      <c r="BN15" s="37">
        <f t="shared" si="11"/>
        <v>0</v>
      </c>
      <c r="BO15" s="37"/>
      <c r="BP15" s="7"/>
      <c r="BQ15" s="2"/>
      <c r="BR15" s="37"/>
      <c r="BS15" s="37"/>
      <c r="BT15" s="25"/>
      <c r="BU15" s="37"/>
      <c r="BV15" s="24"/>
      <c r="BW15" s="37"/>
      <c r="BX15" s="37"/>
      <c r="BY15" s="37"/>
      <c r="BZ15" s="17"/>
      <c r="CA15" s="2"/>
      <c r="CB15" s="8"/>
      <c r="CC15" s="37"/>
      <c r="CD15" s="7" t="s">
        <v>55</v>
      </c>
      <c r="CE15" s="2">
        <v>7</v>
      </c>
      <c r="CF15" s="37"/>
      <c r="CG15" s="37"/>
      <c r="CH15" s="37"/>
      <c r="CI15" s="25"/>
      <c r="CK15" s="7"/>
      <c r="CL15" s="2"/>
      <c r="CM15" s="2"/>
      <c r="CN15" s="2"/>
      <c r="CO15" s="2"/>
      <c r="CP15" s="2"/>
      <c r="CQ15" s="8" t="str">
        <f t="shared" si="15"/>
        <v/>
      </c>
      <c r="CR15" s="37"/>
      <c r="CS15" s="37"/>
      <c r="CT15" s="37"/>
      <c r="CU15" s="37"/>
      <c r="CV15" s="2">
        <f t="shared" si="0"/>
        <v>0</v>
      </c>
      <c r="CW15" s="2">
        <f t="shared" si="12"/>
        <v>1</v>
      </c>
      <c r="CX15" s="2">
        <f t="shared" si="1"/>
        <v>2.38</v>
      </c>
      <c r="CY15" s="2">
        <v>2.38</v>
      </c>
      <c r="CZ15" s="2" t="s">
        <v>98</v>
      </c>
      <c r="DA15" s="2" t="s">
        <v>299</v>
      </c>
      <c r="DB15" s="2" t="s">
        <v>99</v>
      </c>
      <c r="DC15" s="8" t="s">
        <v>675</v>
      </c>
      <c r="DD15" s="37"/>
      <c r="DE15" s="37"/>
      <c r="DF15" s="7"/>
      <c r="DG15" s="2" t="s">
        <v>93</v>
      </c>
      <c r="DH15" s="13"/>
      <c r="DI15" s="37">
        <f t="shared" si="16"/>
        <v>0</v>
      </c>
      <c r="DJ15" s="37">
        <f t="shared" si="17"/>
        <v>0</v>
      </c>
      <c r="DK15" s="37"/>
      <c r="DL15" s="37"/>
      <c r="DM15" s="25"/>
      <c r="DR15" s="37"/>
      <c r="DS15" s="93"/>
      <c r="DT15" s="94"/>
      <c r="DU15" s="25"/>
      <c r="DV15" s="37"/>
      <c r="DW15" s="7"/>
      <c r="DX15" s="2"/>
      <c r="DY15" s="2"/>
      <c r="DZ15" s="2"/>
      <c r="EA15" s="2"/>
      <c r="EB15" s="8"/>
      <c r="ED15" s="9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4"/>
      <c r="ES15" s="11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2" t="str">
        <f t="shared" si="13"/>
        <v/>
      </c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27"/>
      <c r="GO15" s="7"/>
      <c r="GP15" s="2" t="s">
        <v>774</v>
      </c>
      <c r="GQ15" s="8">
        <f t="shared" si="14"/>
        <v>0</v>
      </c>
    </row>
    <row r="16" spans="1:201">
      <c r="D16" s="28" t="s">
        <v>152</v>
      </c>
      <c r="E16" s="29" t="str">
        <f>titleletter1</f>
        <v>K</v>
      </c>
      <c r="F16" s="37"/>
      <c r="G16" s="37"/>
      <c r="H16" s="25"/>
      <c r="I16" s="37"/>
      <c r="J16" s="7" t="s">
        <v>12</v>
      </c>
      <c r="K16" s="2" t="s">
        <v>78</v>
      </c>
      <c r="L16" s="2" t="s">
        <v>572</v>
      </c>
      <c r="M16" s="25" t="str">
        <f>IF(LEN(SUBSTITUTE(Title2,"LEVEL",""))&lt;LEN(Title2),"Yes","No")</f>
        <v>Yes</v>
      </c>
      <c r="N16" s="37"/>
      <c r="O16" s="73" t="s">
        <v>845</v>
      </c>
      <c r="P16" s="37"/>
      <c r="Q16" s="37"/>
      <c r="R16" s="37" t="s">
        <v>883</v>
      </c>
      <c r="S16" s="37"/>
      <c r="T16" s="37"/>
      <c r="U16" s="25"/>
      <c r="V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R16" s="7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 t="str">
        <f t="shared" si="7"/>
        <v/>
      </c>
      <c r="BH16" s="2"/>
      <c r="BI16" s="2"/>
      <c r="BJ16" s="37" t="str">
        <f>IF(AT16="","",IF(ISERROR(VLOOKUP(AT16,oddXrefs,1,FALSE)),"No",(IF(AT16=VLOOKUP(AT16,oddXrefs,1,FALSE),"Yes","No"))))</f>
        <v/>
      </c>
      <c r="BK16" s="37" t="str">
        <f t="shared" si="8"/>
        <v/>
      </c>
      <c r="BL16" s="37" t="str">
        <f t="shared" si="9"/>
        <v/>
      </c>
      <c r="BM16" s="37" t="str">
        <f t="shared" si="10"/>
        <v/>
      </c>
      <c r="BN16" s="37">
        <f t="shared" si="11"/>
        <v>0</v>
      </c>
      <c r="BO16" s="37"/>
      <c r="BP16" s="7"/>
      <c r="BQ16" s="2"/>
      <c r="BR16" s="37"/>
      <c r="BS16" s="37"/>
      <c r="BT16" s="25"/>
      <c r="BU16" s="37"/>
      <c r="BV16" s="24"/>
      <c r="BW16" s="37"/>
      <c r="BX16" s="37"/>
      <c r="BY16" s="37"/>
      <c r="BZ16" s="17"/>
      <c r="CA16" s="2"/>
      <c r="CB16" s="8"/>
      <c r="CC16" s="37"/>
      <c r="CD16" s="7" t="s">
        <v>56</v>
      </c>
      <c r="CE16" s="2">
        <v>0</v>
      </c>
      <c r="CF16" s="37"/>
      <c r="CG16" s="37"/>
      <c r="CH16" s="37"/>
      <c r="CI16" s="25"/>
      <c r="CK16" s="7"/>
      <c r="CL16" s="2"/>
      <c r="CM16" s="2"/>
      <c r="CN16" s="2"/>
      <c r="CO16" s="2"/>
      <c r="CP16" s="2"/>
      <c r="CQ16" s="8" t="str">
        <f t="shared" si="15"/>
        <v/>
      </c>
      <c r="CR16" s="37"/>
      <c r="CS16" s="37"/>
      <c r="CT16" s="37"/>
      <c r="CU16" s="37"/>
      <c r="CV16" s="2">
        <f t="shared" si="0"/>
        <v>0</v>
      </c>
      <c r="CW16" s="2">
        <f t="shared" si="12"/>
        <v>1</v>
      </c>
      <c r="CX16" s="2">
        <f t="shared" si="1"/>
        <v>2.38</v>
      </c>
      <c r="CY16" s="2">
        <v>2.38</v>
      </c>
      <c r="CZ16" s="2" t="s">
        <v>98</v>
      </c>
      <c r="DA16" s="2" t="s">
        <v>223</v>
      </c>
      <c r="DB16" s="2" t="s">
        <v>99</v>
      </c>
      <c r="DC16" s="8" t="s">
        <v>675</v>
      </c>
      <c r="DD16" s="37"/>
      <c r="DE16" s="37"/>
      <c r="DF16" s="7"/>
      <c r="DG16" s="2" t="s">
        <v>94</v>
      </c>
      <c r="DH16" s="13"/>
      <c r="DI16" s="37">
        <f t="shared" si="16"/>
        <v>0</v>
      </c>
      <c r="DJ16" s="37">
        <f t="shared" si="17"/>
        <v>0</v>
      </c>
      <c r="DK16" s="37"/>
      <c r="DL16" s="37"/>
      <c r="DM16" s="25"/>
      <c r="DR16" s="37"/>
      <c r="DS16" s="93"/>
      <c r="DT16" s="94"/>
      <c r="DU16" s="25"/>
      <c r="DV16" s="37"/>
      <c r="DW16" s="7"/>
      <c r="DX16" s="2"/>
      <c r="DY16" s="2"/>
      <c r="DZ16" s="2"/>
      <c r="EA16" s="2"/>
      <c r="EB16" s="8"/>
      <c r="FE16" s="2" t="str">
        <f t="shared" si="13"/>
        <v/>
      </c>
      <c r="GO16" s="7"/>
      <c r="GP16" s="2" t="s">
        <v>808</v>
      </c>
      <c r="GQ16" s="8">
        <f t="shared" si="14"/>
        <v>1</v>
      </c>
    </row>
    <row r="17" spans="3:199" ht="15" thickBot="1">
      <c r="D17" s="30" t="s">
        <v>153</v>
      </c>
      <c r="E17" s="31" t="str">
        <f>IF(OR(titleletter1="K",titleletter1="G",titleletter1="M",titleletter1="R"),"Yes","No")</f>
        <v>Yes</v>
      </c>
      <c r="F17" s="37"/>
      <c r="H17" s="25"/>
      <c r="I17" s="37"/>
      <c r="J17" s="7" t="s">
        <v>11</v>
      </c>
      <c r="K17" s="2" t="s">
        <v>77</v>
      </c>
      <c r="L17" s="2" t="s">
        <v>832</v>
      </c>
      <c r="M17" s="25" t="str">
        <f>IF(OR(LEN(SUBSTITUTE(Title3,"OVERVIEW",""))&lt;LEN(Title3),LEN(SUBSTITUTE(Title3,"SECTOR",""))&lt;LEN(Title3)),"Yes","No")</f>
        <v>Yes</v>
      </c>
      <c r="N17" s="37"/>
      <c r="O17" s="73" t="s">
        <v>846</v>
      </c>
      <c r="P17" s="37" t="str">
        <f>VLOOKUP(titleletter1,xrefLetterTable,2,FALSE)</f>
        <v>G</v>
      </c>
      <c r="Q17" s="37"/>
      <c r="R17" s="37" t="str">
        <f>VLOOKUP(titleletter1,xrefLetterTable,2,FALSE)</f>
        <v>G</v>
      </c>
      <c r="S17" s="37"/>
      <c r="T17" s="37"/>
      <c r="U17" s="25"/>
      <c r="V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R17" s="7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 t="str">
        <f t="shared" si="7"/>
        <v/>
      </c>
      <c r="BH17" s="2"/>
      <c r="BI17" s="2"/>
      <c r="BJ17" s="37" t="str">
        <f>IF(AT17="","",IF(ISERROR(VLOOKUP(AT17,oddXrefs,1,FALSE)),"No",(IF(AT17=VLOOKUP(AT17,oddXrefs,1,FALSE),"Yes","No"))))</f>
        <v/>
      </c>
      <c r="BK17" s="37" t="str">
        <f t="shared" si="8"/>
        <v/>
      </c>
      <c r="BL17" s="37" t="str">
        <f t="shared" si="9"/>
        <v/>
      </c>
      <c r="BM17" s="37" t="str">
        <f t="shared" si="10"/>
        <v/>
      </c>
      <c r="BN17" s="37">
        <f t="shared" si="11"/>
        <v>0</v>
      </c>
      <c r="BO17" s="37"/>
      <c r="BP17" s="7"/>
      <c r="BQ17" s="2"/>
      <c r="BR17" s="37"/>
      <c r="BS17" s="37"/>
      <c r="BT17" s="25"/>
      <c r="BU17" s="37"/>
      <c r="BV17" s="24"/>
      <c r="BW17" s="37"/>
      <c r="BX17" s="37"/>
      <c r="BY17" s="37"/>
      <c r="BZ17" s="17"/>
      <c r="CA17" s="2"/>
      <c r="CB17" s="8"/>
      <c r="CC17" s="37"/>
      <c r="CD17" s="7" t="s">
        <v>57</v>
      </c>
      <c r="CE17" s="2">
        <v>0</v>
      </c>
      <c r="CF17" s="37"/>
      <c r="CG17" s="37"/>
      <c r="CH17" s="37"/>
      <c r="CI17" s="25"/>
      <c r="CK17" s="7"/>
      <c r="CL17" s="2"/>
      <c r="CM17" s="2"/>
      <c r="CN17" s="2"/>
      <c r="CO17" s="2"/>
      <c r="CP17" s="2"/>
      <c r="CQ17" s="8" t="str">
        <f t="shared" si="15"/>
        <v/>
      </c>
      <c r="CR17" s="37"/>
      <c r="CS17" s="37"/>
      <c r="CT17" s="37"/>
      <c r="CU17" s="37"/>
      <c r="CV17" s="2">
        <f t="shared" si="0"/>
        <v>0</v>
      </c>
      <c r="CW17" s="2">
        <f t="shared" si="12"/>
        <v>1</v>
      </c>
      <c r="CX17" s="2">
        <f t="shared" si="1"/>
        <v>2.38</v>
      </c>
      <c r="CY17" s="2">
        <v>2.38</v>
      </c>
      <c r="CZ17" s="2" t="s">
        <v>98</v>
      </c>
      <c r="DA17" s="2" t="s">
        <v>686</v>
      </c>
      <c r="DB17" s="2" t="s">
        <v>99</v>
      </c>
      <c r="DC17" s="8" t="s">
        <v>675</v>
      </c>
      <c r="DD17" s="37"/>
      <c r="DF17" s="7"/>
      <c r="DG17" s="2" t="s">
        <v>95</v>
      </c>
      <c r="DH17" s="13"/>
      <c r="DI17" s="37">
        <f>IF(ISERROR(FIND("$0$",DG17)),0,1)</f>
        <v>0</v>
      </c>
      <c r="DJ17" s="37">
        <f t="shared" si="17"/>
        <v>0</v>
      </c>
      <c r="DK17" s="37"/>
      <c r="DL17" s="37"/>
      <c r="DM17" s="25"/>
      <c r="DR17" s="37"/>
      <c r="DS17" s="95"/>
      <c r="DT17" s="96"/>
      <c r="DU17" s="27"/>
      <c r="DV17" s="37"/>
      <c r="DW17" s="7"/>
      <c r="DX17" s="2"/>
      <c r="DY17" s="2"/>
      <c r="DZ17" s="2"/>
      <c r="EA17" s="2"/>
      <c r="EB17" s="8"/>
      <c r="GO17" s="7"/>
      <c r="GP17" s="2"/>
      <c r="GQ17" s="8" t="str">
        <f t="shared" si="14"/>
        <v/>
      </c>
    </row>
    <row r="18" spans="3:199">
      <c r="D18" s="30" t="s">
        <v>811</v>
      </c>
      <c r="E18" s="25" t="str">
        <f>IsView</f>
        <v>Yes</v>
      </c>
      <c r="F18" s="67"/>
      <c r="G18" s="37"/>
      <c r="H18" s="25"/>
      <c r="I18" s="37"/>
      <c r="J18" s="7" t="s">
        <v>10</v>
      </c>
      <c r="K18" s="2" t="s">
        <v>76</v>
      </c>
      <c r="L18" s="39" t="s">
        <v>833</v>
      </c>
      <c r="M18" s="25" t="str">
        <f>IF(OR(LEN(SUBSTITUTE(Title4,"LAYOUT",""))&lt;LEN(Title4),LEN(SUBSTITUTE(Title4,"VIEW",""))&lt;LEN(Title4)),"Yes","No")</f>
        <v>Yes</v>
      </c>
      <c r="N18" s="37"/>
      <c r="O18" s="73" t="s">
        <v>847</v>
      </c>
      <c r="P18" s="37" t="str">
        <f>titleletter2</f>
        <v>S</v>
      </c>
      <c r="Q18" s="37"/>
      <c r="R18" s="37" t="str">
        <f>titleletter2</f>
        <v>S</v>
      </c>
      <c r="S18" s="37"/>
      <c r="T18" s="37"/>
      <c r="U18" s="25"/>
      <c r="V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R18" s="7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 t="str">
        <f t="shared" si="7"/>
        <v/>
      </c>
      <c r="BH18" s="2"/>
      <c r="BI18" s="2"/>
      <c r="BJ18" s="37" t="str">
        <f>IF(AT18="","",IF(ISERROR(VLOOKUP(AT18,oddXrefs,1,FALSE)),"No",(IF(AT18=VLOOKUP(AT18,oddXrefs,1,FALSE),"Yes","No"))))</f>
        <v/>
      </c>
      <c r="BK18" s="37" t="str">
        <f t="shared" si="8"/>
        <v/>
      </c>
      <c r="BL18" s="37" t="str">
        <f t="shared" si="9"/>
        <v/>
      </c>
      <c r="BM18" s="37" t="str">
        <f t="shared" si="10"/>
        <v/>
      </c>
      <c r="BN18" s="37">
        <f t="shared" si="11"/>
        <v>0</v>
      </c>
      <c r="BO18" s="37"/>
      <c r="BP18" s="7"/>
      <c r="BQ18" s="2"/>
      <c r="BR18" s="37"/>
      <c r="BS18" s="37"/>
      <c r="BT18" s="25"/>
      <c r="BU18" s="37"/>
      <c r="BV18" s="24"/>
      <c r="BW18" s="37"/>
      <c r="BX18" s="37"/>
      <c r="BY18" s="37"/>
      <c r="BZ18" s="17"/>
      <c r="CA18" s="2"/>
      <c r="CB18" s="8"/>
      <c r="CC18" s="37"/>
      <c r="CD18" s="7" t="s">
        <v>58</v>
      </c>
      <c r="CE18" s="2">
        <v>7</v>
      </c>
      <c r="CF18" s="37"/>
      <c r="CG18" s="37"/>
      <c r="CH18" s="37"/>
      <c r="CI18" s="25"/>
      <c r="CK18" s="7"/>
      <c r="CL18" s="2"/>
      <c r="CM18" s="2"/>
      <c r="CN18" s="2"/>
      <c r="CO18" s="2"/>
      <c r="CP18" s="2"/>
      <c r="CQ18" s="8" t="str">
        <f t="shared" si="15"/>
        <v/>
      </c>
      <c r="CR18" s="37"/>
      <c r="CS18" s="37"/>
      <c r="CT18" s="37"/>
      <c r="CU18" s="37"/>
      <c r="CV18" s="2">
        <f t="shared" si="0"/>
        <v>0</v>
      </c>
      <c r="CW18" s="2">
        <f t="shared" si="12"/>
        <v>1</v>
      </c>
      <c r="CX18" s="2">
        <f t="shared" si="1"/>
        <v>2.38</v>
      </c>
      <c r="CY18" s="2">
        <v>2.38</v>
      </c>
      <c r="CZ18" s="2" t="s">
        <v>98</v>
      </c>
      <c r="DA18" s="2" t="s">
        <v>687</v>
      </c>
      <c r="DB18" s="2" t="s">
        <v>99</v>
      </c>
      <c r="DC18" s="8" t="s">
        <v>675</v>
      </c>
      <c r="DD18" s="37"/>
      <c r="DF18" s="7"/>
      <c r="DG18" s="2" t="s">
        <v>887</v>
      </c>
      <c r="DH18" s="13"/>
      <c r="DI18" s="37">
        <f>IF(ISERROR(FIND("$0$",DG18)),0,1)</f>
        <v>1</v>
      </c>
      <c r="DJ18" s="37">
        <f t="shared" si="17"/>
        <v>1</v>
      </c>
      <c r="DK18" s="37"/>
      <c r="DL18" s="37"/>
      <c r="DM18" s="25"/>
      <c r="DR18" s="37"/>
      <c r="DS18" s="37"/>
      <c r="DT18" s="37"/>
      <c r="DU18" s="37"/>
      <c r="DV18" s="37"/>
      <c r="DW18" s="7"/>
      <c r="DX18" s="2"/>
      <c r="DY18" s="2"/>
      <c r="DZ18" s="2"/>
      <c r="EA18" s="2"/>
      <c r="EB18" s="8"/>
      <c r="GO18" s="7"/>
      <c r="GP18" s="2"/>
      <c r="GQ18" s="8" t="str">
        <f t="shared" si="14"/>
        <v/>
      </c>
    </row>
    <row r="19" spans="3:199" ht="15" thickBot="1">
      <c r="D19" s="24"/>
      <c r="E19" s="37"/>
      <c r="F19" s="37"/>
      <c r="G19" s="37"/>
      <c r="H19" s="25"/>
      <c r="I19" s="37"/>
      <c r="J19" s="7" t="s">
        <v>14</v>
      </c>
      <c r="K19" s="2" t="s">
        <v>80</v>
      </c>
      <c r="L19" s="37"/>
      <c r="M19" s="25"/>
      <c r="N19" s="37"/>
      <c r="O19" s="73" t="s">
        <v>848</v>
      </c>
      <c r="P19" s="37" t="str">
        <f>titleletter3</f>
        <v>T</v>
      </c>
      <c r="Q19" s="37"/>
      <c r="R19" s="37" t="s">
        <v>255</v>
      </c>
      <c r="S19" s="37"/>
      <c r="T19" s="37"/>
      <c r="U19" s="25"/>
      <c r="V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R19" s="7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 t="str">
        <f t="shared" si="7"/>
        <v/>
      </c>
      <c r="BH19" s="2"/>
      <c r="BI19" s="2"/>
      <c r="BJ19" s="37" t="str">
        <f>IF(AT19="","",IF(ISERROR(VLOOKUP(AT19,oddXrefs,1,FALSE)),"No",(IF(AT19=VLOOKUP(AT19,oddXrefs,1,FALSE),"Yes","No"))))</f>
        <v/>
      </c>
      <c r="BK19" s="37" t="str">
        <f t="shared" si="8"/>
        <v/>
      </c>
      <c r="BL19" s="37" t="str">
        <f t="shared" si="9"/>
        <v/>
      </c>
      <c r="BM19" s="37" t="str">
        <f t="shared" si="10"/>
        <v/>
      </c>
      <c r="BN19" s="37">
        <f t="shared" si="11"/>
        <v>0</v>
      </c>
      <c r="BO19" s="37"/>
      <c r="BP19" s="7"/>
      <c r="BQ19" s="2"/>
      <c r="BR19" s="37"/>
      <c r="BS19" s="37"/>
      <c r="BT19" s="25"/>
      <c r="BU19" s="37"/>
      <c r="BV19" s="24"/>
      <c r="BW19" s="37"/>
      <c r="BX19" s="37"/>
      <c r="BY19" s="37"/>
      <c r="BZ19" s="17"/>
      <c r="CA19" s="2"/>
      <c r="CB19" s="8"/>
      <c r="CC19" s="37"/>
      <c r="CD19" s="24"/>
      <c r="CE19" s="37"/>
      <c r="CF19" s="37"/>
      <c r="CG19" s="37"/>
      <c r="CH19" s="37"/>
      <c r="CI19" s="25"/>
      <c r="CK19" s="9"/>
      <c r="CL19" s="10"/>
      <c r="CM19" s="10"/>
      <c r="CN19" s="10"/>
      <c r="CO19" s="10"/>
      <c r="CP19" s="10"/>
      <c r="CQ19" s="11" t="str">
        <f t="shared" si="15"/>
        <v/>
      </c>
      <c r="CR19" s="37"/>
      <c r="CS19" s="37"/>
      <c r="CT19" s="37"/>
      <c r="CU19" s="37"/>
      <c r="CV19" s="2">
        <f t="shared" si="0"/>
        <v>0</v>
      </c>
      <c r="CW19" s="2">
        <f t="shared" si="12"/>
        <v>1</v>
      </c>
      <c r="CX19" s="2">
        <f t="shared" si="1"/>
        <v>2.38</v>
      </c>
      <c r="CY19" s="2">
        <v>2.38</v>
      </c>
      <c r="CZ19" s="2" t="s">
        <v>98</v>
      </c>
      <c r="DA19" s="2" t="s">
        <v>213</v>
      </c>
      <c r="DB19" s="2" t="s">
        <v>99</v>
      </c>
      <c r="DC19" s="8" t="s">
        <v>675</v>
      </c>
      <c r="DD19" s="37"/>
      <c r="DF19" s="7"/>
      <c r="DG19" s="2" t="s">
        <v>630</v>
      </c>
      <c r="DH19" s="13"/>
      <c r="DI19" s="37">
        <f t="shared" ref="DI19:DI45" si="18">IF(ISERROR(FIND("$0$",DG19)),0,1)</f>
        <v>0</v>
      </c>
      <c r="DJ19" s="37">
        <f t="shared" si="17"/>
        <v>0</v>
      </c>
      <c r="DK19" s="37"/>
      <c r="DL19" s="37"/>
      <c r="DM19" s="25"/>
      <c r="DR19" s="37"/>
      <c r="DS19" s="37"/>
      <c r="DT19" s="37"/>
      <c r="DU19" s="37"/>
      <c r="DV19" s="37"/>
      <c r="DW19" s="7"/>
      <c r="DX19" s="2"/>
      <c r="DY19" s="2"/>
      <c r="DZ19" s="2"/>
      <c r="EA19" s="2"/>
      <c r="EB19" s="8"/>
      <c r="GO19" s="7"/>
      <c r="GP19" s="2"/>
      <c r="GQ19" s="8" t="str">
        <f t="shared" si="14"/>
        <v/>
      </c>
    </row>
    <row r="20" spans="3:199" ht="15" thickBot="1">
      <c r="D20" s="24" t="s">
        <v>154</v>
      </c>
      <c r="E20" s="25" t="str">
        <f>titleletter2</f>
        <v>S</v>
      </c>
      <c r="F20" s="37"/>
      <c r="G20" s="37"/>
      <c r="H20" s="25"/>
      <c r="I20" s="37"/>
      <c r="J20" s="7" t="s">
        <v>15</v>
      </c>
      <c r="K20" s="2" t="s">
        <v>80</v>
      </c>
      <c r="L20" s="37"/>
      <c r="M20" s="25"/>
      <c r="N20" s="37"/>
      <c r="O20" s="73" t="s">
        <v>849</v>
      </c>
      <c r="P20" s="37" t="str">
        <f>titleletter4</f>
        <v>-</v>
      </c>
      <c r="Q20" s="37"/>
      <c r="R20" s="37" t="str">
        <f>titleletter4</f>
        <v>-</v>
      </c>
      <c r="S20" s="37"/>
      <c r="T20" s="37"/>
      <c r="U20" s="25"/>
      <c r="V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R20" s="7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 t="str">
        <f t="shared" si="7"/>
        <v/>
      </c>
      <c r="BH20" s="2"/>
      <c r="BI20" s="2"/>
      <c r="BJ20" s="37" t="str">
        <f>IF(AT20="","",IF(ISERROR(VLOOKUP(AT20,oddXrefs,1,FALSE)),"No",(IF(AT20=VLOOKUP(AT20,oddXrefs,1,FALSE),"Yes","No"))))</f>
        <v/>
      </c>
      <c r="BK20" s="37" t="str">
        <f t="shared" si="8"/>
        <v/>
      </c>
      <c r="BL20" s="37" t="str">
        <f t="shared" si="9"/>
        <v/>
      </c>
      <c r="BM20" s="37" t="str">
        <f t="shared" si="10"/>
        <v/>
      </c>
      <c r="BN20" s="37">
        <f t="shared" si="11"/>
        <v>0</v>
      </c>
      <c r="BO20" s="37"/>
      <c r="BP20" s="7"/>
      <c r="BQ20" s="2"/>
      <c r="BR20" s="37"/>
      <c r="BS20" s="37"/>
      <c r="BT20" s="25"/>
      <c r="BU20" s="37"/>
      <c r="BV20" s="24"/>
      <c r="BW20" s="37"/>
      <c r="BX20" s="37"/>
      <c r="BY20" s="37"/>
      <c r="BZ20" s="17"/>
      <c r="CA20" s="2"/>
      <c r="CB20" s="8"/>
      <c r="CC20" s="37"/>
      <c r="CD20" s="88" t="s">
        <v>48</v>
      </c>
      <c r="CE20" s="10" t="str">
        <f>IF(IsView="Yes",IF(modelall=modelblks,"ok","x"),IF(paperall&lt;3,"ok","x"))</f>
        <v>ok</v>
      </c>
      <c r="CF20" s="38"/>
      <c r="CG20" s="38"/>
      <c r="CH20" s="38"/>
      <c r="CI20" s="27"/>
      <c r="CK20" s="24"/>
      <c r="CL20" s="37"/>
      <c r="CM20" s="37"/>
      <c r="CN20" s="37"/>
      <c r="CO20" s="37"/>
      <c r="CP20" s="37"/>
      <c r="CQ20" s="37" t="str">
        <f t="shared" si="15"/>
        <v/>
      </c>
      <c r="CR20" s="37"/>
      <c r="CS20" s="37"/>
      <c r="CT20" s="37"/>
      <c r="CU20" s="37"/>
      <c r="CV20" s="2" t="str">
        <f t="shared" si="0"/>
        <v/>
      </c>
      <c r="CW20" s="2" t="str">
        <f t="shared" si="12"/>
        <v/>
      </c>
      <c r="CX20" s="2" t="str">
        <f t="shared" si="1"/>
        <v/>
      </c>
      <c r="CY20" s="2"/>
      <c r="CZ20" s="2"/>
      <c r="DA20" s="2"/>
      <c r="DB20" s="2"/>
      <c r="DC20" s="8"/>
      <c r="DF20" s="7"/>
      <c r="DG20" s="2"/>
      <c r="DH20" s="13"/>
      <c r="DI20" s="37">
        <f t="shared" si="18"/>
        <v>0</v>
      </c>
      <c r="DJ20" s="37">
        <f t="shared" si="17"/>
        <v>0</v>
      </c>
      <c r="DK20" s="37"/>
      <c r="DL20" s="37"/>
      <c r="DM20" s="25"/>
      <c r="DR20" s="37"/>
      <c r="DS20" s="37"/>
      <c r="DT20" s="37"/>
      <c r="DU20" s="37"/>
      <c r="DV20" s="37"/>
      <c r="DW20" s="9"/>
      <c r="DX20" s="10"/>
      <c r="DY20" s="10"/>
      <c r="DZ20" s="10"/>
      <c r="EA20" s="10"/>
      <c r="EB20" s="11"/>
      <c r="GO20" s="7"/>
      <c r="GP20" s="2"/>
      <c r="GQ20" s="8" t="str">
        <f t="shared" si="14"/>
        <v/>
      </c>
    </row>
    <row r="21" spans="3:199">
      <c r="D21" s="24" t="s">
        <v>812</v>
      </c>
      <c r="E21" s="70" t="str">
        <f>VLOOKUP(titleletter2,NCBuilding,2,FALSE)</f>
        <v>CUB</v>
      </c>
      <c r="F21" s="37"/>
      <c r="G21" s="37"/>
      <c r="H21" s="25"/>
      <c r="I21" s="37"/>
      <c r="J21" s="7" t="s">
        <v>16</v>
      </c>
      <c r="K21" s="2"/>
      <c r="L21" s="37"/>
      <c r="M21" s="25"/>
      <c r="N21" s="37"/>
      <c r="O21" s="73" t="s">
        <v>850</v>
      </c>
      <c r="P21" s="37" t="str">
        <f>titleletter5</f>
        <v>2</v>
      </c>
      <c r="Q21" s="37"/>
      <c r="R21" s="37">
        <v>0</v>
      </c>
      <c r="S21" s="37"/>
      <c r="T21" s="37"/>
      <c r="U21" s="25"/>
      <c r="V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R21" s="7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 t="str">
        <f t="shared" si="7"/>
        <v/>
      </c>
      <c r="BH21" s="2"/>
      <c r="BI21" s="2"/>
      <c r="BJ21" s="37" t="str">
        <f>IF(AT21="","",IF(ISERROR(VLOOKUP(AT21,oddXrefs,1,FALSE)),"No",(IF(AT21=VLOOKUP(AT21,oddXrefs,1,FALSE),"Yes","No"))))</f>
        <v/>
      </c>
      <c r="BK21" s="37" t="str">
        <f t="shared" si="8"/>
        <v/>
      </c>
      <c r="BL21" s="37" t="str">
        <f t="shared" si="9"/>
        <v/>
      </c>
      <c r="BM21" s="37" t="str">
        <f t="shared" si="10"/>
        <v/>
      </c>
      <c r="BN21" s="37">
        <f t="shared" si="11"/>
        <v>0</v>
      </c>
      <c r="BO21" s="37"/>
      <c r="BP21" s="7"/>
      <c r="BQ21" s="2"/>
      <c r="BR21" s="37"/>
      <c r="BS21" s="37"/>
      <c r="BT21" s="25"/>
      <c r="BU21" s="37"/>
      <c r="BV21" s="24"/>
      <c r="BW21" s="37"/>
      <c r="BX21" s="37"/>
      <c r="BY21" s="37"/>
      <c r="BZ21" s="17"/>
      <c r="CA21" s="2"/>
      <c r="CB21" s="8"/>
      <c r="CC21" s="37"/>
      <c r="CD21" s="37"/>
      <c r="CE21" s="37"/>
      <c r="CF21" s="37"/>
      <c r="CG21" s="37"/>
      <c r="CH21" s="37"/>
      <c r="CI21" s="37"/>
      <c r="CK21" s="24"/>
      <c r="CL21" s="37"/>
      <c r="CM21" s="37"/>
      <c r="CN21" s="37"/>
      <c r="CO21" s="37"/>
      <c r="CP21" s="37"/>
      <c r="CQ21" s="37" t="str">
        <f t="shared" si="15"/>
        <v/>
      </c>
      <c r="CR21" s="37"/>
      <c r="CS21" s="37"/>
      <c r="CT21" s="37"/>
      <c r="CU21" s="37"/>
      <c r="CV21" s="2" t="str">
        <f t="shared" si="0"/>
        <v/>
      </c>
      <c r="CW21" s="2" t="str">
        <f t="shared" si="12"/>
        <v/>
      </c>
      <c r="CX21" s="2" t="str">
        <f t="shared" si="1"/>
        <v/>
      </c>
      <c r="CY21" s="2"/>
      <c r="CZ21" s="2"/>
      <c r="DA21" s="2"/>
      <c r="DB21" s="2"/>
      <c r="DC21" s="8"/>
      <c r="DF21" s="7"/>
      <c r="DG21" s="2"/>
      <c r="DH21" s="13"/>
      <c r="DI21" s="37">
        <f t="shared" si="18"/>
        <v>0</v>
      </c>
      <c r="DJ21" s="37">
        <f t="shared" si="17"/>
        <v>0</v>
      </c>
      <c r="DK21" s="37"/>
      <c r="DL21" s="37"/>
      <c r="DM21" s="25"/>
      <c r="DR21" s="37"/>
      <c r="DS21" s="37"/>
      <c r="DT21" s="37"/>
      <c r="DU21" s="37"/>
      <c r="DV21" s="37"/>
      <c r="GO21" s="7"/>
      <c r="GP21" s="2"/>
      <c r="GQ21" s="8" t="str">
        <f t="shared" si="14"/>
        <v/>
      </c>
    </row>
    <row r="22" spans="3:199">
      <c r="D22" s="24"/>
      <c r="E22" s="25"/>
      <c r="F22" s="37"/>
      <c r="G22" s="37"/>
      <c r="H22" s="25"/>
      <c r="I22" s="37"/>
      <c r="J22" s="7" t="s">
        <v>17</v>
      </c>
      <c r="K22" s="2"/>
      <c r="L22" s="37"/>
      <c r="M22" s="25"/>
      <c r="N22" s="37"/>
      <c r="O22" s="73" t="s">
        <v>851</v>
      </c>
      <c r="P22" s="37" t="str">
        <f>titleletter6</f>
        <v>-</v>
      </c>
      <c r="Q22" s="37"/>
      <c r="R22" s="37" t="str">
        <f>titleletter6</f>
        <v>-</v>
      </c>
      <c r="S22" s="37"/>
      <c r="T22" s="37"/>
      <c r="U22" s="25"/>
      <c r="V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R22" s="7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 t="str">
        <f t="shared" si="7"/>
        <v/>
      </c>
      <c r="BH22" s="2"/>
      <c r="BI22" s="2"/>
      <c r="BJ22" s="37" t="str">
        <f>IF(AT22="","",IF(ISERROR(VLOOKUP(AT22,oddXrefs,1,FALSE)),"No",(IF(AT22=VLOOKUP(AT22,oddXrefs,1,FALSE),"Yes","No"))))</f>
        <v/>
      </c>
      <c r="BK22" s="37" t="str">
        <f t="shared" si="8"/>
        <v/>
      </c>
      <c r="BL22" s="37" t="str">
        <f t="shared" si="9"/>
        <v/>
      </c>
      <c r="BM22" s="37" t="str">
        <f t="shared" si="10"/>
        <v/>
      </c>
      <c r="BN22" s="37">
        <f t="shared" si="11"/>
        <v>0</v>
      </c>
      <c r="BO22" s="37"/>
      <c r="BP22" s="7"/>
      <c r="BQ22" s="2"/>
      <c r="BR22" s="37"/>
      <c r="BS22" s="37"/>
      <c r="BT22" s="25"/>
      <c r="BU22" s="37"/>
      <c r="BV22" s="24"/>
      <c r="BW22" s="37"/>
      <c r="BX22" s="37"/>
      <c r="BY22" s="37"/>
      <c r="BZ22" s="17"/>
      <c r="CA22" s="2"/>
      <c r="CB22" s="8"/>
      <c r="CC22" s="37"/>
      <c r="CD22" s="37"/>
      <c r="CE22" s="37"/>
      <c r="CF22" s="37"/>
      <c r="CG22" s="37"/>
      <c r="CH22" s="37"/>
      <c r="CI22" s="37"/>
      <c r="CK22" s="24"/>
      <c r="CL22" s="37"/>
      <c r="CM22" s="37"/>
      <c r="CN22" s="37"/>
      <c r="CO22" s="37"/>
      <c r="CP22" s="37"/>
      <c r="CQ22" s="37" t="str">
        <f t="shared" si="15"/>
        <v/>
      </c>
      <c r="CR22" s="37"/>
      <c r="CS22" s="37"/>
      <c r="CT22" s="37"/>
      <c r="CU22" s="37"/>
      <c r="CV22" s="2" t="str">
        <f t="shared" si="0"/>
        <v/>
      </c>
      <c r="CW22" s="2" t="str">
        <f t="shared" si="12"/>
        <v/>
      </c>
      <c r="CX22" s="2" t="str">
        <f t="shared" si="1"/>
        <v/>
      </c>
      <c r="CY22" s="2"/>
      <c r="CZ22" s="2"/>
      <c r="DA22" s="2"/>
      <c r="DB22" s="2"/>
      <c r="DC22" s="8"/>
      <c r="DF22" s="7"/>
      <c r="DG22" s="2"/>
      <c r="DH22" s="13"/>
      <c r="DI22" s="37">
        <f t="shared" si="18"/>
        <v>0</v>
      </c>
      <c r="DJ22" s="37">
        <f t="shared" si="17"/>
        <v>0</v>
      </c>
      <c r="DK22" s="37"/>
      <c r="DL22" s="37"/>
      <c r="DM22" s="25"/>
      <c r="DR22" s="37"/>
      <c r="DS22" s="37"/>
      <c r="DT22" s="37"/>
      <c r="DU22" s="37"/>
      <c r="DV22" s="37"/>
      <c r="GO22" s="7"/>
      <c r="GP22" s="2"/>
      <c r="GQ22" s="8" t="str">
        <f t="shared" si="14"/>
        <v/>
      </c>
    </row>
    <row r="23" spans="3:199" ht="15" thickBot="1">
      <c r="D23" s="24" t="s">
        <v>156</v>
      </c>
      <c r="E23" s="25" t="str">
        <f>MID($D$5,3,2)</f>
        <v>T-</v>
      </c>
      <c r="F23" s="37"/>
      <c r="G23" s="37"/>
      <c r="H23" s="25"/>
      <c r="I23" s="37"/>
      <c r="J23" s="7" t="s">
        <v>18</v>
      </c>
      <c r="K23" s="2"/>
      <c r="L23" s="37"/>
      <c r="M23" s="25"/>
      <c r="N23" s="37"/>
      <c r="O23" s="73" t="s">
        <v>852</v>
      </c>
      <c r="P23" s="37" t="s">
        <v>207</v>
      </c>
      <c r="Q23" s="37"/>
      <c r="R23" s="37" t="str">
        <f>titleletter7</f>
        <v>F</v>
      </c>
      <c r="S23" s="37"/>
      <c r="T23" s="37"/>
      <c r="U23" s="25"/>
      <c r="V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R23" s="7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 t="str">
        <f t="shared" si="7"/>
        <v/>
      </c>
      <c r="BH23" s="2"/>
      <c r="BI23" s="2"/>
      <c r="BJ23" s="37" t="str">
        <f>IF(AT23="","",IF(ISERROR(VLOOKUP(AT23,oddXrefs,1,FALSE)),"No",(IF(AT23=VLOOKUP(AT23,oddXrefs,1,FALSE),"Yes","No"))))</f>
        <v/>
      </c>
      <c r="BK23" s="37" t="str">
        <f t="shared" si="8"/>
        <v/>
      </c>
      <c r="BL23" s="37" t="str">
        <f t="shared" si="9"/>
        <v/>
      </c>
      <c r="BM23" s="37" t="str">
        <f t="shared" si="10"/>
        <v/>
      </c>
      <c r="BN23" s="37">
        <f t="shared" si="11"/>
        <v>0</v>
      </c>
      <c r="BO23" s="37"/>
      <c r="BP23" s="9"/>
      <c r="BQ23" s="10"/>
      <c r="BR23" s="38"/>
      <c r="BS23" s="38"/>
      <c r="BT23" s="27"/>
      <c r="BU23" s="37"/>
      <c r="BV23" s="24"/>
      <c r="BW23" s="37"/>
      <c r="BX23" s="37"/>
      <c r="BY23" s="37"/>
      <c r="BZ23" s="17"/>
      <c r="CA23" s="2"/>
      <c r="CB23" s="8"/>
      <c r="CC23" s="37"/>
      <c r="CD23" s="37"/>
      <c r="CE23" s="37"/>
      <c r="CF23" s="37"/>
      <c r="CG23" s="37"/>
      <c r="CH23" s="37"/>
      <c r="CI23" s="37"/>
      <c r="CK23" s="24"/>
      <c r="CL23" s="37"/>
      <c r="CM23" s="37"/>
      <c r="CN23" s="37"/>
      <c r="CO23" s="37"/>
      <c r="CP23" s="37"/>
      <c r="CQ23" s="37" t="str">
        <f t="shared" si="15"/>
        <v/>
      </c>
      <c r="CR23" s="37"/>
      <c r="CS23" s="37"/>
      <c r="CT23" s="37"/>
      <c r="CU23" s="37"/>
      <c r="CV23" s="2" t="str">
        <f t="shared" si="0"/>
        <v/>
      </c>
      <c r="CW23" s="2" t="str">
        <f t="shared" si="12"/>
        <v/>
      </c>
      <c r="CX23" s="2" t="str">
        <f t="shared" si="1"/>
        <v/>
      </c>
      <c r="CY23" s="2"/>
      <c r="CZ23" s="2"/>
      <c r="DA23" s="2"/>
      <c r="DB23" s="2"/>
      <c r="DC23" s="8"/>
      <c r="DF23" s="7"/>
      <c r="DG23" s="2"/>
      <c r="DH23" s="13"/>
      <c r="DI23" s="37">
        <f t="shared" si="18"/>
        <v>0</v>
      </c>
      <c r="DJ23" s="37">
        <f t="shared" si="17"/>
        <v>0</v>
      </c>
      <c r="DK23" s="37"/>
      <c r="DL23" s="37"/>
      <c r="DM23" s="25"/>
      <c r="DR23" s="37"/>
      <c r="DS23" s="37"/>
      <c r="DT23" s="37"/>
      <c r="DU23" s="37"/>
      <c r="DV23" s="37"/>
      <c r="GO23" s="7"/>
      <c r="GP23" s="2"/>
      <c r="GQ23" s="8" t="str">
        <f t="shared" si="14"/>
        <v/>
      </c>
    </row>
    <row r="24" spans="3:199">
      <c r="D24" s="24" t="s">
        <v>155</v>
      </c>
      <c r="E24" s="25" t="str">
        <f>VLOOKUP(titleletters34,NCDisciplines,2,FALSE)</f>
        <v xml:space="preserve">Telecommunications </v>
      </c>
      <c r="F24" s="37"/>
      <c r="G24" s="37"/>
      <c r="H24" s="25"/>
      <c r="I24" s="37"/>
      <c r="J24" s="7" t="s">
        <v>19</v>
      </c>
      <c r="K24" s="2"/>
      <c r="L24" s="37"/>
      <c r="M24" s="25"/>
      <c r="N24" s="37"/>
      <c r="O24" s="73" t="s">
        <v>853</v>
      </c>
      <c r="P24" s="37" t="s">
        <v>276</v>
      </c>
      <c r="Q24" s="37"/>
      <c r="R24" s="37" t="str">
        <f>titleletter8</f>
        <v>-</v>
      </c>
      <c r="S24" s="37"/>
      <c r="T24" s="37"/>
      <c r="U24" s="25"/>
      <c r="V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R24" s="7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 t="str">
        <f t="shared" si="7"/>
        <v/>
      </c>
      <c r="BH24" s="2"/>
      <c r="BI24" s="2"/>
      <c r="BJ24" s="37" t="str">
        <f>IF(AT24="","",IF(ISERROR(VLOOKUP(AT24,oddXrefs,1,FALSE)),"No",(IF(AT24=VLOOKUP(AT24,oddXrefs,1,FALSE),"Yes","No"))))</f>
        <v/>
      </c>
      <c r="BK24" s="37" t="str">
        <f t="shared" si="8"/>
        <v/>
      </c>
      <c r="BL24" s="37" t="str">
        <f t="shared" si="9"/>
        <v/>
      </c>
      <c r="BM24" s="37" t="str">
        <f t="shared" si="10"/>
        <v/>
      </c>
      <c r="BN24" s="37">
        <f t="shared" si="11"/>
        <v>0</v>
      </c>
      <c r="BO24" s="37"/>
      <c r="BP24" s="37"/>
      <c r="BQ24" s="37"/>
      <c r="BR24" s="37"/>
      <c r="BS24" s="37"/>
      <c r="BT24" s="37"/>
      <c r="BU24" s="37"/>
      <c r="BV24" s="24"/>
      <c r="BW24" s="37"/>
      <c r="BX24" s="37"/>
      <c r="BY24" s="37"/>
      <c r="BZ24" s="17"/>
      <c r="CA24" s="2"/>
      <c r="CB24" s="8"/>
      <c r="CC24" s="37"/>
      <c r="CD24" s="37"/>
      <c r="CE24" s="37"/>
      <c r="CF24" s="37"/>
      <c r="CG24" s="37"/>
      <c r="CH24" s="37"/>
      <c r="CI24" s="37"/>
      <c r="CK24" s="24"/>
      <c r="CL24" s="37"/>
      <c r="CM24" s="37"/>
      <c r="CN24" s="37"/>
      <c r="CO24" s="37"/>
      <c r="CP24" s="37"/>
      <c r="CQ24" s="37" t="str">
        <f t="shared" si="15"/>
        <v/>
      </c>
      <c r="CR24" s="37"/>
      <c r="CS24" s="37"/>
      <c r="CT24" s="37"/>
      <c r="CU24" s="37"/>
      <c r="CV24" s="2" t="str">
        <f t="shared" si="0"/>
        <v/>
      </c>
      <c r="CW24" s="2" t="str">
        <f t="shared" si="12"/>
        <v/>
      </c>
      <c r="CX24" s="2" t="str">
        <f t="shared" si="1"/>
        <v/>
      </c>
      <c r="CY24" s="2"/>
      <c r="CZ24" s="2"/>
      <c r="DA24" s="2"/>
      <c r="DB24" s="2"/>
      <c r="DC24" s="8"/>
      <c r="DF24" s="7"/>
      <c r="DG24" s="2"/>
      <c r="DH24" s="13"/>
      <c r="DI24" s="37">
        <f t="shared" si="18"/>
        <v>0</v>
      </c>
      <c r="DJ24" s="37">
        <f t="shared" si="17"/>
        <v>0</v>
      </c>
      <c r="DK24" s="37"/>
      <c r="DL24" s="37"/>
      <c r="DM24" s="25"/>
      <c r="DR24" s="37"/>
      <c r="DS24" s="37"/>
      <c r="DT24" s="37"/>
      <c r="DU24" s="37"/>
      <c r="DV24" s="37"/>
      <c r="GO24" s="7"/>
      <c r="GP24" s="2"/>
      <c r="GQ24" s="8" t="str">
        <f t="shared" si="14"/>
        <v/>
      </c>
    </row>
    <row r="25" spans="3:199">
      <c r="D25" s="24"/>
      <c r="E25" s="25"/>
      <c r="F25" s="37"/>
      <c r="G25" s="37"/>
      <c r="H25" s="25"/>
      <c r="I25" s="37"/>
      <c r="J25" s="7" t="s">
        <v>20</v>
      </c>
      <c r="K25" s="2"/>
      <c r="L25" s="37"/>
      <c r="M25" s="25"/>
      <c r="N25" s="37"/>
      <c r="O25" s="24"/>
      <c r="P25" s="37"/>
      <c r="Q25" s="37"/>
      <c r="R25" s="37"/>
      <c r="S25" s="37"/>
      <c r="T25" s="37"/>
      <c r="U25" s="25"/>
      <c r="V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R25" s="7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 t="str">
        <f t="shared" si="7"/>
        <v/>
      </c>
      <c r="BH25" s="2"/>
      <c r="BI25" s="2"/>
      <c r="BJ25" s="37" t="str">
        <f>IF(AT25="","",IF(ISERROR(VLOOKUP(AT25,oddXrefs,1,FALSE)),"No",(IF(AT25=VLOOKUP(AT25,oddXrefs,1,FALSE),"Yes","No"))))</f>
        <v/>
      </c>
      <c r="BK25" s="37" t="str">
        <f t="shared" si="8"/>
        <v/>
      </c>
      <c r="BL25" s="37" t="str">
        <f t="shared" si="9"/>
        <v/>
      </c>
      <c r="BM25" s="37" t="str">
        <f t="shared" si="10"/>
        <v/>
      </c>
      <c r="BN25" s="37">
        <f t="shared" si="11"/>
        <v>0</v>
      </c>
      <c r="BO25" s="37"/>
      <c r="BP25" s="37"/>
      <c r="BQ25" s="37"/>
      <c r="BR25" s="37"/>
      <c r="BS25" s="37"/>
      <c r="BT25" s="37"/>
      <c r="BU25" s="37"/>
      <c r="BV25" s="24"/>
      <c r="BW25" s="37"/>
      <c r="BX25" s="37"/>
      <c r="BY25" s="37"/>
      <c r="BZ25" s="17"/>
      <c r="CA25" s="2"/>
      <c r="CB25" s="8"/>
      <c r="CC25" s="37"/>
      <c r="CD25" s="37"/>
      <c r="CE25" s="37"/>
      <c r="CF25" s="37"/>
      <c r="CG25" s="37"/>
      <c r="CH25" s="37"/>
      <c r="CI25" s="37"/>
      <c r="CK25" s="24"/>
      <c r="CL25" s="37"/>
      <c r="CM25" s="37"/>
      <c r="CN25" s="37"/>
      <c r="CO25" s="37"/>
      <c r="CP25" s="37"/>
      <c r="CQ25" s="37" t="str">
        <f t="shared" si="15"/>
        <v/>
      </c>
      <c r="CR25" s="37"/>
      <c r="CS25" s="37"/>
      <c r="CT25" s="37"/>
      <c r="CU25" s="37"/>
      <c r="CV25" s="2" t="str">
        <f t="shared" si="0"/>
        <v/>
      </c>
      <c r="CW25" s="2" t="str">
        <f t="shared" si="12"/>
        <v/>
      </c>
      <c r="CX25" s="2" t="str">
        <f t="shared" si="1"/>
        <v/>
      </c>
      <c r="CY25" s="2"/>
      <c r="CZ25" s="2"/>
      <c r="DA25" s="2"/>
      <c r="DB25" s="2"/>
      <c r="DC25" s="8"/>
      <c r="DF25" s="7"/>
      <c r="DG25" s="2"/>
      <c r="DH25" s="13"/>
      <c r="DI25" s="37">
        <f t="shared" si="18"/>
        <v>0</v>
      </c>
      <c r="DJ25" s="37">
        <f t="shared" si="17"/>
        <v>0</v>
      </c>
      <c r="DK25" s="37"/>
      <c r="DL25" s="37"/>
      <c r="DM25" s="25"/>
      <c r="DR25" s="37"/>
      <c r="DS25" s="37"/>
      <c r="DT25" s="37"/>
      <c r="DU25" s="37"/>
      <c r="DV25" s="37"/>
      <c r="GO25" s="7"/>
      <c r="GP25" s="2"/>
      <c r="GQ25" s="8" t="str">
        <f t="shared" si="14"/>
        <v/>
      </c>
    </row>
    <row r="26" spans="3:199" ht="15" thickBot="1">
      <c r="D26" s="30" t="s">
        <v>157</v>
      </c>
      <c r="E26" s="25" t="str">
        <f>CONCATENATE(E7,MID($D$5,5,2))</f>
        <v>S2-</v>
      </c>
      <c r="F26" s="37"/>
      <c r="G26" s="37"/>
      <c r="H26" s="25"/>
      <c r="I26" s="37"/>
      <c r="J26" s="7" t="s">
        <v>21</v>
      </c>
      <c r="K26" s="2"/>
      <c r="L26" s="37"/>
      <c r="M26" s="25"/>
      <c r="N26" s="37"/>
      <c r="O26" s="85" t="s">
        <v>854</v>
      </c>
      <c r="P26" s="38" t="str">
        <f>CONCATENATE(P17,P18,P19,P20,P21,P22,P23,P24)</f>
        <v>GST-2-OV</v>
      </c>
      <c r="Q26" s="38"/>
      <c r="R26" s="38" t="str">
        <f>CONCATENATE(R17,R18,R19,R20,R21,R22,R23,R24)</f>
        <v>GSG-0-F-</v>
      </c>
      <c r="S26" s="38"/>
      <c r="T26" s="38"/>
      <c r="U26" s="27"/>
      <c r="V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R26" s="7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 t="str">
        <f t="shared" si="7"/>
        <v/>
      </c>
      <c r="BH26" s="2"/>
      <c r="BI26" s="2"/>
      <c r="BJ26" s="37" t="str">
        <f>IF(AT26="","",IF(ISERROR(VLOOKUP(AT26,oddXrefs,1,FALSE)),"No",(IF(AT26=VLOOKUP(AT26,oddXrefs,1,FALSE),"Yes","No"))))</f>
        <v/>
      </c>
      <c r="BK26" s="37" t="str">
        <f t="shared" si="8"/>
        <v/>
      </c>
      <c r="BL26" s="37" t="str">
        <f t="shared" si="9"/>
        <v/>
      </c>
      <c r="BM26" s="37" t="str">
        <f t="shared" si="10"/>
        <v/>
      </c>
      <c r="BN26" s="37">
        <f t="shared" si="11"/>
        <v>0</v>
      </c>
      <c r="BO26" s="37"/>
      <c r="BP26" s="37"/>
      <c r="BQ26" s="37"/>
      <c r="BR26" s="37"/>
      <c r="BS26" s="37"/>
      <c r="BT26" s="37"/>
      <c r="BU26" s="37"/>
      <c r="BV26" s="24"/>
      <c r="BW26" s="37"/>
      <c r="BX26" s="37"/>
      <c r="BY26" s="37"/>
      <c r="BZ26" s="17"/>
      <c r="CA26" s="2"/>
      <c r="CB26" s="8"/>
      <c r="CC26" s="37"/>
      <c r="CD26" s="37"/>
      <c r="CE26" s="37"/>
      <c r="CF26" s="37"/>
      <c r="CG26" s="37"/>
      <c r="CH26" s="37"/>
      <c r="CI26" s="37"/>
      <c r="CK26" s="24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2" t="str">
        <f t="shared" si="0"/>
        <v/>
      </c>
      <c r="CW26" s="2" t="str">
        <f t="shared" si="12"/>
        <v/>
      </c>
      <c r="CX26" s="2" t="str">
        <f t="shared" si="1"/>
        <v/>
      </c>
      <c r="CY26" s="2"/>
      <c r="CZ26" s="2"/>
      <c r="DA26" s="2"/>
      <c r="DB26" s="2"/>
      <c r="DC26" s="8"/>
      <c r="DF26" s="7"/>
      <c r="DG26" s="2"/>
      <c r="DH26" s="13"/>
      <c r="DI26" s="37">
        <f t="shared" si="18"/>
        <v>0</v>
      </c>
      <c r="DJ26" s="37">
        <f t="shared" si="17"/>
        <v>0</v>
      </c>
      <c r="DK26" s="37"/>
      <c r="DL26" s="37"/>
      <c r="DM26" s="25"/>
      <c r="DR26" s="37"/>
      <c r="DS26" s="37"/>
      <c r="DT26" s="37"/>
      <c r="DU26" s="37"/>
      <c r="DV26" s="37"/>
      <c r="GO26" s="7"/>
      <c r="GP26" s="2"/>
      <c r="GQ26" s="8" t="str">
        <f t="shared" si="14"/>
        <v/>
      </c>
    </row>
    <row r="27" spans="3:199">
      <c r="D27" s="30" t="s">
        <v>158</v>
      </c>
      <c r="E27" s="25" t="str">
        <f>IF(IsLayout="Yes",VLOOKUP(titleletters256,NCLevels,2,FALSE),"na")</f>
        <v>Level 2 (Office-Roof)</v>
      </c>
      <c r="F27" s="37"/>
      <c r="G27" s="37"/>
      <c r="H27" s="25"/>
      <c r="I27" s="37"/>
      <c r="J27" s="7" t="s">
        <v>22</v>
      </c>
      <c r="K27" s="2"/>
      <c r="L27" s="37"/>
      <c r="M27" s="25"/>
      <c r="N27" s="37"/>
      <c r="O27" s="37"/>
      <c r="P27" s="37"/>
      <c r="Q27" s="37"/>
      <c r="R27" s="37"/>
      <c r="AR27" s="7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 t="str">
        <f t="shared" si="7"/>
        <v/>
      </c>
      <c r="BH27" s="2"/>
      <c r="BI27" s="2"/>
      <c r="BJ27" s="37" t="str">
        <f>IF(AT27="","",IF(ISERROR(VLOOKUP(AT27,oddXrefs,1,FALSE)),"No",(IF(AT27=VLOOKUP(AT27,oddXrefs,1,FALSE),"Yes","No"))))</f>
        <v/>
      </c>
      <c r="BK27" s="37" t="str">
        <f t="shared" si="8"/>
        <v/>
      </c>
      <c r="BL27" s="37" t="str">
        <f t="shared" si="9"/>
        <v/>
      </c>
      <c r="BM27" s="37" t="str">
        <f t="shared" si="10"/>
        <v/>
      </c>
      <c r="BN27" s="37">
        <f t="shared" si="11"/>
        <v>0</v>
      </c>
      <c r="BO27" s="37"/>
      <c r="BP27" s="37"/>
      <c r="BQ27" s="37"/>
      <c r="BR27" s="37"/>
      <c r="BS27" s="37"/>
      <c r="BT27" s="37"/>
      <c r="BU27" s="37"/>
      <c r="BV27" s="24"/>
      <c r="BW27" s="37"/>
      <c r="BX27" s="37"/>
      <c r="BY27" s="37"/>
      <c r="BZ27" s="17"/>
      <c r="CA27" s="2"/>
      <c r="CB27" s="8"/>
      <c r="CC27" s="37"/>
      <c r="CD27" s="37"/>
      <c r="CE27" s="37"/>
      <c r="CF27" s="37"/>
      <c r="CG27" s="37"/>
      <c r="CH27" s="37"/>
      <c r="CI27" s="37"/>
      <c r="CK27" s="24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2" t="str">
        <f t="shared" si="0"/>
        <v/>
      </c>
      <c r="CW27" s="2" t="str">
        <f t="shared" si="12"/>
        <v/>
      </c>
      <c r="CX27" s="2" t="str">
        <f t="shared" si="1"/>
        <v/>
      </c>
      <c r="CY27" s="2"/>
      <c r="CZ27" s="2"/>
      <c r="DA27" s="2"/>
      <c r="DB27" s="2"/>
      <c r="DC27" s="8"/>
      <c r="DF27" s="7"/>
      <c r="DG27" s="2"/>
      <c r="DH27" s="13"/>
      <c r="DI27" s="37">
        <f t="shared" si="18"/>
        <v>0</v>
      </c>
      <c r="DJ27" s="37">
        <f t="shared" si="17"/>
        <v>0</v>
      </c>
      <c r="DK27" s="37"/>
      <c r="DL27" s="37"/>
      <c r="DM27" s="25"/>
      <c r="DR27" s="37"/>
      <c r="DS27" s="37"/>
      <c r="DT27" s="37"/>
      <c r="DU27" s="37"/>
      <c r="DV27" s="37"/>
      <c r="GO27" s="7"/>
      <c r="GP27" s="2"/>
      <c r="GQ27" s="8" t="str">
        <f t="shared" si="14"/>
        <v/>
      </c>
    </row>
    <row r="28" spans="3:199">
      <c r="D28" s="24"/>
      <c r="E28" s="25"/>
      <c r="F28" s="37"/>
      <c r="G28" s="37"/>
      <c r="H28" s="25"/>
      <c r="I28" s="37"/>
      <c r="J28" s="7" t="s">
        <v>23</v>
      </c>
      <c r="K28" s="2" t="s">
        <v>81</v>
      </c>
      <c r="L28" s="37"/>
      <c r="M28" s="25"/>
      <c r="N28" s="37"/>
      <c r="O28" s="37"/>
      <c r="P28" s="37"/>
      <c r="Q28" s="37"/>
      <c r="R28" s="37"/>
      <c r="AR28" s="7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 t="str">
        <f t="shared" si="7"/>
        <v/>
      </c>
      <c r="BH28" s="2"/>
      <c r="BI28" s="2"/>
      <c r="BJ28" s="37" t="str">
        <f>IF(AT28="","",IF(ISERROR(VLOOKUP(AT28,oddXrefs,1,FALSE)),"No",(IF(AT28=VLOOKUP(AT28,oddXrefs,1,FALSE),"Yes","No"))))</f>
        <v/>
      </c>
      <c r="BK28" s="37" t="str">
        <f t="shared" si="8"/>
        <v/>
      </c>
      <c r="BL28" s="37" t="str">
        <f t="shared" si="9"/>
        <v/>
      </c>
      <c r="BM28" s="37" t="str">
        <f t="shared" si="10"/>
        <v/>
      </c>
      <c r="BN28" s="37">
        <f t="shared" si="11"/>
        <v>0</v>
      </c>
      <c r="BO28" s="37"/>
      <c r="BP28" s="37"/>
      <c r="BQ28" s="37"/>
      <c r="BR28" s="37"/>
      <c r="BS28" s="37"/>
      <c r="BT28" s="37"/>
      <c r="BU28" s="37"/>
      <c r="BV28" s="24"/>
      <c r="BW28" s="37"/>
      <c r="BX28" s="37"/>
      <c r="BY28" s="37"/>
      <c r="BZ28" s="17"/>
      <c r="CA28" s="2"/>
      <c r="CB28" s="8"/>
      <c r="CC28" s="37"/>
      <c r="CD28" s="37"/>
      <c r="CE28" s="37"/>
      <c r="CF28" s="37"/>
      <c r="CG28" s="37"/>
      <c r="CH28" s="37"/>
      <c r="CI28" s="37"/>
      <c r="CK28" s="24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2" t="str">
        <f t="shared" si="0"/>
        <v/>
      </c>
      <c r="CW28" s="2" t="str">
        <f t="shared" si="12"/>
        <v/>
      </c>
      <c r="CX28" s="2" t="str">
        <f t="shared" si="1"/>
        <v/>
      </c>
      <c r="CY28" s="2"/>
      <c r="CZ28" s="2"/>
      <c r="DA28" s="2"/>
      <c r="DB28" s="2"/>
      <c r="DC28" s="8"/>
      <c r="DF28" s="7"/>
      <c r="DG28" s="2"/>
      <c r="DH28" s="13"/>
      <c r="DI28" s="37">
        <f t="shared" si="18"/>
        <v>0</v>
      </c>
      <c r="DJ28" s="37">
        <f t="shared" si="17"/>
        <v>0</v>
      </c>
      <c r="DK28" s="37"/>
      <c r="DL28" s="37"/>
      <c r="DM28" s="25"/>
      <c r="DR28" s="37"/>
      <c r="DS28" s="37"/>
      <c r="DT28" s="37"/>
      <c r="DU28" s="37"/>
      <c r="DV28" s="37"/>
      <c r="GO28" s="7"/>
      <c r="GP28" s="2"/>
      <c r="GQ28" s="8" t="str">
        <f t="shared" si="14"/>
        <v/>
      </c>
    </row>
    <row r="29" spans="3:199">
      <c r="D29" s="30" t="s">
        <v>159</v>
      </c>
      <c r="E29" s="25" t="str">
        <f>titleletter6</f>
        <v>-</v>
      </c>
      <c r="F29" s="37"/>
      <c r="G29" s="37"/>
      <c r="H29" s="25"/>
      <c r="I29" s="37"/>
      <c r="J29" s="7" t="s">
        <v>24</v>
      </c>
      <c r="K29" s="2"/>
      <c r="L29" s="37"/>
      <c r="M29" s="25"/>
      <c r="N29" s="37"/>
      <c r="O29" s="37"/>
      <c r="P29" s="37"/>
      <c r="Q29" s="37"/>
      <c r="R29" s="37"/>
      <c r="AR29" s="7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 t="str">
        <f t="shared" si="7"/>
        <v/>
      </c>
      <c r="BH29" s="2"/>
      <c r="BI29" s="2"/>
      <c r="BJ29" s="37" t="str">
        <f>IF(AT29="","",IF(ISERROR(VLOOKUP(AT29,oddXrefs,1,FALSE)),"No",(IF(AT29=VLOOKUP(AT29,oddXrefs,1,FALSE),"Yes","No"))))</f>
        <v/>
      </c>
      <c r="BK29" s="37" t="str">
        <f t="shared" si="8"/>
        <v/>
      </c>
      <c r="BL29" s="37" t="str">
        <f t="shared" si="9"/>
        <v/>
      </c>
      <c r="BM29" s="37" t="str">
        <f t="shared" si="10"/>
        <v/>
      </c>
      <c r="BN29" s="37">
        <f t="shared" si="11"/>
        <v>0</v>
      </c>
      <c r="BO29" s="37"/>
      <c r="BP29" s="37"/>
      <c r="BQ29" s="37"/>
      <c r="BR29" s="37"/>
      <c r="BS29" s="37"/>
      <c r="BT29" s="37"/>
      <c r="BU29" s="37"/>
      <c r="BV29" s="24"/>
      <c r="BW29" s="37"/>
      <c r="BX29" s="37"/>
      <c r="BY29" s="37"/>
      <c r="BZ29" s="17"/>
      <c r="CA29" s="2"/>
      <c r="CB29" s="8"/>
      <c r="CC29" s="37"/>
      <c r="CD29" s="37"/>
      <c r="CE29" s="37"/>
      <c r="CF29" s="37"/>
      <c r="CG29" s="37"/>
      <c r="CH29" s="37"/>
      <c r="CI29" s="37"/>
      <c r="CK29" s="24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2" t="str">
        <f t="shared" si="0"/>
        <v/>
      </c>
      <c r="CW29" s="2" t="str">
        <f t="shared" si="12"/>
        <v/>
      </c>
      <c r="CX29" s="2" t="str">
        <f t="shared" si="1"/>
        <v/>
      </c>
      <c r="CY29" s="2"/>
      <c r="CZ29" s="2"/>
      <c r="DA29" s="2"/>
      <c r="DB29" s="2"/>
      <c r="DC29" s="8"/>
      <c r="DF29" s="7"/>
      <c r="DG29" s="2"/>
      <c r="DH29" s="13"/>
      <c r="DI29" s="37">
        <f t="shared" si="18"/>
        <v>0</v>
      </c>
      <c r="DJ29" s="37">
        <f t="shared" si="17"/>
        <v>0</v>
      </c>
      <c r="DK29" s="37"/>
      <c r="DL29" s="37"/>
      <c r="DM29" s="25"/>
      <c r="DR29" s="37"/>
      <c r="DS29" s="37"/>
      <c r="DT29" s="37"/>
      <c r="DU29" s="37"/>
      <c r="DV29" s="37"/>
      <c r="GO29" s="7"/>
      <c r="GP29" s="2"/>
      <c r="GQ29" s="8" t="str">
        <f t="shared" si="14"/>
        <v/>
      </c>
    </row>
    <row r="30" spans="3:199">
      <c r="D30" s="30" t="s">
        <v>160</v>
      </c>
      <c r="E30" s="25" t="e">
        <f>IF(IsLayout="Yes",VLOOKUP(titleletter6,NCSpecial,2,FALSE),"na")</f>
        <v>#N/A</v>
      </c>
      <c r="F30" s="37"/>
      <c r="G30" s="37"/>
      <c r="H30" s="25"/>
      <c r="I30" s="37"/>
      <c r="J30" s="7" t="s">
        <v>25</v>
      </c>
      <c r="K30" s="2"/>
      <c r="L30" s="37"/>
      <c r="M30" s="25"/>
      <c r="N30" s="37"/>
      <c r="O30" s="37"/>
      <c r="P30" s="37"/>
      <c r="Q30" s="37"/>
      <c r="R30" s="37"/>
      <c r="AR30" s="7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 t="str">
        <f t="shared" si="7"/>
        <v/>
      </c>
      <c r="BH30" s="2"/>
      <c r="BI30" s="2"/>
      <c r="BJ30" s="37" t="str">
        <f>IF(AT30="","",IF(ISERROR(VLOOKUP(AT30,oddXrefs,1,FALSE)),"No",(IF(AT30=VLOOKUP(AT30,oddXrefs,1,FALSE),"Yes","No"))))</f>
        <v/>
      </c>
      <c r="BK30" s="37" t="str">
        <f t="shared" si="8"/>
        <v/>
      </c>
      <c r="BL30" s="37" t="str">
        <f t="shared" si="9"/>
        <v/>
      </c>
      <c r="BM30" s="37" t="str">
        <f t="shared" si="10"/>
        <v/>
      </c>
      <c r="BN30" s="37">
        <f t="shared" si="11"/>
        <v>0</v>
      </c>
      <c r="BO30" s="37"/>
      <c r="BP30" s="37"/>
      <c r="BQ30" s="37"/>
      <c r="BR30" s="37"/>
      <c r="BS30" s="37"/>
      <c r="BT30" s="37"/>
      <c r="BU30" s="37"/>
      <c r="BV30" s="24"/>
      <c r="BW30" s="37"/>
      <c r="BX30" s="37"/>
      <c r="BY30" s="37"/>
      <c r="BZ30" s="17"/>
      <c r="CA30" s="2"/>
      <c r="CB30" s="8"/>
      <c r="CC30" s="37"/>
      <c r="CD30" s="37"/>
      <c r="CE30" s="37"/>
      <c r="CF30" s="37"/>
      <c r="CG30" s="37"/>
      <c r="CH30" s="37"/>
      <c r="CI30" s="37"/>
      <c r="CK30" s="24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2" t="str">
        <f t="shared" si="0"/>
        <v/>
      </c>
      <c r="CW30" s="2" t="str">
        <f t="shared" si="12"/>
        <v/>
      </c>
      <c r="CX30" s="2" t="str">
        <f t="shared" si="1"/>
        <v/>
      </c>
      <c r="CY30" s="2"/>
      <c r="CZ30" s="2"/>
      <c r="DA30" s="2"/>
      <c r="DB30" s="2"/>
      <c r="DC30" s="8"/>
      <c r="DF30" s="7"/>
      <c r="DG30" s="2"/>
      <c r="DH30" s="13"/>
      <c r="DI30" s="37">
        <f t="shared" si="18"/>
        <v>0</v>
      </c>
      <c r="DJ30" s="37">
        <f t="shared" si="17"/>
        <v>0</v>
      </c>
      <c r="DK30" s="37"/>
      <c r="DL30" s="37"/>
      <c r="DM30" s="25"/>
      <c r="DR30" s="37"/>
      <c r="DS30" s="37"/>
      <c r="DT30" s="37"/>
      <c r="DU30" s="37"/>
      <c r="DV30" s="37"/>
      <c r="GO30" s="7"/>
      <c r="GP30" s="2"/>
      <c r="GQ30" s="8" t="str">
        <f t="shared" si="14"/>
        <v/>
      </c>
    </row>
    <row r="31" spans="3:199">
      <c r="D31" s="24"/>
      <c r="E31" s="25"/>
      <c r="F31" s="37"/>
      <c r="G31" s="37"/>
      <c r="H31" s="25"/>
      <c r="I31" s="37"/>
      <c r="J31" s="7" t="s">
        <v>26</v>
      </c>
      <c r="K31" s="2"/>
      <c r="L31" s="37"/>
      <c r="M31" s="25"/>
      <c r="N31" s="37"/>
      <c r="O31" s="37"/>
      <c r="P31" s="37"/>
      <c r="Q31" s="37"/>
      <c r="R31" s="37"/>
      <c r="AR31" s="7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 t="str">
        <f t="shared" si="7"/>
        <v/>
      </c>
      <c r="BH31" s="2"/>
      <c r="BI31" s="2"/>
      <c r="BJ31" s="37" t="str">
        <f>IF(AT31="","",IF(ISERROR(VLOOKUP(AT31,oddXrefs,1,FALSE)),"No",(IF(AT31=VLOOKUP(AT31,oddXrefs,1,FALSE),"Yes","No"))))</f>
        <v/>
      </c>
      <c r="BK31" s="37" t="str">
        <f t="shared" si="8"/>
        <v/>
      </c>
      <c r="BL31" s="37" t="str">
        <f t="shared" si="9"/>
        <v/>
      </c>
      <c r="BM31" s="37" t="str">
        <f t="shared" si="10"/>
        <v/>
      </c>
      <c r="BN31" s="37">
        <f t="shared" si="11"/>
        <v>0</v>
      </c>
      <c r="BO31" s="37"/>
      <c r="BP31" s="37"/>
      <c r="BQ31" s="37"/>
      <c r="BR31" s="37"/>
      <c r="BS31" s="37"/>
      <c r="BT31" s="37"/>
      <c r="BU31" s="37"/>
      <c r="BV31" s="24"/>
      <c r="BW31" s="37"/>
      <c r="BX31" s="37"/>
      <c r="BY31" s="37"/>
      <c r="BZ31" s="17"/>
      <c r="CA31" s="2"/>
      <c r="CB31" s="8"/>
      <c r="CC31" s="37"/>
      <c r="CD31" s="37"/>
      <c r="CE31" s="37"/>
      <c r="CF31" s="37"/>
      <c r="CG31" s="37"/>
      <c r="CH31" s="37"/>
      <c r="CI31" s="37"/>
      <c r="CK31" s="24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2" t="str">
        <f t="shared" si="0"/>
        <v/>
      </c>
      <c r="CW31" s="2" t="str">
        <f t="shared" si="12"/>
        <v/>
      </c>
      <c r="CX31" s="2" t="str">
        <f t="shared" si="1"/>
        <v/>
      </c>
      <c r="CY31" s="2"/>
      <c r="CZ31" s="2"/>
      <c r="DA31" s="2"/>
      <c r="DB31" s="2"/>
      <c r="DC31" s="8"/>
      <c r="DF31" s="7"/>
      <c r="DG31" s="2"/>
      <c r="DH31" s="13"/>
      <c r="DI31" s="37">
        <f t="shared" si="18"/>
        <v>0</v>
      </c>
      <c r="DJ31" s="37">
        <f t="shared" si="17"/>
        <v>0</v>
      </c>
      <c r="DK31" s="37"/>
      <c r="DL31" s="37"/>
      <c r="DM31" s="25"/>
      <c r="DR31" s="37"/>
      <c r="DS31" s="37"/>
      <c r="DT31" s="37"/>
      <c r="DU31" s="37"/>
      <c r="DV31" s="37"/>
      <c r="GO31" s="7"/>
      <c r="GP31" s="2"/>
      <c r="GQ31" s="8" t="str">
        <f t="shared" si="14"/>
        <v/>
      </c>
    </row>
    <row r="32" spans="3:199">
      <c r="C32" s="67"/>
      <c r="D32" s="24" t="s">
        <v>161</v>
      </c>
      <c r="E32" s="25" t="str">
        <f>MID($D$5,7,2)</f>
        <v>F-</v>
      </c>
      <c r="F32" s="67"/>
      <c r="G32" s="67"/>
      <c r="H32" s="78"/>
      <c r="I32" s="67"/>
      <c r="J32" s="7" t="s">
        <v>27</v>
      </c>
      <c r="K32" s="2"/>
      <c r="L32" s="67"/>
      <c r="M32" s="78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R32" s="7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 t="str">
        <f t="shared" si="7"/>
        <v/>
      </c>
      <c r="BH32" s="2"/>
      <c r="BI32" s="2"/>
      <c r="BJ32" s="37" t="str">
        <f>IF(AT32="","",IF(ISERROR(VLOOKUP(AT32,oddXrefs,1,FALSE)),"No",(IF(AT32=VLOOKUP(AT32,oddXrefs,1,FALSE),"Yes","No"))))</f>
        <v/>
      </c>
      <c r="BK32" s="37" t="str">
        <f t="shared" si="8"/>
        <v/>
      </c>
      <c r="BL32" s="37" t="str">
        <f t="shared" si="9"/>
        <v/>
      </c>
      <c r="BM32" s="37" t="str">
        <f t="shared" si="10"/>
        <v/>
      </c>
      <c r="BN32" s="37">
        <f t="shared" si="11"/>
        <v>0</v>
      </c>
      <c r="BO32" s="37"/>
      <c r="BP32" s="37"/>
      <c r="BQ32" s="37"/>
      <c r="BR32" s="37"/>
      <c r="BS32" s="37"/>
      <c r="BT32" s="37"/>
      <c r="BU32" s="37"/>
      <c r="BV32" s="24"/>
      <c r="BW32" s="37"/>
      <c r="BX32" s="37"/>
      <c r="BY32" s="37"/>
      <c r="BZ32" s="17"/>
      <c r="CA32" s="2"/>
      <c r="CB32" s="8"/>
      <c r="CC32" s="37"/>
      <c r="CD32" s="37"/>
      <c r="CE32" s="37"/>
      <c r="CF32" s="37"/>
      <c r="CG32" s="37"/>
      <c r="CH32" s="37"/>
      <c r="CI32" s="37"/>
      <c r="CK32" s="24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2" t="str">
        <f t="shared" si="0"/>
        <v/>
      </c>
      <c r="CW32" s="2" t="str">
        <f t="shared" si="12"/>
        <v/>
      </c>
      <c r="CX32" s="2" t="str">
        <f t="shared" si="1"/>
        <v/>
      </c>
      <c r="CY32" s="2"/>
      <c r="CZ32" s="2"/>
      <c r="DA32" s="2"/>
      <c r="DB32" s="2"/>
      <c r="DC32" s="8"/>
      <c r="DF32" s="7"/>
      <c r="DG32" s="2"/>
      <c r="DH32" s="13"/>
      <c r="DI32" s="37">
        <f t="shared" si="18"/>
        <v>0</v>
      </c>
      <c r="DJ32" s="37">
        <f t="shared" si="17"/>
        <v>0</v>
      </c>
      <c r="DK32" s="37"/>
      <c r="DL32" s="37"/>
      <c r="DM32" s="25"/>
      <c r="DR32" s="37"/>
      <c r="DS32" s="37"/>
      <c r="DT32" s="37"/>
      <c r="DU32" s="37"/>
      <c r="DV32" s="37"/>
      <c r="GO32" s="7"/>
      <c r="GP32" s="2"/>
      <c r="GQ32" s="8" t="str">
        <f t="shared" si="14"/>
        <v/>
      </c>
    </row>
    <row r="33" spans="3:199">
      <c r="C33" s="67"/>
      <c r="D33" s="30" t="s">
        <v>163</v>
      </c>
      <c r="E33" s="25" t="str">
        <f>IF(IsLayout="Yes",VLOOKUP(titleletter78,NCPlanKey,2,FALSE),"na")</f>
        <v>Sector F-</v>
      </c>
      <c r="F33" s="67"/>
      <c r="G33" s="67"/>
      <c r="H33" s="78"/>
      <c r="I33" s="67"/>
      <c r="J33" s="7" t="s">
        <v>28</v>
      </c>
      <c r="K33" s="2"/>
      <c r="L33" s="67"/>
      <c r="M33" s="78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R33" s="7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 t="str">
        <f t="shared" si="7"/>
        <v/>
      </c>
      <c r="BH33" s="2"/>
      <c r="BI33" s="2"/>
      <c r="BJ33" s="37" t="str">
        <f>IF(AT33="","",IF(ISERROR(VLOOKUP(AT33,oddXrefs,1,FALSE)),"No",(IF(AT33=VLOOKUP(AT33,oddXrefs,1,FALSE),"Yes","No"))))</f>
        <v/>
      </c>
      <c r="BK33" s="37" t="str">
        <f t="shared" si="8"/>
        <v/>
      </c>
      <c r="BL33" s="37" t="str">
        <f t="shared" si="9"/>
        <v/>
      </c>
      <c r="BM33" s="37" t="str">
        <f t="shared" si="10"/>
        <v/>
      </c>
      <c r="BN33" s="37">
        <f t="shared" si="11"/>
        <v>0</v>
      </c>
      <c r="BO33" s="37"/>
      <c r="BP33" s="37"/>
      <c r="BQ33" s="37"/>
      <c r="BR33" s="37"/>
      <c r="BS33" s="37"/>
      <c r="BT33" s="37"/>
      <c r="BU33" s="37"/>
      <c r="BV33" s="24"/>
      <c r="BW33" s="37"/>
      <c r="BX33" s="37"/>
      <c r="BY33" s="37"/>
      <c r="BZ33" s="17"/>
      <c r="CA33" s="2"/>
      <c r="CB33" s="8"/>
      <c r="CC33" s="37"/>
      <c r="CD33" s="37"/>
      <c r="CE33" s="37"/>
      <c r="CF33" s="37"/>
      <c r="CG33" s="37"/>
      <c r="CH33" s="37"/>
      <c r="CI33" s="37"/>
      <c r="CK33" s="24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2" t="str">
        <f t="shared" si="0"/>
        <v/>
      </c>
      <c r="CW33" s="2" t="str">
        <f t="shared" si="12"/>
        <v/>
      </c>
      <c r="CX33" s="2" t="str">
        <f t="shared" si="1"/>
        <v/>
      </c>
      <c r="CY33" s="2"/>
      <c r="CZ33" s="2"/>
      <c r="DA33" s="2"/>
      <c r="DB33" s="2"/>
      <c r="DC33" s="8"/>
      <c r="DF33" s="7"/>
      <c r="DG33" s="2"/>
      <c r="DH33" s="13"/>
      <c r="DI33" s="37">
        <f t="shared" si="18"/>
        <v>0</v>
      </c>
      <c r="DJ33" s="37">
        <f t="shared" si="17"/>
        <v>0</v>
      </c>
      <c r="DK33" s="37"/>
      <c r="DL33" s="37"/>
      <c r="DM33" s="25"/>
      <c r="DR33" s="37"/>
      <c r="DS33" s="37"/>
      <c r="DT33" s="37"/>
      <c r="DU33" s="37"/>
      <c r="DV33" s="37"/>
      <c r="GO33" s="7"/>
      <c r="GP33" s="2"/>
      <c r="GQ33" s="8" t="str">
        <f t="shared" si="14"/>
        <v/>
      </c>
    </row>
    <row r="34" spans="3:199">
      <c r="D34" s="24"/>
      <c r="E34" s="37"/>
      <c r="F34" s="37"/>
      <c r="G34" s="37"/>
      <c r="H34" s="25"/>
      <c r="I34" s="37"/>
      <c r="J34" s="7" t="s">
        <v>29</v>
      </c>
      <c r="K34" s="2"/>
      <c r="L34" s="37"/>
      <c r="M34" s="25"/>
      <c r="N34" s="37"/>
      <c r="O34" s="37"/>
      <c r="P34" s="37"/>
      <c r="Q34" s="37"/>
      <c r="R34" s="37"/>
      <c r="AR34" s="7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 t="str">
        <f t="shared" si="7"/>
        <v/>
      </c>
      <c r="BH34" s="2"/>
      <c r="BI34" s="2"/>
      <c r="BJ34" s="37" t="str">
        <f>IF(AT34="","",IF(ISERROR(VLOOKUP(AT34,oddXrefs,1,FALSE)),"No",(IF(AT34=VLOOKUP(AT34,oddXrefs,1,FALSE),"Yes","No"))))</f>
        <v/>
      </c>
      <c r="BK34" s="37" t="str">
        <f t="shared" si="8"/>
        <v/>
      </c>
      <c r="BL34" s="37" t="str">
        <f t="shared" si="9"/>
        <v/>
      </c>
      <c r="BM34" s="37" t="str">
        <f t="shared" si="10"/>
        <v/>
      </c>
      <c r="BN34" s="37">
        <f t="shared" si="11"/>
        <v>0</v>
      </c>
      <c r="BO34" s="37"/>
      <c r="BP34" s="37"/>
      <c r="BQ34" s="37"/>
      <c r="BR34" s="37"/>
      <c r="BS34" s="37"/>
      <c r="BT34" s="37"/>
      <c r="BU34" s="37"/>
      <c r="BV34" s="24"/>
      <c r="BW34" s="37"/>
      <c r="BX34" s="37"/>
      <c r="BY34" s="37"/>
      <c r="BZ34" s="17"/>
      <c r="CA34" s="2"/>
      <c r="CB34" s="8"/>
      <c r="CC34" s="37"/>
      <c r="CD34" s="37"/>
      <c r="CE34" s="37"/>
      <c r="CF34" s="37"/>
      <c r="CG34" s="37"/>
      <c r="CH34" s="37"/>
      <c r="CI34" s="37"/>
      <c r="CK34" s="24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2" t="str">
        <f t="shared" ref="CV34:CV65" si="19">IF(ISERROR(CW34-FIXED(CW34,0)),"",CW34-FIXED(CW34,0))</f>
        <v/>
      </c>
      <c r="CW34" s="2" t="str">
        <f t="shared" ref="CW34:CW65" si="20">IF(ISERROR(CY34/CX34),"",CY34/CX34)</f>
        <v/>
      </c>
      <c r="CX34" s="2" t="str">
        <f t="shared" ref="CX34:CX65" si="21">IF(ISERROR(VLOOKUP(DB34,$CS$2:$CT$5,2)),"",VLOOKUP(DB34,$CS$2:$CT$5,2))</f>
        <v/>
      </c>
      <c r="CY34" s="2"/>
      <c r="CZ34" s="2"/>
      <c r="DA34" s="2"/>
      <c r="DB34" s="2"/>
      <c r="DC34" s="8"/>
      <c r="DF34" s="7"/>
      <c r="DG34" s="2"/>
      <c r="DH34" s="13"/>
      <c r="DI34" s="37">
        <f t="shared" si="18"/>
        <v>0</v>
      </c>
      <c r="DJ34" s="37">
        <f t="shared" si="17"/>
        <v>0</v>
      </c>
      <c r="DK34" s="37"/>
      <c r="DL34" s="37"/>
      <c r="DM34" s="25"/>
      <c r="DR34" s="37"/>
      <c r="DS34" s="37"/>
      <c r="DT34" s="37"/>
      <c r="DU34" s="37"/>
      <c r="DV34" s="37"/>
      <c r="GO34" s="7"/>
      <c r="GP34" s="2"/>
      <c r="GQ34" s="8" t="str">
        <f t="shared" si="14"/>
        <v/>
      </c>
    </row>
    <row r="35" spans="3:199">
      <c r="D35" s="30" t="s">
        <v>164</v>
      </c>
      <c r="E35" s="25" t="str">
        <f>MID($D$5,5,4)</f>
        <v>2-F-</v>
      </c>
      <c r="F35" s="37"/>
      <c r="G35" s="37"/>
      <c r="H35" s="25"/>
      <c r="I35" s="37"/>
      <c r="J35" s="7" t="s">
        <v>30</v>
      </c>
      <c r="K35" s="2"/>
      <c r="L35" s="37"/>
      <c r="M35" s="25"/>
      <c r="N35" s="37"/>
      <c r="O35" s="37"/>
      <c r="P35" s="37"/>
      <c r="Q35" s="37"/>
      <c r="R35" s="37"/>
      <c r="AR35" s="7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 t="str">
        <f t="shared" si="7"/>
        <v/>
      </c>
      <c r="BH35" s="2"/>
      <c r="BI35" s="2"/>
      <c r="BJ35" s="37" t="str">
        <f>IF(AT35="","",IF(ISERROR(VLOOKUP(AT35,oddXrefs,1,FALSE)),"No",(IF(AT35=VLOOKUP(AT35,oddXrefs,1,FALSE),"Yes","No"))))</f>
        <v/>
      </c>
      <c r="BK35" s="37" t="str">
        <f t="shared" si="8"/>
        <v/>
      </c>
      <c r="BL35" s="37" t="str">
        <f t="shared" si="9"/>
        <v/>
      </c>
      <c r="BM35" s="37" t="str">
        <f t="shared" si="10"/>
        <v/>
      </c>
      <c r="BN35" s="37">
        <f t="shared" si="11"/>
        <v>0</v>
      </c>
      <c r="BO35" s="37"/>
      <c r="BP35" s="37"/>
      <c r="BQ35" s="37"/>
      <c r="BR35" s="37"/>
      <c r="BS35" s="37"/>
      <c r="BT35" s="37"/>
      <c r="BU35" s="37"/>
      <c r="BV35" s="24"/>
      <c r="BW35" s="37"/>
      <c r="BX35" s="37"/>
      <c r="BY35" s="37"/>
      <c r="BZ35" s="17"/>
      <c r="CA35" s="2"/>
      <c r="CB35" s="8"/>
      <c r="CC35" s="37"/>
      <c r="CD35" s="37"/>
      <c r="CE35" s="37"/>
      <c r="CF35" s="37"/>
      <c r="CG35" s="37"/>
      <c r="CH35" s="37"/>
      <c r="CI35" s="37"/>
      <c r="CK35" s="24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2" t="str">
        <f t="shared" si="19"/>
        <v/>
      </c>
      <c r="CW35" s="2" t="str">
        <f t="shared" si="20"/>
        <v/>
      </c>
      <c r="CX35" s="2" t="str">
        <f t="shared" si="21"/>
        <v/>
      </c>
      <c r="CY35" s="2"/>
      <c r="CZ35" s="2"/>
      <c r="DA35" s="2"/>
      <c r="DB35" s="2"/>
      <c r="DC35" s="8"/>
      <c r="DF35" s="7"/>
      <c r="DG35" s="2"/>
      <c r="DH35" s="13"/>
      <c r="DI35" s="37">
        <f t="shared" si="18"/>
        <v>0</v>
      </c>
      <c r="DJ35" s="37">
        <f t="shared" si="17"/>
        <v>0</v>
      </c>
      <c r="DK35" s="37"/>
      <c r="DL35" s="37"/>
      <c r="DM35" s="25"/>
      <c r="DR35" s="37"/>
      <c r="DS35" s="37"/>
      <c r="DT35" s="37"/>
      <c r="DU35" s="37"/>
      <c r="DV35" s="37"/>
      <c r="GO35" s="7"/>
      <c r="GP35" s="2"/>
      <c r="GQ35" s="8" t="str">
        <f t="shared" si="14"/>
        <v/>
      </c>
    </row>
    <row r="36" spans="3:199" ht="15" thickBot="1">
      <c r="D36" s="33" t="s">
        <v>165</v>
      </c>
      <c r="E36" s="27" t="str">
        <f>IF(IsLayout="No",VLOOKUP("Yes",NCSeries,4,FALSE),"na")</f>
        <v>na</v>
      </c>
      <c r="F36" s="37"/>
      <c r="G36" s="37"/>
      <c r="H36" s="25"/>
      <c r="I36" s="37"/>
      <c r="J36" s="103" t="s">
        <v>767</v>
      </c>
      <c r="K36" s="103" t="str">
        <f>IF(VLOOKUP("I1184sht_F",xrefnames,1)="I1184sht_F","Yes","Yes")</f>
        <v>Yes</v>
      </c>
      <c r="L36" s="37"/>
      <c r="M36" s="25"/>
      <c r="N36" s="37"/>
      <c r="O36" s="37"/>
      <c r="P36" s="37"/>
      <c r="Q36" s="37"/>
      <c r="R36" s="37"/>
      <c r="AR36" s="7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 t="str">
        <f t="shared" si="7"/>
        <v/>
      </c>
      <c r="BH36" s="2"/>
      <c r="BI36" s="2"/>
      <c r="BJ36" s="37" t="str">
        <f>IF(AT36="","",IF(ISERROR(VLOOKUP(AT36,oddXrefs,1,FALSE)),"No",(IF(AT36=VLOOKUP(AT36,oddXrefs,1,FALSE),"Yes","No"))))</f>
        <v/>
      </c>
      <c r="BK36" s="37" t="str">
        <f t="shared" si="8"/>
        <v/>
      </c>
      <c r="BL36" s="37" t="str">
        <f t="shared" si="9"/>
        <v/>
      </c>
      <c r="BM36" s="37" t="str">
        <f t="shared" si="10"/>
        <v/>
      </c>
      <c r="BN36" s="37">
        <f t="shared" si="11"/>
        <v>0</v>
      </c>
      <c r="BO36" s="37"/>
      <c r="BP36" s="37"/>
      <c r="BQ36" s="37"/>
      <c r="BR36" s="37"/>
      <c r="BS36" s="37"/>
      <c r="BT36" s="37"/>
      <c r="BU36" s="37"/>
      <c r="BV36" s="24"/>
      <c r="BW36" s="37"/>
      <c r="BX36" s="37"/>
      <c r="BY36" s="37"/>
      <c r="BZ36" s="17"/>
      <c r="CA36" s="2"/>
      <c r="CB36" s="8"/>
      <c r="CC36" s="37"/>
      <c r="CD36" s="37"/>
      <c r="CE36" s="37"/>
      <c r="CF36" s="37"/>
      <c r="CG36" s="37"/>
      <c r="CH36" s="37"/>
      <c r="CI36" s="37"/>
      <c r="CK36" s="24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2" t="str">
        <f t="shared" si="19"/>
        <v/>
      </c>
      <c r="CW36" s="2" t="str">
        <f t="shared" si="20"/>
        <v/>
      </c>
      <c r="CX36" s="2" t="str">
        <f t="shared" si="21"/>
        <v/>
      </c>
      <c r="CY36" s="2"/>
      <c r="CZ36" s="2"/>
      <c r="DA36" s="2"/>
      <c r="DB36" s="2"/>
      <c r="DC36" s="8"/>
      <c r="DF36" s="7"/>
      <c r="DG36" s="2"/>
      <c r="DH36" s="13"/>
      <c r="DI36" s="37">
        <f t="shared" si="18"/>
        <v>0</v>
      </c>
      <c r="DJ36" s="37">
        <f t="shared" si="17"/>
        <v>0</v>
      </c>
      <c r="DK36" s="37"/>
      <c r="DL36" s="37"/>
      <c r="DM36" s="25"/>
      <c r="DR36" s="37"/>
      <c r="DS36" s="37"/>
      <c r="DT36" s="37"/>
      <c r="DU36" s="37"/>
      <c r="DV36" s="37"/>
      <c r="GO36" s="7"/>
      <c r="GP36" s="2"/>
      <c r="GQ36" s="8" t="str">
        <f t="shared" si="14"/>
        <v/>
      </c>
    </row>
    <row r="37" spans="3:199">
      <c r="D37" s="24"/>
      <c r="E37" s="37"/>
      <c r="F37" s="37"/>
      <c r="G37" s="37"/>
      <c r="H37" s="25"/>
      <c r="I37" s="37"/>
      <c r="J37" s="103" t="s">
        <v>569</v>
      </c>
      <c r="K37" s="103" t="str">
        <f>IF(titleqtymodel=0,"No","Yes")</f>
        <v>No</v>
      </c>
      <c r="L37" s="37"/>
      <c r="M37" s="25"/>
      <c r="N37" s="37"/>
      <c r="O37" s="37"/>
      <c r="P37" s="37"/>
      <c r="Q37" s="37"/>
      <c r="R37" s="37"/>
      <c r="AR37" s="7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 t="str">
        <f t="shared" si="7"/>
        <v/>
      </c>
      <c r="BH37" s="2"/>
      <c r="BI37" s="2"/>
      <c r="BJ37" s="37" t="str">
        <f>IF(AT37="","",IF(ISERROR(VLOOKUP(AT37,oddXrefs,1,FALSE)),"No",(IF(AT37=VLOOKUP(AT37,oddXrefs,1,FALSE),"Yes","No"))))</f>
        <v/>
      </c>
      <c r="BK37" s="37" t="str">
        <f t="shared" si="8"/>
        <v/>
      </c>
      <c r="BL37" s="37" t="str">
        <f t="shared" si="9"/>
        <v/>
      </c>
      <c r="BM37" s="37" t="str">
        <f t="shared" si="10"/>
        <v/>
      </c>
      <c r="BN37" s="37">
        <f t="shared" si="11"/>
        <v>0</v>
      </c>
      <c r="BO37" s="37"/>
      <c r="BP37" s="37"/>
      <c r="BQ37" s="37"/>
      <c r="BR37" s="37"/>
      <c r="BS37" s="37"/>
      <c r="BT37" s="37"/>
      <c r="BU37" s="37"/>
      <c r="BV37" s="24"/>
      <c r="BW37" s="37"/>
      <c r="BX37" s="37"/>
      <c r="BY37" s="37"/>
      <c r="BZ37" s="17"/>
      <c r="CA37" s="2"/>
      <c r="CB37" s="8"/>
      <c r="CC37" s="37"/>
      <c r="CD37" s="37"/>
      <c r="CE37" s="37"/>
      <c r="CF37" s="37"/>
      <c r="CG37" s="37"/>
      <c r="CH37" s="37"/>
      <c r="CI37" s="37"/>
      <c r="CK37" s="24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2" t="str">
        <f t="shared" si="19"/>
        <v/>
      </c>
      <c r="CW37" s="2" t="str">
        <f t="shared" si="20"/>
        <v/>
      </c>
      <c r="CX37" s="2" t="str">
        <f t="shared" si="21"/>
        <v/>
      </c>
      <c r="CY37" s="2"/>
      <c r="CZ37" s="2"/>
      <c r="DA37" s="2"/>
      <c r="DB37" s="2"/>
      <c r="DC37" s="8"/>
      <c r="DF37" s="7"/>
      <c r="DG37" s="2"/>
      <c r="DH37" s="13"/>
      <c r="DI37" s="37">
        <f t="shared" si="18"/>
        <v>0</v>
      </c>
      <c r="DJ37" s="37">
        <f t="shared" si="17"/>
        <v>0</v>
      </c>
      <c r="DK37" s="37"/>
      <c r="DL37" s="37"/>
      <c r="DM37" s="25"/>
      <c r="DR37" s="37"/>
      <c r="DS37" s="37"/>
      <c r="DT37" s="37"/>
      <c r="DU37" s="37"/>
      <c r="DV37" s="37"/>
      <c r="GO37" s="7"/>
      <c r="GP37" s="2"/>
      <c r="GQ37" s="8" t="str">
        <f t="shared" si="14"/>
        <v/>
      </c>
    </row>
    <row r="38" spans="3:199">
      <c r="D38" s="30" t="s">
        <v>166</v>
      </c>
      <c r="E38" s="37" t="str">
        <f>IF(LEN(dwgname)=8,"Yes")</f>
        <v>Yes</v>
      </c>
      <c r="F38" s="37"/>
      <c r="G38" s="37"/>
      <c r="H38" s="25"/>
      <c r="I38" s="37"/>
      <c r="J38" s="103" t="s">
        <v>570</v>
      </c>
      <c r="K38" s="103" t="str">
        <f>IF(titleqtypaper=1,"Yes","No")</f>
        <v>Yes</v>
      </c>
      <c r="L38" s="37"/>
      <c r="M38" s="25"/>
      <c r="N38" s="37"/>
      <c r="O38" s="37"/>
      <c r="P38" s="37"/>
      <c r="Q38" s="37"/>
      <c r="R38" s="37"/>
      <c r="AR38" s="7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 t="str">
        <f t="shared" si="7"/>
        <v/>
      </c>
      <c r="BH38" s="2"/>
      <c r="BI38" s="2"/>
      <c r="BJ38" s="37" t="str">
        <f>IF(AT38="","",IF(ISERROR(VLOOKUP(AT38,oddXrefs,1,FALSE)),"No",(IF(AT38=VLOOKUP(AT38,oddXrefs,1,FALSE),"Yes","No"))))</f>
        <v/>
      </c>
      <c r="BK38" s="37" t="str">
        <f t="shared" si="8"/>
        <v/>
      </c>
      <c r="BL38" s="37" t="str">
        <f t="shared" si="9"/>
        <v/>
      </c>
      <c r="BM38" s="37" t="str">
        <f t="shared" si="10"/>
        <v/>
      </c>
      <c r="BN38" s="37">
        <f t="shared" si="11"/>
        <v>0</v>
      </c>
      <c r="BO38" s="37"/>
      <c r="BP38" s="37"/>
      <c r="BQ38" s="37"/>
      <c r="BR38" s="37"/>
      <c r="BS38" s="37"/>
      <c r="BT38" s="37"/>
      <c r="BU38" s="37"/>
      <c r="BV38" s="24"/>
      <c r="BW38" s="37"/>
      <c r="BX38" s="37"/>
      <c r="BY38" s="37"/>
      <c r="BZ38" s="17"/>
      <c r="CA38" s="2"/>
      <c r="CB38" s="8"/>
      <c r="CC38" s="37"/>
      <c r="CD38" s="37"/>
      <c r="CE38" s="37"/>
      <c r="CF38" s="37"/>
      <c r="CG38" s="37"/>
      <c r="CH38" s="37"/>
      <c r="CI38" s="37"/>
      <c r="CK38" s="24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2" t="str">
        <f t="shared" si="19"/>
        <v/>
      </c>
      <c r="CW38" s="2" t="str">
        <f t="shared" si="20"/>
        <v/>
      </c>
      <c r="CX38" s="2" t="str">
        <f t="shared" si="21"/>
        <v/>
      </c>
      <c r="CY38" s="2"/>
      <c r="CZ38" s="2"/>
      <c r="DA38" s="2"/>
      <c r="DB38" s="2"/>
      <c r="DC38" s="8"/>
      <c r="DF38" s="7"/>
      <c r="DG38" s="2"/>
      <c r="DH38" s="13"/>
      <c r="DI38" s="37">
        <f t="shared" si="18"/>
        <v>0</v>
      </c>
      <c r="DJ38" s="37">
        <f t="shared" si="17"/>
        <v>0</v>
      </c>
      <c r="DK38" s="37"/>
      <c r="DL38" s="37"/>
      <c r="DM38" s="25"/>
      <c r="GO38" s="7"/>
      <c r="GP38" s="2"/>
      <c r="GQ38" s="8" t="str">
        <f t="shared" si="14"/>
        <v/>
      </c>
    </row>
    <row r="39" spans="3:199" ht="15" thickBot="1">
      <c r="D39" s="79" t="s">
        <v>167</v>
      </c>
      <c r="E39" s="37" t="str">
        <f>letter1legal</f>
        <v>Yes</v>
      </c>
      <c r="F39" s="37"/>
      <c r="G39" s="37"/>
      <c r="H39" s="25"/>
      <c r="I39" s="37"/>
      <c r="J39" s="103" t="s">
        <v>571</v>
      </c>
      <c r="K39" s="103" t="str">
        <f>titleunique</f>
        <v>Yes</v>
      </c>
      <c r="L39" s="37"/>
      <c r="M39" s="25"/>
      <c r="N39" s="37"/>
      <c r="O39" s="37"/>
      <c r="P39" s="37"/>
      <c r="Q39" s="37"/>
      <c r="R39" s="37"/>
      <c r="AR39" s="7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 t="str">
        <f t="shared" si="7"/>
        <v/>
      </c>
      <c r="BH39" s="2"/>
      <c r="BI39" s="2"/>
      <c r="BJ39" s="37" t="str">
        <f>IF(AT39="","",IF(ISERROR(VLOOKUP(AT39,oddXrefs,1,FALSE)),"No",(IF(AT39=VLOOKUP(AT39,oddXrefs,1,FALSE),"Yes","No"))))</f>
        <v/>
      </c>
      <c r="BK39" s="37" t="str">
        <f t="shared" si="8"/>
        <v/>
      </c>
      <c r="BL39" s="37" t="str">
        <f t="shared" si="9"/>
        <v/>
      </c>
      <c r="BM39" s="37" t="str">
        <f t="shared" si="10"/>
        <v/>
      </c>
      <c r="BN39" s="37">
        <f t="shared" si="11"/>
        <v>0</v>
      </c>
      <c r="BO39" s="37"/>
      <c r="BP39" s="37"/>
      <c r="BQ39" s="37"/>
      <c r="BR39" s="37"/>
      <c r="BS39" s="37"/>
      <c r="BT39" s="37"/>
      <c r="BU39" s="37"/>
      <c r="BV39" s="24"/>
      <c r="BW39" s="37"/>
      <c r="BX39" s="37"/>
      <c r="BY39" s="37"/>
      <c r="BZ39" s="17"/>
      <c r="CA39" s="2"/>
      <c r="CB39" s="8"/>
      <c r="CC39" s="37"/>
      <c r="CD39" s="37"/>
      <c r="CE39" s="37"/>
      <c r="CF39" s="37"/>
      <c r="CG39" s="37"/>
      <c r="CH39" s="37"/>
      <c r="CI39" s="37"/>
      <c r="CK39" s="24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2" t="str">
        <f t="shared" si="19"/>
        <v/>
      </c>
      <c r="CW39" s="2" t="str">
        <f t="shared" si="20"/>
        <v/>
      </c>
      <c r="CX39" s="2" t="str">
        <f t="shared" si="21"/>
        <v/>
      </c>
      <c r="CY39" s="2"/>
      <c r="CZ39" s="2"/>
      <c r="DA39" s="2"/>
      <c r="DB39" s="2"/>
      <c r="DC39" s="8"/>
      <c r="DF39" s="7"/>
      <c r="DG39" s="2"/>
      <c r="DH39" s="13"/>
      <c r="DI39" s="37">
        <f t="shared" si="18"/>
        <v>0</v>
      </c>
      <c r="DJ39" s="37">
        <f t="shared" si="17"/>
        <v>0</v>
      </c>
      <c r="DK39" s="37"/>
      <c r="DL39" s="37"/>
      <c r="DM39" s="25"/>
      <c r="GO39" s="9"/>
      <c r="GP39" s="10"/>
      <c r="GQ39" s="8" t="str">
        <f t="shared" si="14"/>
        <v/>
      </c>
    </row>
    <row r="40" spans="3:199" ht="15" thickBot="1">
      <c r="D40" s="24" t="s">
        <v>162</v>
      </c>
      <c r="E40" t="str">
        <f>IF(ISERROR(VLOOKUP(titleletter78,NCPlanKey,1,FALSE)),"No",IF(titleletter78=VLOOKUP(titleletter78,NCPlanKey,1,FALSE),"Yes","No"))</f>
        <v>Yes</v>
      </c>
      <c r="F40" s="37"/>
      <c r="G40" s="37"/>
      <c r="H40" s="25"/>
      <c r="I40" s="37"/>
      <c r="J40" s="103" t="s">
        <v>834</v>
      </c>
      <c r="K40" s="103" t="str">
        <f>IF(buildingNumberInTitle1="Yes","Yes","No")</f>
        <v>Yes</v>
      </c>
      <c r="L40" s="37"/>
      <c r="M40" s="25"/>
      <c r="N40" s="37"/>
      <c r="O40" s="37"/>
      <c r="P40" s="37"/>
      <c r="Q40" s="37"/>
      <c r="R40" s="37"/>
      <c r="AR40" s="9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2"/>
      <c r="BE40" s="10"/>
      <c r="BF40" s="10"/>
      <c r="BG40" s="2" t="str">
        <f t="shared" si="7"/>
        <v/>
      </c>
      <c r="BH40" s="10"/>
      <c r="BI40" s="2"/>
      <c r="BJ40" s="37" t="str">
        <f>IF(AT40="","",IF(ISERROR(VLOOKUP(AT40,oddXrefs,1,FALSE)),"No",(IF(AT40=VLOOKUP(AT40,oddXrefs,1,FALSE),"Yes","No"))))</f>
        <v/>
      </c>
      <c r="BK40" s="37" t="str">
        <f t="shared" si="8"/>
        <v/>
      </c>
      <c r="BL40" s="37" t="str">
        <f t="shared" si="9"/>
        <v/>
      </c>
      <c r="BM40" s="37" t="str">
        <f t="shared" si="10"/>
        <v/>
      </c>
      <c r="BN40" s="37">
        <f t="shared" si="11"/>
        <v>0</v>
      </c>
      <c r="BO40" s="37"/>
      <c r="BP40" s="37"/>
      <c r="BQ40" s="37"/>
      <c r="BR40" s="37"/>
      <c r="BS40" s="37"/>
      <c r="BT40" s="37"/>
      <c r="BU40" s="37"/>
      <c r="BV40" s="26"/>
      <c r="BW40" s="38"/>
      <c r="BX40" s="38"/>
      <c r="BY40" s="38"/>
      <c r="BZ40" s="69"/>
      <c r="CA40" s="10"/>
      <c r="CB40" s="11"/>
      <c r="CC40" s="37"/>
      <c r="CD40" s="37"/>
      <c r="CE40" s="37"/>
      <c r="CF40" s="37"/>
      <c r="CG40" s="37"/>
      <c r="CH40" s="37"/>
      <c r="CI40" s="37"/>
      <c r="CK40" s="24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2" t="str">
        <f t="shared" si="19"/>
        <v/>
      </c>
      <c r="CW40" s="2" t="str">
        <f t="shared" si="20"/>
        <v/>
      </c>
      <c r="CX40" s="2" t="str">
        <f t="shared" si="21"/>
        <v/>
      </c>
      <c r="CY40" s="2"/>
      <c r="CZ40" s="2"/>
      <c r="DA40" s="2"/>
      <c r="DB40" s="2"/>
      <c r="DC40" s="8"/>
      <c r="DF40" s="7"/>
      <c r="DG40" s="2"/>
      <c r="DH40" s="13"/>
      <c r="DI40" s="37">
        <f t="shared" si="18"/>
        <v>0</v>
      </c>
      <c r="DJ40" s="37">
        <f t="shared" si="17"/>
        <v>0</v>
      </c>
      <c r="DK40" s="37"/>
      <c r="DL40" s="37"/>
      <c r="DM40" s="25"/>
    </row>
    <row r="41" spans="3:199">
      <c r="D41" s="30" t="s">
        <v>811</v>
      </c>
      <c r="E41" s="25" t="str">
        <f>IsView</f>
        <v>Yes</v>
      </c>
      <c r="F41" s="37"/>
      <c r="G41" s="37"/>
      <c r="H41" s="25"/>
      <c r="I41" s="37"/>
      <c r="J41" s="103" t="s">
        <v>835</v>
      </c>
      <c r="K41" s="103" t="str">
        <f>IF(IsLayout="Yes",IF(levelInTitle="Yes","Yes","No"),"Yes")</f>
        <v>Yes</v>
      </c>
      <c r="L41" s="37"/>
      <c r="M41" s="25"/>
      <c r="N41" s="37"/>
      <c r="O41" s="37"/>
      <c r="P41" s="37"/>
      <c r="Q41" s="37"/>
      <c r="R41" s="37"/>
      <c r="BM41" s="37" t="str">
        <f t="shared" si="10"/>
        <v/>
      </c>
      <c r="BN41" s="37"/>
      <c r="CK41" s="24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2" t="str">
        <f t="shared" si="19"/>
        <v/>
      </c>
      <c r="CW41" s="2" t="str">
        <f t="shared" si="20"/>
        <v/>
      </c>
      <c r="CX41" s="2" t="str">
        <f t="shared" si="21"/>
        <v/>
      </c>
      <c r="CY41" s="2"/>
      <c r="CZ41" s="2"/>
      <c r="DA41" s="2"/>
      <c r="DB41" s="2"/>
      <c r="DC41" s="8"/>
      <c r="DF41" s="7"/>
      <c r="DG41" s="2"/>
      <c r="DH41" s="13"/>
      <c r="DI41" s="37">
        <f t="shared" si="18"/>
        <v>0</v>
      </c>
      <c r="DJ41" s="37">
        <f t="shared" si="17"/>
        <v>0</v>
      </c>
      <c r="DK41" s="37"/>
      <c r="DL41" s="37"/>
      <c r="DM41" s="25"/>
    </row>
    <row r="42" spans="3:199">
      <c r="D42" s="24"/>
      <c r="E42" s="37"/>
      <c r="F42" s="37"/>
      <c r="G42" s="37"/>
      <c r="H42" s="25"/>
      <c r="I42" s="37"/>
      <c r="J42" s="103" t="s">
        <v>837</v>
      </c>
      <c r="K42" s="103" t="str">
        <f>IF(IsLayout="Yes",IF(overallSectorInTitle="Yes","Yes","No"),"Yes")</f>
        <v>Yes</v>
      </c>
      <c r="L42" s="37"/>
      <c r="M42" s="25"/>
      <c r="N42" s="37"/>
      <c r="O42" s="37"/>
      <c r="P42" s="37"/>
      <c r="Q42" s="37"/>
      <c r="R42" s="37"/>
      <c r="BM42" s="37" t="str">
        <f t="shared" si="10"/>
        <v/>
      </c>
      <c r="BN42" s="37"/>
      <c r="CK42" s="24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2" t="str">
        <f t="shared" si="19"/>
        <v/>
      </c>
      <c r="CW42" s="2" t="str">
        <f t="shared" si="20"/>
        <v/>
      </c>
      <c r="CX42" s="2" t="str">
        <f t="shared" si="21"/>
        <v/>
      </c>
      <c r="CY42" s="2"/>
      <c r="CZ42" s="2"/>
      <c r="DA42" s="2"/>
      <c r="DB42" s="2"/>
      <c r="DC42" s="8"/>
      <c r="DF42" s="7"/>
      <c r="DG42" s="2"/>
      <c r="DH42" s="13"/>
      <c r="DI42" s="37">
        <f t="shared" si="18"/>
        <v>0</v>
      </c>
      <c r="DJ42" s="37">
        <f t="shared" si="17"/>
        <v>0</v>
      </c>
      <c r="DK42" s="37"/>
      <c r="DL42" s="37"/>
      <c r="DM42" s="25"/>
    </row>
    <row r="43" spans="3:199">
      <c r="C43" s="67"/>
      <c r="D43" s="80" t="s">
        <v>168</v>
      </c>
      <c r="E43" s="37" t="str">
        <f>IF(IsView="Yes",IF(AND(letter1legal="Yes",isEightLetters="Yes",dwgname=DwgNum),"ok","x"),"ok")</f>
        <v>ok</v>
      </c>
      <c r="F43" s="67"/>
      <c r="G43" s="67"/>
      <c r="H43" s="78"/>
      <c r="I43" s="67"/>
      <c r="J43" s="103" t="s">
        <v>836</v>
      </c>
      <c r="K43" s="103" t="str">
        <f>IF(IsLayout="Yes",IF(layoutOrViewInTitle="Yes","Yes","No"),"Yes")</f>
        <v>Yes</v>
      </c>
      <c r="L43" s="67"/>
      <c r="M43" s="25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BM43" s="37" t="str">
        <f t="shared" si="10"/>
        <v/>
      </c>
      <c r="BN43" s="37"/>
      <c r="CK43" s="24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2" t="str">
        <f t="shared" si="19"/>
        <v/>
      </c>
      <c r="CW43" s="2" t="str">
        <f t="shared" si="20"/>
        <v/>
      </c>
      <c r="CX43" s="2" t="str">
        <f t="shared" si="21"/>
        <v/>
      </c>
      <c r="CY43" s="2"/>
      <c r="CZ43" s="2"/>
      <c r="DA43" s="2"/>
      <c r="DB43" s="2"/>
      <c r="DC43" s="8"/>
      <c r="DF43" s="7"/>
      <c r="DG43" s="2"/>
      <c r="DH43" s="13"/>
      <c r="DI43" s="37">
        <f t="shared" si="18"/>
        <v>0</v>
      </c>
      <c r="DJ43" s="37">
        <f t="shared" si="17"/>
        <v>0</v>
      </c>
      <c r="DK43" s="37"/>
      <c r="DL43" s="37"/>
      <c r="DM43" s="25"/>
    </row>
    <row r="44" spans="3:199">
      <c r="C44" s="72"/>
      <c r="D44" s="79" t="s">
        <v>590</v>
      </c>
      <c r="E44" s="81" t="str">
        <f>IF(ISERROR(VALUE(Letters5678)),"na",VALUE(Letters5678))</f>
        <v>na</v>
      </c>
      <c r="F44" s="67"/>
      <c r="G44" s="67"/>
      <c r="H44" s="78"/>
      <c r="I44" s="67"/>
      <c r="J44" s="103" t="s">
        <v>573</v>
      </c>
      <c r="K44" s="103" t="str">
        <f>IF(SUM(L44:M44)&gt;0,"Yes","No")</f>
        <v>Yes</v>
      </c>
      <c r="L44" s="100">
        <f>IF(ISERROR(FIND("=",Scale))," ",FIND("=",Scale))</f>
        <v>2</v>
      </c>
      <c r="M44" s="25" t="str">
        <f>IF(ISERROR(FIND(":",Scale)),"",FIND(":",Scale))</f>
        <v/>
      </c>
      <c r="N44" s="67"/>
      <c r="O44" s="67"/>
      <c r="P44" s="67"/>
      <c r="Q44" s="67"/>
      <c r="R44" s="67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BM44" s="37" t="str">
        <f t="shared" si="10"/>
        <v/>
      </c>
      <c r="BN44" s="37"/>
      <c r="CK44" s="24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2" t="str">
        <f t="shared" si="19"/>
        <v/>
      </c>
      <c r="CW44" s="2" t="str">
        <f t="shared" si="20"/>
        <v/>
      </c>
      <c r="CX44" s="2" t="str">
        <f t="shared" si="21"/>
        <v/>
      </c>
      <c r="CY44" s="2"/>
      <c r="CZ44" s="2"/>
      <c r="DA44" s="2"/>
      <c r="DB44" s="2"/>
      <c r="DC44" s="8"/>
      <c r="DF44" s="7"/>
      <c r="DG44" s="2"/>
      <c r="DH44" s="13"/>
      <c r="DI44" s="37">
        <f t="shared" si="18"/>
        <v>0</v>
      </c>
      <c r="DJ44" s="37">
        <f t="shared" si="17"/>
        <v>0</v>
      </c>
      <c r="DK44" s="37"/>
      <c r="DL44" s="37"/>
      <c r="DM44" s="25"/>
    </row>
    <row r="45" spans="3:199" ht="15" thickBot="1">
      <c r="C45" s="67"/>
      <c r="D45" s="79" t="s">
        <v>586</v>
      </c>
      <c r="E45" s="37" t="str">
        <f>IF(OR(isEnlargedView1="Yes",isEnlargedView2="Yes"),"Yes","No")</f>
        <v>No</v>
      </c>
      <c r="F45" s="67"/>
      <c r="G45" s="67"/>
      <c r="H45" s="78"/>
      <c r="I45" s="67"/>
      <c r="J45" s="104" t="s">
        <v>574</v>
      </c>
      <c r="K45" s="103" t="str">
        <f>IF(PlotScale="1=1","Yes","No")</f>
        <v>Yes</v>
      </c>
      <c r="L45" s="37"/>
      <c r="M45" s="25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BM45" s="37" t="str">
        <f t="shared" si="10"/>
        <v/>
      </c>
      <c r="BN45" s="37"/>
      <c r="CK45" s="24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2" t="str">
        <f t="shared" si="19"/>
        <v/>
      </c>
      <c r="CW45" s="2" t="str">
        <f t="shared" si="20"/>
        <v/>
      </c>
      <c r="CX45" s="2" t="str">
        <f t="shared" si="21"/>
        <v/>
      </c>
      <c r="CY45" s="2"/>
      <c r="CZ45" s="2"/>
      <c r="DA45" s="2"/>
      <c r="DB45" s="2"/>
      <c r="DC45" s="8"/>
      <c r="DF45" s="9"/>
      <c r="DG45" s="10"/>
      <c r="DH45" s="14"/>
      <c r="DI45" s="37">
        <f t="shared" si="18"/>
        <v>0</v>
      </c>
      <c r="DJ45" s="37">
        <f t="shared" si="17"/>
        <v>0</v>
      </c>
      <c r="DK45" s="38"/>
      <c r="DL45" s="38"/>
      <c r="DM45" s="27"/>
    </row>
    <row r="46" spans="3:199">
      <c r="C46" s="72"/>
      <c r="D46" s="24" t="s">
        <v>587</v>
      </c>
      <c r="E46" s="37" t="str">
        <f>IsSection</f>
        <v>No</v>
      </c>
      <c r="F46" s="67"/>
      <c r="G46" s="67"/>
      <c r="H46" s="78"/>
      <c r="I46" s="67"/>
      <c r="J46" s="104" t="s">
        <v>575</v>
      </c>
      <c r="K46" s="103" t="str">
        <f>IF(OR(chk2Layer="G-ANNO-TTLB",chk2Layer="G-ANNO-TBOR"),"Yes","No")</f>
        <v>Yes</v>
      </c>
      <c r="L46" s="37" t="str">
        <f>titlelayer</f>
        <v>G-ANNO-TTLB</v>
      </c>
      <c r="M46" s="25"/>
      <c r="N46" s="67"/>
      <c r="O46" s="67"/>
      <c r="P46" s="67"/>
      <c r="Q46" s="67"/>
      <c r="R46" s="67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CK46" s="24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2" t="str">
        <f t="shared" si="19"/>
        <v/>
      </c>
      <c r="CW46" s="2" t="str">
        <f t="shared" si="20"/>
        <v/>
      </c>
      <c r="CX46" s="2" t="str">
        <f t="shared" si="21"/>
        <v/>
      </c>
      <c r="CY46" s="2"/>
      <c r="CZ46" s="2"/>
      <c r="DA46" s="2"/>
      <c r="DB46" s="2"/>
      <c r="DC46" s="8"/>
    </row>
    <row r="47" spans="3:199">
      <c r="C47" s="67"/>
      <c r="D47" s="79" t="s">
        <v>588</v>
      </c>
      <c r="E47" s="37" t="str">
        <f>IsElevation</f>
        <v>No</v>
      </c>
      <c r="F47" s="67"/>
      <c r="G47" s="67"/>
      <c r="H47" s="78"/>
      <c r="I47" s="67"/>
      <c r="J47" s="102" t="s">
        <v>576</v>
      </c>
      <c r="K47" s="4" t="str">
        <f>IF(IsView="Yes",IF(AND(titleinmodel="No",titleinpaper="Yes",UniqueTitle="Yes",title4proper="Yes",title3proper="Yes",title2proper="Yes",title1proper="Yes",scaleformatok="Yes",plotscaleok="Yes",oncorrectlayer="Yes"),"ok","x"),"na")</f>
        <v>ok</v>
      </c>
      <c r="L47" s="37"/>
      <c r="M47" s="25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CK47" s="24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2" t="str">
        <f t="shared" si="19"/>
        <v/>
      </c>
      <c r="CW47" s="2" t="str">
        <f t="shared" si="20"/>
        <v/>
      </c>
      <c r="CX47" s="2" t="str">
        <f t="shared" si="21"/>
        <v/>
      </c>
      <c r="CY47" s="2"/>
      <c r="CZ47" s="2"/>
      <c r="DA47" s="2"/>
      <c r="DB47" s="2"/>
      <c r="DC47" s="8"/>
    </row>
    <row r="48" spans="3:199" ht="15" thickBot="1">
      <c r="C48" s="67"/>
      <c r="D48" s="26" t="s">
        <v>589</v>
      </c>
      <c r="E48" s="38" t="str">
        <f>IF(OR(isDetail1="Yes",isDetail2="Yes"),"Yes","No")</f>
        <v>No</v>
      </c>
      <c r="F48" s="82"/>
      <c r="G48" s="82"/>
      <c r="H48" s="83"/>
      <c r="I48" s="67"/>
      <c r="J48" s="26"/>
      <c r="K48" s="38"/>
      <c r="L48" s="38"/>
      <c r="M48" s="2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CK48" s="24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2" t="str">
        <f t="shared" si="19"/>
        <v/>
      </c>
      <c r="CW48" s="2" t="str">
        <f t="shared" si="20"/>
        <v/>
      </c>
      <c r="CX48" s="2" t="str">
        <f t="shared" si="21"/>
        <v/>
      </c>
      <c r="CY48" s="2"/>
      <c r="CZ48" s="2"/>
      <c r="DA48" s="2"/>
      <c r="DB48" s="2"/>
      <c r="DC48" s="8"/>
    </row>
    <row r="49" spans="1:107">
      <c r="C49" s="67"/>
      <c r="D49" s="67"/>
      <c r="E49" s="67"/>
      <c r="F49" s="67"/>
      <c r="G49" s="67"/>
      <c r="H49" s="67"/>
      <c r="I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CK49" s="24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2" t="str">
        <f t="shared" si="19"/>
        <v/>
      </c>
      <c r="CW49" s="2" t="str">
        <f t="shared" si="20"/>
        <v/>
      </c>
      <c r="CX49" s="2" t="str">
        <f t="shared" si="21"/>
        <v/>
      </c>
      <c r="CY49" s="2"/>
      <c r="CZ49" s="2"/>
      <c r="DA49" s="2"/>
      <c r="DB49" s="2"/>
      <c r="DC49" s="8"/>
    </row>
    <row r="50" spans="1:107">
      <c r="C50" s="67"/>
      <c r="D50" s="67"/>
      <c r="E50" s="67"/>
      <c r="F50" s="67"/>
      <c r="G50" s="67"/>
      <c r="H50" s="67"/>
      <c r="I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CK50" s="24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2" t="str">
        <f t="shared" si="19"/>
        <v/>
      </c>
      <c r="CW50" s="2" t="str">
        <f t="shared" si="20"/>
        <v/>
      </c>
      <c r="CX50" s="2" t="str">
        <f t="shared" si="21"/>
        <v/>
      </c>
      <c r="CY50" s="2"/>
      <c r="CZ50" s="2"/>
      <c r="DA50" s="2"/>
      <c r="DB50" s="2"/>
      <c r="DC50" s="8"/>
    </row>
    <row r="51" spans="1:107">
      <c r="C51" s="72"/>
      <c r="CK51" s="24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2" t="str">
        <f t="shared" si="19"/>
        <v/>
      </c>
      <c r="CW51" s="2" t="str">
        <f t="shared" si="20"/>
        <v/>
      </c>
      <c r="CX51" s="2" t="str">
        <f t="shared" si="21"/>
        <v/>
      </c>
      <c r="CY51" s="2"/>
      <c r="CZ51" s="2"/>
      <c r="DA51" s="2"/>
      <c r="DB51" s="2"/>
      <c r="DC51" s="8"/>
    </row>
    <row r="52" spans="1:107">
      <c r="CK52" s="24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2" t="str">
        <f t="shared" si="19"/>
        <v/>
      </c>
      <c r="CW52" s="2" t="str">
        <f t="shared" si="20"/>
        <v/>
      </c>
      <c r="CX52" s="2" t="str">
        <f t="shared" si="21"/>
        <v/>
      </c>
      <c r="CY52" s="2"/>
      <c r="CZ52" s="2"/>
      <c r="DA52" s="2"/>
      <c r="DB52" s="2"/>
      <c r="DC52" s="8"/>
    </row>
    <row r="53" spans="1:107">
      <c r="CK53" s="24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2" t="str">
        <f t="shared" si="19"/>
        <v/>
      </c>
      <c r="CW53" s="2" t="str">
        <f t="shared" si="20"/>
        <v/>
      </c>
      <c r="CX53" s="2" t="str">
        <f t="shared" si="21"/>
        <v/>
      </c>
      <c r="CY53" s="2"/>
      <c r="CZ53" s="2"/>
      <c r="DA53" s="2"/>
      <c r="DB53" s="2"/>
      <c r="DC53" s="8"/>
    </row>
    <row r="54" spans="1:107">
      <c r="CK54" s="24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2" t="str">
        <f t="shared" si="19"/>
        <v/>
      </c>
      <c r="CW54" s="2" t="str">
        <f t="shared" si="20"/>
        <v/>
      </c>
      <c r="CX54" s="2" t="str">
        <f t="shared" si="21"/>
        <v/>
      </c>
      <c r="CY54" s="2"/>
      <c r="CZ54" s="2"/>
      <c r="DA54" s="2"/>
      <c r="DB54" s="2"/>
      <c r="DC54" s="8"/>
    </row>
    <row r="55" spans="1:107">
      <c r="CK55" s="24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2" t="str">
        <f t="shared" si="19"/>
        <v/>
      </c>
      <c r="CW55" s="2" t="str">
        <f t="shared" si="20"/>
        <v/>
      </c>
      <c r="CX55" s="2" t="str">
        <f t="shared" si="21"/>
        <v/>
      </c>
      <c r="CY55" s="2"/>
      <c r="CZ55" s="2"/>
      <c r="DA55" s="2"/>
      <c r="DB55" s="2"/>
      <c r="DC55" s="8"/>
    </row>
    <row r="56" spans="1:107">
      <c r="CK56" s="24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2" t="str">
        <f t="shared" si="19"/>
        <v/>
      </c>
      <c r="CW56" s="2" t="str">
        <f t="shared" si="20"/>
        <v/>
      </c>
      <c r="CX56" s="2" t="str">
        <f t="shared" si="21"/>
        <v/>
      </c>
      <c r="CY56" s="2"/>
      <c r="CZ56" s="2"/>
      <c r="DA56" s="2"/>
      <c r="DB56" s="2"/>
      <c r="DC56" s="8"/>
    </row>
    <row r="57" spans="1:107">
      <c r="CK57" s="24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2" t="str">
        <f t="shared" si="19"/>
        <v/>
      </c>
      <c r="CW57" s="2" t="str">
        <f t="shared" si="20"/>
        <v/>
      </c>
      <c r="CX57" s="2" t="str">
        <f t="shared" si="21"/>
        <v/>
      </c>
      <c r="CY57" s="2"/>
      <c r="CZ57" s="2"/>
      <c r="DA57" s="2"/>
      <c r="DB57" s="2"/>
      <c r="DC57" s="8"/>
    </row>
    <row r="58" spans="1:107">
      <c r="CK58" s="24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2" t="str">
        <f t="shared" si="19"/>
        <v/>
      </c>
      <c r="CW58" s="2" t="str">
        <f t="shared" si="20"/>
        <v/>
      </c>
      <c r="CX58" s="2" t="str">
        <f t="shared" si="21"/>
        <v/>
      </c>
      <c r="CY58" s="2"/>
      <c r="CZ58" s="2"/>
      <c r="DA58" s="2"/>
      <c r="DB58" s="2"/>
      <c r="DC58" s="8"/>
    </row>
    <row r="59" spans="1:107">
      <c r="CK59" s="24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2" t="str">
        <f t="shared" si="19"/>
        <v/>
      </c>
      <c r="CW59" s="2" t="str">
        <f t="shared" si="20"/>
        <v/>
      </c>
      <c r="CX59" s="2" t="str">
        <f t="shared" si="21"/>
        <v/>
      </c>
      <c r="CY59" s="2"/>
      <c r="CZ59" s="2"/>
      <c r="DA59" s="2"/>
      <c r="DB59" s="2"/>
      <c r="DC59" s="8"/>
    </row>
    <row r="60" spans="1:107">
      <c r="CK60" s="24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2" t="str">
        <f t="shared" si="19"/>
        <v/>
      </c>
      <c r="CW60" s="2" t="str">
        <f t="shared" si="20"/>
        <v/>
      </c>
      <c r="CX60" s="2" t="str">
        <f t="shared" si="21"/>
        <v/>
      </c>
      <c r="CY60" s="2"/>
      <c r="CZ60" s="2"/>
      <c r="DA60" s="2"/>
      <c r="DB60" s="2"/>
      <c r="DC60" s="8"/>
    </row>
    <row r="61" spans="1:107">
      <c r="CK61" s="24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2" t="str">
        <f t="shared" si="19"/>
        <v/>
      </c>
      <c r="CW61" s="2" t="str">
        <f t="shared" si="20"/>
        <v/>
      </c>
      <c r="CX61" s="2" t="str">
        <f t="shared" si="21"/>
        <v/>
      </c>
      <c r="CY61" s="2"/>
      <c r="CZ61" s="2"/>
      <c r="DA61" s="2"/>
      <c r="DB61" s="2"/>
      <c r="DC61" s="8"/>
    </row>
    <row r="62" spans="1:107">
      <c r="A62" s="34" t="s">
        <v>811</v>
      </c>
      <c r="B62" t="str">
        <f>IF(OR(titleletter1="K",titleletter1="M"),"Yes","No")</f>
        <v>Yes</v>
      </c>
      <c r="CK62" s="24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2" t="str">
        <f t="shared" si="19"/>
        <v/>
      </c>
      <c r="CW62" s="2" t="str">
        <f t="shared" si="20"/>
        <v/>
      </c>
      <c r="CX62" s="2" t="str">
        <f t="shared" si="21"/>
        <v/>
      </c>
      <c r="CY62" s="2"/>
      <c r="CZ62" s="2"/>
      <c r="DA62" s="2"/>
      <c r="DB62" s="2"/>
      <c r="DC62" s="8"/>
    </row>
    <row r="63" spans="1:107">
      <c r="CK63" s="24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2" t="str">
        <f t="shared" si="19"/>
        <v/>
      </c>
      <c r="CW63" s="2" t="str">
        <f t="shared" si="20"/>
        <v/>
      </c>
      <c r="CX63" s="2" t="str">
        <f t="shared" si="21"/>
        <v/>
      </c>
      <c r="CY63" s="2"/>
      <c r="CZ63" s="2"/>
      <c r="DA63" s="2"/>
      <c r="DB63" s="2"/>
      <c r="DC63" s="8"/>
    </row>
    <row r="64" spans="1:107">
      <c r="CK64" s="24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2" t="str">
        <f t="shared" si="19"/>
        <v/>
      </c>
      <c r="CW64" s="2" t="str">
        <f t="shared" si="20"/>
        <v/>
      </c>
      <c r="CX64" s="2" t="str">
        <f t="shared" si="21"/>
        <v/>
      </c>
      <c r="CY64" s="2"/>
      <c r="CZ64" s="2"/>
      <c r="DA64" s="2"/>
      <c r="DB64" s="2"/>
      <c r="DC64" s="8"/>
    </row>
    <row r="65" spans="89:107">
      <c r="CK65" s="24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2" t="str">
        <f t="shared" si="19"/>
        <v/>
      </c>
      <c r="CW65" s="2" t="str">
        <f t="shared" si="20"/>
        <v/>
      </c>
      <c r="CX65" s="2" t="str">
        <f t="shared" si="21"/>
        <v/>
      </c>
      <c r="CY65" s="2"/>
      <c r="CZ65" s="2"/>
      <c r="DA65" s="2"/>
      <c r="DB65" s="2"/>
      <c r="DC65" s="8"/>
    </row>
    <row r="66" spans="89:107">
      <c r="CK66" s="24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2" t="str">
        <f t="shared" ref="CV66:CV97" si="22">IF(ISERROR(CW66-FIXED(CW66,0)),"",CW66-FIXED(CW66,0))</f>
        <v/>
      </c>
      <c r="CW66" s="2" t="str">
        <f t="shared" ref="CW66:CW97" si="23">IF(ISERROR(CY66/CX66),"",CY66/CX66)</f>
        <v/>
      </c>
      <c r="CX66" s="2" t="str">
        <f t="shared" ref="CX66:CX97" si="24">IF(ISERROR(VLOOKUP(DB66,$CS$2:$CT$5,2)),"",VLOOKUP(DB66,$CS$2:$CT$5,2))</f>
        <v/>
      </c>
      <c r="CY66" s="2"/>
      <c r="CZ66" s="2"/>
      <c r="DA66" s="2"/>
      <c r="DB66" s="2"/>
      <c r="DC66" s="8"/>
    </row>
    <row r="67" spans="89:107">
      <c r="CK67" s="24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2" t="str">
        <f t="shared" si="22"/>
        <v/>
      </c>
      <c r="CW67" s="2" t="str">
        <f t="shared" si="23"/>
        <v/>
      </c>
      <c r="CX67" s="2" t="str">
        <f t="shared" si="24"/>
        <v/>
      </c>
      <c r="CY67" s="2"/>
      <c r="CZ67" s="2"/>
      <c r="DA67" s="2"/>
      <c r="DB67" s="2"/>
      <c r="DC67" s="8"/>
    </row>
    <row r="68" spans="89:107">
      <c r="CK68" s="24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2" t="str">
        <f t="shared" si="22"/>
        <v/>
      </c>
      <c r="CW68" s="2" t="str">
        <f t="shared" si="23"/>
        <v/>
      </c>
      <c r="CX68" s="2" t="str">
        <f t="shared" si="24"/>
        <v/>
      </c>
      <c r="CY68" s="2"/>
      <c r="CZ68" s="2"/>
      <c r="DA68" s="2"/>
      <c r="DB68" s="2"/>
      <c r="DC68" s="8"/>
    </row>
    <row r="69" spans="89:107">
      <c r="CK69" s="24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2" t="str">
        <f t="shared" si="22"/>
        <v/>
      </c>
      <c r="CW69" s="2" t="str">
        <f t="shared" si="23"/>
        <v/>
      </c>
      <c r="CX69" s="2" t="str">
        <f t="shared" si="24"/>
        <v/>
      </c>
      <c r="CY69" s="2"/>
      <c r="CZ69" s="2"/>
      <c r="DA69" s="2"/>
      <c r="DB69" s="2"/>
      <c r="DC69" s="8"/>
    </row>
    <row r="70" spans="89:107">
      <c r="CK70" s="24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2" t="str">
        <f t="shared" si="22"/>
        <v/>
      </c>
      <c r="CW70" s="2" t="str">
        <f t="shared" si="23"/>
        <v/>
      </c>
      <c r="CX70" s="2" t="str">
        <f t="shared" si="24"/>
        <v/>
      </c>
      <c r="CY70" s="2"/>
      <c r="CZ70" s="2"/>
      <c r="DA70" s="2"/>
      <c r="DB70" s="2"/>
      <c r="DC70" s="8"/>
    </row>
    <row r="71" spans="89:107">
      <c r="CK71" s="24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2" t="str">
        <f t="shared" si="22"/>
        <v/>
      </c>
      <c r="CW71" s="2" t="str">
        <f t="shared" si="23"/>
        <v/>
      </c>
      <c r="CX71" s="2" t="str">
        <f t="shared" si="24"/>
        <v/>
      </c>
      <c r="CY71" s="2"/>
      <c r="CZ71" s="2"/>
      <c r="DA71" s="2"/>
      <c r="DB71" s="2"/>
      <c r="DC71" s="8"/>
    </row>
    <row r="72" spans="89:107">
      <c r="CK72" s="24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2" t="str">
        <f t="shared" si="22"/>
        <v/>
      </c>
      <c r="CW72" s="2" t="str">
        <f t="shared" si="23"/>
        <v/>
      </c>
      <c r="CX72" s="2" t="str">
        <f t="shared" si="24"/>
        <v/>
      </c>
      <c r="CY72" s="2"/>
      <c r="CZ72" s="2"/>
      <c r="DA72" s="2"/>
      <c r="DB72" s="2"/>
      <c r="DC72" s="8"/>
    </row>
    <row r="73" spans="89:107">
      <c r="CK73" s="24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2" t="str">
        <f t="shared" si="22"/>
        <v/>
      </c>
      <c r="CW73" s="2" t="str">
        <f t="shared" si="23"/>
        <v/>
      </c>
      <c r="CX73" s="2" t="str">
        <f t="shared" si="24"/>
        <v/>
      </c>
      <c r="CY73" s="2"/>
      <c r="CZ73" s="2"/>
      <c r="DA73" s="2"/>
      <c r="DB73" s="2"/>
      <c r="DC73" s="8"/>
    </row>
    <row r="74" spans="89:107">
      <c r="CK74" s="24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2" t="str">
        <f t="shared" si="22"/>
        <v/>
      </c>
      <c r="CW74" s="2" t="str">
        <f t="shared" si="23"/>
        <v/>
      </c>
      <c r="CX74" s="2" t="str">
        <f t="shared" si="24"/>
        <v/>
      </c>
      <c r="CY74" s="2"/>
      <c r="CZ74" s="2"/>
      <c r="DA74" s="2"/>
      <c r="DB74" s="2"/>
      <c r="DC74" s="8"/>
    </row>
    <row r="75" spans="89:107">
      <c r="CK75" s="24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2" t="str">
        <f t="shared" si="22"/>
        <v/>
      </c>
      <c r="CW75" s="2" t="str">
        <f t="shared" si="23"/>
        <v/>
      </c>
      <c r="CX75" s="2" t="str">
        <f t="shared" si="24"/>
        <v/>
      </c>
      <c r="CY75" s="2"/>
      <c r="CZ75" s="2"/>
      <c r="DA75" s="2"/>
      <c r="DB75" s="2"/>
      <c r="DC75" s="8"/>
    </row>
    <row r="76" spans="89:107">
      <c r="CK76" s="24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2" t="str">
        <f t="shared" si="22"/>
        <v/>
      </c>
      <c r="CW76" s="2" t="str">
        <f t="shared" si="23"/>
        <v/>
      </c>
      <c r="CX76" s="2" t="str">
        <f t="shared" si="24"/>
        <v/>
      </c>
      <c r="CY76" s="2"/>
      <c r="CZ76" s="2"/>
      <c r="DA76" s="2"/>
      <c r="DB76" s="2"/>
      <c r="DC76" s="8"/>
    </row>
    <row r="77" spans="89:107">
      <c r="CK77" s="24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2" t="str">
        <f t="shared" si="22"/>
        <v/>
      </c>
      <c r="CW77" s="2" t="str">
        <f t="shared" si="23"/>
        <v/>
      </c>
      <c r="CX77" s="2" t="str">
        <f t="shared" si="24"/>
        <v/>
      </c>
      <c r="CY77" s="2"/>
      <c r="CZ77" s="2"/>
      <c r="DA77" s="2"/>
      <c r="DB77" s="2"/>
      <c r="DC77" s="8"/>
    </row>
    <row r="78" spans="89:107">
      <c r="CK78" s="24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2" t="str">
        <f t="shared" si="22"/>
        <v/>
      </c>
      <c r="CW78" s="2" t="str">
        <f t="shared" si="23"/>
        <v/>
      </c>
      <c r="CX78" s="2" t="str">
        <f t="shared" si="24"/>
        <v/>
      </c>
      <c r="CY78" s="2"/>
      <c r="CZ78" s="2"/>
      <c r="DA78" s="2"/>
      <c r="DB78" s="2"/>
      <c r="DC78" s="8"/>
    </row>
    <row r="79" spans="89:107">
      <c r="CK79" s="24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2" t="str">
        <f t="shared" si="22"/>
        <v/>
      </c>
      <c r="CW79" s="2" t="str">
        <f t="shared" si="23"/>
        <v/>
      </c>
      <c r="CX79" s="2" t="str">
        <f t="shared" si="24"/>
        <v/>
      </c>
      <c r="CY79" s="2"/>
      <c r="CZ79" s="2"/>
      <c r="DA79" s="2"/>
      <c r="DB79" s="2"/>
      <c r="DC79" s="8"/>
    </row>
    <row r="80" spans="89:107">
      <c r="CK80" s="24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2" t="str">
        <f t="shared" si="22"/>
        <v/>
      </c>
      <c r="CW80" s="2" t="str">
        <f t="shared" si="23"/>
        <v/>
      </c>
      <c r="CX80" s="2" t="str">
        <f t="shared" si="24"/>
        <v/>
      </c>
      <c r="CY80" s="2"/>
      <c r="CZ80" s="2"/>
      <c r="DA80" s="2"/>
      <c r="DB80" s="2"/>
      <c r="DC80" s="8"/>
    </row>
    <row r="81" spans="89:107">
      <c r="CK81" s="24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2" t="str">
        <f t="shared" si="22"/>
        <v/>
      </c>
      <c r="CW81" s="2" t="str">
        <f t="shared" si="23"/>
        <v/>
      </c>
      <c r="CX81" s="2" t="str">
        <f t="shared" si="24"/>
        <v/>
      </c>
      <c r="CY81" s="2"/>
      <c r="CZ81" s="2"/>
      <c r="DA81" s="2"/>
      <c r="DB81" s="2"/>
      <c r="DC81" s="8"/>
    </row>
    <row r="82" spans="89:107">
      <c r="CK82" s="24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2" t="str">
        <f t="shared" si="22"/>
        <v/>
      </c>
      <c r="CW82" s="2" t="str">
        <f t="shared" si="23"/>
        <v/>
      </c>
      <c r="CX82" s="2" t="str">
        <f t="shared" si="24"/>
        <v/>
      </c>
      <c r="CY82" s="2"/>
      <c r="CZ82" s="2"/>
      <c r="DA82" s="2"/>
      <c r="DB82" s="2"/>
      <c r="DC82" s="8"/>
    </row>
    <row r="83" spans="89:107">
      <c r="CK83" s="24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2" t="str">
        <f t="shared" si="22"/>
        <v/>
      </c>
      <c r="CW83" s="2" t="str">
        <f t="shared" si="23"/>
        <v/>
      </c>
      <c r="CX83" s="2" t="str">
        <f t="shared" si="24"/>
        <v/>
      </c>
      <c r="CY83" s="2"/>
      <c r="CZ83" s="2"/>
      <c r="DA83" s="2"/>
      <c r="DB83" s="2"/>
      <c r="DC83" s="8"/>
    </row>
    <row r="84" spans="89:107">
      <c r="CK84" s="24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2" t="str">
        <f t="shared" si="22"/>
        <v/>
      </c>
      <c r="CW84" s="2" t="str">
        <f t="shared" si="23"/>
        <v/>
      </c>
      <c r="CX84" s="2" t="str">
        <f t="shared" si="24"/>
        <v/>
      </c>
      <c r="CY84" s="2"/>
      <c r="CZ84" s="2"/>
      <c r="DA84" s="2"/>
      <c r="DB84" s="2"/>
      <c r="DC84" s="8"/>
    </row>
    <row r="85" spans="89:107">
      <c r="CK85" s="24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2" t="str">
        <f t="shared" si="22"/>
        <v/>
      </c>
      <c r="CW85" s="2" t="str">
        <f t="shared" si="23"/>
        <v/>
      </c>
      <c r="CX85" s="2" t="str">
        <f t="shared" si="24"/>
        <v/>
      </c>
      <c r="CY85" s="2"/>
      <c r="CZ85" s="2"/>
      <c r="DA85" s="2"/>
      <c r="DB85" s="2"/>
      <c r="DC85" s="8"/>
    </row>
    <row r="86" spans="89:107">
      <c r="CK86" s="24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2" t="str">
        <f t="shared" si="22"/>
        <v/>
      </c>
      <c r="CW86" s="2" t="str">
        <f t="shared" si="23"/>
        <v/>
      </c>
      <c r="CX86" s="2" t="str">
        <f t="shared" si="24"/>
        <v/>
      </c>
      <c r="CY86" s="2"/>
      <c r="CZ86" s="2"/>
      <c r="DA86" s="2"/>
      <c r="DB86" s="2"/>
      <c r="DC86" s="8"/>
    </row>
    <row r="87" spans="89:107">
      <c r="CK87" s="24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2" t="str">
        <f t="shared" si="22"/>
        <v/>
      </c>
      <c r="CW87" s="2" t="str">
        <f t="shared" si="23"/>
        <v/>
      </c>
      <c r="CX87" s="2" t="str">
        <f t="shared" si="24"/>
        <v/>
      </c>
      <c r="CY87" s="2"/>
      <c r="CZ87" s="2"/>
      <c r="DA87" s="2"/>
      <c r="DB87" s="2"/>
      <c r="DC87" s="8"/>
    </row>
    <row r="88" spans="89:107">
      <c r="CK88" s="24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2" t="str">
        <f t="shared" si="22"/>
        <v/>
      </c>
      <c r="CW88" s="2" t="str">
        <f t="shared" si="23"/>
        <v/>
      </c>
      <c r="CX88" s="2" t="str">
        <f t="shared" si="24"/>
        <v/>
      </c>
      <c r="CY88" s="2"/>
      <c r="CZ88" s="2"/>
      <c r="DA88" s="2"/>
      <c r="DB88" s="2"/>
      <c r="DC88" s="8"/>
    </row>
    <row r="89" spans="89:107">
      <c r="CK89" s="24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2" t="str">
        <f t="shared" si="22"/>
        <v/>
      </c>
      <c r="CW89" s="2" t="str">
        <f t="shared" si="23"/>
        <v/>
      </c>
      <c r="CX89" s="2" t="str">
        <f t="shared" si="24"/>
        <v/>
      </c>
      <c r="CY89" s="2"/>
      <c r="CZ89" s="2"/>
      <c r="DA89" s="2"/>
      <c r="DB89" s="2"/>
      <c r="DC89" s="8"/>
    </row>
    <row r="90" spans="89:107">
      <c r="CK90" s="24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2" t="str">
        <f t="shared" si="22"/>
        <v/>
      </c>
      <c r="CW90" s="2" t="str">
        <f t="shared" si="23"/>
        <v/>
      </c>
      <c r="CX90" s="2" t="str">
        <f t="shared" si="24"/>
        <v/>
      </c>
      <c r="CY90" s="2"/>
      <c r="CZ90" s="2"/>
      <c r="DA90" s="2"/>
      <c r="DB90" s="2"/>
      <c r="DC90" s="8"/>
    </row>
    <row r="91" spans="89:107">
      <c r="CK91" s="24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2" t="str">
        <f t="shared" si="22"/>
        <v/>
      </c>
      <c r="CW91" s="2" t="str">
        <f t="shared" si="23"/>
        <v/>
      </c>
      <c r="CX91" s="2" t="str">
        <f t="shared" si="24"/>
        <v/>
      </c>
      <c r="CY91" s="2"/>
      <c r="CZ91" s="2"/>
      <c r="DA91" s="2"/>
      <c r="DB91" s="2"/>
      <c r="DC91" s="8"/>
    </row>
    <row r="92" spans="89:107">
      <c r="CK92" s="24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2" t="str">
        <f t="shared" si="22"/>
        <v/>
      </c>
      <c r="CW92" s="2" t="str">
        <f t="shared" si="23"/>
        <v/>
      </c>
      <c r="CX92" s="2" t="str">
        <f t="shared" si="24"/>
        <v/>
      </c>
      <c r="CY92" s="2"/>
      <c r="CZ92" s="2"/>
      <c r="DA92" s="2"/>
      <c r="DB92" s="2"/>
      <c r="DC92" s="8"/>
    </row>
    <row r="93" spans="89:107">
      <c r="CK93" s="24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2" t="str">
        <f t="shared" si="22"/>
        <v/>
      </c>
      <c r="CW93" s="2" t="str">
        <f t="shared" si="23"/>
        <v/>
      </c>
      <c r="CX93" s="2" t="str">
        <f t="shared" si="24"/>
        <v/>
      </c>
      <c r="CY93" s="2"/>
      <c r="CZ93" s="2"/>
      <c r="DA93" s="2"/>
      <c r="DB93" s="2"/>
      <c r="DC93" s="8"/>
    </row>
    <row r="94" spans="89:107">
      <c r="CK94" s="24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2" t="str">
        <f t="shared" si="22"/>
        <v/>
      </c>
      <c r="CW94" s="2" t="str">
        <f t="shared" si="23"/>
        <v/>
      </c>
      <c r="CX94" s="2" t="str">
        <f t="shared" si="24"/>
        <v/>
      </c>
      <c r="CY94" s="2"/>
      <c r="CZ94" s="2"/>
      <c r="DA94" s="2"/>
      <c r="DB94" s="2"/>
      <c r="DC94" s="8"/>
    </row>
    <row r="95" spans="89:107">
      <c r="CK95" s="24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2" t="str">
        <f t="shared" si="22"/>
        <v/>
      </c>
      <c r="CW95" s="2" t="str">
        <f t="shared" si="23"/>
        <v/>
      </c>
      <c r="CX95" s="2" t="str">
        <f t="shared" si="24"/>
        <v/>
      </c>
      <c r="CY95" s="2"/>
      <c r="CZ95" s="2"/>
      <c r="DA95" s="2"/>
      <c r="DB95" s="2"/>
      <c r="DC95" s="8"/>
    </row>
    <row r="96" spans="89:107">
      <c r="CK96" s="24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2" t="str">
        <f t="shared" si="22"/>
        <v/>
      </c>
      <c r="CW96" s="2" t="str">
        <f t="shared" si="23"/>
        <v/>
      </c>
      <c r="CX96" s="2" t="str">
        <f t="shared" si="24"/>
        <v/>
      </c>
      <c r="CY96" s="2"/>
      <c r="CZ96" s="2"/>
      <c r="DA96" s="2"/>
      <c r="DB96" s="2"/>
      <c r="DC96" s="8"/>
    </row>
    <row r="97" spans="89:107">
      <c r="CK97" s="24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2" t="str">
        <f t="shared" si="22"/>
        <v/>
      </c>
      <c r="CW97" s="2" t="str">
        <f t="shared" si="23"/>
        <v/>
      </c>
      <c r="CX97" s="2" t="str">
        <f t="shared" si="24"/>
        <v/>
      </c>
      <c r="CY97" s="2"/>
      <c r="CZ97" s="2"/>
      <c r="DA97" s="2"/>
      <c r="DB97" s="2"/>
      <c r="DC97" s="8"/>
    </row>
    <row r="98" spans="89:107">
      <c r="CK98" s="24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2" t="str">
        <f t="shared" ref="CV98:CV129" si="25">IF(ISERROR(CW98-FIXED(CW98,0)),"",CW98-FIXED(CW98,0))</f>
        <v/>
      </c>
      <c r="CW98" s="2" t="str">
        <f t="shared" ref="CW98:CW129" si="26">IF(ISERROR(CY98/CX98),"",CY98/CX98)</f>
        <v/>
      </c>
      <c r="CX98" s="2" t="str">
        <f t="shared" ref="CX98:CX129" si="27">IF(ISERROR(VLOOKUP(DB98,$CS$2:$CT$5,2)),"",VLOOKUP(DB98,$CS$2:$CT$5,2))</f>
        <v/>
      </c>
      <c r="CY98" s="2"/>
      <c r="CZ98" s="2"/>
      <c r="DA98" s="2"/>
      <c r="DB98" s="2"/>
      <c r="DC98" s="8"/>
    </row>
    <row r="99" spans="89:107">
      <c r="CK99" s="24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2" t="str">
        <f t="shared" si="25"/>
        <v/>
      </c>
      <c r="CW99" s="2" t="str">
        <f t="shared" si="26"/>
        <v/>
      </c>
      <c r="CX99" s="2" t="str">
        <f t="shared" si="27"/>
        <v/>
      </c>
      <c r="CY99" s="2"/>
      <c r="CZ99" s="2"/>
      <c r="DA99" s="2"/>
      <c r="DB99" s="2"/>
      <c r="DC99" s="8"/>
    </row>
    <row r="100" spans="89:107">
      <c r="CK100" s="24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2" t="str">
        <f t="shared" si="25"/>
        <v/>
      </c>
      <c r="CW100" s="2" t="str">
        <f t="shared" si="26"/>
        <v/>
      </c>
      <c r="CX100" s="2" t="str">
        <f t="shared" si="27"/>
        <v/>
      </c>
      <c r="CY100" s="2"/>
      <c r="CZ100" s="2"/>
      <c r="DA100" s="2"/>
      <c r="DB100" s="2"/>
      <c r="DC100" s="8"/>
    </row>
    <row r="101" spans="89:107">
      <c r="CK101" s="24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2" t="str">
        <f t="shared" si="25"/>
        <v/>
      </c>
      <c r="CW101" s="2" t="str">
        <f t="shared" si="26"/>
        <v/>
      </c>
      <c r="CX101" s="2" t="str">
        <f t="shared" si="27"/>
        <v/>
      </c>
      <c r="CY101" s="2"/>
      <c r="CZ101" s="2"/>
      <c r="DA101" s="2"/>
      <c r="DB101" s="2"/>
      <c r="DC101" s="8"/>
    </row>
    <row r="102" spans="89:107">
      <c r="CK102" s="24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2" t="str">
        <f t="shared" si="25"/>
        <v/>
      </c>
      <c r="CW102" s="2" t="str">
        <f t="shared" si="26"/>
        <v/>
      </c>
      <c r="CX102" s="2" t="str">
        <f t="shared" si="27"/>
        <v/>
      </c>
      <c r="CY102" s="2"/>
      <c r="CZ102" s="2"/>
      <c r="DA102" s="2"/>
      <c r="DB102" s="2"/>
      <c r="DC102" s="8"/>
    </row>
    <row r="103" spans="89:107">
      <c r="CK103" s="24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2" t="str">
        <f t="shared" si="25"/>
        <v/>
      </c>
      <c r="CW103" s="2" t="str">
        <f t="shared" si="26"/>
        <v/>
      </c>
      <c r="CX103" s="2" t="str">
        <f t="shared" si="27"/>
        <v/>
      </c>
      <c r="CY103" s="2"/>
      <c r="CZ103" s="2"/>
      <c r="DA103" s="2"/>
      <c r="DB103" s="2"/>
      <c r="DC103" s="8"/>
    </row>
    <row r="104" spans="89:107">
      <c r="CK104" s="24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2" t="str">
        <f t="shared" si="25"/>
        <v/>
      </c>
      <c r="CW104" s="2" t="str">
        <f t="shared" si="26"/>
        <v/>
      </c>
      <c r="CX104" s="2" t="str">
        <f t="shared" si="27"/>
        <v/>
      </c>
      <c r="CY104" s="2"/>
      <c r="CZ104" s="2"/>
      <c r="DA104" s="2"/>
      <c r="DB104" s="2"/>
      <c r="DC104" s="8"/>
    </row>
    <row r="105" spans="89:107">
      <c r="CK105" s="24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2" t="str">
        <f t="shared" si="25"/>
        <v/>
      </c>
      <c r="CW105" s="2" t="str">
        <f t="shared" si="26"/>
        <v/>
      </c>
      <c r="CX105" s="2" t="str">
        <f t="shared" si="27"/>
        <v/>
      </c>
      <c r="CY105" s="2"/>
      <c r="CZ105" s="2"/>
      <c r="DA105" s="2"/>
      <c r="DB105" s="2"/>
      <c r="DC105" s="8"/>
    </row>
    <row r="106" spans="89:107">
      <c r="CK106" s="24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2" t="str">
        <f t="shared" si="25"/>
        <v/>
      </c>
      <c r="CW106" s="2" t="str">
        <f t="shared" si="26"/>
        <v/>
      </c>
      <c r="CX106" s="2" t="str">
        <f t="shared" si="27"/>
        <v/>
      </c>
      <c r="CY106" s="2"/>
      <c r="CZ106" s="2"/>
      <c r="DA106" s="2"/>
      <c r="DB106" s="2"/>
      <c r="DC106" s="8"/>
    </row>
    <row r="107" spans="89:107">
      <c r="CK107" s="24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2" t="str">
        <f t="shared" si="25"/>
        <v/>
      </c>
      <c r="CW107" s="2" t="str">
        <f t="shared" si="26"/>
        <v/>
      </c>
      <c r="CX107" s="2" t="str">
        <f t="shared" si="27"/>
        <v/>
      </c>
      <c r="CY107" s="2"/>
      <c r="CZ107" s="2"/>
      <c r="DA107" s="2"/>
      <c r="DB107" s="2"/>
      <c r="DC107" s="8"/>
    </row>
    <row r="108" spans="89:107">
      <c r="CK108" s="24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2" t="str">
        <f t="shared" si="25"/>
        <v/>
      </c>
      <c r="CW108" s="2" t="str">
        <f t="shared" si="26"/>
        <v/>
      </c>
      <c r="CX108" s="2" t="str">
        <f t="shared" si="27"/>
        <v/>
      </c>
      <c r="CY108" s="2"/>
      <c r="CZ108" s="2"/>
      <c r="DA108" s="2"/>
      <c r="DB108" s="2"/>
      <c r="DC108" s="8"/>
    </row>
    <row r="109" spans="89:107">
      <c r="CK109" s="24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2" t="str">
        <f t="shared" si="25"/>
        <v/>
      </c>
      <c r="CW109" s="2" t="str">
        <f t="shared" si="26"/>
        <v/>
      </c>
      <c r="CX109" s="2" t="str">
        <f t="shared" si="27"/>
        <v/>
      </c>
      <c r="CY109" s="2"/>
      <c r="CZ109" s="2"/>
      <c r="DA109" s="2"/>
      <c r="DB109" s="2"/>
      <c r="DC109" s="8"/>
    </row>
    <row r="110" spans="89:107">
      <c r="CK110" s="24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2" t="str">
        <f t="shared" si="25"/>
        <v/>
      </c>
      <c r="CW110" s="2" t="str">
        <f t="shared" si="26"/>
        <v/>
      </c>
      <c r="CX110" s="2" t="str">
        <f t="shared" si="27"/>
        <v/>
      </c>
      <c r="CY110" s="2"/>
      <c r="CZ110" s="2"/>
      <c r="DA110" s="2"/>
      <c r="DB110" s="2"/>
      <c r="DC110" s="8"/>
    </row>
    <row r="111" spans="89:107">
      <c r="CK111" s="24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2" t="str">
        <f t="shared" si="25"/>
        <v/>
      </c>
      <c r="CW111" s="2" t="str">
        <f t="shared" si="26"/>
        <v/>
      </c>
      <c r="CX111" s="2" t="str">
        <f t="shared" si="27"/>
        <v/>
      </c>
      <c r="CY111" s="2"/>
      <c r="CZ111" s="2"/>
      <c r="DA111" s="2"/>
      <c r="DB111" s="2"/>
      <c r="DC111" s="8"/>
    </row>
    <row r="112" spans="89:107">
      <c r="CK112" s="24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2" t="str">
        <f t="shared" si="25"/>
        <v/>
      </c>
      <c r="CW112" s="2" t="str">
        <f t="shared" si="26"/>
        <v/>
      </c>
      <c r="CX112" s="2" t="str">
        <f t="shared" si="27"/>
        <v/>
      </c>
      <c r="CY112" s="2"/>
      <c r="CZ112" s="2"/>
      <c r="DA112" s="2"/>
      <c r="DB112" s="2"/>
      <c r="DC112" s="8"/>
    </row>
    <row r="113" spans="89:107">
      <c r="CK113" s="24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2" t="str">
        <f t="shared" si="25"/>
        <v/>
      </c>
      <c r="CW113" s="2" t="str">
        <f t="shared" si="26"/>
        <v/>
      </c>
      <c r="CX113" s="2" t="str">
        <f t="shared" si="27"/>
        <v/>
      </c>
      <c r="CY113" s="2"/>
      <c r="CZ113" s="2"/>
      <c r="DA113" s="2"/>
      <c r="DB113" s="2"/>
      <c r="DC113" s="8"/>
    </row>
    <row r="114" spans="89:107">
      <c r="CK114" s="24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2" t="str">
        <f t="shared" si="25"/>
        <v/>
      </c>
      <c r="CW114" s="2" t="str">
        <f t="shared" si="26"/>
        <v/>
      </c>
      <c r="CX114" s="2" t="str">
        <f t="shared" si="27"/>
        <v/>
      </c>
      <c r="CY114" s="2"/>
      <c r="CZ114" s="2"/>
      <c r="DA114" s="2"/>
      <c r="DB114" s="2"/>
      <c r="DC114" s="8"/>
    </row>
    <row r="115" spans="89:107">
      <c r="CK115" s="24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2" t="str">
        <f t="shared" si="25"/>
        <v/>
      </c>
      <c r="CW115" s="2" t="str">
        <f t="shared" si="26"/>
        <v/>
      </c>
      <c r="CX115" s="2" t="str">
        <f t="shared" si="27"/>
        <v/>
      </c>
      <c r="CY115" s="2"/>
      <c r="CZ115" s="2"/>
      <c r="DA115" s="2"/>
      <c r="DB115" s="2"/>
      <c r="DC115" s="8"/>
    </row>
    <row r="116" spans="89:107">
      <c r="CK116" s="24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2" t="str">
        <f t="shared" si="25"/>
        <v/>
      </c>
      <c r="CW116" s="2" t="str">
        <f t="shared" si="26"/>
        <v/>
      </c>
      <c r="CX116" s="2" t="str">
        <f t="shared" si="27"/>
        <v/>
      </c>
      <c r="CY116" s="2"/>
      <c r="CZ116" s="2"/>
      <c r="DA116" s="2"/>
      <c r="DB116" s="2"/>
      <c r="DC116" s="8"/>
    </row>
    <row r="117" spans="89:107">
      <c r="CK117" s="24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2" t="str">
        <f t="shared" si="25"/>
        <v/>
      </c>
      <c r="CW117" s="2" t="str">
        <f t="shared" si="26"/>
        <v/>
      </c>
      <c r="CX117" s="2" t="str">
        <f t="shared" si="27"/>
        <v/>
      </c>
      <c r="CY117" s="2"/>
      <c r="CZ117" s="2"/>
      <c r="DA117" s="2"/>
      <c r="DB117" s="2"/>
      <c r="DC117" s="8"/>
    </row>
    <row r="118" spans="89:107">
      <c r="CK118" s="24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2" t="str">
        <f t="shared" si="25"/>
        <v/>
      </c>
      <c r="CW118" s="2" t="str">
        <f t="shared" si="26"/>
        <v/>
      </c>
      <c r="CX118" s="2" t="str">
        <f t="shared" si="27"/>
        <v/>
      </c>
      <c r="CY118" s="2"/>
      <c r="CZ118" s="2"/>
      <c r="DA118" s="2"/>
      <c r="DB118" s="2"/>
      <c r="DC118" s="8"/>
    </row>
    <row r="119" spans="89:107">
      <c r="CK119" s="24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2" t="str">
        <f t="shared" si="25"/>
        <v/>
      </c>
      <c r="CW119" s="2" t="str">
        <f t="shared" si="26"/>
        <v/>
      </c>
      <c r="CX119" s="2" t="str">
        <f t="shared" si="27"/>
        <v/>
      </c>
      <c r="CY119" s="2"/>
      <c r="CZ119" s="2"/>
      <c r="DA119" s="2"/>
      <c r="DB119" s="2"/>
      <c r="DC119" s="8"/>
    </row>
    <row r="120" spans="89:107">
      <c r="CK120" s="24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2" t="str">
        <f t="shared" si="25"/>
        <v/>
      </c>
      <c r="CW120" s="2" t="str">
        <f t="shared" si="26"/>
        <v/>
      </c>
      <c r="CX120" s="2" t="str">
        <f t="shared" si="27"/>
        <v/>
      </c>
      <c r="CY120" s="2"/>
      <c r="CZ120" s="2"/>
      <c r="DA120" s="2"/>
      <c r="DB120" s="2"/>
      <c r="DC120" s="8"/>
    </row>
    <row r="121" spans="89:107">
      <c r="CK121" s="24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2" t="str">
        <f t="shared" si="25"/>
        <v/>
      </c>
      <c r="CW121" s="2" t="str">
        <f t="shared" si="26"/>
        <v/>
      </c>
      <c r="CX121" s="2" t="str">
        <f t="shared" si="27"/>
        <v/>
      </c>
      <c r="CY121" s="2"/>
      <c r="CZ121" s="2"/>
      <c r="DA121" s="2"/>
      <c r="DB121" s="2"/>
      <c r="DC121" s="8"/>
    </row>
    <row r="122" spans="89:107">
      <c r="CK122" s="24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2" t="str">
        <f t="shared" si="25"/>
        <v/>
      </c>
      <c r="CW122" s="2" t="str">
        <f t="shared" si="26"/>
        <v/>
      </c>
      <c r="CX122" s="2" t="str">
        <f t="shared" si="27"/>
        <v/>
      </c>
      <c r="CY122" s="2"/>
      <c r="CZ122" s="2"/>
      <c r="DA122" s="2"/>
      <c r="DB122" s="2"/>
      <c r="DC122" s="8"/>
    </row>
    <row r="123" spans="89:107">
      <c r="CK123" s="24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2" t="str">
        <f t="shared" si="25"/>
        <v/>
      </c>
      <c r="CW123" s="2" t="str">
        <f t="shared" si="26"/>
        <v/>
      </c>
      <c r="CX123" s="2" t="str">
        <f t="shared" si="27"/>
        <v/>
      </c>
      <c r="CY123" s="2"/>
      <c r="CZ123" s="2"/>
      <c r="DA123" s="2"/>
      <c r="DB123" s="2"/>
      <c r="DC123" s="8"/>
    </row>
    <row r="124" spans="89:107">
      <c r="CK124" s="24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2" t="str">
        <f t="shared" si="25"/>
        <v/>
      </c>
      <c r="CW124" s="2" t="str">
        <f t="shared" si="26"/>
        <v/>
      </c>
      <c r="CX124" s="2" t="str">
        <f t="shared" si="27"/>
        <v/>
      </c>
      <c r="CY124" s="2"/>
      <c r="CZ124" s="2"/>
      <c r="DA124" s="2"/>
      <c r="DB124" s="2"/>
      <c r="DC124" s="8"/>
    </row>
    <row r="125" spans="89:107">
      <c r="CK125" s="24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2" t="str">
        <f t="shared" si="25"/>
        <v/>
      </c>
      <c r="CW125" s="2" t="str">
        <f t="shared" si="26"/>
        <v/>
      </c>
      <c r="CX125" s="2" t="str">
        <f t="shared" si="27"/>
        <v/>
      </c>
      <c r="CY125" s="2"/>
      <c r="CZ125" s="2"/>
      <c r="DA125" s="2"/>
      <c r="DB125" s="2"/>
      <c r="DC125" s="8"/>
    </row>
    <row r="126" spans="89:107">
      <c r="CK126" s="24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2" t="str">
        <f t="shared" si="25"/>
        <v/>
      </c>
      <c r="CW126" s="2" t="str">
        <f t="shared" si="26"/>
        <v/>
      </c>
      <c r="CX126" s="2" t="str">
        <f t="shared" si="27"/>
        <v/>
      </c>
      <c r="CY126" s="2"/>
      <c r="CZ126" s="2"/>
      <c r="DA126" s="2"/>
      <c r="DB126" s="2"/>
      <c r="DC126" s="8"/>
    </row>
    <row r="127" spans="89:107">
      <c r="CK127" s="24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2" t="str">
        <f t="shared" si="25"/>
        <v/>
      </c>
      <c r="CW127" s="2" t="str">
        <f t="shared" si="26"/>
        <v/>
      </c>
      <c r="CX127" s="2" t="str">
        <f t="shared" si="27"/>
        <v/>
      </c>
      <c r="CY127" s="2"/>
      <c r="CZ127" s="2"/>
      <c r="DA127" s="2"/>
      <c r="DB127" s="2"/>
      <c r="DC127" s="8"/>
    </row>
    <row r="128" spans="89:107">
      <c r="CK128" s="24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2" t="str">
        <f t="shared" si="25"/>
        <v/>
      </c>
      <c r="CW128" s="2" t="str">
        <f t="shared" si="26"/>
        <v/>
      </c>
      <c r="CX128" s="2" t="str">
        <f t="shared" si="27"/>
        <v/>
      </c>
      <c r="CY128" s="2"/>
      <c r="CZ128" s="2"/>
      <c r="DA128" s="2"/>
      <c r="DB128" s="2"/>
      <c r="DC128" s="8"/>
    </row>
    <row r="129" spans="89:107">
      <c r="CK129" s="24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2" t="str">
        <f t="shared" si="25"/>
        <v/>
      </c>
      <c r="CW129" s="2" t="str">
        <f t="shared" si="26"/>
        <v/>
      </c>
      <c r="CX129" s="2" t="str">
        <f t="shared" si="27"/>
        <v/>
      </c>
      <c r="CY129" s="2"/>
      <c r="CZ129" s="2"/>
      <c r="DA129" s="2"/>
      <c r="DB129" s="2"/>
      <c r="DC129" s="8"/>
    </row>
    <row r="130" spans="89:107">
      <c r="CK130" s="24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2" t="str">
        <f t="shared" ref="CV130:CV151" si="28">IF(ISERROR(CW130-FIXED(CW130,0)),"",CW130-FIXED(CW130,0))</f>
        <v/>
      </c>
      <c r="CW130" s="2" t="str">
        <f t="shared" ref="CW130:CW151" si="29">IF(ISERROR(CY130/CX130),"",CY130/CX130)</f>
        <v/>
      </c>
      <c r="CX130" s="2" t="str">
        <f t="shared" ref="CX130:CX151" si="30">IF(ISERROR(VLOOKUP(DB130,$CS$2:$CT$5,2)),"",VLOOKUP(DB130,$CS$2:$CT$5,2))</f>
        <v/>
      </c>
      <c r="CY130" s="2"/>
      <c r="CZ130" s="2"/>
      <c r="DA130" s="2"/>
      <c r="DB130" s="2"/>
      <c r="DC130" s="8"/>
    </row>
    <row r="131" spans="89:107">
      <c r="CK131" s="24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2" t="str">
        <f t="shared" si="28"/>
        <v/>
      </c>
      <c r="CW131" s="2" t="str">
        <f t="shared" si="29"/>
        <v/>
      </c>
      <c r="CX131" s="2" t="str">
        <f t="shared" si="30"/>
        <v/>
      </c>
      <c r="CY131" s="2"/>
      <c r="CZ131" s="2"/>
      <c r="DA131" s="2"/>
      <c r="DB131" s="2"/>
      <c r="DC131" s="8"/>
    </row>
    <row r="132" spans="89:107">
      <c r="CK132" s="24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2" t="str">
        <f t="shared" si="28"/>
        <v/>
      </c>
      <c r="CW132" s="2" t="str">
        <f t="shared" si="29"/>
        <v/>
      </c>
      <c r="CX132" s="2" t="str">
        <f t="shared" si="30"/>
        <v/>
      </c>
      <c r="CY132" s="2"/>
      <c r="CZ132" s="2"/>
      <c r="DA132" s="2"/>
      <c r="DB132" s="2"/>
      <c r="DC132" s="8"/>
    </row>
    <row r="133" spans="89:107">
      <c r="CK133" s="24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2" t="str">
        <f t="shared" si="28"/>
        <v/>
      </c>
      <c r="CW133" s="2" t="str">
        <f t="shared" si="29"/>
        <v/>
      </c>
      <c r="CX133" s="2" t="str">
        <f t="shared" si="30"/>
        <v/>
      </c>
      <c r="CY133" s="2"/>
      <c r="CZ133" s="2"/>
      <c r="DA133" s="2"/>
      <c r="DB133" s="2"/>
      <c r="DC133" s="8"/>
    </row>
    <row r="134" spans="89:107">
      <c r="CK134" s="24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2" t="str">
        <f t="shared" si="28"/>
        <v/>
      </c>
      <c r="CW134" s="2" t="str">
        <f t="shared" si="29"/>
        <v/>
      </c>
      <c r="CX134" s="2" t="str">
        <f t="shared" si="30"/>
        <v/>
      </c>
      <c r="CY134" s="2"/>
      <c r="CZ134" s="2"/>
      <c r="DA134" s="2"/>
      <c r="DB134" s="2"/>
      <c r="DC134" s="8"/>
    </row>
    <row r="135" spans="89:107">
      <c r="CK135" s="24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2" t="str">
        <f t="shared" si="28"/>
        <v/>
      </c>
      <c r="CW135" s="2" t="str">
        <f t="shared" si="29"/>
        <v/>
      </c>
      <c r="CX135" s="2" t="str">
        <f t="shared" si="30"/>
        <v/>
      </c>
      <c r="CY135" s="2"/>
      <c r="CZ135" s="2"/>
      <c r="DA135" s="2"/>
      <c r="DB135" s="2"/>
      <c r="DC135" s="8"/>
    </row>
    <row r="136" spans="89:107">
      <c r="CK136" s="24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2" t="str">
        <f t="shared" si="28"/>
        <v/>
      </c>
      <c r="CW136" s="2" t="str">
        <f t="shared" si="29"/>
        <v/>
      </c>
      <c r="CX136" s="2" t="str">
        <f t="shared" si="30"/>
        <v/>
      </c>
      <c r="CY136" s="2"/>
      <c r="CZ136" s="2"/>
      <c r="DA136" s="2"/>
      <c r="DB136" s="2"/>
      <c r="DC136" s="8"/>
    </row>
    <row r="137" spans="89:107">
      <c r="CK137" s="24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2" t="str">
        <f t="shared" si="28"/>
        <v/>
      </c>
      <c r="CW137" s="2" t="str">
        <f t="shared" si="29"/>
        <v/>
      </c>
      <c r="CX137" s="2" t="str">
        <f t="shared" si="30"/>
        <v/>
      </c>
      <c r="CY137" s="2"/>
      <c r="CZ137" s="2"/>
      <c r="DA137" s="2"/>
      <c r="DB137" s="2"/>
      <c r="DC137" s="8"/>
    </row>
    <row r="138" spans="89:107">
      <c r="CK138" s="24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2" t="str">
        <f t="shared" si="28"/>
        <v/>
      </c>
      <c r="CW138" s="2" t="str">
        <f t="shared" si="29"/>
        <v/>
      </c>
      <c r="CX138" s="2" t="str">
        <f t="shared" si="30"/>
        <v/>
      </c>
      <c r="CY138" s="2"/>
      <c r="CZ138" s="2"/>
      <c r="DA138" s="2"/>
      <c r="DB138" s="2"/>
      <c r="DC138" s="8"/>
    </row>
    <row r="139" spans="89:107">
      <c r="CK139" s="24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2" t="str">
        <f t="shared" si="28"/>
        <v/>
      </c>
      <c r="CW139" s="2" t="str">
        <f t="shared" si="29"/>
        <v/>
      </c>
      <c r="CX139" s="2" t="str">
        <f t="shared" si="30"/>
        <v/>
      </c>
      <c r="CY139" s="2"/>
      <c r="CZ139" s="2"/>
      <c r="DA139" s="2"/>
      <c r="DB139" s="2"/>
      <c r="DC139" s="8"/>
    </row>
    <row r="140" spans="89:107">
      <c r="CK140" s="24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2" t="str">
        <f t="shared" si="28"/>
        <v/>
      </c>
      <c r="CW140" s="2" t="str">
        <f t="shared" si="29"/>
        <v/>
      </c>
      <c r="CX140" s="2" t="str">
        <f t="shared" si="30"/>
        <v/>
      </c>
      <c r="CY140" s="2"/>
      <c r="CZ140" s="2"/>
      <c r="DA140" s="2"/>
      <c r="DB140" s="2"/>
      <c r="DC140" s="8"/>
    </row>
    <row r="141" spans="89:107">
      <c r="CK141" s="24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2" t="str">
        <f t="shared" si="28"/>
        <v/>
      </c>
      <c r="CW141" s="2" t="str">
        <f t="shared" si="29"/>
        <v/>
      </c>
      <c r="CX141" s="2" t="str">
        <f t="shared" si="30"/>
        <v/>
      </c>
      <c r="CY141" s="2"/>
      <c r="CZ141" s="2"/>
      <c r="DA141" s="2"/>
      <c r="DB141" s="2"/>
      <c r="DC141" s="8"/>
    </row>
    <row r="142" spans="89:107">
      <c r="CK142" s="24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2" t="str">
        <f t="shared" si="28"/>
        <v/>
      </c>
      <c r="CW142" s="2" t="str">
        <f t="shared" si="29"/>
        <v/>
      </c>
      <c r="CX142" s="2" t="str">
        <f t="shared" si="30"/>
        <v/>
      </c>
      <c r="CY142" s="2"/>
      <c r="CZ142" s="2"/>
      <c r="DA142" s="2"/>
      <c r="DB142" s="2"/>
      <c r="DC142" s="8"/>
    </row>
    <row r="143" spans="89:107">
      <c r="CK143" s="24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2" t="str">
        <f t="shared" si="28"/>
        <v/>
      </c>
      <c r="CW143" s="2" t="str">
        <f t="shared" si="29"/>
        <v/>
      </c>
      <c r="CX143" s="2" t="str">
        <f t="shared" si="30"/>
        <v/>
      </c>
      <c r="CY143" s="2"/>
      <c r="CZ143" s="2"/>
      <c r="DA143" s="2"/>
      <c r="DB143" s="2"/>
      <c r="DC143" s="8"/>
    </row>
    <row r="144" spans="89:107">
      <c r="CK144" s="24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2" t="str">
        <f t="shared" si="28"/>
        <v/>
      </c>
      <c r="CW144" s="2" t="str">
        <f t="shared" si="29"/>
        <v/>
      </c>
      <c r="CX144" s="2" t="str">
        <f t="shared" si="30"/>
        <v/>
      </c>
      <c r="CY144" s="2"/>
      <c r="CZ144" s="2"/>
      <c r="DA144" s="2"/>
      <c r="DB144" s="2"/>
      <c r="DC144" s="8"/>
    </row>
    <row r="145" spans="89:107">
      <c r="CK145" s="24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2" t="str">
        <f t="shared" si="28"/>
        <v/>
      </c>
      <c r="CW145" s="2" t="str">
        <f t="shared" si="29"/>
        <v/>
      </c>
      <c r="CX145" s="2" t="str">
        <f t="shared" si="30"/>
        <v/>
      </c>
      <c r="CY145" s="2"/>
      <c r="CZ145" s="2"/>
      <c r="DA145" s="2"/>
      <c r="DB145" s="2"/>
      <c r="DC145" s="8"/>
    </row>
    <row r="146" spans="89:107">
      <c r="CK146" s="24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2" t="str">
        <f t="shared" si="28"/>
        <v/>
      </c>
      <c r="CW146" s="2" t="str">
        <f t="shared" si="29"/>
        <v/>
      </c>
      <c r="CX146" s="2" t="str">
        <f t="shared" si="30"/>
        <v/>
      </c>
      <c r="CY146" s="2"/>
      <c r="CZ146" s="2"/>
      <c r="DA146" s="2"/>
      <c r="DB146" s="2"/>
      <c r="DC146" s="8"/>
    </row>
    <row r="147" spans="89:107">
      <c r="CK147" s="24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2" t="str">
        <f t="shared" si="28"/>
        <v/>
      </c>
      <c r="CW147" s="2" t="str">
        <f t="shared" si="29"/>
        <v/>
      </c>
      <c r="CX147" s="2" t="str">
        <f t="shared" si="30"/>
        <v/>
      </c>
      <c r="CY147" s="2"/>
      <c r="CZ147" s="2"/>
      <c r="DA147" s="2"/>
      <c r="DB147" s="2"/>
      <c r="DC147" s="8"/>
    </row>
    <row r="148" spans="89:107">
      <c r="CK148" s="24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2" t="str">
        <f t="shared" si="28"/>
        <v/>
      </c>
      <c r="CW148" s="2" t="str">
        <f t="shared" si="29"/>
        <v/>
      </c>
      <c r="CX148" s="2" t="str">
        <f t="shared" si="30"/>
        <v/>
      </c>
      <c r="CY148" s="2"/>
      <c r="CZ148" s="2"/>
      <c r="DA148" s="2"/>
      <c r="DB148" s="2"/>
      <c r="DC148" s="8"/>
    </row>
    <row r="149" spans="89:107">
      <c r="CK149" s="24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2" t="str">
        <f t="shared" si="28"/>
        <v/>
      </c>
      <c r="CW149" s="2" t="str">
        <f t="shared" si="29"/>
        <v/>
      </c>
      <c r="CX149" s="2" t="str">
        <f t="shared" si="30"/>
        <v/>
      </c>
      <c r="CY149" s="2"/>
      <c r="CZ149" s="2"/>
      <c r="DA149" s="2"/>
      <c r="DB149" s="2"/>
      <c r="DC149" s="8"/>
    </row>
    <row r="150" spans="89:107" ht="15" thickBot="1">
      <c r="CK150" s="26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10" t="str">
        <f t="shared" si="28"/>
        <v/>
      </c>
      <c r="CW150" s="10" t="str">
        <f t="shared" si="29"/>
        <v/>
      </c>
      <c r="CX150" s="10" t="str">
        <f t="shared" si="30"/>
        <v/>
      </c>
      <c r="CY150" s="10"/>
      <c r="CZ150" s="10"/>
      <c r="DA150" s="10"/>
      <c r="DB150" s="10"/>
      <c r="DC150" s="11"/>
    </row>
    <row r="151" spans="89:107">
      <c r="CV151" t="str">
        <f t="shared" si="28"/>
        <v/>
      </c>
      <c r="CW151" t="str">
        <f t="shared" si="29"/>
        <v/>
      </c>
      <c r="CX151" t="str">
        <f t="shared" si="30"/>
        <v/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15"/>
  <sheetViews>
    <sheetView topLeftCell="A22" workbookViewId="0">
      <selection activeCell="AA12" sqref="AA12"/>
    </sheetView>
  </sheetViews>
  <sheetFormatPr defaultRowHeight="14.25"/>
  <cols>
    <col min="1" max="1" width="17.25" bestFit="1" customWidth="1"/>
    <col min="2" max="2" width="27.25" bestFit="1" customWidth="1"/>
    <col min="4" max="4" width="4.125" bestFit="1" customWidth="1"/>
    <col min="5" max="5" width="59.375" bestFit="1" customWidth="1"/>
    <col min="6" max="10" width="8" customWidth="1"/>
    <col min="11" max="11" width="3.125" bestFit="1" customWidth="1"/>
    <col min="12" max="12" width="43.875" bestFit="1" customWidth="1"/>
    <col min="13" max="13" width="4.875" bestFit="1" customWidth="1"/>
    <col min="14" max="14" width="30.75" bestFit="1" customWidth="1"/>
    <col min="15" max="15" width="3.625" bestFit="1" customWidth="1"/>
    <col min="16" max="19" width="8" customWidth="1"/>
    <col min="20" max="20" width="4.375" bestFit="1" customWidth="1"/>
    <col min="21" max="21" width="18" bestFit="1" customWidth="1"/>
    <col min="22" max="22" width="16.75" customWidth="1"/>
    <col min="23" max="23" width="3.375" bestFit="1" customWidth="1"/>
    <col min="24" max="24" width="9.5" bestFit="1" customWidth="1"/>
    <col min="25" max="25" width="8" customWidth="1"/>
    <col min="26" max="26" width="2.5" bestFit="1" customWidth="1"/>
    <col min="27" max="27" width="28.875" bestFit="1" customWidth="1"/>
    <col min="28" max="30" width="8" customWidth="1"/>
  </cols>
  <sheetData>
    <row r="1" spans="4:27">
      <c r="D1" s="44" t="s">
        <v>169</v>
      </c>
      <c r="E1" s="6" t="s">
        <v>170</v>
      </c>
      <c r="K1" s="44" t="s">
        <v>171</v>
      </c>
      <c r="L1" s="6" t="s">
        <v>172</v>
      </c>
      <c r="O1" s="116" t="s">
        <v>173</v>
      </c>
      <c r="Q1" s="32"/>
      <c r="R1" s="32"/>
      <c r="T1" s="44" t="s">
        <v>174</v>
      </c>
      <c r="U1" s="119" t="s">
        <v>175</v>
      </c>
      <c r="V1" s="32"/>
      <c r="W1" s="122" t="s">
        <v>173</v>
      </c>
      <c r="X1" s="6" t="s">
        <v>176</v>
      </c>
      <c r="Z1" s="122" t="s">
        <v>171</v>
      </c>
      <c r="AA1" s="119" t="s">
        <v>177</v>
      </c>
    </row>
    <row r="2" spans="4:27">
      <c r="D2" s="7" t="s">
        <v>178</v>
      </c>
      <c r="E2" s="8" t="s">
        <v>179</v>
      </c>
      <c r="K2" s="7" t="s">
        <v>180</v>
      </c>
      <c r="L2" s="8" t="s">
        <v>181</v>
      </c>
      <c r="O2" s="117" t="s">
        <v>169</v>
      </c>
      <c r="Q2" s="32"/>
      <c r="R2" s="32"/>
      <c r="S2" s="32"/>
      <c r="T2" s="7" t="s">
        <v>182</v>
      </c>
      <c r="U2" s="114" t="s">
        <v>183</v>
      </c>
      <c r="V2" s="32"/>
      <c r="W2" s="123" t="s">
        <v>169</v>
      </c>
      <c r="X2" s="8" t="s">
        <v>184</v>
      </c>
      <c r="Z2" s="123" t="s">
        <v>185</v>
      </c>
      <c r="AA2" s="114" t="s">
        <v>186</v>
      </c>
    </row>
    <row r="3" spans="4:27">
      <c r="D3" s="7" t="s">
        <v>187</v>
      </c>
      <c r="E3" s="8" t="s">
        <v>188</v>
      </c>
      <c r="K3" s="7" t="s">
        <v>189</v>
      </c>
      <c r="L3" s="8" t="s">
        <v>190</v>
      </c>
      <c r="O3" s="117" t="s">
        <v>191</v>
      </c>
      <c r="Q3" s="32"/>
      <c r="R3" s="32"/>
      <c r="S3" s="32"/>
      <c r="T3" s="7" t="s">
        <v>192</v>
      </c>
      <c r="U3" s="114" t="s">
        <v>193</v>
      </c>
      <c r="V3" s="32"/>
      <c r="W3" s="123" t="s">
        <v>191</v>
      </c>
      <c r="X3" s="8" t="s">
        <v>194</v>
      </c>
      <c r="Z3" s="123" t="s">
        <v>195</v>
      </c>
      <c r="AA3" s="114" t="s">
        <v>196</v>
      </c>
    </row>
    <row r="4" spans="4:27">
      <c r="D4" s="7" t="s">
        <v>197</v>
      </c>
      <c r="E4" s="8" t="s">
        <v>198</v>
      </c>
      <c r="K4" s="7" t="s">
        <v>195</v>
      </c>
      <c r="L4" s="8" t="s">
        <v>199</v>
      </c>
      <c r="O4" s="117" t="s">
        <v>200</v>
      </c>
      <c r="Q4" s="32"/>
      <c r="R4" s="32"/>
      <c r="S4" s="32"/>
      <c r="T4" s="7" t="s">
        <v>201</v>
      </c>
      <c r="U4" s="114" t="s">
        <v>202</v>
      </c>
      <c r="V4" s="32"/>
      <c r="W4" s="123" t="s">
        <v>200</v>
      </c>
      <c r="X4" s="8" t="s">
        <v>203</v>
      </c>
      <c r="Z4" s="123" t="s">
        <v>180</v>
      </c>
      <c r="AA4" s="114" t="s">
        <v>204</v>
      </c>
    </row>
    <row r="5" spans="4:27">
      <c r="D5" s="7" t="s">
        <v>205</v>
      </c>
      <c r="E5" s="8" t="s">
        <v>206</v>
      </c>
      <c r="K5" s="7" t="s">
        <v>207</v>
      </c>
      <c r="L5" s="8" t="s">
        <v>208</v>
      </c>
      <c r="O5" s="117" t="s">
        <v>209</v>
      </c>
      <c r="S5" s="32"/>
      <c r="T5" s="7" t="s">
        <v>210</v>
      </c>
      <c r="U5" s="114" t="s">
        <v>211</v>
      </c>
      <c r="V5" s="32"/>
      <c r="W5" s="123" t="s">
        <v>209</v>
      </c>
      <c r="X5" s="8" t="s">
        <v>212</v>
      </c>
      <c r="Z5" s="123" t="s">
        <v>213</v>
      </c>
      <c r="AA5" s="114" t="s">
        <v>214</v>
      </c>
    </row>
    <row r="6" spans="4:27">
      <c r="D6" s="7" t="s">
        <v>215</v>
      </c>
      <c r="E6" s="8" t="s">
        <v>216</v>
      </c>
      <c r="K6" s="7" t="s">
        <v>217</v>
      </c>
      <c r="L6" s="8" t="s">
        <v>218</v>
      </c>
      <c r="O6" s="117" t="s">
        <v>219</v>
      </c>
      <c r="S6" s="32"/>
      <c r="T6" s="7" t="s">
        <v>220</v>
      </c>
      <c r="U6" s="114" t="s">
        <v>221</v>
      </c>
      <c r="V6" s="32"/>
      <c r="W6" s="123" t="s">
        <v>219</v>
      </c>
      <c r="X6" s="8" t="s">
        <v>222</v>
      </c>
      <c r="Z6" s="123" t="s">
        <v>223</v>
      </c>
      <c r="AA6" s="114" t="s">
        <v>224</v>
      </c>
    </row>
    <row r="7" spans="4:27">
      <c r="D7" s="7" t="s">
        <v>225</v>
      </c>
      <c r="E7" s="8" t="s">
        <v>226</v>
      </c>
      <c r="K7" s="7" t="s">
        <v>185</v>
      </c>
      <c r="L7" s="8" t="s">
        <v>227</v>
      </c>
      <c r="O7" s="117" t="s">
        <v>228</v>
      </c>
      <c r="S7" s="32"/>
      <c r="T7" s="7" t="s">
        <v>229</v>
      </c>
      <c r="U7" s="114" t="s">
        <v>230</v>
      </c>
      <c r="V7" s="32"/>
      <c r="W7" s="123" t="s">
        <v>228</v>
      </c>
      <c r="X7" s="8" t="s">
        <v>231</v>
      </c>
      <c r="Z7" s="123" t="s">
        <v>232</v>
      </c>
      <c r="AA7" s="114" t="s">
        <v>233</v>
      </c>
    </row>
    <row r="8" spans="4:27">
      <c r="D8" s="7" t="s">
        <v>200</v>
      </c>
      <c r="E8" s="8" t="s">
        <v>234</v>
      </c>
      <c r="K8" s="7" t="s">
        <v>235</v>
      </c>
      <c r="L8" s="8" t="s">
        <v>236</v>
      </c>
      <c r="O8" s="117" t="s">
        <v>237</v>
      </c>
      <c r="S8" s="32"/>
      <c r="T8" s="7" t="s">
        <v>238</v>
      </c>
      <c r="U8" s="114" t="s">
        <v>239</v>
      </c>
      <c r="V8" s="32"/>
      <c r="W8" s="123" t="s">
        <v>237</v>
      </c>
      <c r="X8" s="8" t="s">
        <v>240</v>
      </c>
      <c r="Z8" s="123" t="s">
        <v>241</v>
      </c>
      <c r="AA8" s="114" t="s">
        <v>242</v>
      </c>
    </row>
    <row r="9" spans="4:27" ht="15" thickBot="1">
      <c r="D9" s="7" t="s">
        <v>243</v>
      </c>
      <c r="E9" s="8" t="s">
        <v>244</v>
      </c>
      <c r="K9" s="7" t="s">
        <v>245</v>
      </c>
      <c r="L9" s="8" t="s">
        <v>246</v>
      </c>
      <c r="O9" s="117" t="s">
        <v>247</v>
      </c>
      <c r="S9" s="32"/>
      <c r="T9" s="7" t="s">
        <v>248</v>
      </c>
      <c r="U9" s="114" t="s">
        <v>249</v>
      </c>
      <c r="V9" s="32"/>
      <c r="W9" s="123" t="s">
        <v>247</v>
      </c>
      <c r="X9" s="8" t="s">
        <v>250</v>
      </c>
      <c r="Z9" s="120" t="s">
        <v>251</v>
      </c>
      <c r="AA9" s="121" t="s">
        <v>252</v>
      </c>
    </row>
    <row r="10" spans="4:27">
      <c r="D10" s="7" t="s">
        <v>253</v>
      </c>
      <c r="E10" s="8" t="s">
        <v>254</v>
      </c>
      <c r="K10" s="7" t="s">
        <v>255</v>
      </c>
      <c r="L10" s="8" t="s">
        <v>256</v>
      </c>
      <c r="O10" s="117" t="s">
        <v>257</v>
      </c>
      <c r="S10" s="32"/>
      <c r="T10" s="7" t="s">
        <v>258</v>
      </c>
      <c r="U10" s="114" t="s">
        <v>175</v>
      </c>
      <c r="V10" s="32"/>
      <c r="W10" s="123" t="s">
        <v>257</v>
      </c>
      <c r="X10" s="8" t="s">
        <v>259</v>
      </c>
    </row>
    <row r="11" spans="4:27">
      <c r="D11" s="7" t="s">
        <v>260</v>
      </c>
      <c r="E11" s="8" t="s">
        <v>261</v>
      </c>
      <c r="K11" s="7" t="s">
        <v>251</v>
      </c>
      <c r="L11" s="8" t="s">
        <v>262</v>
      </c>
      <c r="O11" s="117" t="s">
        <v>263</v>
      </c>
      <c r="T11" s="7" t="s">
        <v>264</v>
      </c>
      <c r="U11" s="8" t="s">
        <v>265</v>
      </c>
      <c r="W11" s="123" t="s">
        <v>263</v>
      </c>
      <c r="X11" s="8" t="s">
        <v>266</v>
      </c>
    </row>
    <row r="12" spans="4:27">
      <c r="D12" s="7" t="s">
        <v>267</v>
      </c>
      <c r="E12" s="8" t="s">
        <v>268</v>
      </c>
      <c r="K12" s="7" t="s">
        <v>269</v>
      </c>
      <c r="L12" s="8" t="s">
        <v>270</v>
      </c>
      <c r="O12" s="117" t="s">
        <v>260</v>
      </c>
      <c r="Q12" s="32"/>
      <c r="T12" s="7" t="s">
        <v>271</v>
      </c>
      <c r="U12" s="8" t="s">
        <v>272</v>
      </c>
      <c r="W12" s="123" t="s">
        <v>260</v>
      </c>
      <c r="X12" s="8" t="s">
        <v>273</v>
      </c>
    </row>
    <row r="13" spans="4:27">
      <c r="D13" s="7" t="s">
        <v>274</v>
      </c>
      <c r="E13" s="8" t="s">
        <v>275</v>
      </c>
      <c r="K13" s="7" t="s">
        <v>276</v>
      </c>
      <c r="L13" s="8" t="s">
        <v>277</v>
      </c>
      <c r="O13" s="117" t="s">
        <v>278</v>
      </c>
      <c r="Q13" s="35"/>
      <c r="T13" s="7" t="s">
        <v>279</v>
      </c>
      <c r="U13" s="8" t="s">
        <v>280</v>
      </c>
      <c r="W13" s="123" t="s">
        <v>278</v>
      </c>
      <c r="X13" s="8" t="s">
        <v>281</v>
      </c>
    </row>
    <row r="14" spans="4:27">
      <c r="D14" s="7" t="s">
        <v>282</v>
      </c>
      <c r="E14" s="8" t="s">
        <v>283</v>
      </c>
      <c r="K14" s="7" t="s">
        <v>284</v>
      </c>
      <c r="L14" s="8" t="s">
        <v>285</v>
      </c>
      <c r="O14" s="117" t="s">
        <v>286</v>
      </c>
      <c r="T14" s="7" t="s">
        <v>287</v>
      </c>
      <c r="U14" s="114" t="s">
        <v>288</v>
      </c>
      <c r="V14" s="32"/>
      <c r="W14" s="123" t="s">
        <v>286</v>
      </c>
      <c r="X14" s="8" t="s">
        <v>289</v>
      </c>
    </row>
    <row r="15" spans="4:27">
      <c r="D15" s="7" t="s">
        <v>290</v>
      </c>
      <c r="E15" s="8" t="s">
        <v>291</v>
      </c>
      <c r="K15" s="7" t="s">
        <v>213</v>
      </c>
      <c r="L15" s="8" t="s">
        <v>292</v>
      </c>
      <c r="O15" s="117" t="s">
        <v>293</v>
      </c>
      <c r="T15" s="7" t="s">
        <v>294</v>
      </c>
      <c r="U15" s="114" t="s">
        <v>295</v>
      </c>
      <c r="V15" s="32"/>
      <c r="W15" s="123" t="s">
        <v>293</v>
      </c>
      <c r="X15" s="8" t="s">
        <v>296</v>
      </c>
    </row>
    <row r="16" spans="4:27" ht="15" thickBot="1">
      <c r="D16" s="7" t="s">
        <v>297</v>
      </c>
      <c r="E16" s="8" t="s">
        <v>298</v>
      </c>
      <c r="K16" s="7" t="s">
        <v>299</v>
      </c>
      <c r="L16" s="8" t="s">
        <v>300</v>
      </c>
      <c r="O16" s="118" t="s">
        <v>301</v>
      </c>
      <c r="T16" s="7" t="s">
        <v>302</v>
      </c>
      <c r="U16" s="114" t="s">
        <v>303</v>
      </c>
      <c r="V16" s="32"/>
      <c r="W16" s="120" t="s">
        <v>301</v>
      </c>
      <c r="X16" s="11" t="s">
        <v>304</v>
      </c>
    </row>
    <row r="17" spans="4:22">
      <c r="D17" s="7" t="s">
        <v>305</v>
      </c>
      <c r="E17" s="8" t="s">
        <v>306</v>
      </c>
      <c r="K17" s="7" t="s">
        <v>223</v>
      </c>
      <c r="L17" s="8" t="s">
        <v>307</v>
      </c>
      <c r="T17" s="7" t="s">
        <v>308</v>
      </c>
      <c r="U17" s="114" t="s">
        <v>309</v>
      </c>
      <c r="V17" s="32"/>
    </row>
    <row r="18" spans="4:22">
      <c r="D18" s="7" t="s">
        <v>310</v>
      </c>
      <c r="E18" s="8" t="s">
        <v>311</v>
      </c>
      <c r="K18" s="7" t="s">
        <v>312</v>
      </c>
      <c r="L18" s="8" t="s">
        <v>313</v>
      </c>
      <c r="T18" s="7" t="s">
        <v>314</v>
      </c>
      <c r="U18" s="114" t="s">
        <v>288</v>
      </c>
      <c r="V18" s="32"/>
    </row>
    <row r="19" spans="4:22">
      <c r="D19" s="7" t="s">
        <v>315</v>
      </c>
      <c r="E19" s="8" t="s">
        <v>316</v>
      </c>
      <c r="K19" s="7" t="s">
        <v>317</v>
      </c>
      <c r="L19" s="8" t="s">
        <v>318</v>
      </c>
      <c r="T19" s="7" t="s">
        <v>319</v>
      </c>
      <c r="U19" s="114" t="s">
        <v>295</v>
      </c>
      <c r="V19" s="32"/>
    </row>
    <row r="20" spans="4:22">
      <c r="D20" s="7" t="s">
        <v>320</v>
      </c>
      <c r="E20" s="8" t="s">
        <v>321</v>
      </c>
      <c r="K20" s="7" t="s">
        <v>322</v>
      </c>
      <c r="L20" s="8" t="s">
        <v>323</v>
      </c>
      <c r="T20" s="7" t="s">
        <v>324</v>
      </c>
      <c r="U20" s="114" t="s">
        <v>303</v>
      </c>
      <c r="V20" s="32"/>
    </row>
    <row r="21" spans="4:22">
      <c r="D21" s="7" t="s">
        <v>325</v>
      </c>
      <c r="E21" s="8" t="s">
        <v>326</v>
      </c>
      <c r="K21" s="7" t="s">
        <v>327</v>
      </c>
      <c r="L21" s="8" t="s">
        <v>328</v>
      </c>
      <c r="T21" s="7" t="s">
        <v>329</v>
      </c>
      <c r="U21" s="114" t="s">
        <v>309</v>
      </c>
      <c r="V21" s="32"/>
    </row>
    <row r="22" spans="4:22">
      <c r="D22" s="7" t="s">
        <v>330</v>
      </c>
      <c r="E22" s="8" t="s">
        <v>331</v>
      </c>
      <c r="K22" s="7" t="s">
        <v>232</v>
      </c>
      <c r="L22" s="8" t="s">
        <v>332</v>
      </c>
      <c r="T22" s="7" t="s">
        <v>333</v>
      </c>
      <c r="U22" s="114" t="s">
        <v>288</v>
      </c>
      <c r="V22" s="32"/>
    </row>
    <row r="23" spans="4:22">
      <c r="D23" s="7" t="s">
        <v>334</v>
      </c>
      <c r="E23" s="8" t="s">
        <v>335</v>
      </c>
      <c r="K23" s="7" t="s">
        <v>336</v>
      </c>
      <c r="L23" s="8" t="s">
        <v>337</v>
      </c>
      <c r="T23" s="7" t="s">
        <v>338</v>
      </c>
      <c r="U23" s="114" t="s">
        <v>295</v>
      </c>
      <c r="V23" s="32"/>
    </row>
    <row r="24" spans="4:22">
      <c r="D24" s="7" t="s">
        <v>339</v>
      </c>
      <c r="E24" s="8" t="s">
        <v>340</v>
      </c>
      <c r="K24" s="7" t="s">
        <v>341</v>
      </c>
      <c r="L24" s="8" t="s">
        <v>342</v>
      </c>
      <c r="T24" s="7" t="s">
        <v>343</v>
      </c>
      <c r="U24" s="114" t="s">
        <v>303</v>
      </c>
      <c r="V24" s="32"/>
    </row>
    <row r="25" spans="4:22">
      <c r="D25" s="7" t="s">
        <v>344</v>
      </c>
      <c r="E25" s="8" t="s">
        <v>345</v>
      </c>
      <c r="K25" s="7" t="s">
        <v>241</v>
      </c>
      <c r="L25" s="8" t="s">
        <v>346</v>
      </c>
      <c r="T25" s="7" t="s">
        <v>347</v>
      </c>
      <c r="U25" s="114" t="s">
        <v>309</v>
      </c>
      <c r="V25" s="32"/>
    </row>
    <row r="26" spans="4:22">
      <c r="D26" s="7" t="s">
        <v>348</v>
      </c>
      <c r="E26" s="8" t="s">
        <v>349</v>
      </c>
      <c r="K26" s="7" t="s">
        <v>350</v>
      </c>
      <c r="L26" s="8" t="s">
        <v>351</v>
      </c>
      <c r="T26" s="7" t="s">
        <v>352</v>
      </c>
      <c r="U26" s="114" t="s">
        <v>288</v>
      </c>
      <c r="V26" s="32"/>
    </row>
    <row r="27" spans="4:22">
      <c r="D27" s="7" t="s">
        <v>219</v>
      </c>
      <c r="E27" s="8" t="s">
        <v>353</v>
      </c>
      <c r="K27" s="7" t="s">
        <v>354</v>
      </c>
      <c r="L27" s="8" t="s">
        <v>355</v>
      </c>
      <c r="T27" s="7" t="s">
        <v>356</v>
      </c>
      <c r="U27" s="114" t="s">
        <v>295</v>
      </c>
      <c r="V27" s="32"/>
    </row>
    <row r="28" spans="4:22">
      <c r="D28" s="7" t="s">
        <v>357</v>
      </c>
      <c r="E28" s="8" t="s">
        <v>358</v>
      </c>
      <c r="K28" s="7" t="s">
        <v>359</v>
      </c>
      <c r="L28" s="8" t="s">
        <v>360</v>
      </c>
      <c r="T28" s="7" t="s">
        <v>361</v>
      </c>
      <c r="U28" s="114" t="s">
        <v>303</v>
      </c>
      <c r="V28" s="32"/>
    </row>
    <row r="29" spans="4:22">
      <c r="D29" s="7" t="s">
        <v>362</v>
      </c>
      <c r="E29" s="8" t="s">
        <v>363</v>
      </c>
      <c r="K29" s="113">
        <v>9</v>
      </c>
      <c r="L29" s="114" t="s">
        <v>364</v>
      </c>
      <c r="T29" s="7" t="s">
        <v>365</v>
      </c>
      <c r="U29" s="114" t="s">
        <v>309</v>
      </c>
      <c r="V29" s="32"/>
    </row>
    <row r="30" spans="4:22">
      <c r="D30" s="7" t="s">
        <v>366</v>
      </c>
      <c r="E30" s="8" t="s">
        <v>367</v>
      </c>
      <c r="K30" s="113">
        <v>1</v>
      </c>
      <c r="L30" s="8" t="s">
        <v>368</v>
      </c>
      <c r="T30" s="7" t="s">
        <v>369</v>
      </c>
      <c r="U30" s="114" t="s">
        <v>288</v>
      </c>
      <c r="V30" s="32"/>
    </row>
    <row r="31" spans="4:22">
      <c r="D31" s="7" t="s">
        <v>370</v>
      </c>
      <c r="E31" s="8" t="s">
        <v>371</v>
      </c>
      <c r="K31" s="113">
        <v>4</v>
      </c>
      <c r="L31" s="8" t="s">
        <v>372</v>
      </c>
      <c r="T31" s="7" t="s">
        <v>373</v>
      </c>
      <c r="U31" s="114" t="s">
        <v>295</v>
      </c>
      <c r="V31" s="32"/>
    </row>
    <row r="32" spans="4:22">
      <c r="D32" s="7" t="s">
        <v>374</v>
      </c>
      <c r="E32" s="8" t="s">
        <v>375</v>
      </c>
      <c r="K32" s="113">
        <v>5</v>
      </c>
      <c r="L32" s="8" t="s">
        <v>376</v>
      </c>
      <c r="T32" s="7" t="s">
        <v>377</v>
      </c>
      <c r="U32" s="114" t="s">
        <v>303</v>
      </c>
      <c r="V32" s="32"/>
    </row>
    <row r="33" spans="1:22" ht="15" thickBot="1">
      <c r="D33" s="7" t="s">
        <v>378</v>
      </c>
      <c r="E33" s="8" t="s">
        <v>379</v>
      </c>
      <c r="K33" s="115">
        <v>6</v>
      </c>
      <c r="L33" s="11" t="s">
        <v>380</v>
      </c>
      <c r="T33" s="7" t="s">
        <v>381</v>
      </c>
      <c r="U33" s="114" t="s">
        <v>309</v>
      </c>
      <c r="V33" s="32"/>
    </row>
    <row r="34" spans="1:22">
      <c r="D34" s="7" t="s">
        <v>382</v>
      </c>
      <c r="E34" s="8" t="s">
        <v>383</v>
      </c>
      <c r="T34" s="7" t="s">
        <v>384</v>
      </c>
      <c r="U34" s="114" t="s">
        <v>288</v>
      </c>
      <c r="V34" s="32"/>
    </row>
    <row r="35" spans="1:22">
      <c r="D35" s="7" t="s">
        <v>385</v>
      </c>
      <c r="E35" s="8" t="s">
        <v>386</v>
      </c>
      <c r="T35" s="7" t="s">
        <v>387</v>
      </c>
      <c r="U35" s="114" t="s">
        <v>295</v>
      </c>
      <c r="V35" s="32"/>
    </row>
    <row r="36" spans="1:22">
      <c r="D36" s="7" t="s">
        <v>388</v>
      </c>
      <c r="E36" s="8" t="s">
        <v>389</v>
      </c>
      <c r="K36" s="32"/>
      <c r="L36" s="32"/>
      <c r="N36" s="32"/>
      <c r="O36" s="32"/>
      <c r="T36" s="7" t="s">
        <v>390</v>
      </c>
      <c r="U36" s="114" t="s">
        <v>303</v>
      </c>
      <c r="V36" s="32"/>
    </row>
    <row r="37" spans="1:22">
      <c r="D37" s="7" t="s">
        <v>391</v>
      </c>
      <c r="E37" s="8" t="s">
        <v>392</v>
      </c>
      <c r="K37" s="32"/>
      <c r="L37" s="32"/>
      <c r="N37" s="32"/>
      <c r="O37" s="32"/>
      <c r="T37" s="7" t="s">
        <v>393</v>
      </c>
      <c r="U37" s="114" t="s">
        <v>309</v>
      </c>
      <c r="V37" s="32"/>
    </row>
    <row r="38" spans="1:22">
      <c r="D38" s="7" t="s">
        <v>394</v>
      </c>
      <c r="E38" s="8" t="s">
        <v>395</v>
      </c>
      <c r="K38" s="32"/>
      <c r="L38" s="32"/>
      <c r="N38" s="32"/>
      <c r="O38" s="32"/>
      <c r="T38" s="7" t="s">
        <v>396</v>
      </c>
      <c r="U38" s="114" t="s">
        <v>175</v>
      </c>
      <c r="V38" s="32"/>
    </row>
    <row r="39" spans="1:22">
      <c r="D39" s="7" t="s">
        <v>397</v>
      </c>
      <c r="E39" s="8" t="s">
        <v>398</v>
      </c>
      <c r="K39" s="32"/>
      <c r="L39" s="32"/>
      <c r="N39" s="32"/>
      <c r="O39" s="32"/>
      <c r="T39" s="7" t="s">
        <v>399</v>
      </c>
      <c r="U39" s="8" t="s">
        <v>265</v>
      </c>
    </row>
    <row r="40" spans="1:22">
      <c r="D40" s="7" t="s">
        <v>400</v>
      </c>
      <c r="E40" s="8" t="s">
        <v>401</v>
      </c>
      <c r="T40" s="7" t="s">
        <v>402</v>
      </c>
      <c r="U40" s="114" t="s">
        <v>303</v>
      </c>
      <c r="V40" s="32"/>
    </row>
    <row r="41" spans="1:22" ht="15" thickBot="1">
      <c r="D41" s="7" t="s">
        <v>228</v>
      </c>
      <c r="E41" s="8" t="s">
        <v>403</v>
      </c>
      <c r="J41" s="37"/>
      <c r="K41" s="37"/>
      <c r="L41" s="37"/>
      <c r="M41" s="37"/>
      <c r="N41" s="37"/>
      <c r="O41" s="37"/>
      <c r="P41" s="37"/>
      <c r="Q41" s="37"/>
      <c r="T41" s="7" t="s">
        <v>404</v>
      </c>
      <c r="U41" s="114" t="s">
        <v>309</v>
      </c>
      <c r="V41" s="32"/>
    </row>
    <row r="42" spans="1:22">
      <c r="D42" s="7" t="s">
        <v>405</v>
      </c>
      <c r="E42" s="8" t="s">
        <v>406</v>
      </c>
      <c r="J42" s="37"/>
      <c r="K42" s="44" t="str">
        <f t="shared" ref="K42:K47" si="0">IF(ISERROR(VALUE(titleletters5678)),"No",IF(AND(VALUE(titleletters5678)&gt;L42,VALUE(titleletters5678)&lt;M42),"Yes","No"))</f>
        <v>No</v>
      </c>
      <c r="L42" s="5">
        <v>2000</v>
      </c>
      <c r="M42" s="5">
        <v>2599</v>
      </c>
      <c r="N42" s="6" t="s">
        <v>407</v>
      </c>
      <c r="O42" s="37"/>
      <c r="P42" s="37"/>
      <c r="Q42" s="37"/>
      <c r="R42" s="37"/>
      <c r="T42" s="7" t="s">
        <v>408</v>
      </c>
      <c r="U42" s="114" t="s">
        <v>409</v>
      </c>
      <c r="V42" s="32"/>
    </row>
    <row r="43" spans="1:22">
      <c r="D43" s="7" t="s">
        <v>410</v>
      </c>
      <c r="E43" s="8" t="s">
        <v>411</v>
      </c>
      <c r="J43" s="37"/>
      <c r="K43" s="7" t="str">
        <f t="shared" si="0"/>
        <v>No</v>
      </c>
      <c r="L43" s="2">
        <v>7000</v>
      </c>
      <c r="M43" s="2">
        <v>7199</v>
      </c>
      <c r="N43" s="8" t="s">
        <v>407</v>
      </c>
      <c r="O43" s="37"/>
      <c r="P43" s="37"/>
      <c r="Q43" s="37"/>
      <c r="R43" s="37"/>
      <c r="T43" s="7" t="s">
        <v>412</v>
      </c>
      <c r="U43" s="114" t="s">
        <v>413</v>
      </c>
      <c r="V43" s="32"/>
    </row>
    <row r="44" spans="1:22">
      <c r="D44" s="7" t="s">
        <v>237</v>
      </c>
      <c r="E44" s="8" t="s">
        <v>414</v>
      </c>
      <c r="J44" s="37"/>
      <c r="K44" s="7" t="str">
        <f t="shared" si="0"/>
        <v>No</v>
      </c>
      <c r="L44" s="2">
        <v>7200</v>
      </c>
      <c r="M44" s="2">
        <v>7399</v>
      </c>
      <c r="N44" s="8" t="s">
        <v>415</v>
      </c>
      <c r="O44" s="37"/>
      <c r="P44" s="37"/>
      <c r="Q44" s="37"/>
      <c r="R44" s="37"/>
      <c r="T44" s="7" t="s">
        <v>416</v>
      </c>
      <c r="U44" s="114" t="s">
        <v>175</v>
      </c>
      <c r="V44" s="32"/>
    </row>
    <row r="45" spans="1:22">
      <c r="D45" s="7" t="s">
        <v>417</v>
      </c>
      <c r="E45" s="8" t="s">
        <v>418</v>
      </c>
      <c r="J45" s="37"/>
      <c r="K45" s="7" t="str">
        <f t="shared" si="0"/>
        <v>No</v>
      </c>
      <c r="L45" s="2">
        <v>7400</v>
      </c>
      <c r="M45" s="2">
        <v>7599</v>
      </c>
      <c r="N45" s="8" t="s">
        <v>419</v>
      </c>
      <c r="O45" s="37"/>
      <c r="P45" s="37"/>
      <c r="Q45" s="37"/>
      <c r="R45" s="37"/>
      <c r="T45" s="7" t="s">
        <v>420</v>
      </c>
      <c r="U45" s="8" t="s">
        <v>265</v>
      </c>
    </row>
    <row r="46" spans="1:22">
      <c r="A46" s="34"/>
      <c r="D46" s="7" t="s">
        <v>421</v>
      </c>
      <c r="E46" s="8" t="s">
        <v>422</v>
      </c>
      <c r="J46" s="37"/>
      <c r="K46" s="7" t="str">
        <f t="shared" si="0"/>
        <v>No</v>
      </c>
      <c r="L46" s="2">
        <v>7600</v>
      </c>
      <c r="M46" s="2">
        <v>7799</v>
      </c>
      <c r="N46" s="8" t="s">
        <v>423</v>
      </c>
      <c r="O46" s="37"/>
      <c r="P46" s="37"/>
      <c r="Q46" s="37"/>
      <c r="R46" s="37"/>
      <c r="T46" s="7" t="s">
        <v>424</v>
      </c>
      <c r="U46" s="114" t="s">
        <v>193</v>
      </c>
      <c r="V46" s="32"/>
    </row>
    <row r="47" spans="1:22" ht="15" thickBot="1">
      <c r="D47" s="7" t="s">
        <v>247</v>
      </c>
      <c r="E47" s="8" t="s">
        <v>425</v>
      </c>
      <c r="J47" s="37"/>
      <c r="K47" s="9" t="str">
        <f t="shared" si="0"/>
        <v>No</v>
      </c>
      <c r="L47" s="10">
        <v>7900</v>
      </c>
      <c r="M47" s="10">
        <v>7999</v>
      </c>
      <c r="N47" s="11" t="s">
        <v>423</v>
      </c>
      <c r="O47" s="37"/>
      <c r="P47" s="37"/>
      <c r="Q47" s="37"/>
      <c r="R47" s="37"/>
      <c r="T47" s="7" t="s">
        <v>426</v>
      </c>
      <c r="U47" s="114" t="s">
        <v>202</v>
      </c>
      <c r="V47" s="32"/>
    </row>
    <row r="48" spans="1:22">
      <c r="D48" s="7" t="s">
        <v>427</v>
      </c>
      <c r="E48" s="8" t="s">
        <v>428</v>
      </c>
      <c r="J48" s="37"/>
      <c r="K48" s="37" t="str">
        <f>IF(AND(extractions!$E$35&gt;L48,extractions!$E$35&lt;M48),"Yes","")</f>
        <v/>
      </c>
      <c r="L48" s="37"/>
      <c r="M48" s="37"/>
      <c r="N48" s="37"/>
      <c r="O48" s="37"/>
      <c r="P48" s="37"/>
      <c r="Q48" s="37"/>
      <c r="T48" s="7" t="s">
        <v>429</v>
      </c>
      <c r="U48" s="114" t="s">
        <v>430</v>
      </c>
      <c r="V48" s="32"/>
    </row>
    <row r="49" spans="4:22">
      <c r="D49" s="7" t="s">
        <v>431</v>
      </c>
      <c r="E49" s="8" t="s">
        <v>432</v>
      </c>
      <c r="T49" s="7" t="s">
        <v>433</v>
      </c>
      <c r="U49" s="114" t="s">
        <v>434</v>
      </c>
      <c r="V49" s="32"/>
    </row>
    <row r="50" spans="4:22" ht="15" thickBot="1">
      <c r="D50" s="7" t="s">
        <v>435</v>
      </c>
      <c r="E50" s="8" t="s">
        <v>436</v>
      </c>
      <c r="T50" s="120" t="s">
        <v>437</v>
      </c>
      <c r="U50" s="121" t="s">
        <v>239</v>
      </c>
      <c r="V50" s="32"/>
    </row>
    <row r="51" spans="4:22">
      <c r="D51" s="7" t="s">
        <v>438</v>
      </c>
      <c r="E51" s="8" t="s">
        <v>439</v>
      </c>
    </row>
    <row r="52" spans="4:22">
      <c r="D52" s="7" t="s">
        <v>440</v>
      </c>
      <c r="E52" s="8" t="s">
        <v>441</v>
      </c>
    </row>
    <row r="53" spans="4:22">
      <c r="D53" s="7" t="s">
        <v>442</v>
      </c>
      <c r="E53" s="8" t="s">
        <v>443</v>
      </c>
    </row>
    <row r="54" spans="4:22">
      <c r="D54" s="7" t="s">
        <v>444</v>
      </c>
      <c r="E54" s="8" t="s">
        <v>445</v>
      </c>
    </row>
    <row r="55" spans="4:22">
      <c r="D55" s="7" t="s">
        <v>446</v>
      </c>
      <c r="E55" s="8" t="s">
        <v>447</v>
      </c>
    </row>
    <row r="56" spans="4:22">
      <c r="D56" s="7" t="s">
        <v>448</v>
      </c>
      <c r="E56" s="8" t="s">
        <v>449</v>
      </c>
    </row>
    <row r="57" spans="4:22">
      <c r="D57" s="7" t="s">
        <v>450</v>
      </c>
      <c r="E57" s="8" t="s">
        <v>451</v>
      </c>
    </row>
    <row r="58" spans="4:22">
      <c r="D58" s="7" t="s">
        <v>452</v>
      </c>
      <c r="E58" s="8" t="s">
        <v>453</v>
      </c>
    </row>
    <row r="59" spans="4:22">
      <c r="D59" s="7" t="s">
        <v>454</v>
      </c>
      <c r="E59" s="8" t="s">
        <v>455</v>
      </c>
    </row>
    <row r="60" spans="4:22">
      <c r="D60" s="7" t="s">
        <v>456</v>
      </c>
      <c r="E60" s="8" t="s">
        <v>457</v>
      </c>
    </row>
    <row r="61" spans="4:22">
      <c r="D61" s="7" t="s">
        <v>458</v>
      </c>
      <c r="E61" s="8" t="s">
        <v>459</v>
      </c>
    </row>
    <row r="62" spans="4:22">
      <c r="D62" s="7" t="s">
        <v>460</v>
      </c>
      <c r="E62" s="8" t="s">
        <v>461</v>
      </c>
    </row>
    <row r="63" spans="4:22">
      <c r="D63" s="7" t="s">
        <v>462</v>
      </c>
      <c r="E63" s="8" t="s">
        <v>463</v>
      </c>
    </row>
    <row r="64" spans="4:22">
      <c r="D64" s="7" t="s">
        <v>464</v>
      </c>
      <c r="E64" s="8" t="s">
        <v>465</v>
      </c>
    </row>
    <row r="65" spans="4:5">
      <c r="D65" s="7" t="s">
        <v>466</v>
      </c>
      <c r="E65" s="8" t="s">
        <v>467</v>
      </c>
    </row>
    <row r="66" spans="4:5">
      <c r="D66" s="7" t="s">
        <v>468</v>
      </c>
      <c r="E66" s="8" t="s">
        <v>469</v>
      </c>
    </row>
    <row r="67" spans="4:5">
      <c r="D67" s="7" t="s">
        <v>470</v>
      </c>
      <c r="E67" s="8" t="s">
        <v>471</v>
      </c>
    </row>
    <row r="68" spans="4:5">
      <c r="D68" s="7" t="s">
        <v>472</v>
      </c>
      <c r="E68" s="8" t="s">
        <v>473</v>
      </c>
    </row>
    <row r="69" spans="4:5">
      <c r="D69" s="7" t="s">
        <v>474</v>
      </c>
      <c r="E69" s="8" t="s">
        <v>475</v>
      </c>
    </row>
    <row r="70" spans="4:5">
      <c r="D70" s="7" t="s">
        <v>476</v>
      </c>
      <c r="E70" s="8" t="s">
        <v>477</v>
      </c>
    </row>
    <row r="71" spans="4:5">
      <c r="D71" s="7" t="s">
        <v>478</v>
      </c>
      <c r="E71" s="8" t="s">
        <v>479</v>
      </c>
    </row>
    <row r="72" spans="4:5">
      <c r="D72" s="7" t="s">
        <v>480</v>
      </c>
      <c r="E72" s="8" t="s">
        <v>481</v>
      </c>
    </row>
    <row r="73" spans="4:5">
      <c r="D73" s="7" t="s">
        <v>482</v>
      </c>
      <c r="E73" s="8" t="s">
        <v>483</v>
      </c>
    </row>
    <row r="74" spans="4:5">
      <c r="D74" s="7" t="s">
        <v>484</v>
      </c>
      <c r="E74" s="8" t="s">
        <v>485</v>
      </c>
    </row>
    <row r="75" spans="4:5">
      <c r="D75" s="7" t="s">
        <v>486</v>
      </c>
      <c r="E75" s="8" t="s">
        <v>487</v>
      </c>
    </row>
    <row r="76" spans="4:5">
      <c r="D76" s="7" t="s">
        <v>488</v>
      </c>
      <c r="E76" s="8" t="s">
        <v>489</v>
      </c>
    </row>
    <row r="77" spans="4:5">
      <c r="D77" s="7" t="s">
        <v>490</v>
      </c>
      <c r="E77" s="8" t="s">
        <v>491</v>
      </c>
    </row>
    <row r="78" spans="4:5">
      <c r="D78" s="7" t="s">
        <v>492</v>
      </c>
      <c r="E78" s="8" t="s">
        <v>493</v>
      </c>
    </row>
    <row r="79" spans="4:5">
      <c r="D79" s="7" t="s">
        <v>494</v>
      </c>
      <c r="E79" s="8" t="s">
        <v>495</v>
      </c>
    </row>
    <row r="80" spans="4:5">
      <c r="D80" s="7" t="s">
        <v>496</v>
      </c>
      <c r="E80" s="8" t="s">
        <v>497</v>
      </c>
    </row>
    <row r="81" spans="4:5">
      <c r="D81" s="7" t="s">
        <v>498</v>
      </c>
      <c r="E81" s="8" t="s">
        <v>499</v>
      </c>
    </row>
    <row r="82" spans="4:5">
      <c r="D82" s="7" t="s">
        <v>500</v>
      </c>
      <c r="E82" s="8" t="s">
        <v>501</v>
      </c>
    </row>
    <row r="83" spans="4:5">
      <c r="D83" s="7" t="s">
        <v>502</v>
      </c>
      <c r="E83" s="8" t="s">
        <v>503</v>
      </c>
    </row>
    <row r="84" spans="4:5">
      <c r="D84" s="7" t="s">
        <v>504</v>
      </c>
      <c r="E84" s="8" t="s">
        <v>505</v>
      </c>
    </row>
    <row r="85" spans="4:5">
      <c r="D85" s="7" t="s">
        <v>506</v>
      </c>
      <c r="E85" s="8" t="s">
        <v>507</v>
      </c>
    </row>
    <row r="86" spans="4:5">
      <c r="D86" s="7" t="s">
        <v>508</v>
      </c>
      <c r="E86" s="8" t="s">
        <v>509</v>
      </c>
    </row>
    <row r="87" spans="4:5">
      <c r="D87" s="7" t="s">
        <v>510</v>
      </c>
      <c r="E87" s="8" t="s">
        <v>511</v>
      </c>
    </row>
    <row r="88" spans="4:5">
      <c r="D88" s="7" t="s">
        <v>512</v>
      </c>
      <c r="E88" s="8" t="s">
        <v>513</v>
      </c>
    </row>
    <row r="89" spans="4:5">
      <c r="D89" s="7" t="s">
        <v>514</v>
      </c>
      <c r="E89" s="8" t="s">
        <v>515</v>
      </c>
    </row>
    <row r="90" spans="4:5">
      <c r="D90" s="7" t="s">
        <v>516</v>
      </c>
      <c r="E90" s="8" t="s">
        <v>517</v>
      </c>
    </row>
    <row r="91" spans="4:5">
      <c r="D91" s="7" t="s">
        <v>518</v>
      </c>
      <c r="E91" s="8" t="s">
        <v>519</v>
      </c>
    </row>
    <row r="92" spans="4:5">
      <c r="D92" s="7" t="s">
        <v>520</v>
      </c>
      <c r="E92" s="8" t="s">
        <v>521</v>
      </c>
    </row>
    <row r="93" spans="4:5">
      <c r="D93" s="7" t="s">
        <v>522</v>
      </c>
      <c r="E93" s="8" t="s">
        <v>523</v>
      </c>
    </row>
    <row r="94" spans="4:5">
      <c r="D94" s="7" t="s">
        <v>524</v>
      </c>
      <c r="E94" s="8" t="s">
        <v>525</v>
      </c>
    </row>
    <row r="95" spans="4:5">
      <c r="D95" s="7" t="s">
        <v>526</v>
      </c>
      <c r="E95" s="8" t="s">
        <v>527</v>
      </c>
    </row>
    <row r="96" spans="4:5">
      <c r="D96" s="7" t="s">
        <v>528</v>
      </c>
      <c r="E96" s="8" t="s">
        <v>529</v>
      </c>
    </row>
    <row r="97" spans="4:5">
      <c r="D97" s="7" t="s">
        <v>530</v>
      </c>
      <c r="E97" s="8" t="s">
        <v>531</v>
      </c>
    </row>
    <row r="98" spans="4:5">
      <c r="D98" s="7" t="s">
        <v>532</v>
      </c>
      <c r="E98" s="8" t="s">
        <v>533</v>
      </c>
    </row>
    <row r="99" spans="4:5">
      <c r="D99" s="7" t="s">
        <v>534</v>
      </c>
      <c r="E99" s="8" t="s">
        <v>535</v>
      </c>
    </row>
    <row r="100" spans="4:5">
      <c r="D100" s="7" t="s">
        <v>536</v>
      </c>
      <c r="E100" s="8" t="s">
        <v>537</v>
      </c>
    </row>
    <row r="101" spans="4:5">
      <c r="D101" s="7" t="s">
        <v>538</v>
      </c>
      <c r="E101" s="8" t="s">
        <v>539</v>
      </c>
    </row>
    <row r="102" spans="4:5">
      <c r="D102" s="7" t="s">
        <v>540</v>
      </c>
      <c r="E102" s="8" t="s">
        <v>541</v>
      </c>
    </row>
    <row r="103" spans="4:5">
      <c r="D103" s="7" t="s">
        <v>542</v>
      </c>
      <c r="E103" s="8" t="s">
        <v>543</v>
      </c>
    </row>
    <row r="104" spans="4:5">
      <c r="D104" s="7" t="s">
        <v>544</v>
      </c>
      <c r="E104" s="8" t="s">
        <v>545</v>
      </c>
    </row>
    <row r="105" spans="4:5">
      <c r="D105" s="7" t="s">
        <v>546</v>
      </c>
      <c r="E105" s="8" t="s">
        <v>547</v>
      </c>
    </row>
    <row r="106" spans="4:5">
      <c r="D106" s="7" t="s">
        <v>548</v>
      </c>
      <c r="E106" s="8" t="s">
        <v>549</v>
      </c>
    </row>
    <row r="107" spans="4:5">
      <c r="D107" s="7" t="s">
        <v>550</v>
      </c>
      <c r="E107" s="8" t="s">
        <v>551</v>
      </c>
    </row>
    <row r="108" spans="4:5">
      <c r="D108" s="7" t="s">
        <v>552</v>
      </c>
      <c r="E108" s="8" t="s">
        <v>553</v>
      </c>
    </row>
    <row r="109" spans="4:5">
      <c r="D109" s="7" t="s">
        <v>554</v>
      </c>
      <c r="E109" s="8" t="s">
        <v>555</v>
      </c>
    </row>
    <row r="110" spans="4:5">
      <c r="D110" s="7" t="s">
        <v>556</v>
      </c>
      <c r="E110" s="8" t="s">
        <v>557</v>
      </c>
    </row>
    <row r="111" spans="4:5">
      <c r="D111" s="7" t="s">
        <v>558</v>
      </c>
      <c r="E111" s="8" t="s">
        <v>559</v>
      </c>
    </row>
    <row r="112" spans="4:5">
      <c r="D112" s="7" t="s">
        <v>560</v>
      </c>
      <c r="E112" s="8" t="s">
        <v>561</v>
      </c>
    </row>
    <row r="113" spans="4:5">
      <c r="D113" s="7" t="s">
        <v>562</v>
      </c>
      <c r="E113" s="8" t="s">
        <v>563</v>
      </c>
    </row>
    <row r="114" spans="4:5">
      <c r="D114" s="7" t="s">
        <v>564</v>
      </c>
      <c r="E114" s="8" t="s">
        <v>565</v>
      </c>
    </row>
    <row r="115" spans="4:5" ht="15" thickBot="1">
      <c r="D115" s="9" t="s">
        <v>566</v>
      </c>
      <c r="E115" s="11" t="s">
        <v>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7"/>
  <sheetViews>
    <sheetView workbookViewId="0">
      <selection activeCell="A2" sqref="A2:A103"/>
    </sheetView>
  </sheetViews>
  <sheetFormatPr defaultRowHeight="14.25"/>
  <cols>
    <col min="1" max="1" width="16.375" customWidth="1"/>
  </cols>
  <sheetData>
    <row r="1" spans="1:1" ht="15">
      <c r="A1" s="139" t="s">
        <v>994</v>
      </c>
    </row>
    <row r="2" spans="1:1">
      <c r="A2" s="133" t="s">
        <v>901</v>
      </c>
    </row>
    <row r="3" spans="1:1">
      <c r="A3" s="133" t="s">
        <v>902</v>
      </c>
    </row>
    <row r="4" spans="1:1">
      <c r="A4" s="133" t="s">
        <v>903</v>
      </c>
    </row>
    <row r="5" spans="1:1">
      <c r="A5" s="133" t="s">
        <v>904</v>
      </c>
    </row>
    <row r="6" spans="1:1">
      <c r="A6" s="133" t="s">
        <v>905</v>
      </c>
    </row>
    <row r="7" spans="1:1">
      <c r="A7" s="133" t="s">
        <v>906</v>
      </c>
    </row>
    <row r="8" spans="1:1">
      <c r="A8" s="133" t="s">
        <v>907</v>
      </c>
    </row>
    <row r="9" spans="1:1">
      <c r="A9" s="133" t="s">
        <v>908</v>
      </c>
    </row>
    <row r="10" spans="1:1">
      <c r="A10" s="133" t="s">
        <v>909</v>
      </c>
    </row>
    <row r="11" spans="1:1">
      <c r="A11" s="133" t="s">
        <v>910</v>
      </c>
    </row>
    <row r="12" spans="1:1">
      <c r="A12" s="133" t="s">
        <v>911</v>
      </c>
    </row>
    <row r="13" spans="1:1">
      <c r="A13" s="133" t="s">
        <v>912</v>
      </c>
    </row>
    <row r="14" spans="1:1">
      <c r="A14" s="133" t="s">
        <v>913</v>
      </c>
    </row>
    <row r="15" spans="1:1">
      <c r="A15" s="134" t="s">
        <v>914</v>
      </c>
    </row>
    <row r="16" spans="1:1">
      <c r="A16" s="134" t="s">
        <v>915</v>
      </c>
    </row>
    <row r="17" spans="1:1">
      <c r="A17" s="135" t="s">
        <v>83</v>
      </c>
    </row>
    <row r="18" spans="1:1">
      <c r="A18" s="136" t="s">
        <v>916</v>
      </c>
    </row>
    <row r="19" spans="1:1">
      <c r="A19" s="136" t="s">
        <v>917</v>
      </c>
    </row>
    <row r="20" spans="1:1">
      <c r="A20" s="136" t="s">
        <v>918</v>
      </c>
    </row>
    <row r="21" spans="1:1">
      <c r="A21" s="136" t="s">
        <v>919</v>
      </c>
    </row>
    <row r="22" spans="1:1">
      <c r="A22" s="136" t="s">
        <v>920</v>
      </c>
    </row>
    <row r="23" spans="1:1">
      <c r="A23" s="136" t="s">
        <v>921</v>
      </c>
    </row>
    <row r="24" spans="1:1">
      <c r="A24" s="135" t="s">
        <v>922</v>
      </c>
    </row>
    <row r="25" spans="1:1">
      <c r="A25" s="135" t="s">
        <v>923</v>
      </c>
    </row>
    <row r="26" spans="1:1">
      <c r="A26" s="135" t="s">
        <v>924</v>
      </c>
    </row>
    <row r="27" spans="1:1">
      <c r="A27" s="135" t="s">
        <v>925</v>
      </c>
    </row>
    <row r="28" spans="1:1">
      <c r="A28" s="137" t="s">
        <v>926</v>
      </c>
    </row>
    <row r="29" spans="1:1">
      <c r="A29" s="136" t="s">
        <v>927</v>
      </c>
    </row>
    <row r="30" spans="1:1">
      <c r="A30" s="138" t="s">
        <v>114</v>
      </c>
    </row>
    <row r="31" spans="1:1">
      <c r="A31" s="136" t="s">
        <v>928</v>
      </c>
    </row>
    <row r="32" spans="1:1">
      <c r="A32" s="136" t="s">
        <v>929</v>
      </c>
    </row>
    <row r="33" spans="1:1">
      <c r="A33" s="136" t="s">
        <v>930</v>
      </c>
    </row>
    <row r="34" spans="1:1">
      <c r="A34" s="136" t="s">
        <v>931</v>
      </c>
    </row>
    <row r="35" spans="1:1">
      <c r="A35" s="136" t="s">
        <v>932</v>
      </c>
    </row>
    <row r="36" spans="1:1">
      <c r="A36" s="136" t="s">
        <v>933</v>
      </c>
    </row>
    <row r="37" spans="1:1">
      <c r="A37" s="136" t="s">
        <v>934</v>
      </c>
    </row>
    <row r="38" spans="1:1">
      <c r="A38" s="136" t="s">
        <v>935</v>
      </c>
    </row>
    <row r="39" spans="1:1">
      <c r="A39" s="136" t="s">
        <v>936</v>
      </c>
    </row>
    <row r="40" spans="1:1">
      <c r="A40" s="136" t="s">
        <v>937</v>
      </c>
    </row>
    <row r="41" spans="1:1">
      <c r="A41" s="136" t="s">
        <v>938</v>
      </c>
    </row>
    <row r="42" spans="1:1">
      <c r="A42" s="136" t="s">
        <v>92</v>
      </c>
    </row>
    <row r="43" spans="1:1">
      <c r="A43" s="136" t="s">
        <v>939</v>
      </c>
    </row>
    <row r="44" spans="1:1" ht="28.5">
      <c r="A44" s="136" t="s">
        <v>940</v>
      </c>
    </row>
    <row r="45" spans="1:1" ht="28.5">
      <c r="A45" s="136" t="s">
        <v>941</v>
      </c>
    </row>
    <row r="46" spans="1:1">
      <c r="A46" s="136" t="s">
        <v>942</v>
      </c>
    </row>
    <row r="47" spans="1:1">
      <c r="A47" s="136" t="s">
        <v>943</v>
      </c>
    </row>
    <row r="48" spans="1:1">
      <c r="A48" s="136" t="s">
        <v>944</v>
      </c>
    </row>
    <row r="49" spans="1:1">
      <c r="A49" s="136" t="s">
        <v>945</v>
      </c>
    </row>
    <row r="50" spans="1:1">
      <c r="A50" s="136" t="s">
        <v>946</v>
      </c>
    </row>
    <row r="51" spans="1:1">
      <c r="A51" s="136" t="s">
        <v>947</v>
      </c>
    </row>
    <row r="52" spans="1:1">
      <c r="A52" s="136" t="s">
        <v>948</v>
      </c>
    </row>
    <row r="53" spans="1:1">
      <c r="A53" s="136" t="s">
        <v>949</v>
      </c>
    </row>
    <row r="54" spans="1:1">
      <c r="A54" s="136" t="s">
        <v>950</v>
      </c>
    </row>
    <row r="55" spans="1:1">
      <c r="A55" s="136" t="s">
        <v>951</v>
      </c>
    </row>
    <row r="56" spans="1:1">
      <c r="A56" s="136" t="s">
        <v>952</v>
      </c>
    </row>
    <row r="57" spans="1:1">
      <c r="A57" s="136" t="s">
        <v>953</v>
      </c>
    </row>
    <row r="58" spans="1:1">
      <c r="A58" s="136" t="s">
        <v>954</v>
      </c>
    </row>
    <row r="59" spans="1:1">
      <c r="A59" s="136" t="s">
        <v>955</v>
      </c>
    </row>
    <row r="60" spans="1:1">
      <c r="A60" s="136" t="s">
        <v>956</v>
      </c>
    </row>
    <row r="61" spans="1:1">
      <c r="A61" s="136" t="s">
        <v>957</v>
      </c>
    </row>
    <row r="62" spans="1:1">
      <c r="A62" s="136" t="s">
        <v>958</v>
      </c>
    </row>
    <row r="63" spans="1:1">
      <c r="A63" s="133" t="s">
        <v>959</v>
      </c>
    </row>
    <row r="64" spans="1:1">
      <c r="A64" s="133" t="s">
        <v>960</v>
      </c>
    </row>
    <row r="65" spans="1:1">
      <c r="A65" s="133" t="s">
        <v>961</v>
      </c>
    </row>
    <row r="66" spans="1:1">
      <c r="A66" s="133" t="s">
        <v>962</v>
      </c>
    </row>
    <row r="67" spans="1:1">
      <c r="A67" s="133" t="s">
        <v>963</v>
      </c>
    </row>
    <row r="68" spans="1:1">
      <c r="A68" s="133" t="s">
        <v>964</v>
      </c>
    </row>
    <row r="69" spans="1:1">
      <c r="A69" s="133" t="s">
        <v>965</v>
      </c>
    </row>
    <row r="70" spans="1:1">
      <c r="A70" s="133" t="s">
        <v>966</v>
      </c>
    </row>
    <row r="71" spans="1:1">
      <c r="A71" s="133" t="s">
        <v>967</v>
      </c>
    </row>
    <row r="72" spans="1:1">
      <c r="A72" s="133" t="s">
        <v>968</v>
      </c>
    </row>
    <row r="73" spans="1:1">
      <c r="A73" s="133" t="s">
        <v>969</v>
      </c>
    </row>
    <row r="74" spans="1:1">
      <c r="A74" s="133" t="s">
        <v>970</v>
      </c>
    </row>
    <row r="75" spans="1:1">
      <c r="A75" s="133" t="s">
        <v>971</v>
      </c>
    </row>
    <row r="76" spans="1:1">
      <c r="A76" s="133" t="s">
        <v>972</v>
      </c>
    </row>
    <row r="77" spans="1:1">
      <c r="A77" s="133" t="s">
        <v>973</v>
      </c>
    </row>
    <row r="78" spans="1:1">
      <c r="A78" s="133" t="s">
        <v>974</v>
      </c>
    </row>
    <row r="79" spans="1:1">
      <c r="A79" s="133" t="s">
        <v>975</v>
      </c>
    </row>
    <row r="80" spans="1:1">
      <c r="A80" s="133" t="s">
        <v>976</v>
      </c>
    </row>
    <row r="81" spans="1:1">
      <c r="A81" s="133" t="s">
        <v>977</v>
      </c>
    </row>
    <row r="82" spans="1:1">
      <c r="A82" s="133" t="s">
        <v>978</v>
      </c>
    </row>
    <row r="83" spans="1:1">
      <c r="A83" s="133" t="s">
        <v>979</v>
      </c>
    </row>
    <row r="84" spans="1:1">
      <c r="A84" s="133" t="s">
        <v>980</v>
      </c>
    </row>
    <row r="85" spans="1:1">
      <c r="A85" s="133" t="s">
        <v>981</v>
      </c>
    </row>
    <row r="86" spans="1:1">
      <c r="A86" s="133" t="s">
        <v>982</v>
      </c>
    </row>
    <row r="87" spans="1:1">
      <c r="A87" s="133" t="s">
        <v>983</v>
      </c>
    </row>
    <row r="88" spans="1:1">
      <c r="A88" s="133" t="s">
        <v>984</v>
      </c>
    </row>
    <row r="89" spans="1:1">
      <c r="A89" s="133" t="s">
        <v>985</v>
      </c>
    </row>
    <row r="90" spans="1:1">
      <c r="A90" s="133" t="s">
        <v>986</v>
      </c>
    </row>
    <row r="91" spans="1:1">
      <c r="A91" s="133" t="s">
        <v>987</v>
      </c>
    </row>
    <row r="92" spans="1:1">
      <c r="A92" s="133" t="s">
        <v>988</v>
      </c>
    </row>
    <row r="93" spans="1:1">
      <c r="A93" s="133" t="s">
        <v>989</v>
      </c>
    </row>
    <row r="94" spans="1:1">
      <c r="A94" s="133" t="s">
        <v>990</v>
      </c>
    </row>
    <row r="95" spans="1:1">
      <c r="A95" s="133" t="s">
        <v>991</v>
      </c>
    </row>
    <row r="96" spans="1:1">
      <c r="A96" s="133" t="s">
        <v>992</v>
      </c>
    </row>
    <row r="97" spans="1:1">
      <c r="A97" s="133" t="s">
        <v>993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E50"/>
  <sheetViews>
    <sheetView workbookViewId="0">
      <selection activeCell="I10" sqref="I10"/>
    </sheetView>
  </sheetViews>
  <sheetFormatPr defaultRowHeight="14.25"/>
  <cols>
    <col min="1" max="3" width="9.125" customWidth="1"/>
    <col min="4" max="4" width="9.75" bestFit="1" customWidth="1"/>
    <col min="5" max="5" width="12.625" customWidth="1"/>
  </cols>
  <sheetData>
    <row r="1" spans="3:5">
      <c r="C1" s="44">
        <f>LEN(D1)</f>
        <v>0</v>
      </c>
      <c r="D1" s="5" t="str">
        <f t="shared" ref="D1:D32" si="0">IF(ISERROR(VLOOKUP(E1,AllBlocks,1,AllBlocks)),"",VLOOKUP(E1,AllBlocks,1,AllBlocks))</f>
        <v/>
      </c>
      <c r="E1" s="6" t="s">
        <v>607</v>
      </c>
    </row>
    <row r="2" spans="3:5">
      <c r="C2" s="7">
        <f t="shared" ref="C2:C50" si="1">LEN(D2)</f>
        <v>0</v>
      </c>
      <c r="D2" s="2" t="str">
        <f t="shared" si="0"/>
        <v/>
      </c>
      <c r="E2" s="8" t="s">
        <v>608</v>
      </c>
    </row>
    <row r="3" spans="3:5">
      <c r="C3" s="7">
        <f t="shared" si="1"/>
        <v>0</v>
      </c>
      <c r="D3" s="2" t="str">
        <f t="shared" si="0"/>
        <v/>
      </c>
      <c r="E3" s="8" t="s">
        <v>609</v>
      </c>
    </row>
    <row r="4" spans="3:5">
      <c r="C4" s="7">
        <f t="shared" si="1"/>
        <v>0</v>
      </c>
      <c r="D4" s="2" t="str">
        <f t="shared" si="0"/>
        <v/>
      </c>
      <c r="E4" s="8" t="s">
        <v>610</v>
      </c>
    </row>
    <row r="5" spans="3:5">
      <c r="C5" s="7">
        <f t="shared" si="1"/>
        <v>0</v>
      </c>
      <c r="D5" s="2" t="str">
        <f t="shared" si="0"/>
        <v/>
      </c>
      <c r="E5" s="8" t="s">
        <v>611</v>
      </c>
    </row>
    <row r="6" spans="3:5">
      <c r="C6" s="7">
        <f t="shared" si="1"/>
        <v>0</v>
      </c>
      <c r="D6" s="2" t="str">
        <f t="shared" si="0"/>
        <v/>
      </c>
      <c r="E6" s="8" t="s">
        <v>612</v>
      </c>
    </row>
    <row r="7" spans="3:5">
      <c r="C7" s="7">
        <f t="shared" si="1"/>
        <v>0</v>
      </c>
      <c r="D7" s="2" t="str">
        <f t="shared" si="0"/>
        <v/>
      </c>
      <c r="E7" s="8" t="s">
        <v>613</v>
      </c>
    </row>
    <row r="8" spans="3:5">
      <c r="C8" s="7">
        <f t="shared" si="1"/>
        <v>0</v>
      </c>
      <c r="D8" s="2" t="str">
        <f t="shared" si="0"/>
        <v/>
      </c>
      <c r="E8" s="8" t="s">
        <v>614</v>
      </c>
    </row>
    <row r="9" spans="3:5">
      <c r="C9" s="7">
        <f t="shared" si="1"/>
        <v>0</v>
      </c>
      <c r="D9" s="2" t="str">
        <f t="shared" si="0"/>
        <v/>
      </c>
      <c r="E9" s="8" t="s">
        <v>615</v>
      </c>
    </row>
    <row r="10" spans="3:5">
      <c r="C10" s="7">
        <f t="shared" si="1"/>
        <v>0</v>
      </c>
      <c r="D10" s="2" t="str">
        <f t="shared" si="0"/>
        <v/>
      </c>
      <c r="E10" s="8" t="s">
        <v>616</v>
      </c>
    </row>
    <row r="11" spans="3:5">
      <c r="C11" s="7">
        <f t="shared" si="1"/>
        <v>0</v>
      </c>
      <c r="D11" s="2" t="str">
        <f t="shared" si="0"/>
        <v/>
      </c>
      <c r="E11" s="8" t="s">
        <v>617</v>
      </c>
    </row>
    <row r="12" spans="3:5">
      <c r="C12" s="7">
        <f t="shared" si="1"/>
        <v>0</v>
      </c>
      <c r="D12" s="2" t="str">
        <f t="shared" si="0"/>
        <v/>
      </c>
      <c r="E12" s="8" t="s">
        <v>618</v>
      </c>
    </row>
    <row r="13" spans="3:5">
      <c r="C13" s="7">
        <f t="shared" si="1"/>
        <v>0</v>
      </c>
      <c r="D13" s="2" t="str">
        <f t="shared" si="0"/>
        <v/>
      </c>
      <c r="E13" s="8" t="s">
        <v>619</v>
      </c>
    </row>
    <row r="14" spans="3:5">
      <c r="C14" s="7">
        <f t="shared" si="1"/>
        <v>0</v>
      </c>
      <c r="D14" s="2" t="str">
        <f t="shared" si="0"/>
        <v/>
      </c>
      <c r="E14" s="8" t="s">
        <v>620</v>
      </c>
    </row>
    <row r="15" spans="3:5">
      <c r="C15" s="7">
        <f t="shared" si="1"/>
        <v>0</v>
      </c>
      <c r="D15" s="2" t="str">
        <f t="shared" si="0"/>
        <v/>
      </c>
      <c r="E15" s="8" t="s">
        <v>621</v>
      </c>
    </row>
    <row r="16" spans="3:5">
      <c r="C16" s="7">
        <f t="shared" si="1"/>
        <v>0</v>
      </c>
      <c r="D16" s="2" t="str">
        <f t="shared" si="0"/>
        <v/>
      </c>
      <c r="E16" s="8" t="s">
        <v>622</v>
      </c>
    </row>
    <row r="17" spans="3:5">
      <c r="C17" s="7">
        <f t="shared" si="1"/>
        <v>0</v>
      </c>
      <c r="D17" s="2" t="str">
        <f t="shared" si="0"/>
        <v/>
      </c>
      <c r="E17" s="8" t="s">
        <v>623</v>
      </c>
    </row>
    <row r="18" spans="3:5">
      <c r="C18" s="7">
        <f t="shared" si="1"/>
        <v>0</v>
      </c>
      <c r="D18" s="2" t="str">
        <f t="shared" si="0"/>
        <v/>
      </c>
      <c r="E18" s="8" t="s">
        <v>624</v>
      </c>
    </row>
    <row r="19" spans="3:5">
      <c r="C19" s="7">
        <f t="shared" si="1"/>
        <v>0</v>
      </c>
      <c r="D19" s="2" t="str">
        <f t="shared" si="0"/>
        <v/>
      </c>
      <c r="E19" s="8" t="s">
        <v>625</v>
      </c>
    </row>
    <row r="20" spans="3:5">
      <c r="C20" s="7">
        <f t="shared" si="1"/>
        <v>0</v>
      </c>
      <c r="D20" s="2" t="str">
        <f t="shared" si="0"/>
        <v/>
      </c>
      <c r="E20" s="8" t="s">
        <v>626</v>
      </c>
    </row>
    <row r="21" spans="3:5">
      <c r="C21" s="7">
        <f t="shared" si="1"/>
        <v>0</v>
      </c>
      <c r="D21" s="2" t="str">
        <f t="shared" si="0"/>
        <v/>
      </c>
      <c r="E21" s="8" t="s">
        <v>627</v>
      </c>
    </row>
    <row r="22" spans="3:5">
      <c r="C22" s="7">
        <f t="shared" si="1"/>
        <v>0</v>
      </c>
      <c r="D22" s="2" t="str">
        <f t="shared" si="0"/>
        <v/>
      </c>
      <c r="E22" s="8" t="s">
        <v>628</v>
      </c>
    </row>
    <row r="23" spans="3:5">
      <c r="C23" s="7">
        <f t="shared" si="1"/>
        <v>0</v>
      </c>
      <c r="D23" s="2" t="str">
        <f t="shared" si="0"/>
        <v/>
      </c>
      <c r="E23" s="8" t="s">
        <v>629</v>
      </c>
    </row>
    <row r="24" spans="3:5">
      <c r="C24" s="7">
        <f t="shared" si="1"/>
        <v>7</v>
      </c>
      <c r="D24" s="2" t="str">
        <f t="shared" si="0"/>
        <v>G-DONUT</v>
      </c>
      <c r="E24" s="8" t="s">
        <v>630</v>
      </c>
    </row>
    <row r="25" spans="3:5">
      <c r="C25" s="7">
        <f t="shared" si="1"/>
        <v>0</v>
      </c>
      <c r="D25" s="2" t="str">
        <f t="shared" si="0"/>
        <v/>
      </c>
      <c r="E25" s="8" t="s">
        <v>631</v>
      </c>
    </row>
    <row r="26" spans="3:5">
      <c r="C26" s="7">
        <f t="shared" si="1"/>
        <v>0</v>
      </c>
      <c r="D26" s="2" t="str">
        <f t="shared" si="0"/>
        <v/>
      </c>
      <c r="E26" s="8" t="s">
        <v>656</v>
      </c>
    </row>
    <row r="27" spans="3:5">
      <c r="C27" s="7">
        <f t="shared" si="1"/>
        <v>0</v>
      </c>
      <c r="D27" s="2" t="str">
        <f t="shared" si="0"/>
        <v/>
      </c>
      <c r="E27" s="8" t="s">
        <v>632</v>
      </c>
    </row>
    <row r="28" spans="3:5">
      <c r="C28" s="7">
        <f t="shared" si="1"/>
        <v>0</v>
      </c>
      <c r="D28" s="2" t="str">
        <f t="shared" si="0"/>
        <v/>
      </c>
      <c r="E28" s="8" t="s">
        <v>633</v>
      </c>
    </row>
    <row r="29" spans="3:5">
      <c r="C29" s="7">
        <f t="shared" si="1"/>
        <v>0</v>
      </c>
      <c r="D29" s="2" t="str">
        <f t="shared" si="0"/>
        <v/>
      </c>
      <c r="E29" s="8" t="s">
        <v>634</v>
      </c>
    </row>
    <row r="30" spans="3:5">
      <c r="C30" s="7">
        <f t="shared" si="1"/>
        <v>0</v>
      </c>
      <c r="D30" s="2" t="str">
        <f t="shared" si="0"/>
        <v/>
      </c>
      <c r="E30" s="8" t="s">
        <v>635</v>
      </c>
    </row>
    <row r="31" spans="3:5">
      <c r="C31" s="7">
        <f t="shared" si="1"/>
        <v>0</v>
      </c>
      <c r="D31" s="2" t="str">
        <f t="shared" si="0"/>
        <v/>
      </c>
      <c r="E31" s="8" t="s">
        <v>636</v>
      </c>
    </row>
    <row r="32" spans="3:5">
      <c r="C32" s="7">
        <f t="shared" si="1"/>
        <v>0</v>
      </c>
      <c r="D32" s="2" t="str">
        <f t="shared" si="0"/>
        <v/>
      </c>
      <c r="E32" s="8" t="s">
        <v>637</v>
      </c>
    </row>
    <row r="33" spans="3:5">
      <c r="C33" s="7">
        <f t="shared" si="1"/>
        <v>0</v>
      </c>
      <c r="D33" s="2" t="str">
        <f t="shared" ref="D33:D50" si="2">IF(ISERROR(VLOOKUP(E33,AllBlocks,1,AllBlocks)),"",VLOOKUP(E33,AllBlocks,1,AllBlocks))</f>
        <v/>
      </c>
      <c r="E33" s="8" t="s">
        <v>638</v>
      </c>
    </row>
    <row r="34" spans="3:5">
      <c r="C34" s="7">
        <f t="shared" si="1"/>
        <v>0</v>
      </c>
      <c r="D34" s="2" t="str">
        <f t="shared" si="2"/>
        <v/>
      </c>
      <c r="E34" s="8" t="s">
        <v>639</v>
      </c>
    </row>
    <row r="35" spans="3:5">
      <c r="C35" s="7">
        <f t="shared" si="1"/>
        <v>0</v>
      </c>
      <c r="D35" s="2" t="str">
        <f t="shared" si="2"/>
        <v/>
      </c>
      <c r="E35" s="8" t="s">
        <v>640</v>
      </c>
    </row>
    <row r="36" spans="3:5">
      <c r="C36" s="7">
        <f t="shared" si="1"/>
        <v>0</v>
      </c>
      <c r="D36" s="2" t="str">
        <f t="shared" si="2"/>
        <v/>
      </c>
      <c r="E36" s="8" t="s">
        <v>641</v>
      </c>
    </row>
    <row r="37" spans="3:5">
      <c r="C37" s="7">
        <f t="shared" si="1"/>
        <v>0</v>
      </c>
      <c r="D37" s="2" t="str">
        <f t="shared" si="2"/>
        <v/>
      </c>
      <c r="E37" s="8" t="s">
        <v>642</v>
      </c>
    </row>
    <row r="38" spans="3:5">
      <c r="C38" s="7">
        <f t="shared" si="1"/>
        <v>0</v>
      </c>
      <c r="D38" s="2" t="str">
        <f t="shared" si="2"/>
        <v/>
      </c>
      <c r="E38" s="8" t="s">
        <v>643</v>
      </c>
    </row>
    <row r="39" spans="3:5">
      <c r="C39" s="7">
        <f t="shared" si="1"/>
        <v>0</v>
      </c>
      <c r="D39" s="2" t="str">
        <f t="shared" si="2"/>
        <v/>
      </c>
      <c r="E39" s="8" t="s">
        <v>644</v>
      </c>
    </row>
    <row r="40" spans="3:5">
      <c r="C40" s="7">
        <f t="shared" si="1"/>
        <v>0</v>
      </c>
      <c r="D40" s="2" t="str">
        <f t="shared" si="2"/>
        <v/>
      </c>
      <c r="E40" s="8" t="s">
        <v>645</v>
      </c>
    </row>
    <row r="41" spans="3:5">
      <c r="C41" s="7">
        <f t="shared" si="1"/>
        <v>0</v>
      </c>
      <c r="D41" s="2" t="str">
        <f t="shared" si="2"/>
        <v/>
      </c>
      <c r="E41" s="8" t="s">
        <v>646</v>
      </c>
    </row>
    <row r="42" spans="3:5">
      <c r="C42" s="7">
        <f t="shared" si="1"/>
        <v>0</v>
      </c>
      <c r="D42" s="2" t="str">
        <f t="shared" si="2"/>
        <v/>
      </c>
      <c r="E42" s="8" t="s">
        <v>647</v>
      </c>
    </row>
    <row r="43" spans="3:5">
      <c r="C43" s="7">
        <f t="shared" si="1"/>
        <v>0</v>
      </c>
      <c r="D43" s="2" t="str">
        <f t="shared" si="2"/>
        <v/>
      </c>
      <c r="E43" s="8" t="s">
        <v>648</v>
      </c>
    </row>
    <row r="44" spans="3:5">
      <c r="C44" s="7">
        <f t="shared" si="1"/>
        <v>0</v>
      </c>
      <c r="D44" s="2" t="str">
        <f t="shared" si="2"/>
        <v/>
      </c>
      <c r="E44" s="8" t="s">
        <v>649</v>
      </c>
    </row>
    <row r="45" spans="3:5">
      <c r="C45" s="7">
        <f t="shared" si="1"/>
        <v>0</v>
      </c>
      <c r="D45" s="2" t="str">
        <f t="shared" si="2"/>
        <v/>
      </c>
      <c r="E45" s="8" t="s">
        <v>650</v>
      </c>
    </row>
    <row r="46" spans="3:5">
      <c r="C46" s="7">
        <f t="shared" si="1"/>
        <v>0</v>
      </c>
      <c r="D46" s="2" t="str">
        <f t="shared" si="2"/>
        <v/>
      </c>
      <c r="E46" s="8" t="s">
        <v>651</v>
      </c>
    </row>
    <row r="47" spans="3:5">
      <c r="C47" s="7">
        <f t="shared" si="1"/>
        <v>0</v>
      </c>
      <c r="D47" s="2" t="str">
        <f t="shared" si="2"/>
        <v/>
      </c>
      <c r="E47" s="8" t="s">
        <v>652</v>
      </c>
    </row>
    <row r="48" spans="3:5">
      <c r="C48" s="7">
        <f t="shared" si="1"/>
        <v>0</v>
      </c>
      <c r="D48" s="2" t="str">
        <f t="shared" si="2"/>
        <v/>
      </c>
      <c r="E48" s="8" t="s">
        <v>653</v>
      </c>
    </row>
    <row r="49" spans="3:5">
      <c r="C49" s="7">
        <f t="shared" si="1"/>
        <v>0</v>
      </c>
      <c r="D49" s="2" t="str">
        <f t="shared" si="2"/>
        <v/>
      </c>
      <c r="E49" s="8" t="s">
        <v>654</v>
      </c>
    </row>
    <row r="50" spans="3:5" ht="15" thickBot="1">
      <c r="C50" s="9">
        <f t="shared" si="1"/>
        <v>0</v>
      </c>
      <c r="D50" s="10" t="str">
        <f t="shared" si="2"/>
        <v/>
      </c>
      <c r="E50" s="11" t="s">
        <v>655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2"/>
  <sheetViews>
    <sheetView workbookViewId="0">
      <selection activeCell="H9" sqref="H9"/>
    </sheetView>
  </sheetViews>
  <sheetFormatPr defaultRowHeight="14.25"/>
  <cols>
    <col min="1" max="1" width="16.75" bestFit="1" customWidth="1"/>
    <col min="2" max="2" width="13.125" bestFit="1" customWidth="1"/>
  </cols>
  <sheetData>
    <row r="1" spans="1:2">
      <c r="A1" s="44" t="s">
        <v>769</v>
      </c>
      <c r="B1" s="6"/>
    </row>
    <row r="2" spans="1:2">
      <c r="A2" s="7"/>
      <c r="B2" s="8" t="s">
        <v>123</v>
      </c>
    </row>
    <row r="3" spans="1:2">
      <c r="A3" s="7"/>
      <c r="B3" s="8" t="s">
        <v>124</v>
      </c>
    </row>
    <row r="4" spans="1:2">
      <c r="A4" s="7"/>
      <c r="B4" s="8" t="s">
        <v>125</v>
      </c>
    </row>
    <row r="5" spans="1:2">
      <c r="A5" s="7"/>
      <c r="B5" s="124" t="s">
        <v>771</v>
      </c>
    </row>
    <row r="6" spans="1:2">
      <c r="A6" s="7"/>
      <c r="B6" s="124" t="s">
        <v>772</v>
      </c>
    </row>
    <row r="7" spans="1:2">
      <c r="A7" s="7"/>
      <c r="B7" s="124" t="s">
        <v>773</v>
      </c>
    </row>
    <row r="8" spans="1:2">
      <c r="A8" s="7"/>
      <c r="B8" s="124" t="s">
        <v>774</v>
      </c>
    </row>
    <row r="9" spans="1:2">
      <c r="A9" s="7"/>
      <c r="B9" s="124" t="s">
        <v>775</v>
      </c>
    </row>
    <row r="10" spans="1:2">
      <c r="A10" s="7"/>
      <c r="B10" s="124" t="s">
        <v>776</v>
      </c>
    </row>
    <row r="11" spans="1:2">
      <c r="A11" s="7"/>
      <c r="B11" s="124" t="s">
        <v>777</v>
      </c>
    </row>
    <row r="12" spans="1:2">
      <c r="A12" s="7"/>
      <c r="B12" s="124" t="s">
        <v>778</v>
      </c>
    </row>
    <row r="13" spans="1:2">
      <c r="A13" s="7"/>
      <c r="B13" s="124" t="s">
        <v>779</v>
      </c>
    </row>
    <row r="14" spans="1:2">
      <c r="A14" s="7"/>
      <c r="B14" s="124" t="s">
        <v>780</v>
      </c>
    </row>
    <row r="15" spans="1:2">
      <c r="A15" s="7"/>
      <c r="B15" s="124" t="s">
        <v>781</v>
      </c>
    </row>
    <row r="16" spans="1:2">
      <c r="A16" s="7"/>
      <c r="B16" s="124" t="s">
        <v>782</v>
      </c>
    </row>
    <row r="17" spans="1:2">
      <c r="A17" s="7"/>
      <c r="B17" s="124" t="s">
        <v>783</v>
      </c>
    </row>
    <row r="18" spans="1:2">
      <c r="A18" s="7"/>
      <c r="B18" s="124" t="s">
        <v>784</v>
      </c>
    </row>
    <row r="19" spans="1:2">
      <c r="A19" s="7"/>
      <c r="B19" s="124" t="s">
        <v>785</v>
      </c>
    </row>
    <row r="20" spans="1:2">
      <c r="A20" s="7"/>
      <c r="B20" s="124" t="s">
        <v>786</v>
      </c>
    </row>
    <row r="21" spans="1:2">
      <c r="A21" s="7"/>
      <c r="B21" s="124" t="s">
        <v>787</v>
      </c>
    </row>
    <row r="22" spans="1:2">
      <c r="A22" s="7"/>
      <c r="B22" s="124" t="s">
        <v>788</v>
      </c>
    </row>
    <row r="23" spans="1:2">
      <c r="A23" s="7"/>
      <c r="B23" s="124" t="s">
        <v>789</v>
      </c>
    </row>
    <row r="24" spans="1:2">
      <c r="A24" s="7"/>
      <c r="B24" s="124" t="s">
        <v>790</v>
      </c>
    </row>
    <row r="25" spans="1:2">
      <c r="A25" s="7"/>
      <c r="B25" s="124" t="s">
        <v>791</v>
      </c>
    </row>
    <row r="26" spans="1:2">
      <c r="A26" s="7"/>
      <c r="B26" s="124" t="s">
        <v>792</v>
      </c>
    </row>
    <row r="27" spans="1:2">
      <c r="A27" s="7"/>
      <c r="B27" s="124" t="s">
        <v>793</v>
      </c>
    </row>
    <row r="28" spans="1:2">
      <c r="A28" s="7"/>
      <c r="B28" s="124" t="s">
        <v>794</v>
      </c>
    </row>
    <row r="29" spans="1:2">
      <c r="A29" s="7"/>
      <c r="B29" s="124" t="s">
        <v>795</v>
      </c>
    </row>
    <row r="30" spans="1:2">
      <c r="A30" s="7"/>
      <c r="B30" s="124" t="s">
        <v>796</v>
      </c>
    </row>
    <row r="31" spans="1:2">
      <c r="A31" s="7"/>
      <c r="B31" s="124" t="s">
        <v>797</v>
      </c>
    </row>
    <row r="32" spans="1:2">
      <c r="A32" s="7"/>
      <c r="B32" s="124" t="s">
        <v>798</v>
      </c>
    </row>
    <row r="33" spans="1:2">
      <c r="A33" s="7"/>
      <c r="B33" s="124" t="s">
        <v>799</v>
      </c>
    </row>
    <row r="34" spans="1:2">
      <c r="A34" s="7"/>
      <c r="B34" s="124" t="s">
        <v>800</v>
      </c>
    </row>
    <row r="35" spans="1:2">
      <c r="A35" s="7"/>
      <c r="B35" s="124" t="s">
        <v>801</v>
      </c>
    </row>
    <row r="36" spans="1:2">
      <c r="A36" s="7"/>
      <c r="B36" s="124" t="s">
        <v>802</v>
      </c>
    </row>
    <row r="37" spans="1:2">
      <c r="A37" s="7"/>
      <c r="B37" s="124" t="s">
        <v>803</v>
      </c>
    </row>
    <row r="38" spans="1:2">
      <c r="A38" s="7"/>
      <c r="B38" s="124" t="s">
        <v>804</v>
      </c>
    </row>
    <row r="39" spans="1:2">
      <c r="A39" s="7"/>
      <c r="B39" s="124" t="s">
        <v>805</v>
      </c>
    </row>
    <row r="40" spans="1:2">
      <c r="A40" s="7"/>
      <c r="B40" s="124" t="s">
        <v>334</v>
      </c>
    </row>
    <row r="41" spans="1:2">
      <c r="A41" s="7"/>
      <c r="B41" s="124" t="s">
        <v>806</v>
      </c>
    </row>
    <row r="42" spans="1:2" ht="15" thickBot="1">
      <c r="A42" s="9"/>
      <c r="B42" s="125" t="s">
        <v>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6</vt:i4>
      </vt:variant>
      <vt:variant>
        <vt:lpstr>טווחים בעלי שם</vt:lpstr>
      </vt:variant>
      <vt:variant>
        <vt:i4>195</vt:i4>
      </vt:variant>
    </vt:vector>
  </HeadingPairs>
  <TitlesOfParts>
    <vt:vector size="201" baseType="lpstr">
      <vt:lpstr>summary</vt:lpstr>
      <vt:lpstr>extractions</vt:lpstr>
      <vt:lpstr>chk1</vt:lpstr>
      <vt:lpstr>chk5</vt:lpstr>
      <vt:lpstr>chk13</vt:lpstr>
      <vt:lpstr>chk17</vt:lpstr>
      <vt:lpstr>_chk1</vt:lpstr>
      <vt:lpstr>_chk10</vt:lpstr>
      <vt:lpstr>_chk11</vt:lpstr>
      <vt:lpstr>_chk12</vt:lpstr>
      <vt:lpstr>_chk13</vt:lpstr>
      <vt:lpstr>_chk14</vt:lpstr>
      <vt:lpstr>_chk15</vt:lpstr>
      <vt:lpstr>_chk16</vt:lpstr>
      <vt:lpstr>_chk17</vt:lpstr>
      <vt:lpstr>_chk18</vt:lpstr>
      <vt:lpstr>_chk2</vt:lpstr>
      <vt:lpstr>_chk3</vt:lpstr>
      <vt:lpstr>_chk4</vt:lpstr>
      <vt:lpstr>_chk5</vt:lpstr>
      <vt:lpstr>_chk6</vt:lpstr>
      <vt:lpstr>_chk7</vt:lpstr>
      <vt:lpstr>_chk8</vt:lpstr>
      <vt:lpstr>_chk9</vt:lpstr>
      <vt:lpstr>AllBlocks</vt:lpstr>
      <vt:lpstr>allowedLineTypes</vt:lpstr>
      <vt:lpstr>AnnotationSymbols</vt:lpstr>
      <vt:lpstr>AppDate</vt:lpstr>
      <vt:lpstr>Approved</vt:lpstr>
      <vt:lpstr>blockname</vt:lpstr>
      <vt:lpstr>building</vt:lpstr>
      <vt:lpstr>buildingNumberInTitle1</vt:lpstr>
      <vt:lpstr>CheckDate</vt:lpstr>
      <vt:lpstr>Checked</vt:lpstr>
      <vt:lpstr>chk10Summary</vt:lpstr>
      <vt:lpstr>chk11Summary</vt:lpstr>
      <vt:lpstr>chk12Summary</vt:lpstr>
      <vt:lpstr>chk13Summary</vt:lpstr>
      <vt:lpstr>chk14Summary</vt:lpstr>
      <vt:lpstr>chk15Summary</vt:lpstr>
      <vt:lpstr>chk16Summary</vt:lpstr>
      <vt:lpstr>chk17Summary</vt:lpstr>
      <vt:lpstr>chk18Summary</vt:lpstr>
      <vt:lpstr>chk1Summary</vt:lpstr>
      <vt:lpstr>chk2Layer</vt:lpstr>
      <vt:lpstr>chk2Summary</vt:lpstr>
      <vt:lpstr>chk3Summary</vt:lpstr>
      <vt:lpstr>chk4Summary</vt:lpstr>
      <vt:lpstr>chk5Summary</vt:lpstr>
      <vt:lpstr>chk6Summary</vt:lpstr>
      <vt:lpstr>chk7Summary</vt:lpstr>
      <vt:lpstr>chk8Summary</vt:lpstr>
      <vt:lpstr>chk9Summary</vt:lpstr>
      <vt:lpstr>copyarea</vt:lpstr>
      <vt:lpstr>CrossCheck</vt:lpstr>
      <vt:lpstr>CrsDate</vt:lpstr>
      <vt:lpstr>Date</vt:lpstr>
      <vt:lpstr>dimEntities</vt:lpstr>
      <vt:lpstr>dimScaleOk</vt:lpstr>
      <vt:lpstr>dimstyle</vt:lpstr>
      <vt:lpstr>DimStyleNames</vt:lpstr>
      <vt:lpstr>DimStyleScales</vt:lpstr>
      <vt:lpstr>discipline</vt:lpstr>
      <vt:lpstr>Drawn</vt:lpstr>
      <vt:lpstr>dwgchecked</vt:lpstr>
      <vt:lpstr>DwgDate</vt:lpstr>
      <vt:lpstr>dwgname</vt:lpstr>
      <vt:lpstr>DwgNum</vt:lpstr>
      <vt:lpstr>EngDate</vt:lpstr>
      <vt:lpstr>Engineer</vt:lpstr>
      <vt:lpstr>EqtCode</vt:lpstr>
      <vt:lpstr>expectedgridname</vt:lpstr>
      <vt:lpstr>expectedxreflayout</vt:lpstr>
      <vt:lpstr>File</vt:lpstr>
      <vt:lpstr>Fwr</vt:lpstr>
      <vt:lpstr>hasAnnotation</vt:lpstr>
      <vt:lpstr>hasBindError</vt:lpstr>
      <vt:lpstr>hasDollarError</vt:lpstr>
      <vt:lpstr>hasOriginProblem</vt:lpstr>
      <vt:lpstr>hasPathProblem</vt:lpstr>
      <vt:lpstr>hasTitleBlock</vt:lpstr>
      <vt:lpstr>IsCivil</vt:lpstr>
      <vt:lpstr>IsDetail</vt:lpstr>
      <vt:lpstr>isDetail1</vt:lpstr>
      <vt:lpstr>isDetail2</vt:lpstr>
      <vt:lpstr>isEightLetters</vt:lpstr>
      <vt:lpstr>IsElevation</vt:lpstr>
      <vt:lpstr>IsEnlarged</vt:lpstr>
      <vt:lpstr>isEnlargedView1</vt:lpstr>
      <vt:lpstr>isEnlargedView2</vt:lpstr>
      <vt:lpstr>IsLayout</vt:lpstr>
      <vt:lpstr>isPurged</vt:lpstr>
      <vt:lpstr>isRecordDrawing</vt:lpstr>
      <vt:lpstr>IsSection</vt:lpstr>
      <vt:lpstr>IsView</vt:lpstr>
      <vt:lpstr>layer0ents</vt:lpstr>
      <vt:lpstr>layer0model</vt:lpstr>
      <vt:lpstr>layer0paper</vt:lpstr>
      <vt:lpstr>layers</vt:lpstr>
      <vt:lpstr>layoutOrViewInTitle</vt:lpstr>
      <vt:lpstr>legalStyles</vt:lpstr>
      <vt:lpstr>letter1legal</vt:lpstr>
      <vt:lpstr>levelInTitle</vt:lpstr>
      <vt:lpstr>linetype</vt:lpstr>
      <vt:lpstr>lineTypeError</vt:lpstr>
      <vt:lpstr>modelall</vt:lpstr>
      <vt:lpstr>modelblks</vt:lpstr>
      <vt:lpstr>modelcircles</vt:lpstr>
      <vt:lpstr>modellines</vt:lpstr>
      <vt:lpstr>modeltext</vt:lpstr>
      <vt:lpstr>nameProblem</vt:lpstr>
      <vt:lpstr>NCAreas</vt:lpstr>
      <vt:lpstr>NCBuilding</vt:lpstr>
      <vt:lpstr>NCDetailsHighNum1</vt:lpstr>
      <vt:lpstr>NCDetailsHighNum2</vt:lpstr>
      <vt:lpstr>NCDetailsLowNum1</vt:lpstr>
      <vt:lpstr>NCDetailsLowNum2</vt:lpstr>
      <vt:lpstr>NCDisciplines</vt:lpstr>
      <vt:lpstr>NCElevationsHighNum</vt:lpstr>
      <vt:lpstr>NCElevationsLowNum</vt:lpstr>
      <vt:lpstr>NCEnlargedHighNum1</vt:lpstr>
      <vt:lpstr>NCEnlargedHighNum2</vt:lpstr>
      <vt:lpstr>NCEnlargedLowNum1</vt:lpstr>
      <vt:lpstr>NCEnlargedLowNum2</vt:lpstr>
      <vt:lpstr>NCLevels</vt:lpstr>
      <vt:lpstr>NCPlanKey</vt:lpstr>
      <vt:lpstr>NCSectionsHighNum</vt:lpstr>
      <vt:lpstr>NCSectionsLowNum</vt:lpstr>
      <vt:lpstr>NCSeries</vt:lpstr>
      <vt:lpstr>NCSpecial</vt:lpstr>
      <vt:lpstr>northarrowangle</vt:lpstr>
      <vt:lpstr>northarrowok</vt:lpstr>
      <vt:lpstr>northarrowqty</vt:lpstr>
      <vt:lpstr>oddXrefs</vt:lpstr>
      <vt:lpstr>OldNum</vt:lpstr>
      <vt:lpstr>oncorrectlayer</vt:lpstr>
      <vt:lpstr>originRange</vt:lpstr>
      <vt:lpstr>overallSectorInTitle</vt:lpstr>
      <vt:lpstr>paperall</vt:lpstr>
      <vt:lpstr>paperblks</vt:lpstr>
      <vt:lpstr>papercircles</vt:lpstr>
      <vt:lpstr>paperlines</vt:lpstr>
      <vt:lpstr>papertext</vt:lpstr>
      <vt:lpstr>pathRange</vt:lpstr>
      <vt:lpstr>PlaDate</vt:lpstr>
      <vt:lpstr>Planning</vt:lpstr>
      <vt:lpstr>PlotScale</vt:lpstr>
      <vt:lpstr>plotscaleok</vt:lpstr>
      <vt:lpstr>properXrefFound</vt:lpstr>
      <vt:lpstr>purge</vt:lpstr>
      <vt:lpstr>Rev</vt:lpstr>
      <vt:lpstr>RevDescriptions</vt:lpstr>
      <vt:lpstr>revInsert</vt:lpstr>
      <vt:lpstr>revisionline</vt:lpstr>
      <vt:lpstr>SafDate</vt:lpstr>
      <vt:lpstr>Safety</vt:lpstr>
      <vt:lpstr>Scale</vt:lpstr>
      <vt:lpstr>scaleformatok</vt:lpstr>
      <vt:lpstr>sector</vt:lpstr>
      <vt:lpstr>series</vt:lpstr>
      <vt:lpstr>SumLegal</vt:lpstr>
      <vt:lpstr>SummaryNotes</vt:lpstr>
      <vt:lpstr>textEntity</vt:lpstr>
      <vt:lpstr>textHeightProblem</vt:lpstr>
      <vt:lpstr>textHeightRemainder</vt:lpstr>
      <vt:lpstr>textstyle</vt:lpstr>
      <vt:lpstr>thisdwg</vt:lpstr>
      <vt:lpstr>Title1</vt:lpstr>
      <vt:lpstr>title1proper</vt:lpstr>
      <vt:lpstr>Title2</vt:lpstr>
      <vt:lpstr>title2proper</vt:lpstr>
      <vt:lpstr>Title3</vt:lpstr>
      <vt:lpstr>title3proper</vt:lpstr>
      <vt:lpstr>Title4</vt:lpstr>
      <vt:lpstr>title4proper</vt:lpstr>
      <vt:lpstr>titleinmodel</vt:lpstr>
      <vt:lpstr>titleinpaper</vt:lpstr>
      <vt:lpstr>titleIsLayout</vt:lpstr>
      <vt:lpstr>titlelayer</vt:lpstr>
      <vt:lpstr>titleletter1</vt:lpstr>
      <vt:lpstr>titleletter2</vt:lpstr>
      <vt:lpstr>titleletter3</vt:lpstr>
      <vt:lpstr>titleletter4</vt:lpstr>
      <vt:lpstr>titleletter5</vt:lpstr>
      <vt:lpstr>titleletter6</vt:lpstr>
      <vt:lpstr>titleletter7</vt:lpstr>
      <vt:lpstr>titleletter78</vt:lpstr>
      <vt:lpstr>titleletter8</vt:lpstr>
      <vt:lpstr>titleletter9</vt:lpstr>
      <vt:lpstr>titleletters256</vt:lpstr>
      <vt:lpstr>titleletters34</vt:lpstr>
      <vt:lpstr>titleletters5678</vt:lpstr>
      <vt:lpstr>titleqtymodel</vt:lpstr>
      <vt:lpstr>titleqtypaper</vt:lpstr>
      <vt:lpstr>titleunique</vt:lpstr>
      <vt:lpstr>UniqueTitle</vt:lpstr>
      <vt:lpstr>Value5678</vt:lpstr>
      <vt:lpstr>xrefLetterTable</vt:lpstr>
      <vt:lpstr>XrefList</vt:lpstr>
      <vt:lpstr>xrefNameProper</vt:lpstr>
      <vt:lpstr>xrefnames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2012-05-06T07:58:17Z</dcterms:created>
  <dcterms:modified xsi:type="dcterms:W3CDTF">2012-08-04T21:21:29Z</dcterms:modified>
</cp:coreProperties>
</file>